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ФИН плани\Фінплан 2023\звіт фінплан 2кв 2023\"/>
    </mc:Choice>
  </mc:AlternateContent>
  <xr:revisionPtr revIDLastSave="0" documentId="13_ncr:1_{5124A1CB-F220-41C8-A670-580DF31574C8}" xr6:coauthVersionLast="47" xr6:coauthVersionMax="47" xr10:uidLastSave="{00000000-0000-0000-0000-000000000000}"/>
  <bookViews>
    <workbookView xWindow="-110" yWindow="-110" windowWidth="19420" windowHeight="10420" tabRatio="844" firstSheet="2" activeTab="7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  <sheet name="Лист1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_xlnm._FilterDatabase" localSheetId="1" hidden="1">'1. Фін результат'!$A$9:$H$144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результат'!$A$1:$H$164</definedName>
    <definedName name="_xlnm.Print_Area" localSheetId="2">'2. Розрахунки з бюджетом'!$A$1:$G$45</definedName>
    <definedName name="_xlnm.Print_Area" localSheetId="3">'3. Рух грошових коштів'!$A$1:$M$95</definedName>
    <definedName name="_xlnm.Print_Area" localSheetId="4">'4. Кап. інвестиції'!$A$1:$G$18</definedName>
    <definedName name="_xlnm.Print_Area" localSheetId="6">'6.1. Інша інфо_1'!$A$1:$O$80</definedName>
    <definedName name="_xlnm.Print_Area" localSheetId="7">'6.2. Інша інфо_2'!$A$1:$W$54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F18" i="19" l="1"/>
  <c r="G18" i="19"/>
  <c r="C42" i="18"/>
  <c r="C6" i="3"/>
  <c r="E93" i="2"/>
  <c r="E88" i="2"/>
  <c r="E9" i="2"/>
  <c r="E7" i="9" l="1"/>
  <c r="C73" i="2"/>
  <c r="C19" i="2"/>
  <c r="C57" i="2"/>
  <c r="D73" i="14" l="1"/>
  <c r="D70" i="14"/>
  <c r="E53" i="10"/>
  <c r="E52" i="10"/>
  <c r="E51" i="10"/>
  <c r="D53" i="10"/>
  <c r="F53" i="10" s="1"/>
  <c r="D52" i="10"/>
  <c r="D51" i="10"/>
  <c r="D50" i="10"/>
  <c r="E19" i="11"/>
  <c r="D15" i="11"/>
  <c r="D9" i="19"/>
  <c r="D80" i="2"/>
  <c r="D73" i="2"/>
  <c r="D32" i="2"/>
  <c r="F30" i="2"/>
  <c r="D19" i="2"/>
  <c r="D11" i="2" s="1"/>
  <c r="D76" i="14" l="1"/>
  <c r="J30" i="10"/>
  <c r="J18" i="10"/>
  <c r="J29" i="10" l="1"/>
  <c r="J25" i="10"/>
  <c r="J26" i="10" s="1"/>
  <c r="H21" i="10"/>
  <c r="L29" i="9" l="1"/>
  <c r="E8" i="3" s="1"/>
  <c r="M38" i="9"/>
  <c r="M39" i="9"/>
  <c r="O40" i="9"/>
  <c r="P40" i="9"/>
  <c r="K40" i="9"/>
  <c r="L36" i="9" l="1"/>
  <c r="L40" i="9" s="1"/>
  <c r="E9" i="3" s="1"/>
  <c r="E49" i="18" s="1"/>
  <c r="E43" i="18" s="1"/>
  <c r="E42" i="18" s="1"/>
  <c r="E79" i="18"/>
  <c r="E50" i="2" l="1"/>
  <c r="E84" i="2"/>
  <c r="E85" i="2"/>
  <c r="E80" i="2" s="1"/>
  <c r="E73" i="2" s="1"/>
  <c r="E67" i="2" s="1"/>
  <c r="E49" i="2"/>
  <c r="E42" i="2"/>
  <c r="E59" i="2"/>
  <c r="E61" i="2"/>
  <c r="E12" i="2" l="1"/>
  <c r="E28" i="2"/>
  <c r="E22" i="2"/>
  <c r="E15" i="2" l="1"/>
  <c r="E25" i="2"/>
  <c r="E19" i="2" s="1"/>
  <c r="E16" i="2"/>
  <c r="E11" i="2" l="1"/>
  <c r="J11" i="2" s="1"/>
  <c r="G53" i="10"/>
  <c r="E57" i="2" l="1"/>
  <c r="E35" i="2" s="1"/>
  <c r="E10" i="19" l="1"/>
  <c r="E11" i="19"/>
  <c r="E23" i="19" l="1"/>
  <c r="E22" i="19"/>
  <c r="C44" i="18"/>
  <c r="C79" i="18" l="1"/>
  <c r="E9" i="19"/>
  <c r="E139" i="2"/>
  <c r="E141" i="2"/>
  <c r="D140" i="2"/>
  <c r="E140" i="2"/>
  <c r="C64" i="18"/>
  <c r="C81" i="18" s="1"/>
  <c r="E22" i="18"/>
  <c r="C22" i="18" l="1"/>
  <c r="N29" i="9"/>
  <c r="E142" i="2"/>
  <c r="E11" i="18" s="1"/>
  <c r="E70" i="18"/>
  <c r="E69" i="18"/>
  <c r="E12" i="18"/>
  <c r="E64" i="18"/>
  <c r="D14" i="11" l="1"/>
  <c r="E40" i="19"/>
  <c r="E138" i="2" l="1"/>
  <c r="G55" i="10"/>
  <c r="E35" i="19" l="1"/>
  <c r="C48" i="18"/>
  <c r="C29" i="18"/>
  <c r="C26" i="18"/>
  <c r="C12" i="18"/>
  <c r="C37" i="19"/>
  <c r="C35" i="19"/>
  <c r="C32" i="19"/>
  <c r="C23" i="19"/>
  <c r="C22" i="19"/>
  <c r="C18" i="18"/>
  <c r="C9" i="19"/>
  <c r="C112" i="2"/>
  <c r="C106" i="2"/>
  <c r="C102" i="2"/>
  <c r="C93" i="2"/>
  <c r="C88" i="2" s="1"/>
  <c r="C67" i="2"/>
  <c r="C35" i="2"/>
  <c r="C32" i="2"/>
  <c r="C140" i="2"/>
  <c r="C9" i="2"/>
  <c r="C21" i="19" l="1"/>
  <c r="C50" i="18"/>
  <c r="C11" i="2"/>
  <c r="C40" i="9"/>
  <c r="T37" i="9"/>
  <c r="S37" i="9"/>
  <c r="R37" i="9"/>
  <c r="Q37" i="9"/>
  <c r="N37" i="9"/>
  <c r="M37" i="9"/>
  <c r="J37" i="9"/>
  <c r="I37" i="9"/>
  <c r="F37" i="9"/>
  <c r="E37" i="9"/>
  <c r="T36" i="9"/>
  <c r="S36" i="9"/>
  <c r="R36" i="9"/>
  <c r="Q36" i="9"/>
  <c r="N36" i="9"/>
  <c r="M36" i="9"/>
  <c r="J36" i="9"/>
  <c r="I36" i="9"/>
  <c r="F36" i="9"/>
  <c r="E36" i="9"/>
  <c r="T29" i="9"/>
  <c r="S29" i="9"/>
  <c r="R29" i="9"/>
  <c r="Q29" i="9"/>
  <c r="M29" i="9"/>
  <c r="J29" i="9"/>
  <c r="I29" i="9"/>
  <c r="F29" i="9"/>
  <c r="E29" i="9"/>
  <c r="T35" i="9"/>
  <c r="S35" i="9"/>
  <c r="R35" i="9"/>
  <c r="Q35" i="9"/>
  <c r="N35" i="9"/>
  <c r="M35" i="9"/>
  <c r="J35" i="9"/>
  <c r="I35" i="9"/>
  <c r="F35" i="9"/>
  <c r="E35" i="9"/>
  <c r="T34" i="9"/>
  <c r="S34" i="9"/>
  <c r="R34" i="9"/>
  <c r="Q34" i="9"/>
  <c r="N34" i="9"/>
  <c r="M34" i="9"/>
  <c r="J34" i="9"/>
  <c r="I34" i="9"/>
  <c r="F34" i="9"/>
  <c r="E34" i="9"/>
  <c r="T33" i="9"/>
  <c r="S33" i="9"/>
  <c r="R33" i="9"/>
  <c r="Q33" i="9"/>
  <c r="N33" i="9"/>
  <c r="M33" i="9"/>
  <c r="J33" i="9"/>
  <c r="I33" i="9"/>
  <c r="F33" i="9"/>
  <c r="E33" i="9"/>
  <c r="T32" i="9"/>
  <c r="S32" i="9"/>
  <c r="U32" i="9" s="1"/>
  <c r="R32" i="9"/>
  <c r="Q32" i="9"/>
  <c r="N32" i="9"/>
  <c r="M32" i="9"/>
  <c r="J32" i="9"/>
  <c r="I32" i="9"/>
  <c r="F32" i="9"/>
  <c r="E32" i="9"/>
  <c r="T31" i="9"/>
  <c r="S31" i="9"/>
  <c r="U31" i="9" s="1"/>
  <c r="R31" i="9"/>
  <c r="Q31" i="9"/>
  <c r="N31" i="9"/>
  <c r="M31" i="9"/>
  <c r="J31" i="9"/>
  <c r="I31" i="9"/>
  <c r="F31" i="9"/>
  <c r="E31" i="9"/>
  <c r="T30" i="9"/>
  <c r="S30" i="9"/>
  <c r="U30" i="9" s="1"/>
  <c r="R30" i="9"/>
  <c r="Q30" i="9"/>
  <c r="N30" i="9"/>
  <c r="M30" i="9"/>
  <c r="J30" i="9"/>
  <c r="I30" i="9"/>
  <c r="F30" i="9"/>
  <c r="E30" i="9"/>
  <c r="T28" i="9"/>
  <c r="S28" i="9"/>
  <c r="U28" i="9" s="1"/>
  <c r="R28" i="9"/>
  <c r="Q28" i="9"/>
  <c r="N28" i="9"/>
  <c r="M28" i="9"/>
  <c r="J28" i="9"/>
  <c r="I28" i="9"/>
  <c r="F28" i="9"/>
  <c r="E28" i="9"/>
  <c r="T27" i="9"/>
  <c r="S27" i="9"/>
  <c r="R27" i="9"/>
  <c r="Q27" i="9"/>
  <c r="N27" i="9"/>
  <c r="M27" i="9"/>
  <c r="J27" i="9"/>
  <c r="I27" i="9"/>
  <c r="F27" i="9"/>
  <c r="E27" i="9"/>
  <c r="D40" i="9"/>
  <c r="F41" i="9" s="1"/>
  <c r="G40" i="9"/>
  <c r="H40" i="9"/>
  <c r="T26" i="9"/>
  <c r="S26" i="9"/>
  <c r="V26" i="9" s="1"/>
  <c r="R26" i="9"/>
  <c r="Q26" i="9"/>
  <c r="Q40" i="9" s="1"/>
  <c r="N26" i="9"/>
  <c r="M26" i="9"/>
  <c r="J26" i="9"/>
  <c r="I26" i="9"/>
  <c r="I40" i="9" s="1"/>
  <c r="F26" i="9"/>
  <c r="E26" i="9"/>
  <c r="E40" i="9" s="1"/>
  <c r="C31" i="2" l="1"/>
  <c r="C100" i="2" s="1"/>
  <c r="C116" i="2" s="1"/>
  <c r="C128" i="2"/>
  <c r="T40" i="9"/>
  <c r="U27" i="9"/>
  <c r="S40" i="9"/>
  <c r="M40" i="9"/>
  <c r="J41" i="9"/>
  <c r="V35" i="9"/>
  <c r="U37" i="9"/>
  <c r="U33" i="9"/>
  <c r="U34" i="9"/>
  <c r="V29" i="9"/>
  <c r="V36" i="9"/>
  <c r="V37" i="9"/>
  <c r="V41" i="9"/>
  <c r="U36" i="9"/>
  <c r="U29" i="9"/>
  <c r="N41" i="9"/>
  <c r="U35" i="9"/>
  <c r="C119" i="2"/>
  <c r="C19" i="19" s="1"/>
  <c r="C9" i="18"/>
  <c r="V27" i="9"/>
  <c r="V28" i="9"/>
  <c r="V30" i="9"/>
  <c r="V31" i="9"/>
  <c r="V32" i="9"/>
  <c r="V33" i="9"/>
  <c r="V34" i="9"/>
  <c r="U26" i="9"/>
  <c r="U40" i="9" l="1"/>
  <c r="C120" i="2"/>
  <c r="F52" i="10"/>
  <c r="F50" i="10"/>
  <c r="H22" i="10"/>
  <c r="H23" i="10"/>
  <c r="H25" i="10"/>
  <c r="D67" i="2"/>
  <c r="F51" i="10" l="1"/>
  <c r="E102" i="2" l="1"/>
  <c r="E62" i="18"/>
  <c r="H86" i="18" l="1"/>
  <c r="C142" i="2" l="1"/>
  <c r="C141" i="2"/>
  <c r="C41" i="19" s="1"/>
  <c r="C139" i="2"/>
  <c r="C138" i="2"/>
  <c r="C150" i="2"/>
  <c r="E150" i="2"/>
  <c r="C11" i="18" l="1"/>
  <c r="D19" i="11" s="1"/>
  <c r="C21" i="18"/>
  <c r="C28" i="18" s="1"/>
  <c r="C30" i="18" s="1"/>
  <c r="C137" i="2"/>
  <c r="H27" i="10"/>
  <c r="H26" i="10"/>
  <c r="D9" i="2"/>
  <c r="F8" i="9"/>
  <c r="G8" i="9"/>
  <c r="H8" i="9"/>
  <c r="I8" i="9"/>
  <c r="J8" i="9"/>
  <c r="F17" i="9"/>
  <c r="G17" i="9"/>
  <c r="H17" i="9"/>
  <c r="I17" i="9"/>
  <c r="J17" i="9"/>
  <c r="E6" i="3"/>
  <c r="F6" i="3" l="1"/>
  <c r="E18" i="11"/>
  <c r="E8" i="9"/>
  <c r="G6" i="3"/>
  <c r="E37" i="19" l="1"/>
  <c r="C131" i="2"/>
  <c r="E73" i="14" l="1"/>
  <c r="E112" i="2" l="1"/>
  <c r="E26" i="18" l="1"/>
  <c r="I52" i="10" l="1"/>
  <c r="I51" i="10"/>
  <c r="E32" i="2"/>
  <c r="I53" i="10" l="1"/>
  <c r="E48" i="18" l="1"/>
  <c r="E154" i="2" l="1"/>
  <c r="G41" i="2"/>
  <c r="F41" i="2"/>
  <c r="E152" i="2" l="1"/>
  <c r="E153" i="2"/>
  <c r="E151" i="2" l="1"/>
  <c r="E29" i="18" l="1"/>
  <c r="H35" i="10" l="1"/>
  <c r="C85" i="18"/>
  <c r="C86" i="18" s="1"/>
  <c r="D64" i="18"/>
  <c r="D44" i="18"/>
  <c r="D106" i="2" l="1"/>
  <c r="D57" i="2"/>
  <c r="D35" i="2" s="1"/>
  <c r="D93" i="2"/>
  <c r="D88" i="2" s="1"/>
  <c r="D112" i="2"/>
  <c r="D54" i="10" l="1"/>
  <c r="J33" i="10" l="1"/>
  <c r="E70" i="14" l="1"/>
  <c r="E76" i="14" s="1"/>
  <c r="J34" i="10" l="1"/>
  <c r="H30" i="10"/>
  <c r="G54" i="10" l="1"/>
  <c r="E50" i="18"/>
  <c r="M54" i="10" l="1"/>
  <c r="H55" i="10"/>
  <c r="E106" i="2"/>
  <c r="J35" i="2"/>
  <c r="H34" i="10"/>
  <c r="H33" i="10"/>
  <c r="H31" i="10"/>
  <c r="H29" i="10"/>
  <c r="J106" i="2" l="1"/>
  <c r="F106" i="2"/>
  <c r="J27" i="10"/>
  <c r="E137" i="2"/>
  <c r="J23" i="10"/>
  <c r="J31" i="10" s="1"/>
  <c r="H15" i="10"/>
  <c r="H16" i="10"/>
  <c r="H17" i="10"/>
  <c r="H18" i="10"/>
  <c r="H19" i="10"/>
  <c r="H14" i="10"/>
  <c r="E32" i="19"/>
  <c r="E27" i="19" s="1"/>
  <c r="D32" i="19"/>
  <c r="E132" i="2"/>
  <c r="E133" i="2"/>
  <c r="D133" i="2"/>
  <c r="D132" i="2"/>
  <c r="J112" i="2"/>
  <c r="J35" i="10" l="1"/>
  <c r="E81" i="18"/>
  <c r="N19" i="10"/>
  <c r="L19" i="10"/>
  <c r="D141" i="2"/>
  <c r="C154" i="2" l="1"/>
  <c r="D153" i="2"/>
  <c r="C153" i="2"/>
  <c r="D152" i="2"/>
  <c r="C152" i="2"/>
  <c r="C151" i="2"/>
  <c r="D50" i="18" l="1"/>
  <c r="D29" i="18" l="1"/>
  <c r="G79" i="18" l="1"/>
  <c r="F79" i="18"/>
  <c r="C124" i="2" l="1"/>
  <c r="C143" i="2"/>
  <c r="C144" i="2" s="1"/>
  <c r="C126" i="2"/>
  <c r="E17" i="19" l="1"/>
  <c r="E18" i="18" s="1"/>
  <c r="E15" i="18" s="1"/>
  <c r="F8" i="19" l="1"/>
  <c r="G8" i="19"/>
  <c r="F17" i="19"/>
  <c r="G17" i="19"/>
  <c r="J67" i="2" l="1"/>
  <c r="C127" i="2"/>
  <c r="C125" i="2"/>
  <c r="C130" i="2"/>
  <c r="C135" i="2" s="1"/>
  <c r="J93" i="2" l="1"/>
  <c r="F93" i="2"/>
  <c r="G83" i="18"/>
  <c r="F83" i="18"/>
  <c r="G64" i="18"/>
  <c r="F64" i="18"/>
  <c r="G42" i="18"/>
  <c r="F42" i="18"/>
  <c r="F23" i="18"/>
  <c r="G23" i="18"/>
  <c r="G141" i="2" l="1"/>
  <c r="F141" i="2"/>
  <c r="G140" i="2"/>
  <c r="F140" i="2"/>
  <c r="G117" i="2"/>
  <c r="F117" i="2"/>
  <c r="G93" i="2"/>
  <c r="G72" i="2"/>
  <c r="F72" i="2"/>
  <c r="G71" i="2"/>
  <c r="F71" i="2"/>
  <c r="G70" i="2"/>
  <c r="F70" i="2"/>
  <c r="G67" i="2"/>
  <c r="F67" i="2"/>
  <c r="G51" i="2"/>
  <c r="F51" i="2"/>
  <c r="G50" i="2"/>
  <c r="F50" i="2"/>
  <c r="G45" i="2"/>
  <c r="F45" i="2"/>
  <c r="G44" i="2"/>
  <c r="F44" i="2"/>
  <c r="G43" i="2"/>
  <c r="F43" i="2"/>
  <c r="G42" i="2"/>
  <c r="F42" i="2"/>
  <c r="G37" i="2"/>
  <c r="F37" i="2"/>
  <c r="F25" i="19"/>
  <c r="G25" i="19"/>
  <c r="F31" i="19"/>
  <c r="G31" i="19"/>
  <c r="F37" i="19"/>
  <c r="G37" i="19"/>
  <c r="F38" i="19"/>
  <c r="G38" i="19"/>
  <c r="F39" i="19"/>
  <c r="F40" i="19"/>
  <c r="G40" i="19"/>
  <c r="F12" i="18"/>
  <c r="N33" i="10"/>
  <c r="L33" i="10"/>
  <c r="N26" i="10"/>
  <c r="L26" i="10"/>
  <c r="N23" i="10"/>
  <c r="L23" i="10"/>
  <c r="N22" i="10"/>
  <c r="L22" i="10"/>
  <c r="N21" i="10"/>
  <c r="L21" i="10"/>
  <c r="L15" i="10"/>
  <c r="L16" i="10"/>
  <c r="L17" i="10"/>
  <c r="L18" i="10"/>
  <c r="N15" i="10"/>
  <c r="N16" i="10"/>
  <c r="N17" i="10"/>
  <c r="N18" i="10"/>
  <c r="N14" i="10"/>
  <c r="L14" i="10"/>
  <c r="N50" i="10"/>
  <c r="N53" i="10"/>
  <c r="N52" i="10"/>
  <c r="N51" i="10"/>
  <c r="L30" i="10" l="1"/>
  <c r="N30" i="10"/>
  <c r="N34" i="10" l="1"/>
  <c r="L34" i="10"/>
  <c r="L25" i="10" l="1"/>
  <c r="N25" i="10"/>
  <c r="L27" i="10"/>
  <c r="N27" i="10"/>
  <c r="N35" i="10" l="1"/>
  <c r="L35" i="10"/>
  <c r="L31" i="10"/>
  <c r="N31" i="10"/>
  <c r="N29" i="10"/>
  <c r="L29" i="10"/>
  <c r="G112" i="2"/>
  <c r="F112" i="2"/>
  <c r="F22" i="18" l="1"/>
  <c r="G22" i="18"/>
  <c r="F26" i="18"/>
  <c r="G26" i="18"/>
  <c r="E49" i="14"/>
  <c r="F15" i="2"/>
  <c r="G15" i="2"/>
  <c r="F16" i="2"/>
  <c r="G16" i="2"/>
  <c r="F9" i="2"/>
  <c r="C65" i="14"/>
  <c r="E15" i="11"/>
  <c r="M51" i="10"/>
  <c r="M52" i="10"/>
  <c r="M53" i="10"/>
  <c r="M50" i="10"/>
  <c r="J51" i="10"/>
  <c r="K51" i="10"/>
  <c r="J52" i="10"/>
  <c r="K52" i="10"/>
  <c r="J53" i="10"/>
  <c r="K53" i="10"/>
  <c r="K50" i="10"/>
  <c r="J50" i="10"/>
  <c r="O53" i="10"/>
  <c r="L52" i="10"/>
  <c r="O51" i="10"/>
  <c r="L50" i="10"/>
  <c r="F68" i="14"/>
  <c r="G68" i="14"/>
  <c r="F71" i="14"/>
  <c r="G71" i="14"/>
  <c r="F72" i="14"/>
  <c r="G72" i="14"/>
  <c r="F74" i="14"/>
  <c r="G74" i="14"/>
  <c r="F75" i="14"/>
  <c r="G75" i="14"/>
  <c r="F58" i="14"/>
  <c r="G58" i="14"/>
  <c r="D54" i="14"/>
  <c r="E54" i="14"/>
  <c r="C54" i="14"/>
  <c r="D48" i="14"/>
  <c r="E48" i="14"/>
  <c r="D49" i="14"/>
  <c r="D51" i="14"/>
  <c r="E51" i="14"/>
  <c r="C51" i="14"/>
  <c r="C49" i="14"/>
  <c r="C48" i="14"/>
  <c r="E31" i="14"/>
  <c r="D35" i="14"/>
  <c r="E35" i="14"/>
  <c r="E41" i="14"/>
  <c r="D43" i="14"/>
  <c r="E43" i="14"/>
  <c r="C43" i="14"/>
  <c r="C41" i="14"/>
  <c r="C35" i="14"/>
  <c r="C31" i="14"/>
  <c r="D61" i="14"/>
  <c r="D56" i="14"/>
  <c r="C56" i="14"/>
  <c r="C47" i="14"/>
  <c r="C57" i="14"/>
  <c r="E50" i="14"/>
  <c r="E131" i="2"/>
  <c r="C36" i="14"/>
  <c r="C34" i="14"/>
  <c r="E127" i="2"/>
  <c r="E126" i="2"/>
  <c r="D125" i="2"/>
  <c r="D40" i="14" s="1"/>
  <c r="E125" i="2"/>
  <c r="C40" i="14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31" i="14"/>
  <c r="E124" i="2" l="1"/>
  <c r="E31" i="2"/>
  <c r="L11" i="2"/>
  <c r="E100" i="2"/>
  <c r="J54" i="10"/>
  <c r="E61" i="14"/>
  <c r="F61" i="14" s="1"/>
  <c r="E143" i="2"/>
  <c r="E144" i="2" s="1"/>
  <c r="F73" i="14"/>
  <c r="E17" i="11"/>
  <c r="G73" i="14"/>
  <c r="E56" i="14"/>
  <c r="G56" i="14" s="1"/>
  <c r="G50" i="18"/>
  <c r="F50" i="18"/>
  <c r="E34" i="14"/>
  <c r="C32" i="14"/>
  <c r="J31" i="2"/>
  <c r="G125" i="2"/>
  <c r="F125" i="2"/>
  <c r="G57" i="2"/>
  <c r="F57" i="2"/>
  <c r="E40" i="14"/>
  <c r="F40" i="14" s="1"/>
  <c r="D34" i="14"/>
  <c r="E36" i="14"/>
  <c r="G88" i="2"/>
  <c r="F88" i="2"/>
  <c r="F29" i="18"/>
  <c r="O50" i="10"/>
  <c r="L51" i="10"/>
  <c r="E32" i="14"/>
  <c r="G54" i="14"/>
  <c r="O52" i="10"/>
  <c r="F49" i="14"/>
  <c r="G51" i="14"/>
  <c r="F48" i="14"/>
  <c r="F35" i="14"/>
  <c r="C33" i="14"/>
  <c r="D7" i="11" s="1"/>
  <c r="G31" i="14"/>
  <c r="F43" i="14"/>
  <c r="G43" i="14"/>
  <c r="G35" i="14"/>
  <c r="C52" i="14"/>
  <c r="C50" i="14"/>
  <c r="C61" i="14"/>
  <c r="G49" i="14"/>
  <c r="F51" i="14"/>
  <c r="F31" i="14"/>
  <c r="G48" i="14"/>
  <c r="F54" i="14"/>
  <c r="L53" i="10"/>
  <c r="G9" i="2"/>
  <c r="D17" i="11" l="1"/>
  <c r="D18" i="11"/>
  <c r="G61" i="14"/>
  <c r="E116" i="2"/>
  <c r="E9" i="18" s="1"/>
  <c r="E21" i="18" s="1"/>
  <c r="E33" i="14"/>
  <c r="E7" i="11" s="1"/>
  <c r="F56" i="14"/>
  <c r="C37" i="14"/>
  <c r="C38" i="14"/>
  <c r="G40" i="14"/>
  <c r="F34" i="14"/>
  <c r="E57" i="14"/>
  <c r="G34" i="14"/>
  <c r="G35" i="2"/>
  <c r="E128" i="2"/>
  <c r="F35" i="2"/>
  <c r="D13" i="11" l="1"/>
  <c r="D8" i="11"/>
  <c r="E130" i="2"/>
  <c r="E135" i="2" s="1"/>
  <c r="E38" i="14" s="1"/>
  <c r="E8" i="11" s="1"/>
  <c r="E37" i="14"/>
  <c r="C42" i="14"/>
  <c r="C39" i="14"/>
  <c r="E119" i="2" l="1"/>
  <c r="J116" i="2"/>
  <c r="E28" i="18"/>
  <c r="C44" i="14"/>
  <c r="E42" i="14"/>
  <c r="E39" i="14"/>
  <c r="E13" i="11"/>
  <c r="C45" i="14" l="1"/>
  <c r="D9" i="11"/>
  <c r="C63" i="14" s="1"/>
  <c r="D10" i="11"/>
  <c r="C64" i="14" s="1"/>
  <c r="E120" i="2"/>
  <c r="E44" i="14"/>
  <c r="E11" i="11" s="1"/>
  <c r="C55" i="14"/>
  <c r="J119" i="2"/>
  <c r="E30" i="18"/>
  <c r="E85" i="18" s="1"/>
  <c r="R85" i="18" s="1"/>
  <c r="I86" i="18" l="1"/>
  <c r="E45" i="14"/>
  <c r="C59" i="14"/>
  <c r="E55" i="14"/>
  <c r="E19" i="19" l="1"/>
  <c r="E21" i="19"/>
  <c r="E41" i="19" s="1"/>
  <c r="E52" i="14" s="1"/>
  <c r="E86" i="18"/>
  <c r="R86" i="18" s="1"/>
  <c r="E59" i="14"/>
  <c r="G36" i="19" l="1"/>
  <c r="F36" i="19"/>
  <c r="G27" i="19" l="1"/>
  <c r="F35" i="19"/>
  <c r="G35" i="19"/>
  <c r="F27" i="19" l="1"/>
  <c r="D50" i="14"/>
  <c r="G50" i="14" s="1"/>
  <c r="F50" i="14" l="1"/>
  <c r="E47" i="14"/>
  <c r="E10" i="11"/>
  <c r="E64" i="14" s="1"/>
  <c r="E14" i="11"/>
  <c r="E65" i="14" s="1"/>
  <c r="G67" i="14"/>
  <c r="E9" i="11"/>
  <c r="E63" i="14" s="1"/>
  <c r="F70" i="14"/>
  <c r="F67" i="14"/>
  <c r="G70" i="14"/>
  <c r="G76" i="14" l="1"/>
  <c r="F76" i="14"/>
  <c r="D65" i="14"/>
  <c r="D127" i="2" l="1"/>
  <c r="G127" i="2" s="1"/>
  <c r="D124" i="2"/>
  <c r="F124" i="2" s="1"/>
  <c r="F32" i="2"/>
  <c r="D36" i="14"/>
  <c r="G36" i="14" s="1"/>
  <c r="D41" i="14"/>
  <c r="G41" i="14" s="1"/>
  <c r="D126" i="2"/>
  <c r="F126" i="2" s="1"/>
  <c r="G106" i="2"/>
  <c r="F49" i="2"/>
  <c r="G49" i="2"/>
  <c r="F55" i="2"/>
  <c r="G55" i="2"/>
  <c r="F69" i="2"/>
  <c r="G69" i="2"/>
  <c r="F46" i="2"/>
  <c r="G68" i="2"/>
  <c r="F68" i="2"/>
  <c r="F73" i="2"/>
  <c r="G73" i="2"/>
  <c r="F41" i="14" l="1"/>
  <c r="G15" i="18"/>
  <c r="F15" i="18"/>
  <c r="F36" i="14"/>
  <c r="G126" i="2"/>
  <c r="G124" i="2"/>
  <c r="F127" i="2"/>
  <c r="D47" i="14" l="1"/>
  <c r="G47" i="14" s="1"/>
  <c r="F47" i="14"/>
  <c r="F9" i="19"/>
  <c r="G9" i="19"/>
  <c r="F86" i="18" l="1"/>
  <c r="G86" i="18"/>
  <c r="D142" i="2" l="1"/>
  <c r="D131" i="2"/>
  <c r="G131" i="2" s="1"/>
  <c r="F131" i="2"/>
  <c r="D139" i="2"/>
  <c r="G139" i="2" s="1"/>
  <c r="F139" i="2"/>
  <c r="D151" i="2"/>
  <c r="F13" i="2"/>
  <c r="G13" i="2"/>
  <c r="D154" i="2"/>
  <c r="F18" i="2"/>
  <c r="G18" i="2"/>
  <c r="F17" i="2"/>
  <c r="G17" i="2"/>
  <c r="F21" i="2"/>
  <c r="F24" i="2"/>
  <c r="G19" i="2"/>
  <c r="F20" i="2"/>
  <c r="F19" i="2"/>
  <c r="F14" i="2"/>
  <c r="G14" i="2"/>
  <c r="F22" i="2"/>
  <c r="F23" i="2"/>
  <c r="F25" i="2"/>
  <c r="F26" i="2"/>
  <c r="F29" i="2"/>
  <c r="F28" i="2"/>
  <c r="F27" i="2"/>
  <c r="D128" i="2"/>
  <c r="G128" i="2" s="1"/>
  <c r="F128" i="2"/>
  <c r="D32" i="14"/>
  <c r="G32" i="14" s="1"/>
  <c r="F32" i="14"/>
  <c r="D31" i="2"/>
  <c r="G31" i="2"/>
  <c r="D138" i="2"/>
  <c r="G138" i="2"/>
  <c r="G11" i="2"/>
  <c r="F11" i="2"/>
  <c r="G12" i="2"/>
  <c r="F12" i="2"/>
  <c r="D150" i="2"/>
  <c r="D137" i="2" l="1"/>
  <c r="F138" i="2"/>
  <c r="D33" i="14"/>
  <c r="D100" i="2"/>
  <c r="F31" i="2"/>
  <c r="D11" i="18"/>
  <c r="F142" i="2"/>
  <c r="G142" i="2"/>
  <c r="G11" i="18" l="1"/>
  <c r="F11" i="18"/>
  <c r="D37" i="14"/>
  <c r="D130" i="2"/>
  <c r="D116" i="2"/>
  <c r="F100" i="2"/>
  <c r="G100" i="2"/>
  <c r="F33" i="14"/>
  <c r="G33" i="14"/>
  <c r="G137" i="2"/>
  <c r="F137" i="2"/>
  <c r="D143" i="2"/>
  <c r="G143" i="2" l="1"/>
  <c r="F143" i="2"/>
  <c r="D144" i="2"/>
  <c r="D42" i="14"/>
  <c r="D9" i="18"/>
  <c r="D119" i="2"/>
  <c r="F116" i="2"/>
  <c r="G116" i="2"/>
  <c r="D135" i="2"/>
  <c r="G130" i="2"/>
  <c r="F130" i="2"/>
  <c r="F37" i="14"/>
  <c r="G37" i="14"/>
  <c r="D38" i="14" l="1"/>
  <c r="F135" i="2"/>
  <c r="G135" i="2"/>
  <c r="D120" i="2"/>
  <c r="D19" i="19"/>
  <c r="D44" i="14"/>
  <c r="G119" i="2"/>
  <c r="F119" i="2"/>
  <c r="D21" i="18"/>
  <c r="F9" i="18"/>
  <c r="G9" i="18"/>
  <c r="G42" i="14"/>
  <c r="F42" i="14"/>
  <c r="G144" i="2"/>
  <c r="F144" i="2"/>
  <c r="D28" i="18" l="1"/>
  <c r="G21" i="18"/>
  <c r="F21" i="18"/>
  <c r="D45" i="14"/>
  <c r="D64" i="14"/>
  <c r="D63" i="14"/>
  <c r="F44" i="14"/>
  <c r="G44" i="14"/>
  <c r="F19" i="19"/>
  <c r="G19" i="19"/>
  <c r="D39" i="14"/>
  <c r="F38" i="14"/>
  <c r="G38" i="14"/>
  <c r="G39" i="14" l="1"/>
  <c r="F39" i="14"/>
  <c r="D22" i="19"/>
  <c r="G10" i="19"/>
  <c r="F10" i="19"/>
  <c r="F45" i="14"/>
  <c r="G45" i="14"/>
  <c r="D30" i="18"/>
  <c r="F28" i="18"/>
  <c r="G28" i="18"/>
  <c r="D55" i="14" l="1"/>
  <c r="F30" i="18"/>
  <c r="G30" i="18"/>
  <c r="D23" i="19"/>
  <c r="D21" i="19" s="1"/>
  <c r="G11" i="19"/>
  <c r="F11" i="19"/>
  <c r="D69" i="18"/>
  <c r="F22" i="19"/>
  <c r="G22" i="19"/>
  <c r="F21" i="19" l="1"/>
  <c r="G21" i="19"/>
  <c r="D41" i="19"/>
  <c r="G69" i="18"/>
  <c r="F69" i="18"/>
  <c r="D70" i="18"/>
  <c r="D81" i="18" s="1"/>
  <c r="F23" i="19"/>
  <c r="G23" i="19"/>
  <c r="G55" i="14"/>
  <c r="F55" i="14"/>
  <c r="D57" i="14" l="1"/>
  <c r="D85" i="18"/>
  <c r="F41" i="19"/>
  <c r="D52" i="14"/>
  <c r="G41" i="19"/>
  <c r="G57" i="14"/>
  <c r="F57" i="14"/>
  <c r="G52" i="14" l="1"/>
  <c r="F52" i="14"/>
  <c r="D59" i="14"/>
  <c r="F85" i="18"/>
  <c r="G85" i="18"/>
  <c r="D69" i="14" l="1"/>
  <c r="G59" i="14"/>
  <c r="F59" i="14"/>
  <c r="G69" i="14" l="1"/>
  <c r="F6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7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 балансу заполняется</t>
        </r>
      </text>
    </comment>
  </commentList>
</comments>
</file>

<file path=xl/sharedStrings.xml><?xml version="1.0" encoding="utf-8"?>
<sst xmlns="http://schemas.openxmlformats.org/spreadsheetml/2006/main" count="759" uniqueCount="580">
  <si>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</si>
  <si>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</si>
  <si>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</si>
  <si>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</si>
  <si>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</si>
  <si>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</si>
  <si>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</si>
  <si>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</si>
  <si>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</si>
  <si>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</si>
  <si>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</si>
  <si>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</si>
  <si>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</si>
  <si>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</si>
  <si>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</si>
  <si>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</si>
  <si>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</si>
  <si>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</si>
  <si>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</si>
  <si>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</si>
  <si>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</si>
  <si>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</si>
  <si>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</si>
  <si>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</si>
  <si>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</si>
  <si>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</si>
  <si>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</si>
  <si>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</si>
  <si>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</si>
  <si>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</si>
  <si>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</si>
  <si>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</si>
  <si>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</si>
  <si>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</si>
  <si>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</si>
  <si>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</si>
  <si>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</si>
  <si>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</si>
  <si>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</si>
  <si>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</si>
  <si>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</si>
  <si>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</si>
  <si>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</si>
  <si>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</si>
  <si>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</si>
  <si>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</si>
  <si>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</si>
  <si>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</si>
  <si>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</si>
  <si>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</si>
  <si>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</si>
  <si>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</si>
  <si>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</si>
  <si>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</si>
  <si>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</si>
  <si>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</si>
  <si>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</si>
  <si>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</si>
  <si>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</si>
  <si>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</si>
  <si>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</si>
  <si>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</si>
  <si>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</si>
  <si>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</si>
  <si>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</si>
  <si>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</si>
  <si>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</si>
  <si>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</si>
  <si>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</si>
  <si>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</si>
  <si>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</si>
  <si>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</si>
  <si>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</si>
  <si>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</si>
  <si>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</si>
  <si>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</si>
  <si>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</si>
  <si>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</si>
  <si>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</si>
  <si>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</si>
  <si>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</si>
  <si>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</si>
  <si>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</si>
  <si>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</si>
  <si>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</si>
  <si>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</si>
  <si>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</si>
  <si>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</si>
  <si>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</si>
  <si>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</si>
  <si>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</si>
  <si>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</si>
  <si>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</si>
  <si>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</si>
  <si>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</si>
  <si>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</si>
  <si>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</si>
  <si>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</si>
  <si>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</si>
  <si>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</si>
  <si>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</si>
  <si>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</si>
  <si>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</si>
  <si>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</si>
  <si>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</si>
  <si>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</si>
  <si>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</si>
  <si>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</si>
  <si>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</si>
  <si>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</si>
  <si>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</si>
  <si>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</si>
  <si>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</si>
  <si>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</si>
  <si>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</si>
  <si>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</si>
  <si>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</si>
  <si>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</si>
  <si>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</si>
  <si>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</si>
  <si>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</si>
  <si>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</si>
  <si>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</si>
  <si>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</si>
  <si>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</si>
  <si>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</si>
  <si>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</si>
  <si>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</si>
  <si>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</si>
  <si>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</si>
  <si>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</si>
  <si>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</si>
  <si>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</si>
  <si>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</si>
  <si>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</si>
  <si>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</si>
  <si>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</si>
  <si>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</si>
  <si>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</si>
  <si>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</si>
  <si>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</si>
  <si>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</si>
  <si>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</si>
  <si>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</si>
  <si>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</si>
  <si>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</si>
  <si>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</si>
  <si>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</si>
  <si>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</si>
  <si>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</si>
  <si>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</si>
  <si>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</si>
  <si>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</si>
  <si>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</si>
  <si>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</si>
  <si>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</si>
  <si>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</si>
  <si>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</si>
  <si>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</si>
  <si>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</si>
  <si>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</si>
  <si>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</si>
  <si>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</si>
  <si>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</si>
  <si>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</si>
  <si>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</si>
  <si>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</si>
  <si>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</si>
  <si>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</si>
  <si>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</si>
  <si>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</si>
  <si>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</si>
  <si>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</si>
  <si>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</si>
  <si>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</si>
  <si>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</si>
  <si>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</si>
  <si>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</si>
  <si>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</si>
  <si>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</si>
  <si>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</si>
  <si>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</si>
  <si>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</si>
  <si>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</si>
  <si>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</si>
  <si>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</si>
  <si>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</si>
  <si>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</si>
  <si>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</si>
  <si>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</si>
  <si>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</si>
  <si>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</si>
  <si>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</si>
  <si>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</si>
  <si>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</si>
  <si>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</si>
  <si>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</si>
  <si>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</si>
  <si>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</si>
  <si>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</si>
  <si>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</si>
  <si>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</si>
  <si>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</si>
  <si>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</si>
  <si>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</si>
  <si>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</si>
  <si>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</si>
  <si>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</si>
  <si>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</si>
  <si>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</si>
  <si>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</si>
  <si>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</si>
  <si>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</si>
  <si>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</si>
  <si>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</si>
  <si>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</si>
  <si>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</si>
  <si>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</si>
  <si>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</si>
  <si>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</si>
  <si>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</si>
  <si>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</si>
  <si>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</si>
  <si>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</si>
  <si>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</si>
  <si>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</si>
  <si>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</si>
  <si>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</si>
  <si>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</si>
  <si>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</si>
  <si>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</si>
  <si>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</si>
  <si>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</si>
  <si>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</si>
  <si>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</si>
  <si>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</si>
  <si>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</si>
  <si>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</si>
  <si>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</si>
  <si>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</si>
  <si>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</si>
  <si>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</si>
  <si>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</si>
  <si>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</si>
  <si>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</si>
  <si>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</si>
  <si>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</si>
  <si>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</si>
  <si>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</si>
  <si>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</si>
  <si>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</si>
  <si>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</si>
  <si>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</si>
  <si>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</si>
  <si>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</si>
  <si>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</si>
  <si>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</si>
  <si>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</si>
  <si>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</si>
  <si>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</si>
  <si>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</si>
  <si>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</si>
  <si>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</si>
  <si>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</si>
  <si>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</si>
  <si>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</si>
  <si>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</si>
  <si>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</si>
  <si>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</si>
  <si>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</si>
  <si>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</si>
  <si>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</si>
  <si>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</si>
  <si>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</si>
  <si>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</si>
  <si>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</si>
  <si>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</si>
  <si>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</si>
  <si>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</si>
  <si>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</si>
  <si>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</si>
  <si>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</si>
  <si>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</si>
  <si>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</si>
  <si>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</si>
  <si>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</si>
  <si>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</si>
  <si>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</si>
  <si>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</si>
  <si>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</si>
  <si>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</si>
  <si>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</si>
  <si>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</si>
  <si>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</si>
  <si>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</si>
  <si>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</si>
  <si>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</si>
  <si>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</si>
  <si>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</si>
  <si>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</si>
  <si>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</si>
  <si>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</si>
  <si>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</si>
  <si>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</si>
  <si>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</si>
  <si>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</si>
  <si>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</si>
  <si>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</si>
  <si>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</si>
  <si>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</si>
  <si>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</si>
  <si>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</si>
  <si>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</si>
  <si>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</si>
  <si>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</si>
  <si>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</si>
  <si>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Примітки</t>
  </si>
  <si>
    <t>Плановий рік, усього</t>
  </si>
  <si>
    <t>План звітного періоду</t>
  </si>
  <si>
    <t>Факт звітного періоду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</si>
  <si>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</si>
  <si>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</si>
  <si>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</si>
  <si>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</si>
  <si>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</si>
  <si>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</si>
  <si>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</si>
  <si>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</si>
  <si>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</si>
  <si>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</si>
  <si>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</si>
  <si>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</si>
  <si>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</si>
  <si>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</si>
  <si>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</si>
  <si>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</si>
  <si>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</si>
  <si>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</si>
  <si>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</si>
  <si>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</si>
  <si>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</si>
  <si>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</si>
  <si>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</si>
  <si>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</si>
  <si>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</si>
  <si>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</si>
  <si>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</si>
  <si>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</si>
  <si>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</si>
  <si>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</si>
  <si>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Фонд оплати праці, тис. гривень,  у тому числі: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</si>
  <si>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</si>
  <si>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</si>
  <si>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</si>
  <si>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</si>
  <si>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</si>
  <si>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</si>
  <si>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</si>
  <si>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</si>
  <si>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</si>
  <si>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</si>
  <si>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</si>
  <si>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</si>
  <si>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</si>
  <si>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</si>
  <si>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</si>
  <si>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</si>
  <si>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</si>
  <si>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 xml:space="preserve">Комунальне підприємство </t>
  </si>
  <si>
    <t>м.Дніпро</t>
  </si>
  <si>
    <t>міські районні у містах ради та їх виконавчі комітети</t>
  </si>
  <si>
    <t>організування поховань і надання суміжних послуг</t>
  </si>
  <si>
    <t xml:space="preserve">послуги підприємств, що займаються невиробничими видами побут. обслугов.населення </t>
  </si>
  <si>
    <t>Одиниця виміру, тис. гривень без десяткових знаков</t>
  </si>
  <si>
    <t>комунальна</t>
  </si>
  <si>
    <t>пр.О Поля 18 прим.119 м.Дніпро</t>
  </si>
  <si>
    <t>96.03</t>
  </si>
  <si>
    <t>1018/1</t>
  </si>
  <si>
    <t>1018/2</t>
  </si>
  <si>
    <t>1018/3</t>
  </si>
  <si>
    <t>1018/4</t>
  </si>
  <si>
    <t>1018/5</t>
  </si>
  <si>
    <t>1018/6</t>
  </si>
  <si>
    <t>оренда приміщення</t>
  </si>
  <si>
    <t>запчастини</t>
  </si>
  <si>
    <t>резерв відпусток</t>
  </si>
  <si>
    <t>1018/7</t>
  </si>
  <si>
    <t>витрати на придбання ритуальної атрибутики</t>
  </si>
  <si>
    <t>1018/8</t>
  </si>
  <si>
    <t>1062/1</t>
  </si>
  <si>
    <t>1062/2</t>
  </si>
  <si>
    <t>касове обслуговування</t>
  </si>
  <si>
    <t>1062/3</t>
  </si>
  <si>
    <t>канцтовари, електротовари</t>
  </si>
  <si>
    <t>1062/4</t>
  </si>
  <si>
    <t>охорона приміщення</t>
  </si>
  <si>
    <t>1062/5</t>
  </si>
  <si>
    <t>1062/6</t>
  </si>
  <si>
    <t>передплата за періодичні видання</t>
  </si>
  <si>
    <t>1062/7</t>
  </si>
  <si>
    <t>1076/1</t>
  </si>
  <si>
    <t>1076/2</t>
  </si>
  <si>
    <t>оренда</t>
  </si>
  <si>
    <t>1076/3</t>
  </si>
  <si>
    <t>1076/4</t>
  </si>
  <si>
    <t>1076/5</t>
  </si>
  <si>
    <t>експлуатаційні витрати, в тому числі</t>
  </si>
  <si>
    <t>1076/6</t>
  </si>
  <si>
    <t>послуги зв"язку</t>
  </si>
  <si>
    <t>виплати по лікарн.листках, мат допомога</t>
  </si>
  <si>
    <t>1085/1</t>
  </si>
  <si>
    <t>1085/2</t>
  </si>
  <si>
    <t>1085/3</t>
  </si>
  <si>
    <t>1085/4</t>
  </si>
  <si>
    <t>штрафи, пені</t>
  </si>
  <si>
    <t>1085/5</t>
  </si>
  <si>
    <t>інші витрати (адм збір, інф землевпоряд)</t>
  </si>
  <si>
    <t>1085/6</t>
  </si>
  <si>
    <t>1120/1</t>
  </si>
  <si>
    <t>1150/1</t>
  </si>
  <si>
    <t>1160/1</t>
  </si>
  <si>
    <t>1160/2</t>
  </si>
  <si>
    <t>Профвнески</t>
  </si>
  <si>
    <t>податок на землю</t>
  </si>
  <si>
    <t>2416/1</t>
  </si>
  <si>
    <t>2147/1</t>
  </si>
  <si>
    <t>військовий збір</t>
  </si>
  <si>
    <t>3030/1</t>
  </si>
  <si>
    <t>3030/2</t>
  </si>
  <si>
    <t>3030/3</t>
  </si>
  <si>
    <t>3050/1</t>
  </si>
  <si>
    <t>коригування на динаміку поточної кредиторської заборгованості, доходів майбутніх періодів, інших поточних зобов'язань</t>
  </si>
  <si>
    <t>3060/1</t>
  </si>
  <si>
    <t xml:space="preserve">придбання (виготовлення) інших необоротних матеріальних активів </t>
  </si>
  <si>
    <t>3310/1</t>
  </si>
  <si>
    <t>3480/1</t>
  </si>
  <si>
    <t>Послуги з утримання міських кладовищ</t>
  </si>
  <si>
    <t>Послуги щодо поховання одиноких, безрідних громадян , осіб</t>
  </si>
  <si>
    <t>1030/1</t>
  </si>
  <si>
    <t>Розрахунки по нерухомості</t>
  </si>
  <si>
    <t>2147/2</t>
  </si>
  <si>
    <t>1150/2</t>
  </si>
  <si>
    <t>Сума доходу в частин ПДВ (за рахунок цільового фінансування)</t>
  </si>
  <si>
    <t>2060/1</t>
  </si>
  <si>
    <t>У звязку з ліквідацією підприємства, відсутністю договорів на утримання кладовищ та поховання безрідних</t>
  </si>
  <si>
    <t>комунальні витрати</t>
  </si>
  <si>
    <t>1062/8</t>
  </si>
  <si>
    <t>3470/1</t>
  </si>
  <si>
    <t>1150/3</t>
  </si>
  <si>
    <t>+</t>
  </si>
  <si>
    <t>Фінансові витрати (проценти банку)</t>
  </si>
  <si>
    <t>Амортизація від безоплатно отриманих ОЗ</t>
  </si>
  <si>
    <t>сч.443</t>
  </si>
  <si>
    <t>кт</t>
  </si>
  <si>
    <t>Комунальне підприємство "Міьска ритуальна служба" Дніпровської міської ради</t>
  </si>
  <si>
    <r>
      <t xml:space="preserve">Орган державного управління  </t>
    </r>
    <r>
      <rPr>
        <b/>
        <i/>
        <sz val="12"/>
        <rFont val="Times New Roman"/>
        <family val="1"/>
        <charset val="204"/>
      </rPr>
      <t xml:space="preserve"> </t>
    </r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</si>
  <si>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</si>
  <si>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>Організація поховань і  надання суміжних послуг</t>
  </si>
  <si>
    <t>1000/1</t>
  </si>
  <si>
    <t>заходи з охорони праці татехніки безпеки</t>
  </si>
  <si>
    <t>інформаційно-технічне обслуговування</t>
  </si>
  <si>
    <t>прямі виробничі послуги на страхування</t>
  </si>
  <si>
    <t>Дохід від амортизації</t>
  </si>
  <si>
    <t>внесок 15% чистого прибутку до загального  фонду міського 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</si>
  <si>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</si>
  <si>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1062/9</t>
  </si>
  <si>
    <t>Податок на землю</t>
  </si>
  <si>
    <t>добровiльне фiнансування заходiв з благоустрою кладовищ</t>
  </si>
  <si>
    <t>1150/4</t>
  </si>
  <si>
    <t>відсотки отримані по рахунку</t>
  </si>
  <si>
    <t>Витрати на оплату праці, тис. гривень, у тому числі:</t>
  </si>
  <si>
    <t>КП "Міська ритуальна служба"</t>
  </si>
  <si>
    <t>исправила</t>
  </si>
  <si>
    <t>надходження до дадаткового капіталу право використання земельною ділянкою</t>
  </si>
  <si>
    <t>3010/1</t>
  </si>
  <si>
    <t>Чистий рух коштів від фінансової діяльності </t>
  </si>
  <si>
    <t>Грошові кошти</t>
  </si>
  <si>
    <t>3280/1</t>
  </si>
  <si>
    <t xml:space="preserve">Капітальне будівництво (розшифровка об'єктів табл.9 Капітальне будівництво) </t>
  </si>
  <si>
    <t>3480/2</t>
  </si>
  <si>
    <t>надходження до дадаткового капіталу амортизація від безоплатно отриманих основних фондів</t>
  </si>
  <si>
    <t>3030/5</t>
  </si>
  <si>
    <t>Придбання основних фондів (створення) (розшифровка а табл.4)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</si>
  <si>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</t>
  </si>
  <si>
    <t>ЄСВ на лікарняні</t>
  </si>
  <si>
    <t>ТО РРО</t>
  </si>
  <si>
    <t>внески до статутного фонду  на заробітну плату, придбання матеріалів, та інш.</t>
  </si>
  <si>
    <t>формула</t>
  </si>
  <si>
    <t>строка 1180 по фін.рез. 0 и в балансе 0</t>
  </si>
  <si>
    <t>Усього на рік</t>
  </si>
  <si>
    <t>у тому числі за кварталами</t>
  </si>
  <si>
    <t>І квартал</t>
  </si>
  <si>
    <t>півріччя</t>
  </si>
  <si>
    <t>9 місяців</t>
  </si>
  <si>
    <t>рік</t>
  </si>
  <si>
    <t xml:space="preserve">Найменування об’єктів </t>
  </si>
  <si>
    <t>Рік початку                і закінчення будівництва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</si>
  <si>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</si>
  <si>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</si>
  <si>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</si>
  <si>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інші джерела (кошти міського бюджету)</t>
  </si>
  <si>
    <t>1018/9</t>
  </si>
  <si>
    <t>1018/10</t>
  </si>
  <si>
    <t>реєстрація, переєдстрація автомобілів</t>
  </si>
  <si>
    <t>3030/4</t>
  </si>
  <si>
    <t>Ритуальні послуги</t>
  </si>
  <si>
    <t>сервісне обслуговування, ремонт оргтехніки, кліматичної техніки, та інш.</t>
  </si>
  <si>
    <t>списання простроченої кредиторської заборгованості</t>
  </si>
  <si>
    <t>Баланс</t>
  </si>
  <si>
    <t>1520+1660</t>
  </si>
  <si>
    <t xml:space="preserve"> -(1195-1165)</t>
  </si>
  <si>
    <t>1695-1660</t>
  </si>
  <si>
    <t>1400+1401</t>
  </si>
  <si>
    <t>Витрати на пожежну безпеку</t>
  </si>
  <si>
    <t>експлуатаційні витрати</t>
  </si>
  <si>
    <t>Валерій Тєтякін</t>
  </si>
  <si>
    <r>
      <t xml:space="preserve">Керівник 
</t>
    </r>
    <r>
      <rPr>
        <sz val="12"/>
        <rFont val="Times New Roman"/>
        <family val="1"/>
        <charset val="204"/>
      </rPr>
      <t>Директор КП "Міська ритуальна служба"</t>
    </r>
  </si>
  <si>
    <t>Директор</t>
  </si>
  <si>
    <t>цільове фінансування на виплату заробітної плати, придбання ритуальної атрибутики</t>
  </si>
  <si>
    <t>бензопила</t>
  </si>
  <si>
    <t>зарядно-пусковий прилад</t>
  </si>
  <si>
    <t>зварювальний напівавтомат</t>
  </si>
  <si>
    <t>свердлильний верстат</t>
  </si>
  <si>
    <t>точильний верстат</t>
  </si>
  <si>
    <t>прес гідравлічний</t>
  </si>
  <si>
    <t>відхилення +/-</t>
  </si>
  <si>
    <t>виконання %</t>
  </si>
  <si>
    <t xml:space="preserve">Реалізація ритуальної атрибутики </t>
  </si>
  <si>
    <t>1018/11</t>
  </si>
  <si>
    <t>копання могил</t>
  </si>
  <si>
    <t>придбання послуг стороних організацій по утриманню кладовищ: вивіз/утилізація сміття, біотуалети, вода, комунальні послуги</t>
  </si>
  <si>
    <t>сч.23</t>
  </si>
  <si>
    <t>водопостачання, дератизація, та інш</t>
  </si>
  <si>
    <t>Витрати на канцтовари, матеріали</t>
  </si>
  <si>
    <t>1076/7</t>
  </si>
  <si>
    <t>ритуал.атрибутика для поховання загиблих військових</t>
  </si>
  <si>
    <t>бетонні комірки</t>
  </si>
  <si>
    <t>оргтехніка</t>
  </si>
  <si>
    <t>лічильник води, мишка</t>
  </si>
  <si>
    <t>запаси</t>
  </si>
  <si>
    <t>інші оборотні активи</t>
  </si>
  <si>
    <t>3050/2</t>
  </si>
  <si>
    <t>3050/3</t>
  </si>
  <si>
    <t>Рік 2023</t>
  </si>
  <si>
    <t>план 2022</t>
  </si>
  <si>
    <t>факт 2022</t>
  </si>
  <si>
    <t>цільове фінансування  у розмірі амортизації</t>
  </si>
  <si>
    <t>безоплатно отримані основні засоби</t>
  </si>
  <si>
    <t>коригування суми амортизації</t>
  </si>
  <si>
    <t>коригування суми нерозподіленого прибутку/непокритого збитку</t>
  </si>
  <si>
    <t>списані основні засоби</t>
  </si>
  <si>
    <t xml:space="preserve"> -(1125+1130+1135+1140+1145+1155)</t>
  </si>
  <si>
    <t>дебіторська заборгованість</t>
  </si>
  <si>
    <t>зменьшення додаткового капіталу за рахунок амортизації</t>
  </si>
  <si>
    <t>3570/1</t>
  </si>
  <si>
    <t>за  півріччя 2023</t>
  </si>
  <si>
    <t>Таблиця VI. Інформація до фінансового плану  за  півріччя 2023 року</t>
  </si>
  <si>
    <t>сч.6415</t>
  </si>
  <si>
    <t>сч.6413</t>
  </si>
  <si>
    <t>забезпечення резерва відпустки, цільове фінансування</t>
  </si>
  <si>
    <t>офісні меблі</t>
  </si>
  <si>
    <t>битова техніка</t>
  </si>
  <si>
    <t>1076/7/1</t>
  </si>
  <si>
    <t>1076/7/2</t>
  </si>
  <si>
    <t>1076/7/3</t>
  </si>
  <si>
    <t>1076/7/4</t>
  </si>
  <si>
    <t>1076/7/5</t>
  </si>
  <si>
    <t>1076/7/6</t>
  </si>
  <si>
    <t>1076/7/7</t>
  </si>
  <si>
    <t xml:space="preserve">Придбання основних фондів 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</si>
  <si>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</si>
  <si>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</si>
  <si>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ТО та ремонт оргатехніки та інш</t>
  </si>
  <si>
    <t>Витрати на врегулювання спорів у судах, податок на землю</t>
  </si>
  <si>
    <t>Профвнески, лікарняні, поховання  співробітника згідно колдоговору</t>
  </si>
  <si>
    <t xml:space="preserve">в кап.инв. </t>
  </si>
  <si>
    <t>3270/21</t>
  </si>
  <si>
    <t>Компресор</t>
  </si>
  <si>
    <t>драбина</t>
  </si>
  <si>
    <t>прапори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</si>
</sst>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-* #,##0_₴_-;\-* #,##0_₴_-;_-* &quot;-&quot;??_₴_-;_-@_-"/>
    <numFmt numFmtId="178" formatCode="0.0%"/>
    <numFmt numFmtId="179" formatCode="#,##0.000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5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71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4" fontId="41" fillId="28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2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5" borderId="9" applyNumberFormat="0" applyFont="0" applyAlignment="0" applyProtection="0"/>
    <xf numFmtId="0" fontId="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6" fontId="59" fillId="22" borderId="12" applyFill="0" applyBorder="0">
      <alignment horizontal="center" vertical="center" wrapText="1"/>
      <protection locked="0"/>
    </xf>
    <xf numFmtId="171" fontId="60" fillId="0" borderId="0">
      <alignment wrapText="1"/>
    </xf>
    <xf numFmtId="171" fontId="27" fillId="0" borderId="0">
      <alignment wrapText="1"/>
    </xf>
    <xf numFmtId="0" fontId="4" fillId="0" borderId="0"/>
  </cellStyleXfs>
  <cellXfs count="350">
    <xf numFmtId="0" fontId="0" fillId="0" borderId="0" xfId="0"/>
    <xf numFmtId="0" fontId="61" fillId="0" borderId="3" xfId="182" applyFont="1" applyFill="1" applyBorder="1" applyAlignment="1">
      <alignment horizontal="left" vertical="top" wrapText="1"/>
      <protection locked="0"/>
    </xf>
    <xf numFmtId="0" fontId="66" fillId="0" borderId="3" xfId="182" applyFont="1" applyFill="1" applyBorder="1" applyAlignment="1">
      <alignment horizontal="left" vertical="top" wrapText="1"/>
      <protection locked="0"/>
    </xf>
    <xf numFmtId="177" fontId="61" fillId="0" borderId="3" xfId="323" applyNumberFormat="1" applyFont="1" applyFill="1" applyBorder="1" applyAlignment="1" applyProtection="1">
      <alignment horizontal="right" vertical="top" wrapText="1"/>
      <protection locked="0"/>
    </xf>
    <xf numFmtId="177" fontId="61" fillId="0" borderId="3" xfId="323" applyNumberFormat="1" applyFont="1" applyFill="1" applyBorder="1" applyAlignment="1" applyProtection="1">
      <alignment horizontal="center" vertical="top" wrapText="1"/>
      <protection locked="0"/>
    </xf>
    <xf numFmtId="1" fontId="74" fillId="0" borderId="3" xfId="0" applyNumberFormat="1" applyFont="1" applyBorder="1" applyAlignment="1">
      <alignment vertical="top" wrapText="1"/>
    </xf>
    <xf numFmtId="0" fontId="73" fillId="0" borderId="3" xfId="0" applyFont="1" applyBorder="1" applyAlignment="1">
      <alignment vertical="top" wrapText="1"/>
    </xf>
    <xf numFmtId="4" fontId="74" fillId="0" borderId="3" xfId="0" applyNumberFormat="1" applyFont="1" applyBorder="1" applyAlignment="1">
      <alignment vertical="top" wrapText="1"/>
    </xf>
    <xf numFmtId="0" fontId="74" fillId="0" borderId="3" xfId="0" applyFont="1" applyBorder="1" applyAlignment="1">
      <alignment vertical="top" wrapText="1"/>
    </xf>
    <xf numFmtId="10" fontId="90" fillId="0" borderId="3" xfId="0" applyNumberFormat="1" applyFont="1" applyBorder="1" applyAlignment="1">
      <alignment vertical="top" wrapText="1"/>
    </xf>
    <xf numFmtId="1" fontId="77" fillId="0" borderId="3" xfId="0" applyNumberFormat="1" applyFont="1" applyBorder="1" applyAlignment="1" applyProtection="1">
      <alignment horizontal="center" vertical="top" wrapText="1"/>
      <protection locked="0"/>
    </xf>
    <xf numFmtId="10" fontId="74" fillId="0" borderId="3" xfId="0" applyNumberFormat="1" applyFont="1" applyBorder="1" applyAlignment="1">
      <alignment vertical="top" wrapText="1"/>
    </xf>
    <xf numFmtId="169" fontId="74" fillId="0" borderId="3" xfId="0" applyNumberFormat="1" applyFont="1" applyBorder="1" applyAlignment="1">
      <alignment vertical="top" wrapText="1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center" vertical="top"/>
    </xf>
    <xf numFmtId="0" fontId="66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61" fillId="0" borderId="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3" fontId="61" fillId="0" borderId="0" xfId="0" applyNumberFormat="1" applyFont="1" applyAlignment="1">
      <alignment horizontal="center" vertical="top" wrapText="1"/>
    </xf>
    <xf numFmtId="170" fontId="61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horizontal="left" vertical="top" wrapText="1" shrinkToFit="1"/>
    </xf>
    <xf numFmtId="0" fontId="61" fillId="0" borderId="14" xfId="0" applyFont="1" applyBorder="1" applyAlignment="1">
      <alignment horizontal="center" vertical="top"/>
    </xf>
    <xf numFmtId="49" fontId="61" fillId="0" borderId="0" xfId="0" applyNumberFormat="1" applyFont="1" applyAlignment="1">
      <alignment horizontal="center" vertical="top" wrapText="1"/>
    </xf>
    <xf numFmtId="49" fontId="61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vertical="top"/>
    </xf>
    <xf numFmtId="0" fontId="61" fillId="0" borderId="3" xfId="0" applyFont="1" applyBorder="1" applyAlignment="1">
      <alignment horizontal="center" vertical="top"/>
    </xf>
    <xf numFmtId="177" fontId="61" fillId="0" borderId="3" xfId="0" applyNumberFormat="1" applyFont="1" applyBorder="1" applyAlignment="1">
      <alignment horizontal="center" vertical="top"/>
    </xf>
    <xf numFmtId="3" fontId="61" fillId="0" borderId="3" xfId="0" applyNumberFormat="1" applyFont="1" applyBorder="1" applyAlignment="1">
      <alignment horizontal="right" vertical="top" wrapText="1"/>
    </xf>
    <xf numFmtId="3" fontId="66" fillId="0" borderId="3" xfId="0" applyNumberFormat="1" applyFont="1" applyBorder="1" applyAlignment="1">
      <alignment horizontal="center" vertical="top" wrapText="1"/>
    </xf>
    <xf numFmtId="3" fontId="61" fillId="0" borderId="3" xfId="0" applyNumberFormat="1" applyFont="1" applyBorder="1" applyAlignment="1">
      <alignment horizontal="center" vertical="top" wrapText="1"/>
    </xf>
    <xf numFmtId="170" fontId="66" fillId="0" borderId="3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right" vertical="top"/>
    </xf>
    <xf numFmtId="1" fontId="61" fillId="0" borderId="0" xfId="0" applyNumberFormat="1" applyFont="1" applyAlignment="1">
      <alignment horizontal="center" vertical="top"/>
    </xf>
    <xf numFmtId="1" fontId="61" fillId="0" borderId="0" xfId="0" applyNumberFormat="1" applyFont="1" applyAlignment="1">
      <alignment horizontal="right" vertical="top"/>
    </xf>
    <xf numFmtId="0" fontId="66" fillId="0" borderId="0" xfId="0" applyFont="1" applyAlignment="1">
      <alignment horizontal="center" vertical="top"/>
    </xf>
    <xf numFmtId="3" fontId="4" fillId="0" borderId="0" xfId="354" applyNumberFormat="1"/>
    <xf numFmtId="3" fontId="66" fillId="0" borderId="0" xfId="0" applyNumberFormat="1" applyFont="1" applyAlignment="1">
      <alignment horizontal="center" vertical="top"/>
    </xf>
    <xf numFmtId="49" fontId="61" fillId="0" borderId="3" xfId="0" applyNumberFormat="1" applyFont="1" applyBorder="1" applyAlignment="1">
      <alignment horizontal="left" vertical="top" wrapText="1"/>
    </xf>
    <xf numFmtId="0" fontId="61" fillId="0" borderId="3" xfId="0" applyFont="1" applyBorder="1" applyAlignment="1">
      <alignment horizontal="left" vertical="top"/>
    </xf>
    <xf numFmtId="0" fontId="66" fillId="0" borderId="0" xfId="0" applyFont="1" applyAlignment="1">
      <alignment horizontal="right" vertical="top"/>
    </xf>
    <xf numFmtId="170" fontId="61" fillId="0" borderId="0" xfId="0" applyNumberFormat="1" applyFont="1" applyAlignment="1">
      <alignment vertical="top"/>
    </xf>
    <xf numFmtId="0" fontId="61" fillId="0" borderId="3" xfId="237" applyFont="1" applyBorder="1" applyAlignment="1">
      <alignment horizontal="center" vertical="top"/>
    </xf>
    <xf numFmtId="0" fontId="61" fillId="0" borderId="3" xfId="237" applyFont="1" applyBorder="1" applyAlignment="1">
      <alignment horizontal="center" vertical="top" wrapText="1"/>
    </xf>
    <xf numFmtId="178" fontId="61" fillId="0" borderId="3" xfId="237" applyNumberFormat="1" applyFont="1" applyBorder="1" applyAlignment="1">
      <alignment horizontal="center" vertical="top" wrapText="1"/>
    </xf>
    <xf numFmtId="3" fontId="61" fillId="0" borderId="3" xfId="237" applyNumberFormat="1" applyFont="1" applyBorder="1" applyAlignment="1">
      <alignment horizontal="left" vertical="top" wrapText="1"/>
    </xf>
    <xf numFmtId="0" fontId="61" fillId="0" borderId="3" xfId="237" applyFont="1" applyBorder="1" applyAlignment="1">
      <alignment horizontal="left" vertical="top" wrapText="1"/>
    </xf>
    <xf numFmtId="170" fontId="61" fillId="0" borderId="3" xfId="237" applyNumberFormat="1" applyFont="1" applyBorder="1" applyAlignment="1">
      <alignment horizontal="center" vertical="top" wrapText="1"/>
    </xf>
    <xf numFmtId="4" fontId="61" fillId="0" borderId="3" xfId="237" applyNumberFormat="1" applyFont="1" applyBorder="1" applyAlignment="1">
      <alignment horizontal="center" vertical="top" wrapText="1"/>
    </xf>
    <xf numFmtId="49" fontId="61" fillId="0" borderId="3" xfId="237" applyNumberFormat="1" applyFont="1" applyBorder="1" applyAlignment="1">
      <alignment horizontal="left" vertical="top" wrapText="1"/>
    </xf>
    <xf numFmtId="0" fontId="61" fillId="0" borderId="0" xfId="0" applyFont="1" applyAlignment="1" applyProtection="1">
      <alignment vertical="top"/>
      <protection locked="0"/>
    </xf>
    <xf numFmtId="0" fontId="66" fillId="0" borderId="0" xfId="0" applyFont="1" applyAlignment="1" applyProtection="1">
      <alignment horizontal="left" vertical="top" wrapText="1"/>
      <protection locked="0"/>
    </xf>
    <xf numFmtId="0" fontId="61" fillId="0" borderId="0" xfId="0" quotePrefix="1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vertical="top" wrapText="1"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left" vertical="top"/>
      <protection locked="0"/>
    </xf>
    <xf numFmtId="0" fontId="72" fillId="0" borderId="0" xfId="0" applyFont="1" applyAlignment="1">
      <alignment vertical="top"/>
    </xf>
    <xf numFmtId="0" fontId="61" fillId="0" borderId="0" xfId="0" applyFont="1" applyAlignment="1">
      <alignment horizontal="left" vertical="top"/>
    </xf>
    <xf numFmtId="0" fontId="61" fillId="0" borderId="13" xfId="0" applyFont="1" applyBorder="1" applyAlignment="1">
      <alignment horizontal="center" vertical="top" wrapText="1"/>
    </xf>
    <xf numFmtId="0" fontId="61" fillId="0" borderId="3" xfId="0" quotePrefix="1" applyFont="1" applyBorder="1" applyAlignment="1">
      <alignment horizontal="center" vertical="top"/>
    </xf>
    <xf numFmtId="1" fontId="73" fillId="0" borderId="3" xfId="0" applyNumberFormat="1" applyFont="1" applyBorder="1" applyAlignment="1">
      <alignment horizontal="center" vertical="center" wrapText="1"/>
    </xf>
    <xf numFmtId="3" fontId="61" fillId="0" borderId="3" xfId="0" quotePrefix="1" applyNumberFormat="1" applyFont="1" applyBorder="1" applyAlignment="1">
      <alignment horizontal="center" vertical="top" wrapText="1"/>
    </xf>
    <xf numFmtId="170" fontId="61" fillId="0" borderId="3" xfId="0" quotePrefix="1" applyNumberFormat="1" applyFont="1" applyBorder="1" applyAlignment="1">
      <alignment horizontal="center" vertical="top" wrapText="1"/>
    </xf>
    <xf numFmtId="1" fontId="73" fillId="0" borderId="3" xfId="0" applyNumberFormat="1" applyFont="1" applyBorder="1" applyAlignment="1" applyProtection="1">
      <alignment horizontal="center" vertical="center" wrapText="1"/>
      <protection locked="0"/>
    </xf>
    <xf numFmtId="170" fontId="61" fillId="0" borderId="3" xfId="0" applyNumberFormat="1" applyFont="1" applyBorder="1" applyAlignment="1">
      <alignment horizontal="center" vertical="top" wrapText="1"/>
    </xf>
    <xf numFmtId="0" fontId="61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>
      <alignment vertical="top" wrapText="1"/>
    </xf>
    <xf numFmtId="0" fontId="69" fillId="0" borderId="0" xfId="0" applyFont="1" applyAlignment="1">
      <alignment horizontal="right" vertical="top"/>
    </xf>
    <xf numFmtId="0" fontId="69" fillId="0" borderId="3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 shrinkToFit="1"/>
    </xf>
    <xf numFmtId="0" fontId="69" fillId="0" borderId="3" xfId="0" applyFont="1" applyBorder="1" applyAlignment="1">
      <alignment horizontal="center" vertical="top" wrapText="1" shrinkToFit="1"/>
    </xf>
    <xf numFmtId="0" fontId="61" fillId="0" borderId="14" xfId="0" applyFont="1" applyBorder="1" applyAlignment="1">
      <alignment horizontal="center" vertical="top" wrapText="1" shrinkToFit="1"/>
    </xf>
    <xf numFmtId="0" fontId="63" fillId="0" borderId="0" xfId="245" applyFont="1" applyAlignment="1">
      <alignment vertical="top"/>
    </xf>
    <xf numFmtId="0" fontId="61" fillId="0" borderId="3" xfId="245" applyFont="1" applyBorder="1" applyAlignment="1">
      <alignment horizontal="left" vertical="top" wrapText="1"/>
    </xf>
    <xf numFmtId="3" fontId="69" fillId="0" borderId="3" xfId="0" quotePrefix="1" applyNumberFormat="1" applyFont="1" applyBorder="1" applyAlignment="1">
      <alignment horizontal="center" vertical="top" wrapText="1"/>
    </xf>
    <xf numFmtId="170" fontId="61" fillId="0" borderId="14" xfId="0" quotePrefix="1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vertical="top"/>
    </xf>
    <xf numFmtId="170" fontId="69" fillId="0" borderId="3" xfId="0" applyNumberFormat="1" applyFont="1" applyBorder="1" applyAlignment="1">
      <alignment horizontal="center" vertical="top" wrapText="1"/>
    </xf>
    <xf numFmtId="170" fontId="61" fillId="0" borderId="14" xfId="0" applyNumberFormat="1" applyFont="1" applyBorder="1" applyAlignment="1">
      <alignment horizontal="center" vertical="top" wrapText="1"/>
    </xf>
    <xf numFmtId="3" fontId="69" fillId="0" borderId="3" xfId="0" applyNumberFormat="1" applyFont="1" applyBorder="1" applyAlignment="1">
      <alignment horizontal="center" vertical="top" wrapText="1"/>
    </xf>
    <xf numFmtId="3" fontId="68" fillId="0" borderId="3" xfId="0" quotePrefix="1" applyNumberFormat="1" applyFont="1" applyBorder="1" applyAlignment="1">
      <alignment horizontal="center" vertical="top" wrapText="1"/>
    </xf>
    <xf numFmtId="170" fontId="68" fillId="0" borderId="14" xfId="0" quotePrefix="1" applyNumberFormat="1" applyFont="1" applyBorder="1" applyAlignment="1">
      <alignment horizontal="center" vertical="top" wrapText="1"/>
    </xf>
    <xf numFmtId="3" fontId="68" fillId="0" borderId="3" xfId="0" applyNumberFormat="1" applyFont="1" applyBorder="1" applyAlignment="1">
      <alignment horizontal="center" vertical="top" wrapText="1"/>
    </xf>
    <xf numFmtId="170" fontId="68" fillId="0" borderId="14" xfId="0" applyNumberFormat="1" applyFont="1" applyBorder="1" applyAlignment="1">
      <alignment horizontal="center" vertical="top" wrapText="1"/>
    </xf>
    <xf numFmtId="0" fontId="61" fillId="0" borderId="3" xfId="245" applyFont="1" applyBorder="1" applyAlignment="1">
      <alignment horizontal="left" vertical="top"/>
    </xf>
    <xf numFmtId="3" fontId="69" fillId="0" borderId="3" xfId="0" applyNumberFormat="1" applyFont="1" applyBorder="1" applyAlignment="1" applyProtection="1">
      <alignment horizontal="center" vertical="top" wrapText="1"/>
      <protection locked="0"/>
    </xf>
    <xf numFmtId="1" fontId="61" fillId="0" borderId="3" xfId="0" applyNumberFormat="1" applyFont="1" applyBorder="1" applyAlignment="1" applyProtection="1">
      <alignment horizontal="center" vertical="top" wrapText="1"/>
      <protection locked="0"/>
    </xf>
    <xf numFmtId="3" fontId="61" fillId="0" borderId="3" xfId="0" applyNumberFormat="1" applyFont="1" applyBorder="1" applyAlignment="1" applyProtection="1">
      <alignment horizontal="center" vertical="top" wrapText="1"/>
      <protection locked="0"/>
    </xf>
    <xf numFmtId="1" fontId="68" fillId="0" borderId="3" xfId="0" applyNumberFormat="1" applyFont="1" applyBorder="1" applyAlignment="1" applyProtection="1">
      <alignment horizontal="center" vertical="top" wrapText="1"/>
      <protection locked="0"/>
    </xf>
    <xf numFmtId="1" fontId="68" fillId="0" borderId="14" xfId="0" applyNumberFormat="1" applyFont="1" applyBorder="1" applyAlignment="1" applyProtection="1">
      <alignment horizontal="center" vertical="top" wrapText="1"/>
      <protection locked="0"/>
    </xf>
    <xf numFmtId="0" fontId="66" fillId="0" borderId="3" xfId="245" applyFont="1" applyBorder="1" applyAlignment="1">
      <alignment horizontal="left" vertical="top" wrapText="1"/>
    </xf>
    <xf numFmtId="0" fontId="66" fillId="0" borderId="3" xfId="0" applyFont="1" applyBorder="1" applyAlignment="1">
      <alignment horizontal="center" vertical="top"/>
    </xf>
    <xf numFmtId="3" fontId="71" fillId="0" borderId="3" xfId="0" applyNumberFormat="1" applyFont="1" applyBorder="1" applyAlignment="1">
      <alignment horizontal="center" vertical="top" wrapText="1"/>
    </xf>
    <xf numFmtId="3" fontId="78" fillId="0" borderId="3" xfId="0" quotePrefix="1" applyNumberFormat="1" applyFont="1" applyBorder="1" applyAlignment="1">
      <alignment horizontal="center" vertical="top" wrapText="1"/>
    </xf>
    <xf numFmtId="170" fontId="78" fillId="0" borderId="14" xfId="0" quotePrefix="1" applyNumberFormat="1" applyFont="1" applyBorder="1" applyAlignment="1">
      <alignment horizontal="center" vertical="top" wrapText="1"/>
    </xf>
    <xf numFmtId="0" fontId="66" fillId="0" borderId="3" xfId="0" applyFont="1" applyBorder="1" applyAlignment="1">
      <alignment horizontal="left" vertical="top" wrapText="1"/>
    </xf>
    <xf numFmtId="1" fontId="69" fillId="0" borderId="3" xfId="0" applyNumberFormat="1" applyFont="1" applyBorder="1" applyAlignment="1" applyProtection="1">
      <alignment horizontal="center" vertical="top" wrapText="1"/>
      <protection locked="0"/>
    </xf>
    <xf numFmtId="0" fontId="68" fillId="0" borderId="3" xfId="0" applyFont="1" applyBorder="1" applyAlignment="1" applyProtection="1">
      <alignment horizontal="center" vertical="top" wrapText="1"/>
      <protection locked="0"/>
    </xf>
    <xf numFmtId="0" fontId="68" fillId="0" borderId="14" xfId="0" applyFont="1" applyBorder="1" applyAlignment="1" applyProtection="1">
      <alignment horizontal="center" vertical="top" wrapText="1"/>
      <protection locked="0"/>
    </xf>
    <xf numFmtId="170" fontId="69" fillId="0" borderId="3" xfId="0" quotePrefix="1" applyNumberFormat="1" applyFont="1" applyBorder="1" applyAlignment="1">
      <alignment horizontal="center" vertical="top" wrapText="1"/>
    </xf>
    <xf numFmtId="170" fontId="69" fillId="0" borderId="3" xfId="0" applyNumberFormat="1" applyFont="1" applyBorder="1" applyAlignment="1">
      <alignment vertical="top"/>
    </xf>
    <xf numFmtId="3" fontId="61" fillId="0" borderId="3" xfId="0" applyNumberFormat="1" applyFont="1" applyBorder="1" applyAlignment="1">
      <alignment vertical="top"/>
    </xf>
    <xf numFmtId="3" fontId="68" fillId="0" borderId="3" xfId="0" applyNumberFormat="1" applyFont="1" applyBorder="1" applyAlignment="1">
      <alignment vertical="top"/>
    </xf>
    <xf numFmtId="0" fontId="68" fillId="0" borderId="14" xfId="0" applyFont="1" applyBorder="1" applyAlignment="1">
      <alignment vertical="top"/>
    </xf>
    <xf numFmtId="0" fontId="61" fillId="0" borderId="3" xfId="0" applyFont="1" applyBorder="1" applyAlignment="1" applyProtection="1">
      <alignment horizontal="left" vertical="top" wrapText="1"/>
      <protection locked="0"/>
    </xf>
    <xf numFmtId="3" fontId="66" fillId="0" borderId="0" xfId="0" applyNumberFormat="1" applyFont="1" applyAlignment="1">
      <alignment vertical="top"/>
    </xf>
    <xf numFmtId="3" fontId="61" fillId="0" borderId="0" xfId="0" applyNumberFormat="1" applyFont="1" applyAlignment="1">
      <alignment vertical="top"/>
    </xf>
    <xf numFmtId="0" fontId="66" fillId="0" borderId="0" xfId="0" quotePrefix="1" applyFont="1" applyAlignment="1" applyProtection="1">
      <alignment horizontal="center" vertical="top"/>
      <protection locked="0"/>
    </xf>
    <xf numFmtId="0" fontId="69" fillId="0" borderId="0" xfId="0" quotePrefix="1" applyFont="1" applyAlignment="1" applyProtection="1">
      <alignment horizontal="center" vertical="top"/>
      <protection locked="0"/>
    </xf>
    <xf numFmtId="170" fontId="61" fillId="0" borderId="0" xfId="0" applyNumberFormat="1" applyFont="1" applyAlignment="1" applyProtection="1">
      <alignment horizontal="center" vertical="top" wrapText="1"/>
      <protection locked="0"/>
    </xf>
    <xf numFmtId="170" fontId="61" fillId="0" borderId="0" xfId="0" quotePrefix="1" applyNumberFormat="1" applyFont="1" applyAlignment="1" applyProtection="1">
      <alignment vertical="top" wrapText="1"/>
      <protection locked="0"/>
    </xf>
    <xf numFmtId="0" fontId="69" fillId="0" borderId="0" xfId="0" applyFont="1" applyAlignment="1" applyProtection="1">
      <alignment vertical="top"/>
      <protection locked="0"/>
    </xf>
    <xf numFmtId="0" fontId="61" fillId="0" borderId="0" xfId="245" applyFont="1" applyAlignment="1">
      <alignment vertical="top"/>
    </xf>
    <xf numFmtId="0" fontId="61" fillId="0" borderId="0" xfId="245" applyFont="1" applyAlignment="1">
      <alignment horizontal="center" vertical="top"/>
    </xf>
    <xf numFmtId="0" fontId="61" fillId="0" borderId="3" xfId="245" applyFont="1" applyBorder="1" applyAlignment="1">
      <alignment horizontal="center" vertical="top"/>
    </xf>
    <xf numFmtId="0" fontId="61" fillId="0" borderId="3" xfId="245" applyFont="1" applyBorder="1" applyAlignment="1">
      <alignment horizontal="center" vertical="top" wrapText="1"/>
    </xf>
    <xf numFmtId="0" fontId="66" fillId="0" borderId="0" xfId="245" applyFont="1" applyAlignment="1">
      <alignment vertical="top"/>
    </xf>
    <xf numFmtId="170" fontId="68" fillId="0" borderId="3" xfId="0" applyNumberFormat="1" applyFont="1" applyBorder="1" applyAlignment="1">
      <alignment horizontal="center" vertical="top" wrapText="1"/>
    </xf>
    <xf numFmtId="0" fontId="66" fillId="0" borderId="3" xfId="245" applyFont="1" applyBorder="1" applyAlignment="1">
      <alignment horizontal="center" vertical="top"/>
    </xf>
    <xf numFmtId="3" fontId="66" fillId="0" borderId="3" xfId="245" applyNumberFormat="1" applyFont="1" applyBorder="1" applyAlignment="1">
      <alignment horizontal="center" vertical="top" wrapText="1"/>
    </xf>
    <xf numFmtId="0" fontId="66" fillId="0" borderId="0" xfId="245" applyFont="1" applyAlignment="1">
      <alignment horizontal="center" vertical="top"/>
    </xf>
    <xf numFmtId="3" fontId="61" fillId="0" borderId="3" xfId="245" applyNumberFormat="1" applyFont="1" applyBorder="1" applyAlignment="1">
      <alignment horizontal="center" vertical="top" wrapText="1"/>
    </xf>
    <xf numFmtId="0" fontId="61" fillId="0" borderId="0" xfId="245" applyFont="1" applyAlignment="1" applyProtection="1">
      <alignment horizontal="left" vertical="top" wrapText="1"/>
      <protection locked="0"/>
    </xf>
    <xf numFmtId="0" fontId="61" fillId="0" borderId="0" xfId="245" applyFont="1" applyAlignment="1" applyProtection="1">
      <alignment horizontal="center" vertical="top"/>
      <protection locked="0"/>
    </xf>
    <xf numFmtId="0" fontId="61" fillId="0" borderId="0" xfId="245" applyFont="1" applyAlignment="1" applyProtection="1">
      <alignment vertical="top" wrapText="1"/>
      <protection locked="0"/>
    </xf>
    <xf numFmtId="0" fontId="61" fillId="0" borderId="0" xfId="245" applyFont="1" applyAlignment="1">
      <alignment vertical="top" wrapText="1"/>
    </xf>
    <xf numFmtId="0" fontId="69" fillId="0" borderId="0" xfId="0" applyFont="1" applyAlignment="1">
      <alignment horizontal="left" vertical="top"/>
    </xf>
    <xf numFmtId="0" fontId="66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69" fillId="0" borderId="0" xfId="0" applyFont="1" applyAlignment="1">
      <alignment horizontal="center" vertical="top" wrapText="1"/>
    </xf>
    <xf numFmtId="0" fontId="75" fillId="0" borderId="3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right" vertical="top" wrapText="1"/>
    </xf>
    <xf numFmtId="0" fontId="66" fillId="0" borderId="3" xfId="0" quotePrefix="1" applyFont="1" applyBorder="1" applyAlignment="1">
      <alignment horizontal="center" vertical="top"/>
    </xf>
    <xf numFmtId="3" fontId="66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9" fillId="0" borderId="3" xfId="0" quotePrefix="1" applyNumberFormat="1" applyFont="1" applyBorder="1" applyAlignment="1" applyProtection="1">
      <alignment horizontal="center" vertical="top" wrapText="1"/>
      <protection locked="0"/>
    </xf>
    <xf numFmtId="170" fontId="61" fillId="0" borderId="3" xfId="0" quotePrefix="1" applyNumberFormat="1" applyFont="1" applyBorder="1" applyAlignment="1" applyProtection="1">
      <alignment horizontal="center" vertical="top" wrapText="1"/>
      <protection locked="0"/>
    </xf>
    <xf numFmtId="49" fontId="61" fillId="0" borderId="3" xfId="0" quotePrefix="1" applyNumberFormat="1" applyFont="1" applyBorder="1" applyAlignment="1" applyProtection="1">
      <alignment horizontal="left" vertical="top" wrapText="1"/>
      <protection locked="0"/>
    </xf>
    <xf numFmtId="3" fontId="61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6" fillId="0" borderId="3" xfId="0" quotePrefix="1" applyNumberFormat="1" applyFont="1" applyBorder="1" applyAlignment="1">
      <alignment horizontal="center" vertical="top" wrapText="1"/>
    </xf>
    <xf numFmtId="49" fontId="61" fillId="0" borderId="3" xfId="0" quotePrefix="1" applyNumberFormat="1" applyFont="1" applyBorder="1" applyAlignment="1">
      <alignment horizontal="left" vertical="top" wrapText="1"/>
    </xf>
    <xf numFmtId="3" fontId="61" fillId="0" borderId="0" xfId="0" applyNumberFormat="1" applyFont="1" applyAlignment="1">
      <alignment horizontal="left" vertical="top"/>
    </xf>
    <xf numFmtId="49" fontId="61" fillId="0" borderId="3" xfId="0" applyNumberFormat="1" applyFont="1" applyBorder="1" applyAlignment="1" applyProtection="1">
      <alignment horizontal="left" vertical="top" wrapText="1"/>
      <protection locked="0"/>
    </xf>
    <xf numFmtId="170" fontId="61" fillId="0" borderId="3" xfId="0" applyNumberFormat="1" applyFont="1" applyBorder="1" applyAlignment="1" applyProtection="1">
      <alignment horizontal="center" vertical="top" wrapText="1"/>
      <protection locked="0"/>
    </xf>
    <xf numFmtId="49" fontId="66" fillId="0" borderId="3" xfId="0" quotePrefix="1" applyNumberFormat="1" applyFont="1" applyBorder="1" applyAlignment="1">
      <alignment horizontal="left" vertical="top" wrapText="1"/>
    </xf>
    <xf numFmtId="3" fontId="66" fillId="0" borderId="3" xfId="0" quotePrefix="1" applyNumberFormat="1" applyFont="1" applyBorder="1" applyAlignment="1">
      <alignment horizontal="center" vertical="top"/>
    </xf>
    <xf numFmtId="3" fontId="71" fillId="0" borderId="3" xfId="0" quotePrefix="1" applyNumberFormat="1" applyFont="1" applyBorder="1" applyAlignment="1" applyProtection="1">
      <alignment horizontal="center" vertical="top" wrapText="1"/>
      <protection locked="0"/>
    </xf>
    <xf numFmtId="170" fontId="66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Border="1" applyAlignment="1">
      <alignment horizontal="center" vertical="top"/>
    </xf>
    <xf numFmtId="170" fontId="68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1" fillId="0" borderId="3" xfId="0" applyNumberFormat="1" applyFont="1" applyBorder="1" applyAlignment="1">
      <alignment horizontal="center" vertical="top"/>
    </xf>
    <xf numFmtId="0" fontId="66" fillId="0" borderId="3" xfId="0" applyFont="1" applyBorder="1" applyAlignment="1">
      <alignment horizontal="left" vertical="top" wrapText="1" shrinkToFit="1"/>
    </xf>
    <xf numFmtId="0" fontId="61" fillId="0" borderId="3" xfId="0" quotePrefix="1" applyFont="1" applyBorder="1" applyAlignment="1" applyProtection="1">
      <alignment horizontal="center" vertical="top"/>
      <protection locked="0"/>
    </xf>
    <xf numFmtId="3" fontId="70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6" fillId="0" borderId="3" xfId="0" applyNumberFormat="1" applyFont="1" applyBorder="1" applyAlignment="1" applyProtection="1">
      <alignment horizontal="center" vertical="top" wrapText="1"/>
      <protection locked="0"/>
    </xf>
    <xf numFmtId="49" fontId="66" fillId="0" borderId="3" xfId="0" quotePrefix="1" applyNumberFormat="1" applyFont="1" applyBorder="1" applyAlignment="1" applyProtection="1">
      <alignment horizontal="left" vertical="top" wrapText="1"/>
      <protection locked="0"/>
    </xf>
    <xf numFmtId="0" fontId="66" fillId="0" borderId="0" xfId="0" applyFont="1" applyAlignment="1" applyProtection="1">
      <alignment horizontal="right" vertical="top"/>
      <protection locked="0"/>
    </xf>
    <xf numFmtId="3" fontId="66" fillId="0" borderId="0" xfId="0" quotePrefix="1" applyNumberFormat="1" applyFont="1" applyAlignment="1" applyProtection="1">
      <alignment horizontal="center" vertical="top"/>
      <protection locked="0"/>
    </xf>
    <xf numFmtId="0" fontId="71" fillId="0" borderId="0" xfId="0" quotePrefix="1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 horizontal="right" vertical="top"/>
      <protection locked="0"/>
    </xf>
    <xf numFmtId="0" fontId="69" fillId="0" borderId="0" xfId="0" applyFont="1" applyAlignment="1" applyProtection="1">
      <alignment horizontal="center" vertical="top"/>
      <protection locked="0"/>
    </xf>
    <xf numFmtId="0" fontId="69" fillId="0" borderId="0" xfId="0" applyFont="1" applyAlignment="1">
      <alignment horizontal="center" vertical="top"/>
    </xf>
    <xf numFmtId="14" fontId="61" fillId="0" borderId="0" xfId="0" applyNumberFormat="1" applyFont="1" applyAlignment="1">
      <alignment horizontal="center" vertical="top"/>
    </xf>
    <xf numFmtId="0" fontId="63" fillId="0" borderId="0" xfId="0" applyFont="1" applyAlignment="1">
      <alignment vertical="top"/>
    </xf>
    <xf numFmtId="0" fontId="64" fillId="0" borderId="0" xfId="0" applyFont="1" applyAlignment="1" applyProtection="1">
      <alignment vertical="top"/>
      <protection locked="0"/>
    </xf>
    <xf numFmtId="0" fontId="61" fillId="0" borderId="14" xfId="0" applyFont="1" applyBorder="1" applyAlignment="1" applyProtection="1">
      <alignment vertical="top"/>
      <protection locked="0"/>
    </xf>
    <xf numFmtId="0" fontId="61" fillId="0" borderId="17" xfId="0" applyFont="1" applyBorder="1" applyAlignment="1" applyProtection="1">
      <alignment vertical="top"/>
      <protection locked="0"/>
    </xf>
    <xf numFmtId="0" fontId="61" fillId="0" borderId="3" xfId="0" applyFont="1" applyBorder="1" applyAlignment="1" applyProtection="1">
      <alignment horizontal="left" vertical="top"/>
      <protection locked="0"/>
    </xf>
    <xf numFmtId="0" fontId="61" fillId="0" borderId="3" xfId="0" applyFont="1" applyBorder="1" applyAlignment="1" applyProtection="1">
      <alignment horizontal="center" vertical="top"/>
      <protection locked="0"/>
    </xf>
    <xf numFmtId="0" fontId="61" fillId="0" borderId="14" xfId="0" applyFont="1" applyBorder="1" applyAlignment="1" applyProtection="1">
      <alignment vertical="top" wrapText="1"/>
      <protection locked="0"/>
    </xf>
    <xf numFmtId="0" fontId="61" fillId="0" borderId="17" xfId="0" applyFont="1" applyBorder="1" applyAlignment="1" applyProtection="1">
      <alignment vertical="top" wrapText="1"/>
      <protection locked="0"/>
    </xf>
    <xf numFmtId="0" fontId="61" fillId="0" borderId="3" xfId="0" applyFont="1" applyBorder="1" applyAlignment="1" applyProtection="1">
      <alignment vertical="top"/>
      <protection locked="0"/>
    </xf>
    <xf numFmtId="0" fontId="61" fillId="0" borderId="3" xfId="0" applyFont="1" applyBorder="1" applyAlignment="1" applyProtection="1">
      <alignment vertical="top" wrapText="1"/>
      <protection locked="0"/>
    </xf>
    <xf numFmtId="0" fontId="61" fillId="0" borderId="18" xfId="0" applyFont="1" applyBorder="1" applyAlignment="1" applyProtection="1">
      <alignment vertical="top" wrapText="1"/>
      <protection locked="0"/>
    </xf>
    <xf numFmtId="0" fontId="61" fillId="0" borderId="18" xfId="0" applyFont="1" applyBorder="1" applyAlignment="1" applyProtection="1">
      <alignment vertical="top"/>
      <protection locked="0"/>
    </xf>
    <xf numFmtId="0" fontId="66" fillId="0" borderId="3" xfId="0" applyFont="1" applyBorder="1" applyAlignment="1" applyProtection="1">
      <alignment horizontal="left" vertical="top" wrapText="1"/>
      <protection locked="0"/>
    </xf>
    <xf numFmtId="9" fontId="61" fillId="0" borderId="3" xfId="0" applyNumberFormat="1" applyFont="1" applyBorder="1" applyAlignment="1">
      <alignment horizontal="center" vertical="top" wrapText="1"/>
    </xf>
    <xf numFmtId="179" fontId="61" fillId="0" borderId="3" xfId="0" applyNumberFormat="1" applyFont="1" applyBorder="1" applyAlignment="1">
      <alignment horizontal="center" vertical="top" wrapText="1"/>
    </xf>
    <xf numFmtId="4" fontId="61" fillId="0" borderId="3" xfId="0" applyNumberFormat="1" applyFont="1" applyBorder="1" applyAlignment="1">
      <alignment horizontal="center" vertical="top" wrapText="1"/>
    </xf>
    <xf numFmtId="0" fontId="73" fillId="0" borderId="3" xfId="0" applyFont="1" applyBorder="1" applyAlignment="1" applyProtection="1">
      <alignment horizontal="center" vertical="center" wrapText="1"/>
      <protection locked="0"/>
    </xf>
    <xf numFmtId="3" fontId="61" fillId="0" borderId="0" xfId="0" applyNumberFormat="1" applyFont="1" applyAlignment="1" applyProtection="1">
      <alignment horizontal="center" vertical="top"/>
      <protection locked="0"/>
    </xf>
    <xf numFmtId="0" fontId="73" fillId="0" borderId="0" xfId="0" applyFont="1" applyAlignment="1">
      <alignment horizontal="center" vertical="top"/>
    </xf>
    <xf numFmtId="0" fontId="73" fillId="0" borderId="0" xfId="0" applyFont="1" applyAlignment="1">
      <alignment vertical="top"/>
    </xf>
    <xf numFmtId="0" fontId="73" fillId="0" borderId="0" xfId="0" applyFont="1" applyAlignment="1">
      <alignment horizontal="righ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 horizontal="left" vertical="top" wrapText="1"/>
    </xf>
    <xf numFmtId="0" fontId="81" fillId="0" borderId="15" xfId="0" applyFont="1" applyBorder="1" applyAlignment="1">
      <alignment horizontal="left" vertical="top" wrapText="1"/>
    </xf>
    <xf numFmtId="0" fontId="77" fillId="0" borderId="3" xfId="0" applyFont="1" applyBorder="1" applyAlignment="1">
      <alignment horizontal="center" vertical="top" wrapText="1" shrinkToFit="1"/>
    </xf>
    <xf numFmtId="0" fontId="77" fillId="0" borderId="0" xfId="0" applyFont="1" applyAlignment="1">
      <alignment vertical="top"/>
    </xf>
    <xf numFmtId="169" fontId="81" fillId="0" borderId="0" xfId="0" applyNumberFormat="1" applyFont="1" applyAlignment="1">
      <alignment horizontal="right" vertical="top" wrapText="1"/>
    </xf>
    <xf numFmtId="0" fontId="82" fillId="0" borderId="0" xfId="0" applyFont="1" applyAlignment="1">
      <alignment horizontal="justify" vertical="top"/>
    </xf>
    <xf numFmtId="0" fontId="83" fillId="0" borderId="0" xfId="0" applyFont="1" applyAlignment="1">
      <alignment horizontal="left" vertical="top"/>
    </xf>
    <xf numFmtId="0" fontId="73" fillId="0" borderId="15" xfId="0" applyFont="1" applyBorder="1" applyAlignment="1">
      <alignment vertical="top"/>
    </xf>
    <xf numFmtId="0" fontId="73" fillId="0" borderId="15" xfId="0" applyFont="1" applyBorder="1" applyAlignment="1">
      <alignment horizontal="center" vertical="top"/>
    </xf>
    <xf numFmtId="0" fontId="77" fillId="0" borderId="0" xfId="0" applyFont="1" applyAlignment="1">
      <alignment horizontal="right" vertical="top"/>
    </xf>
    <xf numFmtId="0" fontId="73" fillId="0" borderId="3" xfId="0" applyFont="1" applyBorder="1" applyAlignment="1">
      <alignment horizontal="center" vertical="top" wrapText="1"/>
    </xf>
    <xf numFmtId="4" fontId="73" fillId="0" borderId="3" xfId="0" applyNumberFormat="1" applyFont="1" applyBorder="1" applyAlignment="1">
      <alignment horizontal="center" vertical="top" wrapText="1"/>
    </xf>
    <xf numFmtId="0" fontId="73" fillId="0" borderId="17" xfId="0" applyFont="1" applyBorder="1" applyAlignment="1">
      <alignment vertical="top" wrapText="1"/>
    </xf>
    <xf numFmtId="1" fontId="77" fillId="0" borderId="3" xfId="0" applyNumberFormat="1" applyFont="1" applyBorder="1" applyAlignment="1">
      <alignment horizontal="center" vertical="top" wrapText="1"/>
    </xf>
    <xf numFmtId="1" fontId="91" fillId="0" borderId="3" xfId="0" applyNumberFormat="1" applyFont="1" applyBorder="1" applyAlignment="1">
      <alignment horizontal="center" vertical="top" wrapText="1"/>
    </xf>
    <xf numFmtId="0" fontId="84" fillId="0" borderId="3" xfId="0" applyFont="1" applyBorder="1" applyAlignment="1">
      <alignment horizontal="center" vertical="top" wrapText="1"/>
    </xf>
    <xf numFmtId="0" fontId="77" fillId="0" borderId="3" xfId="0" applyFont="1" applyBorder="1" applyAlignment="1">
      <alignment horizontal="center" vertical="top" wrapText="1"/>
    </xf>
    <xf numFmtId="0" fontId="81" fillId="0" borderId="0" xfId="0" applyFont="1" applyAlignment="1">
      <alignment horizontal="right" vertical="top"/>
    </xf>
    <xf numFmtId="169" fontId="81" fillId="0" borderId="0" xfId="0" applyNumberFormat="1" applyFont="1" applyAlignment="1">
      <alignment horizontal="right" vertical="top"/>
    </xf>
    <xf numFmtId="0" fontId="85" fillId="0" borderId="0" xfId="0" applyFont="1" applyAlignment="1">
      <alignment vertical="top"/>
    </xf>
    <xf numFmtId="0" fontId="86" fillId="0" borderId="0" xfId="0" applyFont="1" applyAlignment="1">
      <alignment vertical="top"/>
    </xf>
    <xf numFmtId="0" fontId="85" fillId="0" borderId="0" xfId="0" applyFont="1" applyAlignment="1">
      <alignment horizontal="center" vertical="top"/>
    </xf>
    <xf numFmtId="0" fontId="73" fillId="0" borderId="3" xfId="0" applyFont="1" applyBorder="1" applyAlignment="1">
      <alignment horizontal="center" vertical="top"/>
    </xf>
    <xf numFmtId="169" fontId="87" fillId="0" borderId="0" xfId="0" applyNumberFormat="1" applyFont="1" applyAlignment="1">
      <alignment horizontal="right" vertical="top"/>
    </xf>
    <xf numFmtId="0" fontId="73" fillId="0" borderId="0" xfId="0" applyFont="1" applyAlignment="1">
      <alignment vertical="top" wrapText="1"/>
    </xf>
    <xf numFmtId="0" fontId="81" fillId="0" borderId="15" xfId="0" applyFont="1" applyBorder="1" applyAlignment="1" applyProtection="1">
      <alignment vertical="top" wrapText="1"/>
      <protection locked="0"/>
    </xf>
    <xf numFmtId="170" fontId="73" fillId="0" borderId="0" xfId="0" applyNumberFormat="1" applyFont="1" applyAlignment="1" applyProtection="1">
      <alignment vertical="top" wrapText="1"/>
      <protection locked="0"/>
    </xf>
    <xf numFmtId="170" fontId="73" fillId="0" borderId="15" xfId="0" quotePrefix="1" applyNumberFormat="1" applyFont="1" applyBorder="1" applyAlignment="1" applyProtection="1">
      <alignment vertical="top" wrapText="1"/>
      <protection locked="0"/>
    </xf>
    <xf numFmtId="170" fontId="88" fillId="0" borderId="0" xfId="0" applyNumberFormat="1" applyFont="1" applyAlignment="1" applyProtection="1">
      <alignment vertical="top"/>
      <protection locked="0"/>
    </xf>
    <xf numFmtId="0" fontId="73" fillId="0" borderId="0" xfId="0" applyFont="1" applyAlignment="1" applyProtection="1">
      <alignment horizontal="center" vertical="top"/>
      <protection locked="0"/>
    </xf>
    <xf numFmtId="0" fontId="73" fillId="0" borderId="0" xfId="0" applyFont="1" applyAlignment="1" applyProtection="1">
      <alignment horizontal="left" vertical="top"/>
      <protection locked="0"/>
    </xf>
    <xf numFmtId="0" fontId="73" fillId="0" borderId="0" xfId="0" applyFont="1" applyAlignment="1">
      <alignment vertical="top" wrapText="1" shrinkToFit="1"/>
    </xf>
    <xf numFmtId="0" fontId="89" fillId="0" borderId="0" xfId="0" applyFont="1" applyAlignment="1">
      <alignment vertical="top"/>
    </xf>
    <xf numFmtId="0" fontId="61" fillId="29" borderId="0" xfId="0" applyFont="1" applyFill="1" applyAlignment="1">
      <alignment vertical="top"/>
    </xf>
    <xf numFmtId="3" fontId="61" fillId="30" borderId="3" xfId="0" applyNumberFormat="1" applyFont="1" applyFill="1" applyBorder="1" applyAlignment="1" applyProtection="1">
      <alignment horizontal="center" vertical="top" wrapText="1"/>
      <protection locked="0"/>
    </xf>
    <xf numFmtId="1" fontId="73" fillId="30" borderId="3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0" xfId="0" applyNumberFormat="1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 horizontal="right" vertical="top"/>
    </xf>
    <xf numFmtId="170" fontId="78" fillId="0" borderId="3" xfId="0" quotePrefix="1" applyNumberFormat="1" applyFont="1" applyBorder="1" applyAlignment="1" applyProtection="1">
      <alignment horizontal="center" vertical="top" wrapText="1"/>
      <protection locked="0"/>
    </xf>
    <xf numFmtId="0" fontId="68" fillId="0" borderId="0" xfId="0" applyFont="1" applyAlignment="1">
      <alignment vertical="top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66" fillId="0" borderId="14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/>
    </xf>
    <xf numFmtId="0" fontId="61" fillId="0" borderId="18" xfId="0" applyFont="1" applyBorder="1" applyAlignment="1" applyProtection="1">
      <alignment horizontal="left" vertical="top" wrapText="1"/>
      <protection locked="0"/>
    </xf>
    <xf numFmtId="0" fontId="66" fillId="0" borderId="3" xfId="237" applyFont="1" applyBorder="1" applyAlignment="1">
      <alignment horizontal="center" vertical="top" wrapText="1"/>
    </xf>
    <xf numFmtId="0" fontId="66" fillId="0" borderId="14" xfId="0" applyFont="1" applyBorder="1" applyAlignment="1" applyProtection="1">
      <alignment horizontal="center" vertical="top" wrapText="1"/>
      <protection locked="0"/>
    </xf>
    <xf numFmtId="0" fontId="66" fillId="0" borderId="18" xfId="0" applyFont="1" applyBorder="1" applyAlignment="1" applyProtection="1">
      <alignment horizontal="center" vertical="top" wrapText="1"/>
      <protection locked="0"/>
    </xf>
    <xf numFmtId="0" fontId="61" fillId="0" borderId="17" xfId="0" applyFont="1" applyBorder="1" applyAlignment="1" applyProtection="1">
      <alignment horizontal="left" vertical="top" wrapText="1"/>
      <protection locked="0"/>
    </xf>
    <xf numFmtId="0" fontId="61" fillId="0" borderId="3" xfId="245" applyFont="1" applyBorder="1" applyAlignment="1">
      <alignment horizontal="center" vertical="top"/>
    </xf>
    <xf numFmtId="0" fontId="63" fillId="0" borderId="17" xfId="0" applyFont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7" fillId="0" borderId="0" xfId="0" applyFont="1" applyAlignment="1" applyProtection="1">
      <alignment horizontal="center" vertical="top"/>
      <protection locked="0"/>
    </xf>
    <xf numFmtId="0" fontId="61" fillId="0" borderId="3" xfId="0" applyFont="1" applyBorder="1" applyAlignment="1">
      <alignment horizontal="center" vertical="top"/>
    </xf>
    <xf numFmtId="0" fontId="66" fillId="0" borderId="0" xfId="0" applyFont="1" applyAlignment="1" applyProtection="1">
      <alignment horizontal="center" vertical="top"/>
      <protection locked="0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75" fillId="0" borderId="3" xfId="0" applyFont="1" applyBorder="1" applyAlignment="1">
      <alignment horizontal="center" vertical="top"/>
    </xf>
    <xf numFmtId="0" fontId="75" fillId="0" borderId="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right" vertical="top" wrapText="1"/>
    </xf>
    <xf numFmtId="0" fontId="75" fillId="0" borderId="20" xfId="0" applyFont="1" applyBorder="1" applyAlignment="1">
      <alignment horizontal="right" vertical="top" wrapText="1"/>
    </xf>
    <xf numFmtId="0" fontId="66" fillId="0" borderId="14" xfId="0" applyFont="1" applyBorder="1" applyAlignment="1">
      <alignment horizontal="left" vertical="top"/>
    </xf>
    <xf numFmtId="0" fontId="66" fillId="0" borderId="18" xfId="0" applyFont="1" applyBorder="1" applyAlignment="1">
      <alignment horizontal="left" vertical="top"/>
    </xf>
    <xf numFmtId="0" fontId="66" fillId="0" borderId="17" xfId="0" applyFont="1" applyBorder="1" applyAlignment="1">
      <alignment horizontal="left" vertical="top"/>
    </xf>
    <xf numFmtId="0" fontId="66" fillId="0" borderId="14" xfId="245" applyFont="1" applyBorder="1" applyAlignment="1">
      <alignment horizontal="center" vertical="top" wrapText="1"/>
    </xf>
    <xf numFmtId="0" fontId="66" fillId="0" borderId="18" xfId="245" applyFont="1" applyBorder="1" applyAlignment="1">
      <alignment horizontal="center" vertical="top" wrapText="1"/>
    </xf>
    <xf numFmtId="0" fontId="66" fillId="0" borderId="17" xfId="245" applyFont="1" applyBorder="1" applyAlignment="1">
      <alignment horizontal="center" vertical="top" wrapText="1"/>
    </xf>
    <xf numFmtId="0" fontId="66" fillId="0" borderId="0" xfId="245" applyFont="1" applyAlignment="1">
      <alignment horizontal="center" vertical="top"/>
    </xf>
    <xf numFmtId="0" fontId="61" fillId="0" borderId="3" xfId="245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3" fontId="61" fillId="0" borderId="0" xfId="0" applyNumberFormat="1" applyFont="1" applyAlignment="1" applyProtection="1">
      <alignment vertical="top"/>
      <protection locked="0"/>
    </xf>
    <xf numFmtId="0" fontId="61" fillId="0" borderId="0" xfId="0" applyFont="1" applyAlignment="1" applyProtection="1">
      <alignment vertical="top"/>
      <protection locked="0"/>
    </xf>
    <xf numFmtId="0" fontId="61" fillId="0" borderId="3" xfId="0" applyFont="1" applyBorder="1" applyAlignment="1">
      <alignment horizontal="center" vertical="top" wrapText="1" shrinkToFit="1"/>
    </xf>
    <xf numFmtId="0" fontId="61" fillId="0" borderId="14" xfId="245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1" fillId="0" borderId="18" xfId="245" applyFont="1" applyBorder="1" applyAlignment="1">
      <alignment horizontal="center" vertical="top"/>
    </xf>
    <xf numFmtId="0" fontId="61" fillId="0" borderId="17" xfId="245" applyFont="1" applyBorder="1" applyAlignment="1">
      <alignment horizontal="center" vertical="top"/>
    </xf>
    <xf numFmtId="0" fontId="66" fillId="0" borderId="14" xfId="237" applyFont="1" applyBorder="1" applyAlignment="1">
      <alignment horizontal="center" vertical="top"/>
    </xf>
    <xf numFmtId="0" fontId="66" fillId="0" borderId="18" xfId="237" applyFont="1" applyBorder="1" applyAlignment="1">
      <alignment horizontal="center" vertical="top"/>
    </xf>
    <xf numFmtId="0" fontId="66" fillId="0" borderId="17" xfId="237" applyFont="1" applyBorder="1" applyAlignment="1">
      <alignment horizontal="center" vertical="top"/>
    </xf>
    <xf numFmtId="0" fontId="66" fillId="0" borderId="0" xfId="237" applyFont="1" applyAlignment="1">
      <alignment horizontal="center" vertical="top" wrapText="1"/>
    </xf>
    <xf numFmtId="0" fontId="61" fillId="0" borderId="13" xfId="237" applyFont="1" applyBorder="1" applyAlignment="1">
      <alignment horizontal="center" vertical="top" wrapText="1"/>
    </xf>
    <xf numFmtId="0" fontId="61" fillId="0" borderId="19" xfId="237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49" fontId="61" fillId="0" borderId="3" xfId="0" applyNumberFormat="1" applyFont="1" applyBorder="1" applyAlignment="1">
      <alignment horizontal="left" vertical="top" wrapText="1"/>
    </xf>
    <xf numFmtId="49" fontId="61" fillId="0" borderId="14" xfId="0" applyNumberFormat="1" applyFont="1" applyBorder="1" applyAlignment="1">
      <alignment horizontal="center" vertical="top" wrapText="1"/>
    </xf>
    <xf numFmtId="49" fontId="61" fillId="0" borderId="18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justify" vertical="top" wrapText="1" shrinkToFit="1"/>
    </xf>
    <xf numFmtId="49" fontId="61" fillId="0" borderId="16" xfId="0" applyNumberFormat="1" applyFont="1" applyBorder="1" applyAlignment="1">
      <alignment horizontal="right" vertical="top" wrapText="1"/>
    </xf>
    <xf numFmtId="49" fontId="61" fillId="0" borderId="0" xfId="0" applyNumberFormat="1" applyFont="1" applyAlignment="1">
      <alignment horizontal="right" vertical="top" wrapText="1"/>
    </xf>
    <xf numFmtId="3" fontId="61" fillId="0" borderId="3" xfId="0" applyNumberFormat="1" applyFont="1" applyBorder="1" applyAlignment="1">
      <alignment horizontal="center" vertical="top" wrapText="1"/>
    </xf>
    <xf numFmtId="170" fontId="61" fillId="0" borderId="3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61" fillId="0" borderId="14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61" fillId="0" borderId="14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/>
    </xf>
    <xf numFmtId="49" fontId="61" fillId="0" borderId="17" xfId="0" applyNumberFormat="1" applyFont="1" applyBorder="1" applyAlignment="1">
      <alignment horizontal="center" vertical="top" wrapText="1"/>
    </xf>
    <xf numFmtId="3" fontId="61" fillId="0" borderId="14" xfId="0" applyNumberFormat="1" applyFont="1" applyBorder="1" applyAlignment="1">
      <alignment horizontal="center" vertical="top" wrapText="1"/>
    </xf>
    <xf numFmtId="3" fontId="61" fillId="0" borderId="17" xfId="0" applyNumberFormat="1" applyFont="1" applyBorder="1" applyAlignment="1">
      <alignment horizontal="center" vertical="top" wrapText="1"/>
    </xf>
    <xf numFmtId="170" fontId="61" fillId="0" borderId="14" xfId="0" applyNumberFormat="1" applyFont="1" applyBorder="1" applyAlignment="1">
      <alignment horizontal="center" vertical="top" wrapText="1"/>
    </xf>
    <xf numFmtId="170" fontId="61" fillId="0" borderId="17" xfId="0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top"/>
    </xf>
    <xf numFmtId="3" fontId="61" fillId="0" borderId="18" xfId="0" applyNumberFormat="1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4" xfId="0" applyFont="1" applyBorder="1" applyAlignment="1" applyProtection="1">
      <alignment horizontal="left" vertical="top" wrapText="1"/>
      <protection locked="0"/>
    </xf>
    <xf numFmtId="0" fontId="61" fillId="0" borderId="14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49" fontId="61" fillId="0" borderId="14" xfId="0" applyNumberFormat="1" applyFont="1" applyBorder="1" applyAlignment="1">
      <alignment horizontal="left" vertical="top" wrapText="1"/>
    </xf>
    <xf numFmtId="49" fontId="61" fillId="0" borderId="17" xfId="0" applyNumberFormat="1" applyFont="1" applyBorder="1" applyAlignment="1">
      <alignment horizontal="left"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  <xf numFmtId="0" fontId="73" fillId="0" borderId="0" xfId="0" applyFont="1" applyAlignment="1">
      <alignment horizontal="right" vertical="top" wrapText="1"/>
    </xf>
    <xf numFmtId="0" fontId="73" fillId="0" borderId="13" xfId="0" applyFont="1" applyBorder="1" applyAlignment="1">
      <alignment horizontal="center" vertical="top" wrapText="1" shrinkToFit="1"/>
    </xf>
    <xf numFmtId="0" fontId="73" fillId="0" borderId="19" xfId="0" applyFont="1" applyBorder="1" applyAlignment="1">
      <alignment horizontal="center" vertical="top" wrapText="1" shrinkToFit="1"/>
    </xf>
    <xf numFmtId="0" fontId="73" fillId="0" borderId="14" xfId="0" applyFont="1" applyBorder="1" applyAlignment="1">
      <alignment horizontal="center" vertical="top" wrapText="1" shrinkToFit="1"/>
    </xf>
    <xf numFmtId="0" fontId="73" fillId="0" borderId="17" xfId="0" applyFont="1" applyBorder="1" applyAlignment="1">
      <alignment horizontal="center" vertical="top" wrapText="1" shrinkToFit="1"/>
    </xf>
    <xf numFmtId="0" fontId="73" fillId="0" borderId="20" xfId="0" applyFont="1" applyBorder="1" applyAlignment="1">
      <alignment horizontal="center" vertical="top" wrapText="1" shrinkToFit="1"/>
    </xf>
    <xf numFmtId="0" fontId="83" fillId="0" borderId="15" xfId="0" applyFont="1" applyBorder="1" applyAlignment="1" applyProtection="1">
      <alignment horizontal="left" vertical="top"/>
      <protection locked="0"/>
    </xf>
    <xf numFmtId="0" fontId="73" fillId="0" borderId="0" xfId="0" applyFont="1" applyAlignment="1" applyProtection="1">
      <alignment horizontal="center" vertical="top"/>
      <protection locked="0"/>
    </xf>
    <xf numFmtId="0" fontId="73" fillId="0" borderId="16" xfId="0" applyFont="1" applyBorder="1" applyAlignment="1" applyProtection="1">
      <alignment horizontal="left" vertical="top"/>
      <protection locked="0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center" vertical="top"/>
    </xf>
    <xf numFmtId="0" fontId="73" fillId="0" borderId="20" xfId="0" applyFont="1" applyBorder="1" applyAlignment="1">
      <alignment horizontal="center" vertical="top"/>
    </xf>
    <xf numFmtId="0" fontId="73" fillId="0" borderId="19" xfId="0" applyFont="1" applyBorder="1" applyAlignment="1">
      <alignment horizontal="center" vertical="top"/>
    </xf>
    <xf numFmtId="0" fontId="73" fillId="0" borderId="23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 vertical="top" wrapText="1"/>
    </xf>
    <xf numFmtId="0" fontId="73" fillId="0" borderId="24" xfId="0" applyFont="1" applyBorder="1" applyAlignment="1">
      <alignment horizontal="center" vertical="top" wrapText="1"/>
    </xf>
    <xf numFmtId="0" fontId="73" fillId="0" borderId="22" xfId="0" applyFont="1" applyBorder="1" applyAlignment="1">
      <alignment horizontal="center" vertical="top" wrapText="1"/>
    </xf>
  </cellXfs>
  <cellStyles count="355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Обычный_касса" xfId="354" xr:uid="{00000000-0005-0000-0000-00001E010000}"/>
    <cellStyle name="Плохой 2" xfId="285" xr:uid="{00000000-0005-0000-0000-00001F010000}"/>
    <cellStyle name="Плохой 3" xfId="286" xr:uid="{00000000-0005-0000-0000-000020010000}"/>
    <cellStyle name="Пояснение 2" xfId="287" xr:uid="{00000000-0005-0000-0000-000021010000}"/>
    <cellStyle name="Пояснение 3" xfId="288" xr:uid="{00000000-0005-0000-0000-000022010000}"/>
    <cellStyle name="Примечание 2" xfId="289" xr:uid="{00000000-0005-0000-0000-000023010000}"/>
    <cellStyle name="Примечание 3" xfId="290" xr:uid="{00000000-0005-0000-0000-000024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" xfId="323" builtinId="3"/>
    <cellStyle name="Финансовый 2" xfId="324" xr:uid="{00000000-0005-0000-0000-000046010000}"/>
    <cellStyle name="Финансовый 2 10" xfId="325" xr:uid="{00000000-0005-0000-0000-000047010000}"/>
    <cellStyle name="Финансовый 2 11" xfId="326" xr:uid="{00000000-0005-0000-0000-000048010000}"/>
    <cellStyle name="Финансовый 2 12" xfId="327" xr:uid="{00000000-0005-0000-0000-000049010000}"/>
    <cellStyle name="Финансовый 2 13" xfId="328" xr:uid="{00000000-0005-0000-0000-00004A010000}"/>
    <cellStyle name="Финансовый 2 14" xfId="329" xr:uid="{00000000-0005-0000-0000-00004B010000}"/>
    <cellStyle name="Финансовый 2 15" xfId="330" xr:uid="{00000000-0005-0000-0000-00004C010000}"/>
    <cellStyle name="Финансовый 2 16" xfId="331" xr:uid="{00000000-0005-0000-0000-00004D010000}"/>
    <cellStyle name="Финансовый 2 17" xfId="332" xr:uid="{00000000-0005-0000-0000-00004E010000}"/>
    <cellStyle name="Финансовый 2 2" xfId="333" xr:uid="{00000000-0005-0000-0000-00004F010000}"/>
    <cellStyle name="Финансовый 2 3" xfId="334" xr:uid="{00000000-0005-0000-0000-000050010000}"/>
    <cellStyle name="Финансовый 2 4" xfId="335" xr:uid="{00000000-0005-0000-0000-000051010000}"/>
    <cellStyle name="Финансовый 2 5" xfId="336" xr:uid="{00000000-0005-0000-0000-000052010000}"/>
    <cellStyle name="Финансовый 2 6" xfId="337" xr:uid="{00000000-0005-0000-0000-000053010000}"/>
    <cellStyle name="Финансовый 2 7" xfId="338" xr:uid="{00000000-0005-0000-0000-000054010000}"/>
    <cellStyle name="Финансовый 2 8" xfId="339" xr:uid="{00000000-0005-0000-0000-000055010000}"/>
    <cellStyle name="Финансовый 2 9" xfId="340" xr:uid="{00000000-0005-0000-0000-000056010000}"/>
    <cellStyle name="Финансовый 3" xfId="341" xr:uid="{00000000-0005-0000-0000-000057010000}"/>
    <cellStyle name="Финансовый 3 2" xfId="342" xr:uid="{00000000-0005-0000-0000-000058010000}"/>
    <cellStyle name="Финансовый 4" xfId="343" xr:uid="{00000000-0005-0000-0000-000059010000}"/>
    <cellStyle name="Финансовый 4 2" xfId="344" xr:uid="{00000000-0005-0000-0000-00005A010000}"/>
    <cellStyle name="Финансовый 4 3" xfId="345" xr:uid="{00000000-0005-0000-0000-00005B010000}"/>
    <cellStyle name="Финансовый 5" xfId="346" xr:uid="{00000000-0005-0000-0000-00005C010000}"/>
    <cellStyle name="Финансовый 6" xfId="347" xr:uid="{00000000-0005-0000-0000-00005D010000}"/>
    <cellStyle name="Финансовый 7" xfId="348" xr:uid="{00000000-0005-0000-0000-00005E010000}"/>
    <cellStyle name="Хороший 2" xfId="349" xr:uid="{00000000-0005-0000-0000-00005F010000}"/>
    <cellStyle name="Хороший 3" xfId="350" xr:uid="{00000000-0005-0000-0000-000060010000}"/>
    <cellStyle name="числовой" xfId="351" xr:uid="{00000000-0005-0000-0000-000061010000}"/>
    <cellStyle name="Ю" xfId="352" xr:uid="{00000000-0005-0000-0000-000062010000}"/>
    <cellStyle name="Ю-FreeSet_10" xfId="353" xr:uid="{00000000-0005-0000-0000-00006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 bwMode="auto">
        <a:xfrm>
          <a:off x="1352550" y="293084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24" name="Line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 bwMode="auto">
        <a:xfrm>
          <a:off x="6096000" y="293084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25" name="Lin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 bwMode="auto">
        <a:xfrm>
          <a:off x="10915650" y="293084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146</xdr:row>
      <xdr:rowOff>0</xdr:rowOff>
    </xdr:from>
    <xdr:to>
      <xdr:col>0</xdr:col>
      <xdr:colOff>4972050</xdr:colOff>
      <xdr:row>146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ShapeType="1"/>
        </xdr:cNvSpPr>
      </xdr:nvSpPr>
      <xdr:spPr bwMode="auto">
        <a:xfrm>
          <a:off x="1295400" y="49329975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146</xdr:row>
      <xdr:rowOff>0</xdr:rowOff>
    </xdr:from>
    <xdr:to>
      <xdr:col>4</xdr:col>
      <xdr:colOff>552450</xdr:colOff>
      <xdr:row>146</xdr:row>
      <xdr:rowOff>0</xdr:rowOff>
    </xdr:to>
    <xdr:sp macro="" textlink="">
      <xdr:nvSpPr>
        <xdr:cNvPr id="1188" name="Lin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ShapeType="1"/>
        </xdr:cNvSpPr>
      </xdr:nvSpPr>
      <xdr:spPr bwMode="auto">
        <a:xfrm>
          <a:off x="5810250" y="493299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146</xdr:row>
      <xdr:rowOff>0</xdr:rowOff>
    </xdr:from>
    <xdr:to>
      <xdr:col>7</xdr:col>
      <xdr:colOff>1619250</xdr:colOff>
      <xdr:row>146</xdr:row>
      <xdr:rowOff>0</xdr:rowOff>
    </xdr:to>
    <xdr:sp macro="" textlink="">
      <xdr:nvSpPr>
        <xdr:cNvPr id="1189" name="Line 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ShapeType="1"/>
        </xdr:cNvSpPr>
      </xdr:nvSpPr>
      <xdr:spPr bwMode="auto">
        <a:xfrm>
          <a:off x="9610725" y="493299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146</xdr:row>
      <xdr:rowOff>0</xdr:rowOff>
    </xdr:from>
    <xdr:to>
      <xdr:col>0</xdr:col>
      <xdr:colOff>4743450</xdr:colOff>
      <xdr:row>146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DC9BB90-5567-41BA-9D2F-58E3C7CB5487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146</xdr:row>
      <xdr:rowOff>0</xdr:rowOff>
    </xdr:from>
    <xdr:to>
      <xdr:col>3</xdr:col>
      <xdr:colOff>1619250</xdr:colOff>
      <xdr:row>146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C513F52-2525-4A67-8F39-21FF2A7109E0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1447800</xdr:colOff>
      <xdr:row>146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AD552E3C-365C-4B3E-81AA-79F9A762B61D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ShapeType="1"/>
        </xdr:cNvSpPr>
      </xdr:nvSpPr>
      <xdr:spPr bwMode="auto">
        <a:xfrm>
          <a:off x="1228725" y="17335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05" name="Line 2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ShapeType="1"/>
        </xdr:cNvSpPr>
      </xdr:nvSpPr>
      <xdr:spPr bwMode="auto">
        <a:xfrm>
          <a:off x="5295900" y="173355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06" name="Line 3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ShapeType="1"/>
        </xdr:cNvSpPr>
      </xdr:nvSpPr>
      <xdr:spPr bwMode="auto">
        <a:xfrm>
          <a:off x="8439150" y="173355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1295400</xdr:colOff>
      <xdr:row>43</xdr:row>
      <xdr:rowOff>0</xdr:rowOff>
    </xdr:from>
    <xdr:to>
      <xdr:col>0</xdr:col>
      <xdr:colOff>4276725</xdr:colOff>
      <xdr:row>43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ShapeType="1"/>
        </xdr:cNvSpPr>
      </xdr:nvSpPr>
      <xdr:spPr bwMode="auto">
        <a:xfrm>
          <a:off x="1295400" y="17335500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43</xdr:row>
      <xdr:rowOff>0</xdr:rowOff>
    </xdr:from>
    <xdr:to>
      <xdr:col>4</xdr:col>
      <xdr:colOff>552450</xdr:colOff>
      <xdr:row>43</xdr:row>
      <xdr:rowOff>0</xdr:rowOff>
    </xdr:to>
    <xdr:sp macro="" textlink="">
      <xdr:nvSpPr>
        <xdr:cNvPr id="2308" name="Line 2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ShapeType="1"/>
        </xdr:cNvSpPr>
      </xdr:nvSpPr>
      <xdr:spPr bwMode="auto">
        <a:xfrm>
          <a:off x="5057775" y="173355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981075</xdr:rowOff>
    </xdr:from>
    <xdr:to>
      <xdr:col>6</xdr:col>
      <xdr:colOff>200025</xdr:colOff>
      <xdr:row>42</xdr:row>
      <xdr:rowOff>981075</xdr:rowOff>
    </xdr:to>
    <xdr:sp macro="" textlink="">
      <xdr:nvSpPr>
        <xdr:cNvPr id="2309" name="Line 3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ShapeType="1"/>
        </xdr:cNvSpPr>
      </xdr:nvSpPr>
      <xdr:spPr bwMode="auto">
        <a:xfrm>
          <a:off x="8286750" y="17325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43</xdr:row>
      <xdr:rowOff>0</xdr:rowOff>
    </xdr:from>
    <xdr:to>
      <xdr:col>0</xdr:col>
      <xdr:colOff>4743450</xdr:colOff>
      <xdr:row>43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625C1F40-218B-41AB-8285-B2F5F614C627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43</xdr:row>
      <xdr:rowOff>0</xdr:rowOff>
    </xdr:from>
    <xdr:to>
      <xdr:col>3</xdr:col>
      <xdr:colOff>1619250</xdr:colOff>
      <xdr:row>43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4EEA3289-6A65-4749-A059-E64D3403BEA8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1447800</xdr:colOff>
      <xdr:row>43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F63D03D7-F563-4AD8-B313-71F9C1E84989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89</xdr:row>
      <xdr:rowOff>0</xdr:rowOff>
    </xdr:from>
    <xdr:to>
      <xdr:col>0</xdr:col>
      <xdr:colOff>3971925</xdr:colOff>
      <xdr:row>89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ShapeType="1"/>
        </xdr:cNvSpPr>
      </xdr:nvSpPr>
      <xdr:spPr bwMode="auto">
        <a:xfrm>
          <a:off x="1019175" y="249174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3</xdr:col>
      <xdr:colOff>723900</xdr:colOff>
      <xdr:row>89</xdr:row>
      <xdr:rowOff>0</xdr:rowOff>
    </xdr:to>
    <xdr:sp macro="" textlink="">
      <xdr:nvSpPr>
        <xdr:cNvPr id="4283" name="Line 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ShapeType="1"/>
        </xdr:cNvSpPr>
      </xdr:nvSpPr>
      <xdr:spPr bwMode="auto">
        <a:xfrm>
          <a:off x="4810125" y="249174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89</xdr:row>
      <xdr:rowOff>0</xdr:rowOff>
    </xdr:from>
    <xdr:to>
      <xdr:col>7</xdr:col>
      <xdr:colOff>0</xdr:colOff>
      <xdr:row>89</xdr:row>
      <xdr:rowOff>0</xdr:rowOff>
    </xdr:to>
    <xdr:sp macro="" textlink="">
      <xdr:nvSpPr>
        <xdr:cNvPr id="4284" name="Line 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ShapeType="1"/>
        </xdr:cNvSpPr>
      </xdr:nvSpPr>
      <xdr:spPr bwMode="auto">
        <a:xfrm>
          <a:off x="7477125" y="249174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89</xdr:row>
      <xdr:rowOff>0</xdr:rowOff>
    </xdr:from>
    <xdr:to>
      <xdr:col>0</xdr:col>
      <xdr:colOff>4743450</xdr:colOff>
      <xdr:row>89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B17D1F4-1719-4F41-B382-836F59F2CDAD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89</xdr:row>
      <xdr:rowOff>0</xdr:rowOff>
    </xdr:from>
    <xdr:to>
      <xdr:col>3</xdr:col>
      <xdr:colOff>1619250</xdr:colOff>
      <xdr:row>89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9B5B7F8-B793-4B2F-A064-58C010B69CC0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89</xdr:row>
      <xdr:rowOff>0</xdr:rowOff>
    </xdr:from>
    <xdr:to>
      <xdr:col>6</xdr:col>
      <xdr:colOff>1447800</xdr:colOff>
      <xdr:row>89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92EFD478-D6E1-426B-9A7B-7E0D6A9A1B07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00000000-0008-0000-0400-0000BA140000}"/>
            </a:ext>
          </a:extLst>
        </xdr:cNvPr>
        <xdr:cNvSpPr>
          <a:spLocks noChangeShapeType="1"/>
        </xdr:cNvSpPr>
      </xdr:nvSpPr>
      <xdr:spPr bwMode="auto">
        <a:xfrm>
          <a:off x="1019175" y="80200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07" name="Line 2">
          <a:extLst>
            <a:ext uri="{FF2B5EF4-FFF2-40B4-BE49-F238E27FC236}">
              <a16:creationId xmlns:a16="http://schemas.microsoft.com/office/drawing/2014/main" id="{00000000-0008-0000-0400-0000BB140000}"/>
            </a:ext>
          </a:extLst>
        </xdr:cNvPr>
        <xdr:cNvSpPr>
          <a:spLocks noChangeShapeType="1"/>
        </xdr:cNvSpPr>
      </xdr:nvSpPr>
      <xdr:spPr bwMode="auto">
        <a:xfrm>
          <a:off x="5172075" y="802005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08" name="Line 3">
          <a:extLst>
            <a:ext uri="{FF2B5EF4-FFF2-40B4-BE49-F238E27FC236}">
              <a16:creationId xmlns:a16="http://schemas.microsoft.com/office/drawing/2014/main" id="{00000000-0008-0000-0400-0000BC140000}"/>
            </a:ext>
          </a:extLst>
        </xdr:cNvPr>
        <xdr:cNvSpPr>
          <a:spLocks noChangeShapeType="1"/>
        </xdr:cNvSpPr>
      </xdr:nvSpPr>
      <xdr:spPr bwMode="auto">
        <a:xfrm>
          <a:off x="8391525" y="802005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15</xdr:row>
      <xdr:rowOff>0</xdr:rowOff>
    </xdr:from>
    <xdr:to>
      <xdr:col>0</xdr:col>
      <xdr:colOff>4743450</xdr:colOff>
      <xdr:row>15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3F20F19-C03F-4C2A-93AC-01D95672991F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15</xdr:row>
      <xdr:rowOff>0</xdr:rowOff>
    </xdr:from>
    <xdr:to>
      <xdr:col>3</xdr:col>
      <xdr:colOff>1619250</xdr:colOff>
      <xdr:row>15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458696A2-9950-4C04-8A60-6477AE1072A8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1447800</xdr:colOff>
      <xdr:row>15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5D27148E-D773-417D-A484-7CE2CE306522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00000000-0008-0000-0500-000005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>
          <a:extLst>
            <a:ext uri="{FF2B5EF4-FFF2-40B4-BE49-F238E27FC236}">
              <a16:creationId xmlns:a16="http://schemas.microsoft.com/office/drawing/2014/main" id="{00000000-0008-0000-0500-000006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>
          <a:extLst>
            <a:ext uri="{FF2B5EF4-FFF2-40B4-BE49-F238E27FC236}">
              <a16:creationId xmlns:a16="http://schemas.microsoft.com/office/drawing/2014/main" id="{00000000-0008-0000-0500-000007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00000000-0008-0000-0500-000009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10" name="Line 2">
          <a:extLst>
            <a:ext uri="{FF2B5EF4-FFF2-40B4-BE49-F238E27FC236}">
              <a16:creationId xmlns:a16="http://schemas.microsoft.com/office/drawing/2014/main" id="{00000000-0008-0000-0500-00000A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11" name="Line 3">
          <a:extLst>
            <a:ext uri="{FF2B5EF4-FFF2-40B4-BE49-F238E27FC236}">
              <a16:creationId xmlns:a16="http://schemas.microsoft.com/office/drawing/2014/main" id="{00000000-0008-0000-0500-00000B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23</xdr:row>
      <xdr:rowOff>0</xdr:rowOff>
    </xdr:from>
    <xdr:to>
      <xdr:col>0</xdr:col>
      <xdr:colOff>4743450</xdr:colOff>
      <xdr:row>23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589D3E39-7270-46F4-8D5B-0D922DE6FAFE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23</xdr:row>
      <xdr:rowOff>0</xdr:rowOff>
    </xdr:from>
    <xdr:to>
      <xdr:col>3</xdr:col>
      <xdr:colOff>1619250</xdr:colOff>
      <xdr:row>23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A1DE5525-FD2F-4610-A28C-0458528042EA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1447800</xdr:colOff>
      <xdr:row>23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5536DD1A-7C41-4FD1-B18B-A245648F212E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3"/>
    <pageSetUpPr fitToPage="1"/>
  </sheetPr>
  <dimension ref="A1:Q248"/>
  <sheetViews>
    <sheetView view="pageBreakPreview" topLeftCell="A58" zoomScale="60" zoomScaleNormal="60" workbookViewId="0">
      <selection activeCell="C67" sqref="C67:C76"/>
    </sheetView>
  </sheetViews>
  <sheetFormatPr defaultColWidth="9.1796875" defaultRowHeight="15.5"/>
  <cols>
    <col min="1" max="1" width="59.26953125" style="13" customWidth="1"/>
    <col min="2" max="2" width="10.1796875" style="14" customWidth="1"/>
    <col min="3" max="3" width="15.453125" style="14" customWidth="1"/>
    <col min="4" max="4" width="15.54296875" style="14" customWidth="1"/>
    <col min="5" max="5" width="14.7265625" style="14" customWidth="1"/>
    <col min="6" max="6" width="16.26953125" style="14" customWidth="1"/>
    <col min="7" max="7" width="17.1796875" style="14" customWidth="1"/>
    <col min="8" max="8" width="10" style="13" customWidth="1"/>
    <col min="9" max="9" width="9.54296875" style="13" customWidth="1"/>
    <col min="10" max="16384" width="9.1796875" style="13"/>
  </cols>
  <sheetData>
    <row r="1" spans="1:11">
      <c r="A1" s="51"/>
      <c r="B1" s="164"/>
      <c r="C1" s="66"/>
      <c r="D1" s="51"/>
      <c r="E1" s="51" t="s">
        <v>235</v>
      </c>
      <c r="F1" s="51"/>
      <c r="G1" s="51"/>
      <c r="H1" s="168"/>
      <c r="I1" s="168"/>
      <c r="J1" s="168"/>
      <c r="K1" s="168"/>
    </row>
    <row r="2" spans="1:11">
      <c r="A2" s="169"/>
      <c r="B2" s="66"/>
      <c r="C2" s="66"/>
      <c r="D2" s="54"/>
      <c r="E2" s="233" t="s">
        <v>483</v>
      </c>
      <c r="F2" s="233"/>
      <c r="G2" s="233"/>
      <c r="H2" s="168"/>
      <c r="I2" s="168"/>
      <c r="J2" s="168"/>
      <c r="K2" s="168"/>
    </row>
    <row r="3" spans="1:11">
      <c r="A3" s="66"/>
      <c r="B3" s="66"/>
      <c r="C3" s="54"/>
      <c r="D3" s="54"/>
      <c r="E3" s="233"/>
      <c r="F3" s="233"/>
      <c r="G3" s="233"/>
      <c r="H3" s="168"/>
      <c r="I3" s="168"/>
      <c r="J3" s="168"/>
      <c r="K3" s="168"/>
    </row>
    <row r="4" spans="1:11">
      <c r="A4" s="66"/>
      <c r="B4" s="66"/>
      <c r="C4" s="54"/>
      <c r="D4" s="54"/>
      <c r="E4" s="233"/>
      <c r="F4" s="233"/>
      <c r="G4" s="233"/>
      <c r="H4" s="168"/>
      <c r="I4" s="168"/>
      <c r="J4" s="168"/>
      <c r="K4" s="168"/>
    </row>
    <row r="5" spans="1:11">
      <c r="A5" s="51"/>
      <c r="B5" s="66"/>
      <c r="C5" s="66"/>
      <c r="D5" s="66"/>
      <c r="E5" s="234"/>
      <c r="F5" s="234"/>
      <c r="G5" s="234"/>
    </row>
    <row r="6" spans="1:11">
      <c r="A6" s="170"/>
      <c r="B6" s="240"/>
      <c r="C6" s="240"/>
      <c r="D6" s="240"/>
      <c r="E6" s="171"/>
      <c r="F6" s="172" t="s">
        <v>543</v>
      </c>
      <c r="G6" s="173" t="s">
        <v>256</v>
      </c>
    </row>
    <row r="7" spans="1:11" ht="55.5" customHeight="1">
      <c r="A7" s="174" t="s">
        <v>14</v>
      </c>
      <c r="B7" s="240" t="s">
        <v>454</v>
      </c>
      <c r="C7" s="240"/>
      <c r="D7" s="240"/>
      <c r="E7" s="175"/>
      <c r="F7" s="176" t="s">
        <v>130</v>
      </c>
      <c r="G7" s="173">
        <v>21926724</v>
      </c>
    </row>
    <row r="8" spans="1:11">
      <c r="A8" s="170" t="s">
        <v>15</v>
      </c>
      <c r="B8" s="240" t="s">
        <v>368</v>
      </c>
      <c r="C8" s="240"/>
      <c r="D8" s="240"/>
      <c r="E8" s="171"/>
      <c r="F8" s="176" t="s">
        <v>129</v>
      </c>
      <c r="G8" s="173">
        <v>150</v>
      </c>
    </row>
    <row r="9" spans="1:11">
      <c r="A9" s="170" t="s">
        <v>19</v>
      </c>
      <c r="B9" s="240" t="s">
        <v>369</v>
      </c>
      <c r="C9" s="240"/>
      <c r="D9" s="240"/>
      <c r="E9" s="171"/>
      <c r="F9" s="176" t="s">
        <v>128</v>
      </c>
      <c r="G9" s="173">
        <v>1210136600</v>
      </c>
    </row>
    <row r="10" spans="1:11" ht="30.75" customHeight="1">
      <c r="A10" s="174" t="s">
        <v>455</v>
      </c>
      <c r="B10" s="240" t="s">
        <v>370</v>
      </c>
      <c r="C10" s="240"/>
      <c r="D10" s="240"/>
      <c r="E10" s="175"/>
      <c r="F10" s="176" t="s">
        <v>9</v>
      </c>
      <c r="G10" s="173">
        <v>1009</v>
      </c>
    </row>
    <row r="11" spans="1:11" ht="35.25" customHeight="1">
      <c r="A11" s="174" t="s">
        <v>17</v>
      </c>
      <c r="B11" s="240" t="s">
        <v>372</v>
      </c>
      <c r="C11" s="240"/>
      <c r="D11" s="240"/>
      <c r="E11" s="175"/>
      <c r="F11" s="176" t="s">
        <v>8</v>
      </c>
      <c r="G11" s="173">
        <v>90310</v>
      </c>
    </row>
    <row r="12" spans="1:11" ht="33.75" customHeight="1">
      <c r="A12" s="174" t="s">
        <v>16</v>
      </c>
      <c r="B12" s="240" t="s">
        <v>371</v>
      </c>
      <c r="C12" s="240"/>
      <c r="D12" s="240"/>
      <c r="E12" s="175"/>
      <c r="F12" s="176" t="s">
        <v>10</v>
      </c>
      <c r="G12" s="173" t="s">
        <v>376</v>
      </c>
    </row>
    <row r="13" spans="1:11">
      <c r="A13" s="174" t="s">
        <v>373</v>
      </c>
      <c r="B13" s="240"/>
      <c r="C13" s="240"/>
      <c r="D13" s="240"/>
      <c r="E13" s="240" t="s">
        <v>189</v>
      </c>
      <c r="F13" s="244"/>
      <c r="G13" s="177"/>
    </row>
    <row r="14" spans="1:11">
      <c r="A14" s="174" t="s">
        <v>20</v>
      </c>
      <c r="B14" s="240" t="s">
        <v>374</v>
      </c>
      <c r="C14" s="240"/>
      <c r="D14" s="240"/>
      <c r="E14" s="240" t="s">
        <v>190</v>
      </c>
      <c r="F14" s="246"/>
      <c r="G14" s="177"/>
    </row>
    <row r="15" spans="1:11">
      <c r="A15" s="174" t="s">
        <v>106</v>
      </c>
      <c r="B15" s="240">
        <v>145</v>
      </c>
      <c r="C15" s="240"/>
      <c r="D15" s="240"/>
      <c r="E15" s="178"/>
      <c r="F15" s="178"/>
      <c r="G15" s="178"/>
    </row>
    <row r="16" spans="1:11">
      <c r="A16" s="170" t="s">
        <v>11</v>
      </c>
      <c r="B16" s="240" t="s">
        <v>375</v>
      </c>
      <c r="C16" s="240"/>
      <c r="D16" s="240"/>
      <c r="E16" s="179"/>
      <c r="F16" s="179"/>
      <c r="G16" s="179"/>
    </row>
    <row r="17" spans="1:17">
      <c r="A17" s="174" t="s">
        <v>12</v>
      </c>
      <c r="B17" s="240"/>
      <c r="C17" s="240"/>
      <c r="D17" s="240"/>
      <c r="E17" s="178"/>
      <c r="F17" s="178"/>
      <c r="G17" s="178"/>
    </row>
    <row r="18" spans="1:17">
      <c r="A18" s="170" t="s">
        <v>13</v>
      </c>
      <c r="B18" s="240" t="s">
        <v>515</v>
      </c>
      <c r="C18" s="240"/>
      <c r="D18" s="240"/>
      <c r="E18" s="179"/>
      <c r="F18" s="179"/>
      <c r="G18" s="179"/>
    </row>
    <row r="19" spans="1:17">
      <c r="A19" s="56"/>
      <c r="B19" s="51"/>
      <c r="C19" s="51"/>
      <c r="D19" s="51"/>
      <c r="E19" s="51"/>
      <c r="F19" s="51"/>
      <c r="G19" s="51"/>
    </row>
    <row r="20" spans="1:17">
      <c r="A20" s="251" t="s">
        <v>236</v>
      </c>
      <c r="B20" s="251"/>
      <c r="C20" s="251"/>
      <c r="D20" s="251"/>
      <c r="E20" s="251"/>
      <c r="F20" s="251"/>
      <c r="G20" s="251"/>
    </row>
    <row r="21" spans="1:17">
      <c r="A21" s="251" t="s">
        <v>360</v>
      </c>
      <c r="B21" s="251"/>
      <c r="C21" s="251"/>
      <c r="D21" s="251"/>
      <c r="E21" s="251"/>
      <c r="F21" s="251"/>
      <c r="G21" s="251"/>
    </row>
    <row r="22" spans="1:17">
      <c r="A22" s="249" t="s">
        <v>555</v>
      </c>
      <c r="B22" s="249"/>
      <c r="C22" s="249"/>
      <c r="D22" s="249"/>
      <c r="E22" s="249"/>
      <c r="F22" s="249"/>
      <c r="G22" s="249"/>
    </row>
    <row r="23" spans="1:17">
      <c r="A23" s="232" t="s">
        <v>343</v>
      </c>
      <c r="B23" s="232"/>
      <c r="C23" s="232"/>
      <c r="D23" s="232"/>
      <c r="E23" s="232"/>
      <c r="F23" s="232"/>
      <c r="G23" s="232"/>
    </row>
    <row r="24" spans="1:17">
      <c r="A24" s="36"/>
      <c r="B24" s="36"/>
      <c r="C24" s="36"/>
      <c r="D24" s="36"/>
      <c r="E24" s="36"/>
      <c r="F24" s="36"/>
      <c r="G24" s="36"/>
    </row>
    <row r="25" spans="1:17">
      <c r="A25" s="252" t="s">
        <v>202</v>
      </c>
      <c r="B25" s="252"/>
      <c r="C25" s="252"/>
      <c r="D25" s="252"/>
      <c r="E25" s="252"/>
      <c r="F25" s="252"/>
      <c r="G25" s="252"/>
    </row>
    <row r="26" spans="1:17">
      <c r="B26" s="58"/>
      <c r="C26" s="58"/>
      <c r="D26" s="58"/>
      <c r="E26" s="58"/>
      <c r="F26" s="58"/>
      <c r="G26" s="58"/>
    </row>
    <row r="27" spans="1:17">
      <c r="A27" s="250" t="s">
        <v>283</v>
      </c>
      <c r="B27" s="239" t="s">
        <v>18</v>
      </c>
      <c r="C27" s="247" t="s">
        <v>344</v>
      </c>
      <c r="D27" s="245" t="s">
        <v>342</v>
      </c>
      <c r="E27" s="245"/>
      <c r="F27" s="245"/>
      <c r="G27" s="245"/>
      <c r="Q27" s="13" t="s">
        <v>353</v>
      </c>
    </row>
    <row r="28" spans="1:17">
      <c r="A28" s="250"/>
      <c r="B28" s="239"/>
      <c r="C28" s="248"/>
      <c r="D28" s="59" t="s">
        <v>261</v>
      </c>
      <c r="E28" s="59" t="s">
        <v>244</v>
      </c>
      <c r="F28" s="59" t="s">
        <v>271</v>
      </c>
      <c r="G28" s="59" t="s">
        <v>272</v>
      </c>
    </row>
    <row r="29" spans="1:17">
      <c r="A29" s="27">
        <v>1</v>
      </c>
      <c r="B29" s="17">
        <v>2</v>
      </c>
      <c r="C29" s="27">
        <v>3</v>
      </c>
      <c r="D29" s="27">
        <v>4</v>
      </c>
      <c r="E29" s="17">
        <v>5</v>
      </c>
      <c r="F29" s="27">
        <v>6</v>
      </c>
      <c r="G29" s="17">
        <v>7</v>
      </c>
    </row>
    <row r="30" spans="1:17">
      <c r="A30" s="238" t="s">
        <v>99</v>
      </c>
      <c r="B30" s="238"/>
      <c r="C30" s="238"/>
      <c r="D30" s="238"/>
      <c r="E30" s="238"/>
      <c r="F30" s="238"/>
      <c r="G30" s="238"/>
    </row>
    <row r="31" spans="1:17">
      <c r="A31" s="1" t="s">
        <v>203</v>
      </c>
      <c r="B31" s="17">
        <f>'1. Фін результат'!B9</f>
        <v>1000</v>
      </c>
      <c r="C31" s="31">
        <f>'1. Фін результат'!C9</f>
        <v>14697.5</v>
      </c>
      <c r="D31" s="31">
        <f>'1. Фін результат'!D9</f>
        <v>16914</v>
      </c>
      <c r="E31" s="31">
        <f>'1. Фін результат'!E9</f>
        <v>9906</v>
      </c>
      <c r="F31" s="31">
        <f>E31-D31</f>
        <v>-7008</v>
      </c>
      <c r="G31" s="65">
        <f>E31/D31*100</f>
        <v>58.566867683575744</v>
      </c>
    </row>
    <row r="32" spans="1:17">
      <c r="A32" s="1" t="s">
        <v>173</v>
      </c>
      <c r="B32" s="17">
        <f>'1. Фін результат'!B11</f>
        <v>1010</v>
      </c>
      <c r="C32" s="31">
        <f>'1. Фін результат'!C11</f>
        <v>15505.5</v>
      </c>
      <c r="D32" s="31">
        <f>'1. Фін результат'!D11</f>
        <v>23702</v>
      </c>
      <c r="E32" s="31">
        <f>'1. Фін результат'!E11</f>
        <v>15585.1</v>
      </c>
      <c r="F32" s="31">
        <f t="shared" ref="F32:F45" si="0">E32-D32</f>
        <v>-8116.9</v>
      </c>
      <c r="G32" s="65">
        <f t="shared" ref="G32:G45" si="1">E32/D32*100</f>
        <v>65.75436672010801</v>
      </c>
    </row>
    <row r="33" spans="1:7">
      <c r="A33" s="2" t="s">
        <v>262</v>
      </c>
      <c r="B33" s="17">
        <f>'1. Фін результат'!B31</f>
        <v>1020</v>
      </c>
      <c r="C33" s="31">
        <f>'1. Фін результат'!C31</f>
        <v>-808</v>
      </c>
      <c r="D33" s="31">
        <f>'1. Фін результат'!D31</f>
        <v>-6788</v>
      </c>
      <c r="E33" s="31">
        <f>'1. Фін результат'!E31</f>
        <v>-5679.1</v>
      </c>
      <c r="F33" s="31">
        <f t="shared" si="0"/>
        <v>1108.8999999999996</v>
      </c>
      <c r="G33" s="65">
        <f t="shared" si="1"/>
        <v>83.663818503241018</v>
      </c>
    </row>
    <row r="34" spans="1:7">
      <c r="A34" s="1" t="s">
        <v>140</v>
      </c>
      <c r="B34" s="17">
        <f>'1. Фін результат'!B35</f>
        <v>1040</v>
      </c>
      <c r="C34" s="31">
        <f>'1. Фін результат'!C35</f>
        <v>3028</v>
      </c>
      <c r="D34" s="31">
        <f>'1. Фін результат'!D35</f>
        <v>4207</v>
      </c>
      <c r="E34" s="31">
        <f>'1. Фін результат'!E35</f>
        <v>3383.8</v>
      </c>
      <c r="F34" s="31">
        <f t="shared" si="0"/>
        <v>-823.19999999999982</v>
      </c>
      <c r="G34" s="65">
        <f t="shared" si="1"/>
        <v>80.432612312811983</v>
      </c>
    </row>
    <row r="35" spans="1:7">
      <c r="A35" s="1" t="s">
        <v>137</v>
      </c>
      <c r="B35" s="17">
        <f>'1. Фін результат'!B67</f>
        <v>1070</v>
      </c>
      <c r="C35" s="31">
        <f>'1. Фін результат'!C67</f>
        <v>1282.5</v>
      </c>
      <c r="D35" s="31">
        <f>'1. Фін результат'!D67</f>
        <v>1502</v>
      </c>
      <c r="E35" s="31">
        <f>'1. Фін результат'!E67</f>
        <v>1289.8</v>
      </c>
      <c r="F35" s="31">
        <f t="shared" si="0"/>
        <v>-212.20000000000005</v>
      </c>
      <c r="G35" s="65">
        <f t="shared" si="1"/>
        <v>85.872170439414106</v>
      </c>
    </row>
    <row r="36" spans="1:7">
      <c r="A36" s="1" t="s">
        <v>141</v>
      </c>
      <c r="B36" s="17">
        <f>'1. Фін результат'!B124</f>
        <v>1300</v>
      </c>
      <c r="C36" s="31">
        <f>'1. Фін результат'!C32-'1. Фін результат'!C88</f>
        <v>4889</v>
      </c>
      <c r="D36" s="31">
        <f>'1. Фін результат'!D32-'1. Фін результат'!D88</f>
        <v>14709</v>
      </c>
      <c r="E36" s="31">
        <f>'1. Фін результат'!E32-'1. Фін результат'!E88</f>
        <v>11028</v>
      </c>
      <c r="F36" s="31">
        <f t="shared" si="0"/>
        <v>-3681</v>
      </c>
      <c r="G36" s="119">
        <f t="shared" si="1"/>
        <v>74.97450540485417</v>
      </c>
    </row>
    <row r="37" spans="1:7">
      <c r="A37" s="97" t="s">
        <v>4</v>
      </c>
      <c r="B37" s="17">
        <f>'1. Фін результат'!B100</f>
        <v>1100</v>
      </c>
      <c r="C37" s="31">
        <f>'1. Фін результат'!C100</f>
        <v>-229.5</v>
      </c>
      <c r="D37" s="31">
        <f>'1. Фін результат'!D100</f>
        <v>2212</v>
      </c>
      <c r="E37" s="31">
        <f>'1. Фін результат'!E100</f>
        <v>675.2999999999995</v>
      </c>
      <c r="F37" s="31">
        <f t="shared" si="0"/>
        <v>-1536.7000000000005</v>
      </c>
      <c r="G37" s="65">
        <f t="shared" si="1"/>
        <v>30.528933092224207</v>
      </c>
    </row>
    <row r="38" spans="1:7">
      <c r="A38" s="180" t="s">
        <v>142</v>
      </c>
      <c r="B38" s="17">
        <f>'1. Фін результат'!B135</f>
        <v>1410</v>
      </c>
      <c r="C38" s="31">
        <f>'1. Фін результат'!C135</f>
        <v>285.5</v>
      </c>
      <c r="D38" s="31">
        <f>'1. Фін результат'!D135</f>
        <v>2776</v>
      </c>
      <c r="E38" s="31">
        <f>'1. Фін результат'!E135</f>
        <v>1356.2999999999995</v>
      </c>
      <c r="F38" s="31">
        <f t="shared" si="0"/>
        <v>-1419.7000000000005</v>
      </c>
      <c r="G38" s="65">
        <f t="shared" si="1"/>
        <v>48.85806916426511</v>
      </c>
    </row>
    <row r="39" spans="1:7">
      <c r="A39" s="106" t="s">
        <v>226</v>
      </c>
      <c r="B39" s="17">
        <f>' 5. Коефіцієнти'!B8</f>
        <v>5010</v>
      </c>
      <c r="C39" s="31">
        <f>'фінплан - зведені показники'!C38/'фінплан - зведені показники'!C31</f>
        <v>1.9425072291205988E-2</v>
      </c>
      <c r="D39" s="181">
        <f>'фінплан - зведені показники'!D38/'фінплан - зведені показники'!D31</f>
        <v>0.16412439399314177</v>
      </c>
      <c r="E39" s="181">
        <f>'фінплан - зведені показники'!E38/'фінплан - зведені показники'!E31</f>
        <v>0.13691701998788608</v>
      </c>
      <c r="F39" s="31">
        <f t="shared" si="0"/>
        <v>-2.7207374005255691E-2</v>
      </c>
      <c r="G39" s="65">
        <f t="shared" si="1"/>
        <v>83.422711674175261</v>
      </c>
    </row>
    <row r="40" spans="1:7">
      <c r="A40" s="106" t="s">
        <v>143</v>
      </c>
      <c r="B40" s="17">
        <f>'1. Фін результат'!B125</f>
        <v>1310</v>
      </c>
      <c r="C40" s="31">
        <f>'1. Фін результат'!C125</f>
        <v>1</v>
      </c>
      <c r="D40" s="31">
        <f>'1. Фін результат'!D125</f>
        <v>0</v>
      </c>
      <c r="E40" s="31">
        <f>'1. Фін результат'!E125</f>
        <v>0</v>
      </c>
      <c r="F40" s="31">
        <f t="shared" si="0"/>
        <v>0</v>
      </c>
      <c r="G40" s="119" t="e">
        <f t="shared" si="1"/>
        <v>#DIV/0!</v>
      </c>
    </row>
    <row r="41" spans="1:7">
      <c r="A41" s="1" t="s">
        <v>230</v>
      </c>
      <c r="B41" s="17">
        <f>'1. Фін результат'!B126</f>
        <v>1320</v>
      </c>
      <c r="C41" s="31">
        <f>'1. Фін результат'!C106-'1. Фін результат'!C112</f>
        <v>352.2</v>
      </c>
      <c r="D41" s="31">
        <f>'1. Фін результат'!D106-'1. Фін результат'!D112</f>
        <v>564</v>
      </c>
      <c r="E41" s="31">
        <f>'1. Фін результат'!E106-'1. Фін результат'!E112</f>
        <v>0</v>
      </c>
      <c r="F41" s="31">
        <f t="shared" si="0"/>
        <v>-564</v>
      </c>
      <c r="G41" s="65">
        <f t="shared" si="1"/>
        <v>0</v>
      </c>
    </row>
    <row r="42" spans="1:7">
      <c r="A42" s="180" t="s">
        <v>97</v>
      </c>
      <c r="B42" s="17">
        <f>'1. Фін результат'!B116</f>
        <v>1170</v>
      </c>
      <c r="C42" s="31">
        <f>'1. Фін результат'!C116</f>
        <v>123.69999999999999</v>
      </c>
      <c r="D42" s="31">
        <f>'1. Фін результат'!D116</f>
        <v>2776</v>
      </c>
      <c r="E42" s="31">
        <f>'1. Фін результат'!E116</f>
        <v>675.2999999999995</v>
      </c>
      <c r="F42" s="31">
        <f t="shared" si="0"/>
        <v>-2100.7000000000007</v>
      </c>
      <c r="G42" s="65">
        <f t="shared" si="1"/>
        <v>24.326368876080672</v>
      </c>
    </row>
    <row r="43" spans="1:7">
      <c r="A43" s="18" t="s">
        <v>138</v>
      </c>
      <c r="B43" s="17">
        <f>'1. Фін результат'!B117</f>
        <v>1180</v>
      </c>
      <c r="C43" s="31">
        <f>'1. Фін результат'!C117</f>
        <v>0</v>
      </c>
      <c r="D43" s="31">
        <f>'1. Фін результат'!D117</f>
        <v>0</v>
      </c>
      <c r="E43" s="31">
        <f>'1. Фін результат'!E117</f>
        <v>0</v>
      </c>
      <c r="F43" s="31">
        <f t="shared" si="0"/>
        <v>0</v>
      </c>
      <c r="G43" s="119" t="e">
        <f t="shared" si="1"/>
        <v>#DIV/0!</v>
      </c>
    </row>
    <row r="44" spans="1:7">
      <c r="A44" s="97" t="s">
        <v>227</v>
      </c>
      <c r="B44" s="17">
        <f>'1. Фін результат'!B119</f>
        <v>1200</v>
      </c>
      <c r="C44" s="31">
        <f>'1. Фін результат'!C119</f>
        <v>123.69999999999999</v>
      </c>
      <c r="D44" s="31">
        <f>'1. Фін результат'!D119</f>
        <v>2776</v>
      </c>
      <c r="E44" s="31">
        <f>'1. Фін результат'!E119</f>
        <v>675.2999999999995</v>
      </c>
      <c r="F44" s="31">
        <f t="shared" si="0"/>
        <v>-2100.7000000000007</v>
      </c>
      <c r="G44" s="65">
        <f t="shared" si="1"/>
        <v>24.326368876080672</v>
      </c>
    </row>
    <row r="45" spans="1:7">
      <c r="A45" s="106" t="s">
        <v>228</v>
      </c>
      <c r="B45" s="17">
        <f>' 5. Коефіцієнти'!B11</f>
        <v>5040</v>
      </c>
      <c r="C45" s="31">
        <f>C44/C31</f>
        <v>8.4163973464874975E-3</v>
      </c>
      <c r="D45" s="182">
        <f>D44/D31</f>
        <v>0.16412439399314177</v>
      </c>
      <c r="E45" s="183">
        <f>E44/E31</f>
        <v>6.8170805572380325E-2</v>
      </c>
      <c r="F45" s="31">
        <f t="shared" si="0"/>
        <v>-9.5953588420761446E-2</v>
      </c>
      <c r="G45" s="65">
        <f t="shared" si="1"/>
        <v>41.536059274180147</v>
      </c>
    </row>
    <row r="46" spans="1:7">
      <c r="A46" s="235" t="s">
        <v>155</v>
      </c>
      <c r="B46" s="236"/>
      <c r="C46" s="236"/>
      <c r="D46" s="236"/>
      <c r="E46" s="236"/>
      <c r="F46" s="236"/>
      <c r="G46" s="237"/>
    </row>
    <row r="47" spans="1:7">
      <c r="A47" s="106" t="s">
        <v>345</v>
      </c>
      <c r="B47" s="17">
        <f>'2. Розрахунки з бюджетом'!B21</f>
        <v>2100</v>
      </c>
      <c r="C47" s="31">
        <f>'2. Розрахунки з бюджетом'!C9</f>
        <v>55</v>
      </c>
      <c r="D47" s="31">
        <f>'2. Розрахунки з бюджетом'!D9</f>
        <v>1832</v>
      </c>
      <c r="E47" s="31">
        <f>'2. Розрахунки з бюджетом'!E9</f>
        <v>114.6</v>
      </c>
      <c r="F47" s="31">
        <f t="shared" ref="F47:F52" si="2">E47-D47</f>
        <v>-1717.4</v>
      </c>
      <c r="G47" s="65">
        <f t="shared" ref="G47:G52" si="3">E47/D47*100</f>
        <v>6.2554585152838422</v>
      </c>
    </row>
    <row r="48" spans="1:7">
      <c r="A48" s="75" t="s">
        <v>154</v>
      </c>
      <c r="B48" s="17">
        <f>'2. Розрахунки з бюджетом'!B24</f>
        <v>2110</v>
      </c>
      <c r="C48" s="31">
        <f>'2. Розрахунки з бюджетом'!C24</f>
        <v>0</v>
      </c>
      <c r="D48" s="31">
        <f>'2. Розрахунки з бюджетом'!D24</f>
        <v>0</v>
      </c>
      <c r="E48" s="31">
        <f>'2. Розрахунки з бюджетом'!E24</f>
        <v>0</v>
      </c>
      <c r="F48" s="31">
        <f t="shared" si="2"/>
        <v>0</v>
      </c>
      <c r="G48" s="119" t="e">
        <f t="shared" si="3"/>
        <v>#DIV/0!</v>
      </c>
    </row>
    <row r="49" spans="1:7" ht="31">
      <c r="A49" s="75" t="s">
        <v>337</v>
      </c>
      <c r="B49" s="17" t="s">
        <v>315</v>
      </c>
      <c r="C49" s="31">
        <f>'2. Розрахунки з бюджетом'!C25+'2. Розрахунки з бюджетом'!C26</f>
        <v>824</v>
      </c>
      <c r="D49" s="31">
        <f>'2. Розрахунки з бюджетом'!D25+'2. Розрахунки з бюджетом'!D26</f>
        <v>374</v>
      </c>
      <c r="E49" s="31">
        <f>'2. Розрахунки з бюджетом'!E25+'2. Розрахунки з бюджетом'!E26</f>
        <v>0</v>
      </c>
      <c r="F49" s="31">
        <f t="shared" si="2"/>
        <v>-374</v>
      </c>
      <c r="G49" s="65">
        <f t="shared" si="3"/>
        <v>0</v>
      </c>
    </row>
    <row r="50" spans="1:7" ht="31">
      <c r="A50" s="106" t="s">
        <v>254</v>
      </c>
      <c r="B50" s="17">
        <f>'2. Розрахунки з бюджетом'!B27</f>
        <v>2140</v>
      </c>
      <c r="C50" s="31">
        <f>'2. Розрахунки з бюджетом'!C27</f>
        <v>2292</v>
      </c>
      <c r="D50" s="31">
        <f>'2. Розрахунки з бюджетом'!D27</f>
        <v>3563</v>
      </c>
      <c r="E50" s="31">
        <f>'2. Розрахунки з бюджетом'!E27</f>
        <v>2189</v>
      </c>
      <c r="F50" s="31">
        <f t="shared" si="2"/>
        <v>-1374</v>
      </c>
      <c r="G50" s="65">
        <f t="shared" si="3"/>
        <v>61.43699129946674</v>
      </c>
    </row>
    <row r="51" spans="1:7" ht="31">
      <c r="A51" s="106" t="s">
        <v>84</v>
      </c>
      <c r="B51" s="17">
        <f>'2. Розрахунки з бюджетом'!B40</f>
        <v>2150</v>
      </c>
      <c r="C51" s="31">
        <f>'2. Розрахунки з бюджетом'!C40</f>
        <v>2477</v>
      </c>
      <c r="D51" s="31">
        <f>'2. Розрахунки з бюджетом'!D40</f>
        <v>3924</v>
      </c>
      <c r="E51" s="31">
        <f>'2. Розрахунки з бюджетом'!E40</f>
        <v>2382.4</v>
      </c>
      <c r="F51" s="31">
        <f t="shared" si="2"/>
        <v>-1541.6</v>
      </c>
      <c r="G51" s="65">
        <f t="shared" si="3"/>
        <v>60.713557594291544</v>
      </c>
    </row>
    <row r="52" spans="1:7">
      <c r="A52" s="180" t="s">
        <v>263</v>
      </c>
      <c r="B52" s="17">
        <f>'2. Розрахунки з бюджетом'!B41</f>
        <v>2200</v>
      </c>
      <c r="C52" s="31">
        <f>'2. Розрахунки з бюджетом'!C41</f>
        <v>5648</v>
      </c>
      <c r="D52" s="31">
        <f>'2. Розрахунки з бюджетом'!D41</f>
        <v>9693</v>
      </c>
      <c r="E52" s="31">
        <f>'2. Розрахунки з бюджетом'!E41</f>
        <v>4686</v>
      </c>
      <c r="F52" s="31">
        <f t="shared" si="2"/>
        <v>-5007</v>
      </c>
      <c r="G52" s="65">
        <f t="shared" si="3"/>
        <v>48.344165892912407</v>
      </c>
    </row>
    <row r="53" spans="1:7">
      <c r="A53" s="235" t="s">
        <v>153</v>
      </c>
      <c r="B53" s="236"/>
      <c r="C53" s="236"/>
      <c r="D53" s="236"/>
      <c r="E53" s="236"/>
      <c r="F53" s="236"/>
      <c r="G53" s="237"/>
    </row>
    <row r="54" spans="1:7">
      <c r="A54" s="180" t="s">
        <v>144</v>
      </c>
      <c r="B54" s="17">
        <f>'3. Рух грошових коштів'!B83</f>
        <v>3600</v>
      </c>
      <c r="C54" s="31">
        <f>'3. Рух грошових коштів'!C83</f>
        <v>5915</v>
      </c>
      <c r="D54" s="31">
        <f>'3. Рух грошових коштів'!D83</f>
        <v>7588</v>
      </c>
      <c r="E54" s="31">
        <f>'3. Рух грошових коштів'!E83</f>
        <v>3582.3</v>
      </c>
      <c r="F54" s="31">
        <f t="shared" ref="F54:F59" si="4">E54-D54</f>
        <v>-4005.7</v>
      </c>
      <c r="G54" s="65">
        <f t="shared" ref="G54:G59" si="5">E54/D54*100</f>
        <v>47.210068529256723</v>
      </c>
    </row>
    <row r="55" spans="1:7">
      <c r="A55" s="106" t="s">
        <v>145</v>
      </c>
      <c r="B55" s="17">
        <f>'3. Рух грошових коштів'!B30</f>
        <v>3090</v>
      </c>
      <c r="C55" s="31">
        <f>'3. Рух грошових коштів'!C30</f>
        <v>4502.7999999999993</v>
      </c>
      <c r="D55" s="31">
        <f>'3. Рух грошових коштів'!D30</f>
        <v>2776</v>
      </c>
      <c r="E55" s="31">
        <f>'3. Рух грошових коштів'!E30</f>
        <v>2087.1999999999998</v>
      </c>
      <c r="F55" s="31">
        <f t="shared" si="4"/>
        <v>-688.80000000000018</v>
      </c>
      <c r="G55" s="65">
        <f t="shared" si="5"/>
        <v>75.187319884726222</v>
      </c>
    </row>
    <row r="56" spans="1:7">
      <c r="A56" s="106" t="s">
        <v>231</v>
      </c>
      <c r="B56" s="17">
        <f>'3. Рух грошових коштів'!B50</f>
        <v>3320</v>
      </c>
      <c r="C56" s="31">
        <f>'3. Рух грошових коштів'!C50</f>
        <v>-1121</v>
      </c>
      <c r="D56" s="31">
        <f>'3. Рух грошових коштів'!D50</f>
        <v>-7874</v>
      </c>
      <c r="E56" s="31">
        <f>'3. Рух грошових коштів'!E50</f>
        <v>-768</v>
      </c>
      <c r="F56" s="31">
        <f t="shared" si="4"/>
        <v>7106</v>
      </c>
      <c r="G56" s="65">
        <f t="shared" si="5"/>
        <v>9.7536195072390139</v>
      </c>
    </row>
    <row r="57" spans="1:7">
      <c r="A57" s="106" t="s">
        <v>146</v>
      </c>
      <c r="B57" s="17">
        <f>'3. Рух грошових коштів'!B81</f>
        <v>3580</v>
      </c>
      <c r="C57" s="31">
        <f>'3. Рух грошових коштів'!C81</f>
        <v>575</v>
      </c>
      <c r="D57" s="31">
        <f>'3. Рух грошових коштів'!D81</f>
        <v>5668</v>
      </c>
      <c r="E57" s="31">
        <f>'3. Рух грошових коштів'!E81</f>
        <v>-485.6</v>
      </c>
      <c r="F57" s="31">
        <f t="shared" si="4"/>
        <v>-6153.6</v>
      </c>
      <c r="G57" s="65">
        <f t="shared" si="5"/>
        <v>-8.5673959068454479</v>
      </c>
    </row>
    <row r="58" spans="1:7">
      <c r="A58" s="106" t="s">
        <v>168</v>
      </c>
      <c r="B58" s="17">
        <f>'3. Рух грошових коштів'!B84</f>
        <v>3610</v>
      </c>
      <c r="C58" s="31"/>
      <c r="D58" s="31"/>
      <c r="E58" s="31"/>
      <c r="F58" s="31">
        <f t="shared" si="4"/>
        <v>0</v>
      </c>
      <c r="G58" s="119" t="e">
        <f t="shared" si="5"/>
        <v>#DIV/0!</v>
      </c>
    </row>
    <row r="59" spans="1:7">
      <c r="A59" s="180" t="s">
        <v>147</v>
      </c>
      <c r="B59" s="17">
        <f>'3. Рух грошових коштів'!B85</f>
        <v>3620</v>
      </c>
      <c r="C59" s="31">
        <f>'3. Рух грошових коштів'!C85</f>
        <v>9871.7999999999993</v>
      </c>
      <c r="D59" s="31">
        <f>'3. Рух грошових коштів'!D85</f>
        <v>8158</v>
      </c>
      <c r="E59" s="31">
        <f>'3. Рух грошових коштів'!E85</f>
        <v>4415.8999999999996</v>
      </c>
      <c r="F59" s="31">
        <f t="shared" si="4"/>
        <v>-3742.1000000000004</v>
      </c>
      <c r="G59" s="65">
        <f t="shared" si="5"/>
        <v>54.129688649178718</v>
      </c>
    </row>
    <row r="60" spans="1:7">
      <c r="A60" s="242" t="s">
        <v>210</v>
      </c>
      <c r="B60" s="243"/>
      <c r="C60" s="243"/>
      <c r="D60" s="243"/>
      <c r="E60" s="243"/>
      <c r="F60" s="243"/>
      <c r="G60" s="243"/>
    </row>
    <row r="61" spans="1:7">
      <c r="A61" s="106" t="s">
        <v>209</v>
      </c>
      <c r="B61" s="27">
        <f>'4. Кап. інвестиції'!B6</f>
        <v>4000</v>
      </c>
      <c r="C61" s="31">
        <f>'4. Кап. інвестиції'!C6</f>
        <v>1111</v>
      </c>
      <c r="D61" s="31">
        <f>'4. Кап. інвестиції'!D6</f>
        <v>7812</v>
      </c>
      <c r="E61" s="31">
        <f>'4. Кап. інвестиції'!E6</f>
        <v>771.6</v>
      </c>
      <c r="F61" s="31">
        <f>E61-D61</f>
        <v>-7040.4</v>
      </c>
      <c r="G61" s="65">
        <f>E61/D61*100</f>
        <v>9.8771121351766524</v>
      </c>
    </row>
    <row r="62" spans="1:7">
      <c r="A62" s="241" t="s">
        <v>212</v>
      </c>
      <c r="B62" s="241"/>
      <c r="C62" s="241"/>
      <c r="D62" s="241"/>
      <c r="E62" s="241"/>
      <c r="F62" s="241"/>
      <c r="G62" s="241"/>
    </row>
    <row r="63" spans="1:7">
      <c r="A63" s="106" t="s">
        <v>171</v>
      </c>
      <c r="B63" s="27">
        <f>' 5. Коефіцієнти'!B9</f>
        <v>5020</v>
      </c>
      <c r="C63" s="31">
        <f>' 5. Коефіцієнти'!D9</f>
        <v>1.1457947387921451E-2</v>
      </c>
      <c r="D63" s="31">
        <f>D44/D70</f>
        <v>0.1163112247035656</v>
      </c>
      <c r="E63" s="31">
        <f>' 5. Коефіцієнти'!E9</f>
        <v>3.6461314183899328E-2</v>
      </c>
      <c r="F63" s="31" t="s">
        <v>367</v>
      </c>
      <c r="G63" s="65" t="s">
        <v>367</v>
      </c>
    </row>
    <row r="64" spans="1:7">
      <c r="A64" s="106" t="s">
        <v>167</v>
      </c>
      <c r="B64" s="27">
        <f>' 5. Коефіцієнти'!B10</f>
        <v>5030</v>
      </c>
      <c r="C64" s="31">
        <f>' 5. Коефіцієнти'!D10</f>
        <v>1.1654418692293196E-2</v>
      </c>
      <c r="D64" s="31">
        <f>D44/D76</f>
        <v>0.12777905638665132</v>
      </c>
      <c r="E64" s="31">
        <f>' 5. Коефіцієнти'!E10</f>
        <v>6.4246979354961417E-2</v>
      </c>
      <c r="F64" s="31" t="s">
        <v>367</v>
      </c>
      <c r="G64" s="65" t="s">
        <v>367</v>
      </c>
    </row>
    <row r="65" spans="1:7">
      <c r="A65" s="106" t="s">
        <v>229</v>
      </c>
      <c r="B65" s="27">
        <f>' 5. Коефіцієнти'!B14</f>
        <v>5110</v>
      </c>
      <c r="C65" s="31">
        <f>' 5. Коефіцієнти'!D14</f>
        <v>0.98314190440904037</v>
      </c>
      <c r="D65" s="31">
        <f>D76/D73</f>
        <v>10.142390289449112</v>
      </c>
      <c r="E65" s="31">
        <f>' 5. Коефіцієнти'!E14</f>
        <v>1.312234706616729</v>
      </c>
      <c r="F65" s="31" t="s">
        <v>367</v>
      </c>
      <c r="G65" s="65" t="s">
        <v>367</v>
      </c>
    </row>
    <row r="66" spans="1:7">
      <c r="A66" s="235" t="s">
        <v>211</v>
      </c>
      <c r="B66" s="236"/>
      <c r="C66" s="236"/>
      <c r="D66" s="236"/>
      <c r="E66" s="236"/>
      <c r="F66" s="236"/>
      <c r="G66" s="237"/>
    </row>
    <row r="67" spans="1:7" ht="18">
      <c r="A67" s="106" t="s">
        <v>148</v>
      </c>
      <c r="B67" s="27">
        <v>6000</v>
      </c>
      <c r="C67" s="224">
        <v>5425</v>
      </c>
      <c r="D67" s="64">
        <v>12650</v>
      </c>
      <c r="E67" s="89">
        <v>7405</v>
      </c>
      <c r="F67" s="31">
        <f>E67-D67</f>
        <v>-5245</v>
      </c>
      <c r="G67" s="65">
        <f>E67/D67*100</f>
        <v>58.537549407114618</v>
      </c>
    </row>
    <row r="68" spans="1:7" ht="18">
      <c r="A68" s="106" t="s">
        <v>149</v>
      </c>
      <c r="B68" s="27">
        <v>6010</v>
      </c>
      <c r="C68" s="224">
        <v>15985</v>
      </c>
      <c r="D68" s="184">
        <v>11217</v>
      </c>
      <c r="E68" s="89">
        <v>11116</v>
      </c>
      <c r="F68" s="31">
        <f t="shared" ref="F68:F76" si="6">E68-D68</f>
        <v>-101</v>
      </c>
      <c r="G68" s="65">
        <f t="shared" ref="G68:G76" si="7">E68/D68*100</f>
        <v>99.099580993135419</v>
      </c>
    </row>
    <row r="69" spans="1:7" ht="18">
      <c r="A69" s="106" t="s">
        <v>266</v>
      </c>
      <c r="B69" s="27">
        <v>6020</v>
      </c>
      <c r="C69" s="224">
        <v>9871</v>
      </c>
      <c r="D69" s="64">
        <f>D59</f>
        <v>8158</v>
      </c>
      <c r="E69" s="89">
        <v>4416</v>
      </c>
      <c r="F69" s="31">
        <f t="shared" si="6"/>
        <v>-3742</v>
      </c>
      <c r="G69" s="65">
        <f t="shared" si="7"/>
        <v>54.130914439813679</v>
      </c>
    </row>
    <row r="70" spans="1:7" s="15" customFormat="1" ht="18">
      <c r="A70" s="180" t="s">
        <v>264</v>
      </c>
      <c r="B70" s="27">
        <v>6030</v>
      </c>
      <c r="C70" s="225">
        <v>21410</v>
      </c>
      <c r="D70" s="89">
        <f>D67+D68</f>
        <v>23867</v>
      </c>
      <c r="E70" s="89">
        <f>E67+E68</f>
        <v>18521</v>
      </c>
      <c r="F70" s="31">
        <f t="shared" si="6"/>
        <v>-5346</v>
      </c>
      <c r="G70" s="65">
        <f t="shared" si="7"/>
        <v>77.600871496208157</v>
      </c>
    </row>
    <row r="71" spans="1:7" ht="18">
      <c r="A71" s="106" t="s">
        <v>169</v>
      </c>
      <c r="B71" s="27">
        <v>6040</v>
      </c>
      <c r="C71" s="224">
        <v>7129</v>
      </c>
      <c r="D71" s="184">
        <v>0</v>
      </c>
      <c r="E71" s="87">
        <v>4635</v>
      </c>
      <c r="F71" s="31">
        <f t="shared" si="6"/>
        <v>4635</v>
      </c>
      <c r="G71" s="119" t="e">
        <f t="shared" si="7"/>
        <v>#DIV/0!</v>
      </c>
    </row>
    <row r="72" spans="1:7" ht="18">
      <c r="A72" s="106" t="s">
        <v>170</v>
      </c>
      <c r="B72" s="27">
        <v>6050</v>
      </c>
      <c r="C72" s="224">
        <v>3667</v>
      </c>
      <c r="D72" s="64">
        <v>2142</v>
      </c>
      <c r="E72" s="89">
        <v>3375</v>
      </c>
      <c r="F72" s="31">
        <f t="shared" si="6"/>
        <v>1233</v>
      </c>
      <c r="G72" s="65">
        <f t="shared" si="7"/>
        <v>157.56302521008402</v>
      </c>
    </row>
    <row r="73" spans="1:7" s="15" customFormat="1" ht="18">
      <c r="A73" s="180" t="s">
        <v>265</v>
      </c>
      <c r="B73" s="27">
        <v>6060</v>
      </c>
      <c r="C73" s="225">
        <v>10796</v>
      </c>
      <c r="D73" s="89">
        <f>D71+D72</f>
        <v>2142</v>
      </c>
      <c r="E73" s="89">
        <f>E71+E72</f>
        <v>8010</v>
      </c>
      <c r="F73" s="31">
        <f t="shared" si="6"/>
        <v>5868</v>
      </c>
      <c r="G73" s="65">
        <f t="shared" si="7"/>
        <v>373.94957983193279</v>
      </c>
    </row>
    <row r="74" spans="1:7" ht="18">
      <c r="A74" s="106" t="s">
        <v>267</v>
      </c>
      <c r="B74" s="27">
        <v>6070</v>
      </c>
      <c r="C74" s="224"/>
      <c r="D74" s="184">
        <v>0</v>
      </c>
      <c r="E74" s="89"/>
      <c r="F74" s="31">
        <f t="shared" si="6"/>
        <v>0</v>
      </c>
      <c r="G74" s="119" t="e">
        <f t="shared" si="7"/>
        <v>#DIV/0!</v>
      </c>
    </row>
    <row r="75" spans="1:7" ht="18">
      <c r="A75" s="106" t="s">
        <v>268</v>
      </c>
      <c r="B75" s="27">
        <v>6080</v>
      </c>
      <c r="C75" s="224"/>
      <c r="D75" s="184">
        <v>0</v>
      </c>
      <c r="E75" s="89"/>
      <c r="F75" s="31">
        <f t="shared" si="6"/>
        <v>0</v>
      </c>
      <c r="G75" s="119" t="e">
        <f t="shared" si="7"/>
        <v>#DIV/0!</v>
      </c>
    </row>
    <row r="76" spans="1:7" s="15" customFormat="1" ht="18">
      <c r="A76" s="180" t="s">
        <v>150</v>
      </c>
      <c r="B76" s="27">
        <v>6090</v>
      </c>
      <c r="C76" s="225">
        <v>10614</v>
      </c>
      <c r="D76" s="89">
        <f>D70-D73</f>
        <v>21725</v>
      </c>
      <c r="E76" s="89">
        <f>E70-E73</f>
        <v>10511</v>
      </c>
      <c r="F76" s="31">
        <f t="shared" si="6"/>
        <v>-11214</v>
      </c>
      <c r="G76" s="65">
        <f t="shared" si="7"/>
        <v>48.382048331415426</v>
      </c>
    </row>
    <row r="77" spans="1:7">
      <c r="A77" s="163"/>
      <c r="B77" s="66"/>
      <c r="C77" s="66"/>
      <c r="D77" s="185"/>
      <c r="E77" s="66"/>
      <c r="F77" s="66"/>
      <c r="G77" s="66"/>
    </row>
    <row r="78" spans="1:7" ht="30.5">
      <c r="A78" s="52" t="s">
        <v>516</v>
      </c>
      <c r="B78" s="53"/>
      <c r="C78" s="51"/>
      <c r="D78" s="51"/>
      <c r="E78" s="54"/>
      <c r="F78" s="55" t="s">
        <v>515</v>
      </c>
      <c r="G78" s="51"/>
    </row>
    <row r="79" spans="1:7">
      <c r="A79" s="56" t="s">
        <v>365</v>
      </c>
      <c r="B79" s="51"/>
      <c r="C79" s="232" t="s">
        <v>79</v>
      </c>
      <c r="D79" s="232"/>
      <c r="E79" s="51"/>
      <c r="F79" s="51" t="s">
        <v>103</v>
      </c>
      <c r="G79" s="51"/>
    </row>
    <row r="80" spans="1:7">
      <c r="A80" s="51"/>
      <c r="B80" s="66"/>
      <c r="C80" s="66"/>
      <c r="D80" s="66"/>
      <c r="E80" s="66"/>
      <c r="F80" s="66"/>
      <c r="G80" s="66"/>
    </row>
    <row r="81" spans="1:7">
      <c r="A81" s="54"/>
      <c r="B81" s="66"/>
      <c r="C81" s="66"/>
      <c r="D81" s="66"/>
      <c r="E81" s="66"/>
      <c r="F81" s="66"/>
      <c r="G81" s="66"/>
    </row>
    <row r="82" spans="1:7">
      <c r="A82" s="231"/>
      <c r="B82" s="231"/>
      <c r="C82" s="231"/>
      <c r="D82" s="231"/>
      <c r="E82" s="231"/>
      <c r="F82" s="231"/>
      <c r="G82" s="231"/>
    </row>
    <row r="83" spans="1:7">
      <c r="A83" s="67"/>
    </row>
    <row r="84" spans="1:7">
      <c r="A84" s="67"/>
    </row>
    <row r="85" spans="1:7">
      <c r="A85" s="67"/>
    </row>
    <row r="86" spans="1:7">
      <c r="A86" s="67"/>
    </row>
    <row r="87" spans="1:7">
      <c r="A87" s="67"/>
    </row>
    <row r="88" spans="1:7">
      <c r="A88" s="67"/>
    </row>
    <row r="89" spans="1:7">
      <c r="A89" s="67"/>
    </row>
    <row r="90" spans="1:7">
      <c r="A90" s="67"/>
    </row>
    <row r="91" spans="1:7">
      <c r="A91" s="67"/>
    </row>
    <row r="92" spans="1:7">
      <c r="A92" s="67"/>
    </row>
    <row r="93" spans="1:7">
      <c r="A93" s="67"/>
    </row>
    <row r="94" spans="1:7">
      <c r="A94" s="67"/>
    </row>
    <row r="95" spans="1:7">
      <c r="A95" s="67"/>
    </row>
    <row r="96" spans="1:7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  <row r="109" spans="1:1">
      <c r="A109" s="67"/>
    </row>
    <row r="110" spans="1:1">
      <c r="A110" s="67"/>
    </row>
    <row r="111" spans="1:1">
      <c r="A111" s="67"/>
    </row>
    <row r="112" spans="1:1">
      <c r="A112" s="67"/>
    </row>
    <row r="113" spans="1:1">
      <c r="A113" s="67"/>
    </row>
    <row r="114" spans="1:1">
      <c r="A114" s="67"/>
    </row>
    <row r="115" spans="1:1">
      <c r="A115" s="67"/>
    </row>
    <row r="116" spans="1:1">
      <c r="A116" s="67"/>
    </row>
    <row r="117" spans="1:1">
      <c r="A117" s="67"/>
    </row>
    <row r="118" spans="1:1">
      <c r="A118" s="67"/>
    </row>
    <row r="119" spans="1:1">
      <c r="A119" s="67"/>
    </row>
    <row r="120" spans="1:1">
      <c r="A120" s="67"/>
    </row>
    <row r="121" spans="1:1">
      <c r="A121" s="67"/>
    </row>
    <row r="122" spans="1:1">
      <c r="A122" s="67"/>
    </row>
    <row r="123" spans="1:1">
      <c r="A123" s="67"/>
    </row>
    <row r="124" spans="1:1">
      <c r="A124" s="67"/>
    </row>
    <row r="125" spans="1:1">
      <c r="A125" s="67"/>
    </row>
    <row r="126" spans="1:1">
      <c r="A126" s="67"/>
    </row>
    <row r="127" spans="1:1">
      <c r="A127" s="67"/>
    </row>
    <row r="128" spans="1:1">
      <c r="A128" s="67"/>
    </row>
    <row r="129" spans="1:1">
      <c r="A129" s="67"/>
    </row>
    <row r="130" spans="1:1">
      <c r="A130" s="67"/>
    </row>
    <row r="131" spans="1:1">
      <c r="A131" s="67"/>
    </row>
    <row r="132" spans="1:1">
      <c r="A132" s="67"/>
    </row>
    <row r="133" spans="1:1">
      <c r="A133" s="67"/>
    </row>
    <row r="134" spans="1:1">
      <c r="A134" s="67"/>
    </row>
    <row r="135" spans="1:1">
      <c r="A135" s="67"/>
    </row>
    <row r="136" spans="1:1">
      <c r="A136" s="67"/>
    </row>
    <row r="137" spans="1:1">
      <c r="A137" s="67"/>
    </row>
    <row r="138" spans="1:1">
      <c r="A138" s="67"/>
    </row>
    <row r="139" spans="1:1">
      <c r="A139" s="67"/>
    </row>
    <row r="140" spans="1:1">
      <c r="A140" s="67"/>
    </row>
    <row r="141" spans="1:1">
      <c r="A141" s="67"/>
    </row>
    <row r="142" spans="1:1">
      <c r="A142" s="67"/>
    </row>
    <row r="143" spans="1:1">
      <c r="A143" s="67"/>
    </row>
    <row r="144" spans="1:1">
      <c r="A144" s="67"/>
    </row>
    <row r="145" spans="1:1">
      <c r="A145" s="67"/>
    </row>
    <row r="146" spans="1:1">
      <c r="A146" s="67"/>
    </row>
    <row r="147" spans="1:1">
      <c r="A147" s="67"/>
    </row>
    <row r="148" spans="1:1">
      <c r="A148" s="67"/>
    </row>
    <row r="149" spans="1:1">
      <c r="A149" s="67"/>
    </row>
    <row r="150" spans="1:1">
      <c r="A150" s="67"/>
    </row>
    <row r="151" spans="1:1">
      <c r="A151" s="67"/>
    </row>
    <row r="152" spans="1:1">
      <c r="A152" s="67"/>
    </row>
    <row r="153" spans="1:1">
      <c r="A153" s="67"/>
    </row>
    <row r="154" spans="1:1">
      <c r="A154" s="67"/>
    </row>
    <row r="155" spans="1:1">
      <c r="A155" s="67"/>
    </row>
    <row r="156" spans="1:1">
      <c r="A156" s="67"/>
    </row>
    <row r="157" spans="1:1">
      <c r="A157" s="67"/>
    </row>
    <row r="158" spans="1:1">
      <c r="A158" s="67"/>
    </row>
    <row r="159" spans="1:1">
      <c r="A159" s="67"/>
    </row>
    <row r="160" spans="1:1">
      <c r="A160" s="67"/>
    </row>
    <row r="161" spans="1:1">
      <c r="A161" s="67"/>
    </row>
    <row r="162" spans="1:1">
      <c r="A162" s="67"/>
    </row>
    <row r="163" spans="1:1">
      <c r="A163" s="67"/>
    </row>
    <row r="164" spans="1:1">
      <c r="A164" s="67"/>
    </row>
    <row r="165" spans="1:1">
      <c r="A165" s="67"/>
    </row>
    <row r="166" spans="1:1">
      <c r="A166" s="67"/>
    </row>
    <row r="167" spans="1:1">
      <c r="A167" s="67"/>
    </row>
    <row r="168" spans="1:1">
      <c r="A168" s="67"/>
    </row>
    <row r="169" spans="1:1">
      <c r="A169" s="67"/>
    </row>
    <row r="170" spans="1:1">
      <c r="A170" s="67"/>
    </row>
    <row r="171" spans="1:1">
      <c r="A171" s="67"/>
    </row>
    <row r="172" spans="1:1">
      <c r="A172" s="67"/>
    </row>
    <row r="173" spans="1:1">
      <c r="A173" s="67"/>
    </row>
    <row r="174" spans="1:1">
      <c r="A174" s="67"/>
    </row>
    <row r="175" spans="1:1">
      <c r="A175" s="67"/>
    </row>
    <row r="176" spans="1:1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</sheetData>
  <sheetProtection password="C6FB" sheet="1" formatCells="0" formatColumns="0" formatRows="0"/>
  <mergeCells count="33"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  <mergeCell ref="B10:D10"/>
    <mergeCell ref="B11:D11"/>
    <mergeCell ref="B12:D12"/>
    <mergeCell ref="E13:F13"/>
    <mergeCell ref="B13:D13"/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</mergeCells>
  <phoneticPr fontId="3" type="noConversion"/>
  <pageMargins left="1.1811023622047245" right="0.39370078740157483" top="0.78740157480314965" bottom="0.78740157480314965" header="0" footer="0"/>
  <pageSetup paperSize="9" scale="50" orientation="portrait" r:id="rId1"/>
  <headerFooter alignWithMargins="0"/>
  <rowBreaks count="1" manualBreakCount="1">
    <brk id="59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43"/>
    <pageSetUpPr fitToPage="1"/>
  </sheetPr>
  <dimension ref="A1:M1070"/>
  <sheetViews>
    <sheetView view="pageBreakPreview" zoomScaleNormal="75" zoomScaleSheetLayoutView="100" workbookViewId="0">
      <pane ySplit="6" topLeftCell="A70" activePane="bottomLeft" state="frozen"/>
      <selection pane="bottomLeft" activeCell="E10" sqref="E10"/>
    </sheetView>
  </sheetViews>
  <sheetFormatPr defaultColWidth="9.1796875" defaultRowHeight="15.5" outlineLevelRow="1"/>
  <cols>
    <col min="1" max="1" width="44" style="13" customWidth="1"/>
    <col min="2" max="2" width="10.1796875" style="14" customWidth="1"/>
    <col min="3" max="3" width="12.54296875" style="33" customWidth="1"/>
    <col min="4" max="4" width="12.7265625" style="14" customWidth="1"/>
    <col min="5" max="5" width="11" style="14" customWidth="1"/>
    <col min="6" max="6" width="13.453125" style="166" customWidth="1"/>
    <col min="7" max="7" width="14.54296875" style="14" customWidth="1"/>
    <col min="8" max="8" width="10.26953125" style="14" customWidth="1"/>
    <col min="9" max="16384" width="9.1796875" style="13"/>
  </cols>
  <sheetData>
    <row r="1" spans="1:13" outlineLevel="1">
      <c r="B1" s="58"/>
      <c r="D1" s="58"/>
      <c r="E1" s="58"/>
      <c r="F1" s="128"/>
      <c r="G1" s="58"/>
      <c r="H1" s="33" t="s">
        <v>237</v>
      </c>
    </row>
    <row r="2" spans="1:13" outlineLevel="1">
      <c r="B2" s="58"/>
      <c r="D2" s="58"/>
      <c r="E2" s="58"/>
      <c r="F2" s="128"/>
      <c r="G2" s="58"/>
      <c r="H2" s="33" t="s">
        <v>221</v>
      </c>
    </row>
    <row r="3" spans="1:13">
      <c r="A3" s="253" t="s">
        <v>354</v>
      </c>
      <c r="B3" s="253"/>
      <c r="C3" s="253"/>
      <c r="D3" s="253"/>
      <c r="E3" s="253"/>
      <c r="F3" s="253"/>
      <c r="G3" s="253"/>
      <c r="H3" s="253"/>
    </row>
    <row r="4" spans="1:13">
      <c r="A4" s="129"/>
      <c r="B4" s="130"/>
      <c r="C4" s="131"/>
      <c r="D4" s="130"/>
      <c r="E4" s="130"/>
      <c r="F4" s="132"/>
      <c r="G4" s="130"/>
      <c r="H4" s="130"/>
    </row>
    <row r="5" spans="1:13">
      <c r="A5" s="257" t="s">
        <v>283</v>
      </c>
      <c r="B5" s="258" t="s">
        <v>18</v>
      </c>
      <c r="C5" s="259" t="s">
        <v>362</v>
      </c>
      <c r="D5" s="257" t="s">
        <v>342</v>
      </c>
      <c r="E5" s="257"/>
      <c r="F5" s="257"/>
      <c r="G5" s="257"/>
      <c r="H5" s="257"/>
    </row>
    <row r="6" spans="1:13" ht="30.75" customHeight="1">
      <c r="A6" s="257"/>
      <c r="B6" s="258"/>
      <c r="C6" s="260"/>
      <c r="D6" s="133" t="s">
        <v>261</v>
      </c>
      <c r="E6" s="133" t="s">
        <v>244</v>
      </c>
      <c r="F6" s="134" t="s">
        <v>361</v>
      </c>
      <c r="G6" s="135" t="s">
        <v>272</v>
      </c>
      <c r="H6" s="133" t="s">
        <v>270</v>
      </c>
    </row>
    <row r="7" spans="1:13">
      <c r="A7" s="27">
        <v>1</v>
      </c>
      <c r="B7" s="17">
        <v>2</v>
      </c>
      <c r="C7" s="136">
        <v>3</v>
      </c>
      <c r="D7" s="17">
        <v>4</v>
      </c>
      <c r="E7" s="17">
        <v>5</v>
      </c>
      <c r="F7" s="69">
        <v>6</v>
      </c>
      <c r="G7" s="17">
        <v>7</v>
      </c>
      <c r="H7" s="17">
        <v>8</v>
      </c>
    </row>
    <row r="8" spans="1:13" s="15" customFormat="1" ht="15">
      <c r="A8" s="235" t="s">
        <v>269</v>
      </c>
      <c r="B8" s="236"/>
      <c r="C8" s="236"/>
      <c r="D8" s="236"/>
      <c r="E8" s="236"/>
      <c r="F8" s="236"/>
      <c r="G8" s="236"/>
      <c r="H8" s="237"/>
    </row>
    <row r="9" spans="1:13" s="15" customFormat="1" ht="30">
      <c r="A9" s="97" t="s">
        <v>108</v>
      </c>
      <c r="B9" s="137">
        <v>1000</v>
      </c>
      <c r="C9" s="138">
        <f>C10</f>
        <v>14697.5</v>
      </c>
      <c r="D9" s="138">
        <f>D10</f>
        <v>16914</v>
      </c>
      <c r="E9" s="138">
        <f>E10</f>
        <v>9906</v>
      </c>
      <c r="F9" s="139">
        <f t="shared" ref="F9:F32" si="0">E9-D9</f>
        <v>-7008</v>
      </c>
      <c r="G9" s="140">
        <f t="shared" ref="G9:G17" si="1">E9/D9*100</f>
        <v>58.566867683575744</v>
      </c>
      <c r="H9" s="141"/>
    </row>
    <row r="10" spans="1:13" ht="31">
      <c r="A10" s="18" t="s">
        <v>457</v>
      </c>
      <c r="B10" s="60" t="s">
        <v>458</v>
      </c>
      <c r="C10" s="142">
        <v>14697.5</v>
      </c>
      <c r="D10" s="142">
        <v>16914</v>
      </c>
      <c r="E10" s="142">
        <v>9906</v>
      </c>
      <c r="F10" s="139"/>
      <c r="G10" s="140"/>
      <c r="H10" s="141"/>
      <c r="K10" s="13" t="s">
        <v>531</v>
      </c>
    </row>
    <row r="11" spans="1:13" ht="30">
      <c r="A11" s="97" t="s">
        <v>125</v>
      </c>
      <c r="B11" s="137">
        <v>1010</v>
      </c>
      <c r="C11" s="143">
        <f>SUM(C12:C19)</f>
        <v>15505.5</v>
      </c>
      <c r="D11" s="143">
        <f>SUM(D12:D19)</f>
        <v>23702</v>
      </c>
      <c r="E11" s="143">
        <f>SUM(E12:E19)</f>
        <v>15585.1</v>
      </c>
      <c r="F11" s="139">
        <f t="shared" si="0"/>
        <v>-8116.9</v>
      </c>
      <c r="G11" s="140">
        <f t="shared" si="1"/>
        <v>65.75436672010801</v>
      </c>
      <c r="H11" s="144"/>
      <c r="I11" s="13">
        <v>15585</v>
      </c>
      <c r="J11" s="108">
        <f>E11-I11</f>
        <v>0.1000000000003638</v>
      </c>
      <c r="K11" s="13">
        <v>7223.8</v>
      </c>
      <c r="L11" s="145">
        <f>E11-K11</f>
        <v>8361.2999999999993</v>
      </c>
      <c r="M11" s="108"/>
    </row>
    <row r="12" spans="1:13">
      <c r="A12" s="18" t="s">
        <v>282</v>
      </c>
      <c r="B12" s="17">
        <v>1011</v>
      </c>
      <c r="C12" s="89">
        <v>34</v>
      </c>
      <c r="D12" s="89">
        <v>37</v>
      </c>
      <c r="E12" s="89">
        <f>34+4+43-6</f>
        <v>75</v>
      </c>
      <c r="F12" s="139">
        <f t="shared" si="0"/>
        <v>38</v>
      </c>
      <c r="G12" s="140">
        <f t="shared" si="1"/>
        <v>202.70270270270271</v>
      </c>
      <c r="H12" s="146"/>
    </row>
    <row r="13" spans="1:13">
      <c r="A13" s="18" t="s">
        <v>66</v>
      </c>
      <c r="B13" s="17">
        <v>1012</v>
      </c>
      <c r="C13" s="89">
        <v>1521</v>
      </c>
      <c r="D13" s="89">
        <v>2217</v>
      </c>
      <c r="E13" s="89">
        <v>1807.5</v>
      </c>
      <c r="F13" s="139">
        <f t="shared" si="0"/>
        <v>-409.5</v>
      </c>
      <c r="G13" s="140">
        <f t="shared" si="1"/>
        <v>81.529093369418135</v>
      </c>
      <c r="H13" s="146"/>
    </row>
    <row r="14" spans="1:13">
      <c r="A14" s="18" t="s">
        <v>65</v>
      </c>
      <c r="B14" s="17">
        <v>1013</v>
      </c>
      <c r="C14" s="89">
        <v>247</v>
      </c>
      <c r="D14" s="89">
        <v>250</v>
      </c>
      <c r="E14" s="89">
        <v>242.5</v>
      </c>
      <c r="F14" s="139">
        <f t="shared" si="0"/>
        <v>-7.5</v>
      </c>
      <c r="G14" s="140">
        <f t="shared" si="1"/>
        <v>97</v>
      </c>
      <c r="H14" s="146"/>
    </row>
    <row r="15" spans="1:13">
      <c r="A15" s="18" t="s">
        <v>40</v>
      </c>
      <c r="B15" s="17">
        <v>1014</v>
      </c>
      <c r="C15" s="89">
        <v>8691</v>
      </c>
      <c r="D15" s="62">
        <v>14609</v>
      </c>
      <c r="E15" s="89">
        <f>6784+1210</f>
        <v>7994</v>
      </c>
      <c r="F15" s="139">
        <f t="shared" si="0"/>
        <v>-6615</v>
      </c>
      <c r="G15" s="140">
        <f t="shared" si="1"/>
        <v>54.719693339722085</v>
      </c>
      <c r="H15" s="146"/>
    </row>
    <row r="16" spans="1:13">
      <c r="A16" s="18" t="s">
        <v>41</v>
      </c>
      <c r="B16" s="17">
        <v>1015</v>
      </c>
      <c r="C16" s="89">
        <v>1873</v>
      </c>
      <c r="D16" s="89">
        <v>3123</v>
      </c>
      <c r="E16" s="89">
        <f>282+1437</f>
        <v>1719</v>
      </c>
      <c r="F16" s="139">
        <f t="shared" si="0"/>
        <v>-1404</v>
      </c>
      <c r="G16" s="140">
        <f t="shared" si="1"/>
        <v>55.043227665706048</v>
      </c>
      <c r="H16" s="146"/>
    </row>
    <row r="17" spans="1:10" ht="62">
      <c r="A17" s="18" t="s">
        <v>258</v>
      </c>
      <c r="B17" s="17">
        <v>1016</v>
      </c>
      <c r="C17" s="89"/>
      <c r="D17" s="89">
        <v>40</v>
      </c>
      <c r="E17" s="89">
        <v>14.4</v>
      </c>
      <c r="F17" s="139">
        <f t="shared" si="0"/>
        <v>-25.6</v>
      </c>
      <c r="G17" s="140">
        <f t="shared" si="1"/>
        <v>36</v>
      </c>
      <c r="H17" s="146"/>
    </row>
    <row r="18" spans="1:10" ht="31">
      <c r="A18" s="18" t="s">
        <v>64</v>
      </c>
      <c r="B18" s="17">
        <v>1017</v>
      </c>
      <c r="C18" s="89">
        <v>473</v>
      </c>
      <c r="D18" s="89">
        <v>489</v>
      </c>
      <c r="E18" s="89">
        <v>609</v>
      </c>
      <c r="F18" s="139">
        <f t="shared" si="0"/>
        <v>120</v>
      </c>
      <c r="G18" s="140">
        <f>E18/D18*100</f>
        <v>124.53987730061348</v>
      </c>
      <c r="H18" s="146"/>
    </row>
    <row r="19" spans="1:10">
      <c r="A19" s="18" t="s">
        <v>123</v>
      </c>
      <c r="B19" s="17">
        <v>1018</v>
      </c>
      <c r="C19" s="89">
        <f>SUM(C20:C30)</f>
        <v>2666.5</v>
      </c>
      <c r="D19" s="89">
        <f>SUM(D20:D30)</f>
        <v>2937</v>
      </c>
      <c r="E19" s="89">
        <f>SUM(E20:E30)</f>
        <v>3123.7000000000003</v>
      </c>
      <c r="F19" s="139">
        <f t="shared" si="0"/>
        <v>186.70000000000027</v>
      </c>
      <c r="G19" s="140">
        <f>E19/D19*100</f>
        <v>106.35682669390536</v>
      </c>
      <c r="H19" s="146"/>
    </row>
    <row r="20" spans="1:10">
      <c r="A20" s="18" t="s">
        <v>383</v>
      </c>
      <c r="B20" s="17" t="s">
        <v>377</v>
      </c>
      <c r="C20" s="89">
        <v>164.5</v>
      </c>
      <c r="D20" s="89">
        <v>92</v>
      </c>
      <c r="E20" s="89">
        <v>102</v>
      </c>
      <c r="F20" s="87">
        <f t="shared" si="0"/>
        <v>10</v>
      </c>
      <c r="G20" s="147"/>
      <c r="H20" s="146"/>
    </row>
    <row r="21" spans="1:10">
      <c r="A21" s="18" t="s">
        <v>384</v>
      </c>
      <c r="B21" s="17" t="s">
        <v>378</v>
      </c>
      <c r="C21" s="89">
        <v>103.5</v>
      </c>
      <c r="D21" s="89">
        <v>200</v>
      </c>
      <c r="E21" s="89">
        <v>83.4</v>
      </c>
      <c r="F21" s="87">
        <f t="shared" si="0"/>
        <v>-116.6</v>
      </c>
      <c r="G21" s="147"/>
      <c r="H21" s="146"/>
    </row>
    <row r="22" spans="1:10" ht="46.5">
      <c r="A22" s="18" t="s">
        <v>530</v>
      </c>
      <c r="B22" s="17" t="s">
        <v>379</v>
      </c>
      <c r="C22" s="89">
        <v>249.5</v>
      </c>
      <c r="D22" s="89">
        <v>92</v>
      </c>
      <c r="E22" s="89">
        <f>9+3</f>
        <v>12</v>
      </c>
      <c r="F22" s="87">
        <f t="shared" si="0"/>
        <v>-80</v>
      </c>
      <c r="G22" s="147"/>
      <c r="H22" s="146"/>
    </row>
    <row r="23" spans="1:10">
      <c r="A23" s="18" t="s">
        <v>459</v>
      </c>
      <c r="B23" s="17" t="s">
        <v>380</v>
      </c>
      <c r="C23" s="89"/>
      <c r="D23" s="89">
        <v>25</v>
      </c>
      <c r="E23" s="89"/>
      <c r="F23" s="87">
        <f t="shared" si="0"/>
        <v>-25</v>
      </c>
      <c r="G23" s="147"/>
      <c r="H23" s="146"/>
    </row>
    <row r="24" spans="1:10">
      <c r="A24" s="18" t="s">
        <v>460</v>
      </c>
      <c r="B24" s="17" t="s">
        <v>381</v>
      </c>
      <c r="C24" s="89">
        <v>4</v>
      </c>
      <c r="D24" s="89">
        <v>30</v>
      </c>
      <c r="E24" s="89">
        <v>4</v>
      </c>
      <c r="F24" s="87">
        <f t="shared" si="0"/>
        <v>-26</v>
      </c>
      <c r="G24" s="147"/>
      <c r="H24" s="146"/>
    </row>
    <row r="25" spans="1:10">
      <c r="A25" s="18" t="s">
        <v>385</v>
      </c>
      <c r="B25" s="17" t="s">
        <v>382</v>
      </c>
      <c r="C25" s="89">
        <v>639</v>
      </c>
      <c r="D25" s="89">
        <v>896</v>
      </c>
      <c r="E25" s="89">
        <f>452+92</f>
        <v>544</v>
      </c>
      <c r="F25" s="87">
        <f t="shared" si="0"/>
        <v>-352</v>
      </c>
      <c r="G25" s="147"/>
      <c r="H25" s="146"/>
    </row>
    <row r="26" spans="1:10">
      <c r="A26" s="18" t="s">
        <v>461</v>
      </c>
      <c r="B26" s="17" t="s">
        <v>386</v>
      </c>
      <c r="C26" s="89">
        <v>6</v>
      </c>
      <c r="D26" s="89">
        <v>17</v>
      </c>
      <c r="E26" s="89">
        <v>14</v>
      </c>
      <c r="F26" s="87">
        <f t="shared" si="0"/>
        <v>-3</v>
      </c>
      <c r="G26" s="147"/>
      <c r="H26" s="146"/>
    </row>
    <row r="27" spans="1:10">
      <c r="A27" s="18" t="s">
        <v>503</v>
      </c>
      <c r="B27" s="17" t="s">
        <v>388</v>
      </c>
      <c r="C27" s="89"/>
      <c r="D27" s="89">
        <v>6</v>
      </c>
      <c r="E27" s="89"/>
      <c r="F27" s="87">
        <f t="shared" si="0"/>
        <v>-6</v>
      </c>
      <c r="G27" s="147"/>
      <c r="H27" s="146"/>
    </row>
    <row r="28" spans="1:10" ht="31">
      <c r="A28" s="18" t="s">
        <v>387</v>
      </c>
      <c r="B28" s="17" t="s">
        <v>501</v>
      </c>
      <c r="C28" s="89">
        <v>1428</v>
      </c>
      <c r="D28" s="89">
        <v>1389</v>
      </c>
      <c r="E28" s="89">
        <f>7+1569+595</f>
        <v>2171</v>
      </c>
      <c r="F28" s="87">
        <f t="shared" ref="F28" si="2">E28-D28</f>
        <v>782</v>
      </c>
      <c r="G28" s="147"/>
      <c r="H28" s="146"/>
    </row>
    <row r="29" spans="1:10" ht="31">
      <c r="A29" s="18" t="s">
        <v>506</v>
      </c>
      <c r="B29" s="17" t="s">
        <v>502</v>
      </c>
      <c r="C29" s="89">
        <v>5.5</v>
      </c>
      <c r="D29" s="89">
        <v>15</v>
      </c>
      <c r="E29" s="89">
        <v>4</v>
      </c>
      <c r="F29" s="87">
        <f t="shared" si="0"/>
        <v>-11</v>
      </c>
      <c r="G29" s="147"/>
      <c r="H29" s="146"/>
    </row>
    <row r="30" spans="1:10">
      <c r="A30" s="18" t="s">
        <v>529</v>
      </c>
      <c r="B30" s="17" t="s">
        <v>528</v>
      </c>
      <c r="C30" s="89">
        <v>66.5</v>
      </c>
      <c r="D30" s="89">
        <v>175</v>
      </c>
      <c r="E30" s="89">
        <v>189.3</v>
      </c>
      <c r="F30" s="87">
        <f t="shared" si="0"/>
        <v>14.300000000000011</v>
      </c>
      <c r="G30" s="147"/>
      <c r="H30" s="146"/>
    </row>
    <row r="31" spans="1:10" s="15" customFormat="1">
      <c r="A31" s="97" t="s">
        <v>23</v>
      </c>
      <c r="B31" s="137">
        <v>1020</v>
      </c>
      <c r="C31" s="143">
        <f>C9-C11</f>
        <v>-808</v>
      </c>
      <c r="D31" s="143">
        <f>D9-D11</f>
        <v>-6788</v>
      </c>
      <c r="E31" s="143">
        <f>E9-E11</f>
        <v>-5679.1</v>
      </c>
      <c r="F31" s="139">
        <f t="shared" si="0"/>
        <v>1108.8999999999996</v>
      </c>
      <c r="G31" s="140">
        <f>E31/D31*100</f>
        <v>83.663818503241018</v>
      </c>
      <c r="H31" s="148"/>
      <c r="I31" s="15">
        <v>-2948</v>
      </c>
      <c r="J31" s="107">
        <f>E31-I31</f>
        <v>-2731.1000000000004</v>
      </c>
    </row>
    <row r="32" spans="1:10" ht="30">
      <c r="A32" s="97" t="s">
        <v>214</v>
      </c>
      <c r="B32" s="137">
        <v>1030</v>
      </c>
      <c r="C32" s="138">
        <f>C33</f>
        <v>5145</v>
      </c>
      <c r="D32" s="138">
        <f>D33</f>
        <v>14709</v>
      </c>
      <c r="E32" s="138">
        <f>E33</f>
        <v>11438</v>
      </c>
      <c r="F32" s="139">
        <f t="shared" si="0"/>
        <v>-3271</v>
      </c>
      <c r="G32" s="140"/>
      <c r="H32" s="141"/>
    </row>
    <row r="33" spans="1:10" ht="31">
      <c r="A33" s="18" t="s">
        <v>518</v>
      </c>
      <c r="B33" s="60" t="s">
        <v>438</v>
      </c>
      <c r="C33" s="142">
        <v>5145</v>
      </c>
      <c r="D33" s="142">
        <v>14709</v>
      </c>
      <c r="E33" s="142">
        <v>11438</v>
      </c>
      <c r="F33" s="139"/>
      <c r="G33" s="140"/>
      <c r="H33" s="141"/>
    </row>
    <row r="34" spans="1:10">
      <c r="A34" s="18" t="s">
        <v>215</v>
      </c>
      <c r="B34" s="60">
        <v>1031</v>
      </c>
      <c r="C34" s="142"/>
      <c r="D34" s="142"/>
      <c r="E34" s="143"/>
      <c r="F34" s="139"/>
      <c r="G34" s="140"/>
      <c r="H34" s="141"/>
    </row>
    <row r="35" spans="1:10">
      <c r="A35" s="97" t="s">
        <v>224</v>
      </c>
      <c r="B35" s="137">
        <v>1040</v>
      </c>
      <c r="C35" s="149">
        <f>SUM(C36:C57)</f>
        <v>3028</v>
      </c>
      <c r="D35" s="143">
        <f>SUM(D36:D55,D57)</f>
        <v>4207</v>
      </c>
      <c r="E35" s="143">
        <f>SUM(E36:E57)</f>
        <v>3383.8</v>
      </c>
      <c r="F35" s="150">
        <f>E35-D35</f>
        <v>-823.19999999999982</v>
      </c>
      <c r="G35" s="151">
        <f>E35/D35*100</f>
        <v>80.432612312811983</v>
      </c>
      <c r="H35" s="144"/>
      <c r="I35" s="13">
        <v>3384</v>
      </c>
      <c r="J35" s="108">
        <f>E35-I35</f>
        <v>-0.1999999999998181</v>
      </c>
    </row>
    <row r="36" spans="1:10" ht="31">
      <c r="A36" s="18" t="s">
        <v>107</v>
      </c>
      <c r="B36" s="60">
        <v>1041</v>
      </c>
      <c r="C36" s="152"/>
      <c r="D36" s="89"/>
      <c r="E36" s="152"/>
      <c r="F36" s="139"/>
      <c r="G36" s="140"/>
      <c r="H36" s="141"/>
    </row>
    <row r="37" spans="1:10">
      <c r="A37" s="18" t="s">
        <v>205</v>
      </c>
      <c r="B37" s="60">
        <v>1042</v>
      </c>
      <c r="C37" s="152"/>
      <c r="D37" s="89">
        <v>108</v>
      </c>
      <c r="E37" s="152"/>
      <c r="F37" s="139">
        <f>E37-D37</f>
        <v>-108</v>
      </c>
      <c r="G37" s="140">
        <f>E37/D37*100</f>
        <v>0</v>
      </c>
      <c r="H37" s="141"/>
    </row>
    <row r="38" spans="1:10">
      <c r="A38" s="18" t="s">
        <v>63</v>
      </c>
      <c r="B38" s="60">
        <v>1043</v>
      </c>
      <c r="C38" s="152"/>
      <c r="D38" s="89"/>
      <c r="E38" s="152"/>
      <c r="F38" s="139"/>
      <c r="G38" s="140"/>
      <c r="H38" s="141"/>
    </row>
    <row r="39" spans="1:10">
      <c r="A39" s="18" t="s">
        <v>21</v>
      </c>
      <c r="B39" s="60">
        <v>1044</v>
      </c>
      <c r="C39" s="152"/>
      <c r="D39" s="89"/>
      <c r="E39" s="152"/>
      <c r="F39" s="139"/>
      <c r="G39" s="140"/>
      <c r="H39" s="141"/>
    </row>
    <row r="40" spans="1:10">
      <c r="A40" s="18" t="s">
        <v>22</v>
      </c>
      <c r="B40" s="60">
        <v>1045</v>
      </c>
      <c r="C40" s="152"/>
      <c r="D40" s="89"/>
      <c r="E40" s="152"/>
      <c r="F40" s="139"/>
      <c r="G40" s="140"/>
      <c r="H40" s="141"/>
    </row>
    <row r="41" spans="1:10">
      <c r="A41" s="18" t="s">
        <v>38</v>
      </c>
      <c r="B41" s="60">
        <v>1046</v>
      </c>
      <c r="C41" s="152"/>
      <c r="D41" s="89"/>
      <c r="E41" s="152"/>
      <c r="F41" s="139">
        <f t="shared" ref="F41:F46" si="3">E41-D41</f>
        <v>0</v>
      </c>
      <c r="G41" s="153" t="e">
        <f>E41/D41*100</f>
        <v>#DIV/0!</v>
      </c>
      <c r="H41" s="141"/>
    </row>
    <row r="42" spans="1:10">
      <c r="A42" s="18" t="s">
        <v>39</v>
      </c>
      <c r="B42" s="60">
        <v>1047</v>
      </c>
      <c r="C42" s="152">
        <v>3</v>
      </c>
      <c r="D42" s="89">
        <v>8</v>
      </c>
      <c r="E42" s="152">
        <f>1+2+1</f>
        <v>4</v>
      </c>
      <c r="F42" s="139">
        <f t="shared" si="3"/>
        <v>-4</v>
      </c>
      <c r="G42" s="140">
        <f>E42/D42*100</f>
        <v>50</v>
      </c>
      <c r="H42" s="141"/>
    </row>
    <row r="43" spans="1:10">
      <c r="A43" s="18" t="s">
        <v>40</v>
      </c>
      <c r="B43" s="60">
        <v>1048</v>
      </c>
      <c r="C43" s="152">
        <v>1977</v>
      </c>
      <c r="D43" s="89">
        <v>2710</v>
      </c>
      <c r="E43" s="152">
        <v>2257</v>
      </c>
      <c r="F43" s="139">
        <f t="shared" si="3"/>
        <v>-453</v>
      </c>
      <c r="G43" s="140">
        <f>E43/D43*100</f>
        <v>83.284132841328415</v>
      </c>
      <c r="H43" s="141"/>
    </row>
    <row r="44" spans="1:10">
      <c r="A44" s="18" t="s">
        <v>41</v>
      </c>
      <c r="B44" s="60">
        <v>1049</v>
      </c>
      <c r="C44" s="152">
        <v>448</v>
      </c>
      <c r="D44" s="89">
        <v>596</v>
      </c>
      <c r="E44" s="152">
        <v>508</v>
      </c>
      <c r="F44" s="139">
        <f t="shared" si="3"/>
        <v>-88</v>
      </c>
      <c r="G44" s="140">
        <f>E44/D44*100</f>
        <v>85.234899328859058</v>
      </c>
      <c r="H44" s="141"/>
    </row>
    <row r="45" spans="1:10" ht="46.5">
      <c r="A45" s="18" t="s">
        <v>42</v>
      </c>
      <c r="B45" s="60">
        <v>1050</v>
      </c>
      <c r="C45" s="152">
        <v>16</v>
      </c>
      <c r="D45" s="89">
        <v>40</v>
      </c>
      <c r="E45" s="152">
        <v>44</v>
      </c>
      <c r="F45" s="139">
        <f t="shared" si="3"/>
        <v>4</v>
      </c>
      <c r="G45" s="140">
        <f>E45/D45*100</f>
        <v>110.00000000000001</v>
      </c>
      <c r="H45" s="141"/>
    </row>
    <row r="46" spans="1:10" ht="46.5">
      <c r="A46" s="18" t="s">
        <v>43</v>
      </c>
      <c r="B46" s="60">
        <v>1051</v>
      </c>
      <c r="C46" s="152"/>
      <c r="D46" s="89"/>
      <c r="E46" s="152"/>
      <c r="F46" s="139">
        <f t="shared" si="3"/>
        <v>0</v>
      </c>
      <c r="G46" s="140"/>
      <c r="H46" s="141"/>
    </row>
    <row r="47" spans="1:10" ht="31">
      <c r="A47" s="18" t="s">
        <v>44</v>
      </c>
      <c r="B47" s="60">
        <v>1052</v>
      </c>
      <c r="C47" s="152"/>
      <c r="D47" s="89"/>
      <c r="E47" s="152"/>
      <c r="F47" s="139"/>
      <c r="G47" s="140"/>
      <c r="H47" s="141"/>
    </row>
    <row r="48" spans="1:10" ht="31">
      <c r="A48" s="18" t="s">
        <v>45</v>
      </c>
      <c r="B48" s="60">
        <v>1053</v>
      </c>
      <c r="C48" s="152"/>
      <c r="D48" s="89"/>
      <c r="E48" s="152"/>
      <c r="F48" s="139"/>
      <c r="G48" s="140"/>
      <c r="H48" s="141"/>
    </row>
    <row r="49" spans="1:8">
      <c r="A49" s="18" t="s">
        <v>46</v>
      </c>
      <c r="B49" s="60">
        <v>1054</v>
      </c>
      <c r="C49" s="152">
        <v>48</v>
      </c>
      <c r="D49" s="89">
        <v>100</v>
      </c>
      <c r="E49" s="152">
        <f>3+21+1</f>
        <v>25</v>
      </c>
      <c r="F49" s="139">
        <f>E49-D49</f>
        <v>-75</v>
      </c>
      <c r="G49" s="140">
        <f>E49/D49*100</f>
        <v>25</v>
      </c>
      <c r="H49" s="141"/>
    </row>
    <row r="50" spans="1:8">
      <c r="A50" s="18" t="s">
        <v>67</v>
      </c>
      <c r="B50" s="60">
        <v>1055</v>
      </c>
      <c r="C50" s="152">
        <v>16</v>
      </c>
      <c r="D50" s="89">
        <v>43</v>
      </c>
      <c r="E50" s="152">
        <f>41+1.4</f>
        <v>42.4</v>
      </c>
      <c r="F50" s="139">
        <f>E50-D50</f>
        <v>-0.60000000000000142</v>
      </c>
      <c r="G50" s="140">
        <f>E50/D50*100</f>
        <v>98.604651162790688</v>
      </c>
      <c r="H50" s="141"/>
    </row>
    <row r="51" spans="1:8">
      <c r="A51" s="18" t="s">
        <v>47</v>
      </c>
      <c r="B51" s="60">
        <v>1056</v>
      </c>
      <c r="C51" s="152"/>
      <c r="D51" s="89">
        <v>0</v>
      </c>
      <c r="E51" s="152">
        <v>3.4</v>
      </c>
      <c r="F51" s="139">
        <f>E51-D51</f>
        <v>3.4</v>
      </c>
      <c r="G51" s="140" t="e">
        <f>E51/D51*100</f>
        <v>#DIV/0!</v>
      </c>
      <c r="H51" s="141"/>
    </row>
    <row r="52" spans="1:8">
      <c r="A52" s="18" t="s">
        <v>48</v>
      </c>
      <c r="B52" s="60">
        <v>1057</v>
      </c>
      <c r="C52" s="152"/>
      <c r="D52" s="89"/>
      <c r="E52" s="152"/>
      <c r="F52" s="139"/>
      <c r="G52" s="140"/>
      <c r="H52" s="141"/>
    </row>
    <row r="53" spans="1:8" ht="31">
      <c r="A53" s="18" t="s">
        <v>49</v>
      </c>
      <c r="B53" s="60">
        <v>1058</v>
      </c>
      <c r="C53" s="152"/>
      <c r="D53" s="89"/>
      <c r="E53" s="152"/>
      <c r="F53" s="139"/>
      <c r="G53" s="140"/>
      <c r="H53" s="141"/>
    </row>
    <row r="54" spans="1:8" ht="31">
      <c r="A54" s="18" t="s">
        <v>50</v>
      </c>
      <c r="B54" s="60">
        <v>1059</v>
      </c>
      <c r="C54" s="152"/>
      <c r="D54" s="89"/>
      <c r="E54" s="152"/>
      <c r="F54" s="139"/>
      <c r="G54" s="140"/>
      <c r="H54" s="141"/>
    </row>
    <row r="55" spans="1:8" ht="62">
      <c r="A55" s="18" t="s">
        <v>77</v>
      </c>
      <c r="B55" s="60">
        <v>1060</v>
      </c>
      <c r="C55" s="152"/>
      <c r="D55" s="89"/>
      <c r="E55" s="152"/>
      <c r="F55" s="139">
        <f>E55-D55</f>
        <v>0</v>
      </c>
      <c r="G55" s="153" t="e">
        <f>E55/D55*100</f>
        <v>#DIV/0!</v>
      </c>
      <c r="H55" s="141"/>
    </row>
    <row r="56" spans="1:8">
      <c r="A56" s="18" t="s">
        <v>51</v>
      </c>
      <c r="B56" s="60">
        <v>1061</v>
      </c>
      <c r="C56" s="152">
        <v>150</v>
      </c>
      <c r="D56" s="89"/>
      <c r="E56" s="152"/>
      <c r="F56" s="139"/>
      <c r="G56" s="140"/>
      <c r="H56" s="141"/>
    </row>
    <row r="57" spans="1:8">
      <c r="A57" s="18" t="s">
        <v>111</v>
      </c>
      <c r="B57" s="60">
        <v>1062</v>
      </c>
      <c r="C57" s="152">
        <f>SUM(C58:C66)</f>
        <v>370</v>
      </c>
      <c r="D57" s="152">
        <f>SUM(D58:D66)</f>
        <v>602</v>
      </c>
      <c r="E57" s="152">
        <f>SUM(E58:E66)</f>
        <v>500</v>
      </c>
      <c r="F57" s="139">
        <f>E57-D57</f>
        <v>-102</v>
      </c>
      <c r="G57" s="140">
        <f>E57/D57*100</f>
        <v>83.056478405315616</v>
      </c>
      <c r="H57" s="141"/>
    </row>
    <row r="58" spans="1:8">
      <c r="A58" s="18" t="s">
        <v>65</v>
      </c>
      <c r="B58" s="27" t="s">
        <v>389</v>
      </c>
      <c r="C58" s="154">
        <v>32</v>
      </c>
      <c r="D58" s="89">
        <v>60</v>
      </c>
      <c r="E58" s="154">
        <v>67</v>
      </c>
      <c r="F58" s="139"/>
      <c r="G58" s="140"/>
      <c r="H58" s="88"/>
    </row>
    <row r="59" spans="1:8">
      <c r="A59" s="18" t="s">
        <v>445</v>
      </c>
      <c r="B59" s="27" t="s">
        <v>390</v>
      </c>
      <c r="C59" s="154">
        <v>31</v>
      </c>
      <c r="D59" s="89">
        <v>75</v>
      </c>
      <c r="E59" s="154">
        <f>2+30</f>
        <v>32</v>
      </c>
      <c r="F59" s="139"/>
      <c r="G59" s="140"/>
      <c r="H59" s="88"/>
    </row>
    <row r="60" spans="1:8">
      <c r="A60" s="18" t="s">
        <v>391</v>
      </c>
      <c r="B60" s="27" t="s">
        <v>392</v>
      </c>
      <c r="C60" s="154">
        <v>82</v>
      </c>
      <c r="D60" s="89">
        <v>150</v>
      </c>
      <c r="E60" s="154">
        <v>185</v>
      </c>
      <c r="F60" s="139"/>
      <c r="G60" s="140"/>
      <c r="H60" s="88"/>
    </row>
    <row r="61" spans="1:8">
      <c r="A61" s="18" t="s">
        <v>393</v>
      </c>
      <c r="B61" s="27" t="s">
        <v>394</v>
      </c>
      <c r="C61" s="154">
        <v>14</v>
      </c>
      <c r="D61" s="89">
        <v>43</v>
      </c>
      <c r="E61" s="154">
        <f>12</f>
        <v>12</v>
      </c>
      <c r="F61" s="98"/>
      <c r="G61" s="88"/>
      <c r="H61" s="88"/>
    </row>
    <row r="62" spans="1:8">
      <c r="A62" s="18" t="s">
        <v>395</v>
      </c>
      <c r="B62" s="27" t="s">
        <v>396</v>
      </c>
      <c r="C62" s="154">
        <v>3</v>
      </c>
      <c r="D62" s="89">
        <v>4</v>
      </c>
      <c r="E62" s="154">
        <v>3</v>
      </c>
      <c r="F62" s="98"/>
      <c r="G62" s="88"/>
      <c r="H62" s="88"/>
    </row>
    <row r="63" spans="1:8">
      <c r="A63" s="18" t="s">
        <v>385</v>
      </c>
      <c r="B63" s="27" t="s">
        <v>397</v>
      </c>
      <c r="C63" s="154">
        <v>154</v>
      </c>
      <c r="D63" s="89">
        <v>190</v>
      </c>
      <c r="E63" s="154">
        <v>161</v>
      </c>
      <c r="F63" s="98"/>
      <c r="G63" s="88"/>
      <c r="H63" s="88"/>
    </row>
    <row r="64" spans="1:8">
      <c r="A64" s="18" t="s">
        <v>398</v>
      </c>
      <c r="B64" s="27" t="s">
        <v>399</v>
      </c>
      <c r="C64" s="154"/>
      <c r="D64" s="89">
        <v>3</v>
      </c>
      <c r="E64" s="154"/>
      <c r="F64" s="98"/>
      <c r="G64" s="88"/>
      <c r="H64" s="88"/>
    </row>
    <row r="65" spans="1:10">
      <c r="A65" s="18" t="s">
        <v>572</v>
      </c>
      <c r="B65" s="27" t="s">
        <v>446</v>
      </c>
      <c r="C65" s="154">
        <v>50</v>
      </c>
      <c r="D65" s="89">
        <v>75</v>
      </c>
      <c r="E65" s="154">
        <v>38</v>
      </c>
      <c r="F65" s="98"/>
      <c r="G65" s="88"/>
      <c r="H65" s="88"/>
    </row>
    <row r="66" spans="1:10" ht="31">
      <c r="A66" s="18" t="s">
        <v>573</v>
      </c>
      <c r="B66" s="27" t="s">
        <v>465</v>
      </c>
      <c r="C66" s="154">
        <v>4</v>
      </c>
      <c r="D66" s="89">
        <v>2</v>
      </c>
      <c r="E66" s="154">
        <v>2</v>
      </c>
      <c r="F66" s="98"/>
      <c r="G66" s="88"/>
      <c r="H66" s="88"/>
    </row>
    <row r="67" spans="1:10">
      <c r="A67" s="97" t="s">
        <v>225</v>
      </c>
      <c r="B67" s="137">
        <v>1070</v>
      </c>
      <c r="C67" s="138">
        <f>SUM(C68:C73)</f>
        <v>1282.5</v>
      </c>
      <c r="D67" s="138">
        <f>SUM(D68:D73)</f>
        <v>1502</v>
      </c>
      <c r="E67" s="138">
        <f>SUM(E68:E73)</f>
        <v>1289.8</v>
      </c>
      <c r="F67" s="139">
        <f t="shared" ref="F67:F73" si="4">E67-D67</f>
        <v>-212.20000000000005</v>
      </c>
      <c r="G67" s="140">
        <f t="shared" ref="G67:G73" si="5">E67/D67*100</f>
        <v>85.872170439414106</v>
      </c>
      <c r="H67" s="141"/>
      <c r="I67" s="13">
        <v>1290.2</v>
      </c>
      <c r="J67" s="108">
        <f>E67-I67</f>
        <v>-0.40000000000009095</v>
      </c>
    </row>
    <row r="68" spans="1:10">
      <c r="A68" s="18" t="s">
        <v>185</v>
      </c>
      <c r="B68" s="60">
        <v>1071</v>
      </c>
      <c r="C68" s="142"/>
      <c r="D68" s="89"/>
      <c r="E68" s="142"/>
      <c r="F68" s="139">
        <f t="shared" si="4"/>
        <v>0</v>
      </c>
      <c r="G68" s="153" t="e">
        <f t="shared" si="5"/>
        <v>#DIV/0!</v>
      </c>
      <c r="H68" s="141"/>
    </row>
    <row r="69" spans="1:10">
      <c r="A69" s="18" t="s">
        <v>186</v>
      </c>
      <c r="B69" s="60">
        <v>1072</v>
      </c>
      <c r="C69" s="142"/>
      <c r="D69" s="89"/>
      <c r="E69" s="142"/>
      <c r="F69" s="139">
        <f t="shared" si="4"/>
        <v>0</v>
      </c>
      <c r="G69" s="153" t="e">
        <f t="shared" si="5"/>
        <v>#DIV/0!</v>
      </c>
      <c r="H69" s="141"/>
    </row>
    <row r="70" spans="1:10">
      <c r="A70" s="18" t="s">
        <v>40</v>
      </c>
      <c r="B70" s="60">
        <v>1073</v>
      </c>
      <c r="C70" s="142">
        <v>747</v>
      </c>
      <c r="D70" s="89">
        <v>929</v>
      </c>
      <c r="E70" s="142">
        <v>706</v>
      </c>
      <c r="F70" s="139">
        <f t="shared" si="4"/>
        <v>-223</v>
      </c>
      <c r="G70" s="140">
        <f t="shared" si="5"/>
        <v>75.99569429494079</v>
      </c>
      <c r="H70" s="141"/>
    </row>
    <row r="71" spans="1:10" ht="31">
      <c r="A71" s="18" t="s">
        <v>64</v>
      </c>
      <c r="B71" s="60">
        <v>1074</v>
      </c>
      <c r="C71" s="142">
        <v>27</v>
      </c>
      <c r="D71" s="89">
        <v>35</v>
      </c>
      <c r="E71" s="142">
        <v>28</v>
      </c>
      <c r="F71" s="139">
        <f t="shared" si="4"/>
        <v>-7</v>
      </c>
      <c r="G71" s="140">
        <f t="shared" si="5"/>
        <v>80</v>
      </c>
      <c r="H71" s="141"/>
    </row>
    <row r="72" spans="1:10">
      <c r="A72" s="18" t="s">
        <v>80</v>
      </c>
      <c r="B72" s="60">
        <v>1075</v>
      </c>
      <c r="C72" s="142"/>
      <c r="D72" s="89"/>
      <c r="E72" s="142"/>
      <c r="F72" s="139">
        <f t="shared" si="4"/>
        <v>0</v>
      </c>
      <c r="G72" s="153" t="e">
        <f t="shared" si="5"/>
        <v>#DIV/0!</v>
      </c>
      <c r="H72" s="141"/>
    </row>
    <row r="73" spans="1:10">
      <c r="A73" s="18" t="s">
        <v>124</v>
      </c>
      <c r="B73" s="60">
        <v>1076</v>
      </c>
      <c r="C73" s="142">
        <f>SUM(C74:C80)</f>
        <v>508.5</v>
      </c>
      <c r="D73" s="142">
        <f>SUM(D74:D80)</f>
        <v>538</v>
      </c>
      <c r="E73" s="142">
        <f>SUM(E74:E80)</f>
        <v>555.79999999999995</v>
      </c>
      <c r="F73" s="139">
        <f t="shared" si="4"/>
        <v>17.799999999999955</v>
      </c>
      <c r="G73" s="140">
        <f t="shared" si="5"/>
        <v>103.3085501858736</v>
      </c>
      <c r="H73" s="141"/>
    </row>
    <row r="74" spans="1:10">
      <c r="A74" s="18" t="s">
        <v>41</v>
      </c>
      <c r="B74" s="27" t="s">
        <v>400</v>
      </c>
      <c r="C74" s="89">
        <v>156</v>
      </c>
      <c r="D74" s="89">
        <v>204</v>
      </c>
      <c r="E74" s="89">
        <v>155.4</v>
      </c>
      <c r="F74" s="98"/>
      <c r="G74" s="88"/>
      <c r="H74" s="88"/>
    </row>
    <row r="75" spans="1:10">
      <c r="A75" s="18" t="s">
        <v>385</v>
      </c>
      <c r="B75" s="27" t="s">
        <v>401</v>
      </c>
      <c r="C75" s="89">
        <v>55</v>
      </c>
      <c r="D75" s="89">
        <v>65</v>
      </c>
      <c r="E75" s="89">
        <v>46.4</v>
      </c>
      <c r="F75" s="98"/>
      <c r="G75" s="88"/>
      <c r="H75" s="88"/>
    </row>
    <row r="76" spans="1:10">
      <c r="A76" s="18" t="s">
        <v>402</v>
      </c>
      <c r="B76" s="27" t="s">
        <v>403</v>
      </c>
      <c r="C76" s="89">
        <v>96.5</v>
      </c>
      <c r="D76" s="89">
        <v>18</v>
      </c>
      <c r="E76" s="89">
        <v>18</v>
      </c>
      <c r="F76" s="98"/>
      <c r="G76" s="88"/>
      <c r="H76" s="88"/>
    </row>
    <row r="77" spans="1:10">
      <c r="A77" s="18" t="s">
        <v>65</v>
      </c>
      <c r="B77" s="27" t="s">
        <v>404</v>
      </c>
      <c r="C77" s="89">
        <v>134.5</v>
      </c>
      <c r="D77" s="89">
        <v>150</v>
      </c>
      <c r="E77" s="89">
        <v>268</v>
      </c>
      <c r="F77" s="98"/>
      <c r="G77" s="88"/>
      <c r="H77" s="88"/>
    </row>
    <row r="78" spans="1:10">
      <c r="A78" s="18" t="s">
        <v>513</v>
      </c>
      <c r="B78" s="27" t="s">
        <v>405</v>
      </c>
      <c r="C78" s="89"/>
      <c r="D78" s="89">
        <v>2</v>
      </c>
      <c r="E78" s="89"/>
      <c r="F78" s="98"/>
      <c r="G78" s="88"/>
      <c r="H78" s="88"/>
    </row>
    <row r="79" spans="1:10">
      <c r="A79" s="18" t="s">
        <v>533</v>
      </c>
      <c r="B79" s="27" t="s">
        <v>407</v>
      </c>
      <c r="C79" s="89"/>
      <c r="D79" s="89"/>
      <c r="E79" s="89">
        <v>12</v>
      </c>
      <c r="F79" s="98"/>
      <c r="G79" s="88"/>
      <c r="H79" s="88"/>
    </row>
    <row r="80" spans="1:10">
      <c r="A80" s="18" t="s">
        <v>406</v>
      </c>
      <c r="B80" s="27" t="s">
        <v>534</v>
      </c>
      <c r="C80" s="89">
        <v>66.5</v>
      </c>
      <c r="D80" s="89">
        <f>SUM(D81:D87)</f>
        <v>99</v>
      </c>
      <c r="E80" s="89">
        <f>SUM(E81:E87)</f>
        <v>56</v>
      </c>
      <c r="F80" s="98"/>
      <c r="G80" s="88"/>
      <c r="H80" s="88"/>
    </row>
    <row r="81" spans="1:10">
      <c r="A81" s="18" t="s">
        <v>408</v>
      </c>
      <c r="B81" s="27" t="s">
        <v>562</v>
      </c>
      <c r="C81" s="89"/>
      <c r="D81" s="89">
        <v>2</v>
      </c>
      <c r="E81" s="89">
        <v>1</v>
      </c>
      <c r="F81" s="98"/>
      <c r="G81" s="88"/>
      <c r="H81" s="88"/>
    </row>
    <row r="82" spans="1:10">
      <c r="A82" s="18" t="s">
        <v>395</v>
      </c>
      <c r="B82" s="27" t="s">
        <v>563</v>
      </c>
      <c r="C82" s="89">
        <v>3</v>
      </c>
      <c r="D82" s="89">
        <v>6</v>
      </c>
      <c r="E82" s="89">
        <v>2</v>
      </c>
      <c r="F82" s="98"/>
      <c r="G82" s="88"/>
      <c r="H82" s="88"/>
    </row>
    <row r="83" spans="1:10">
      <c r="A83" s="18" t="s">
        <v>514</v>
      </c>
      <c r="B83" s="27" t="s">
        <v>564</v>
      </c>
      <c r="C83" s="89">
        <v>6</v>
      </c>
      <c r="D83" s="89">
        <v>6</v>
      </c>
      <c r="E83" s="89"/>
      <c r="F83" s="98"/>
      <c r="G83" s="88"/>
      <c r="H83" s="88"/>
    </row>
    <row r="84" spans="1:10">
      <c r="A84" s="18" t="s">
        <v>532</v>
      </c>
      <c r="B84" s="27" t="s">
        <v>565</v>
      </c>
      <c r="C84" s="89">
        <v>2</v>
      </c>
      <c r="D84" s="89">
        <v>3</v>
      </c>
      <c r="E84" s="89">
        <f>1+4+6</f>
        <v>11</v>
      </c>
      <c r="F84" s="98"/>
      <c r="G84" s="88"/>
      <c r="H84" s="88"/>
    </row>
    <row r="85" spans="1:10">
      <c r="A85" s="18" t="s">
        <v>46</v>
      </c>
      <c r="B85" s="27" t="s">
        <v>566</v>
      </c>
      <c r="C85" s="89">
        <v>53</v>
      </c>
      <c r="D85" s="89">
        <v>60</v>
      </c>
      <c r="E85" s="89">
        <f>12+18</f>
        <v>30</v>
      </c>
      <c r="F85" s="98"/>
      <c r="G85" s="88"/>
      <c r="H85" s="88"/>
    </row>
    <row r="86" spans="1:10">
      <c r="A86" s="18" t="s">
        <v>485</v>
      </c>
      <c r="B86" s="27" t="s">
        <v>567</v>
      </c>
      <c r="C86" s="89">
        <v>3</v>
      </c>
      <c r="D86" s="89">
        <v>20</v>
      </c>
      <c r="E86" s="89">
        <v>10</v>
      </c>
      <c r="F86" s="98"/>
      <c r="G86" s="88"/>
      <c r="H86" s="88"/>
    </row>
    <row r="87" spans="1:10">
      <c r="A87" s="18" t="s">
        <v>466</v>
      </c>
      <c r="B87" s="27" t="s">
        <v>568</v>
      </c>
      <c r="C87" s="89"/>
      <c r="D87" s="89">
        <v>2</v>
      </c>
      <c r="E87" s="89">
        <v>2</v>
      </c>
      <c r="F87" s="98"/>
      <c r="G87" s="88"/>
      <c r="H87" s="88"/>
    </row>
    <row r="88" spans="1:10" ht="30">
      <c r="A88" s="155" t="s">
        <v>81</v>
      </c>
      <c r="B88" s="137">
        <v>1080</v>
      </c>
      <c r="C88" s="143">
        <f>SUM(C89:C93)</f>
        <v>256</v>
      </c>
      <c r="D88" s="143">
        <f t="shared" ref="D88" si="6">SUM(D89:D93)</f>
        <v>0</v>
      </c>
      <c r="E88" s="143">
        <f>SUM(E89:E93)</f>
        <v>410</v>
      </c>
      <c r="F88" s="139">
        <f>E88-D88</f>
        <v>410</v>
      </c>
      <c r="G88" s="153" t="e">
        <f>E88/D88*100</f>
        <v>#DIV/0!</v>
      </c>
      <c r="H88" s="144"/>
      <c r="J88" s="108"/>
    </row>
    <row r="89" spans="1:10">
      <c r="A89" s="18" t="s">
        <v>73</v>
      </c>
      <c r="B89" s="60">
        <v>1081</v>
      </c>
      <c r="C89" s="142"/>
      <c r="D89" s="89"/>
      <c r="E89" s="142"/>
      <c r="F89" s="139"/>
      <c r="G89" s="140"/>
      <c r="H89" s="141"/>
    </row>
    <row r="90" spans="1:10">
      <c r="A90" s="18" t="s">
        <v>52</v>
      </c>
      <c r="B90" s="60">
        <v>1082</v>
      </c>
      <c r="C90" s="142"/>
      <c r="D90" s="89"/>
      <c r="E90" s="142"/>
      <c r="F90" s="139"/>
      <c r="G90" s="140"/>
      <c r="H90" s="141"/>
    </row>
    <row r="91" spans="1:10" ht="31">
      <c r="A91" s="18" t="s">
        <v>62</v>
      </c>
      <c r="B91" s="60">
        <v>1083</v>
      </c>
      <c r="C91" s="142"/>
      <c r="D91" s="89"/>
      <c r="E91" s="142"/>
      <c r="F91" s="139"/>
      <c r="G91" s="140"/>
      <c r="H91" s="141"/>
    </row>
    <row r="92" spans="1:10">
      <c r="A92" s="18" t="s">
        <v>215</v>
      </c>
      <c r="B92" s="60">
        <v>1084</v>
      </c>
      <c r="C92" s="142"/>
      <c r="D92" s="89"/>
      <c r="E92" s="142"/>
      <c r="F92" s="139"/>
      <c r="G92" s="140"/>
      <c r="H92" s="141"/>
    </row>
    <row r="93" spans="1:10">
      <c r="A93" s="18" t="s">
        <v>259</v>
      </c>
      <c r="B93" s="60">
        <v>1085</v>
      </c>
      <c r="C93" s="142">
        <f>SUM(C94:C99)</f>
        <v>256</v>
      </c>
      <c r="D93" s="142">
        <f t="shared" ref="D93" si="7">SUM(D94:D99)</f>
        <v>0</v>
      </c>
      <c r="E93" s="142">
        <f>SUM(E94:E99)</f>
        <v>410</v>
      </c>
      <c r="F93" s="139">
        <f>E93-D93</f>
        <v>410</v>
      </c>
      <c r="G93" s="153" t="e">
        <f>E93/D93*100</f>
        <v>#DIV/0!</v>
      </c>
      <c r="H93" s="141"/>
      <c r="J93" s="108">
        <f>E93-I93</f>
        <v>410</v>
      </c>
    </row>
    <row r="94" spans="1:10">
      <c r="A94" s="106" t="s">
        <v>409</v>
      </c>
      <c r="B94" s="156" t="s">
        <v>410</v>
      </c>
      <c r="C94" s="89">
        <v>29</v>
      </c>
      <c r="D94" s="89"/>
      <c r="E94" s="89">
        <v>66</v>
      </c>
      <c r="F94" s="98"/>
      <c r="G94" s="88"/>
      <c r="H94" s="88"/>
    </row>
    <row r="95" spans="1:10">
      <c r="A95" s="106" t="s">
        <v>484</v>
      </c>
      <c r="B95" s="156" t="s">
        <v>411</v>
      </c>
      <c r="C95" s="89">
        <v>9</v>
      </c>
      <c r="D95" s="89"/>
      <c r="E95" s="89">
        <v>53</v>
      </c>
      <c r="F95" s="98"/>
      <c r="G95" s="88"/>
      <c r="H95" s="88"/>
    </row>
    <row r="96" spans="1:10">
      <c r="A96" s="106" t="s">
        <v>422</v>
      </c>
      <c r="B96" s="156" t="s">
        <v>412</v>
      </c>
      <c r="C96" s="89"/>
      <c r="D96" s="89"/>
      <c r="E96" s="89"/>
      <c r="F96" s="98"/>
      <c r="G96" s="88"/>
      <c r="H96" s="88"/>
    </row>
    <row r="97" spans="1:10" ht="31">
      <c r="A97" s="106" t="s">
        <v>535</v>
      </c>
      <c r="B97" s="156" t="s">
        <v>413</v>
      </c>
      <c r="C97" s="89"/>
      <c r="D97" s="89"/>
      <c r="E97" s="89">
        <v>291</v>
      </c>
      <c r="F97" s="98"/>
      <c r="G97" s="88"/>
      <c r="H97" s="88"/>
    </row>
    <row r="98" spans="1:10">
      <c r="A98" s="106" t="s">
        <v>414</v>
      </c>
      <c r="B98" s="156" t="s">
        <v>415</v>
      </c>
      <c r="C98" s="89"/>
      <c r="D98" s="89"/>
      <c r="E98" s="89"/>
      <c r="F98" s="98"/>
      <c r="G98" s="88"/>
      <c r="H98" s="88"/>
    </row>
    <row r="99" spans="1:10">
      <c r="A99" s="106" t="s">
        <v>416</v>
      </c>
      <c r="B99" s="156" t="s">
        <v>417</v>
      </c>
      <c r="C99" s="89">
        <v>218</v>
      </c>
      <c r="D99" s="89"/>
      <c r="E99" s="89"/>
      <c r="F99" s="98"/>
      <c r="G99" s="88"/>
      <c r="H99" s="88"/>
    </row>
    <row r="100" spans="1:10" s="15" customFormat="1" ht="30">
      <c r="A100" s="97" t="s">
        <v>4</v>
      </c>
      <c r="B100" s="137">
        <v>1100</v>
      </c>
      <c r="C100" s="143">
        <f>C31+C32-C35-C67-C88</f>
        <v>-229.5</v>
      </c>
      <c r="D100" s="143">
        <f>D31+D32-D35-D67-D88</f>
        <v>2212</v>
      </c>
      <c r="E100" s="143">
        <f>E31+E32-E35-E67-E88</f>
        <v>675.2999999999995</v>
      </c>
      <c r="F100" s="139">
        <f>E100-D100</f>
        <v>-1536.7000000000005</v>
      </c>
      <c r="G100" s="140">
        <f>E100/D100*100</f>
        <v>30.528933092224207</v>
      </c>
      <c r="H100" s="148"/>
      <c r="I100" s="13"/>
      <c r="J100" s="108"/>
    </row>
    <row r="101" spans="1:10">
      <c r="A101" s="18" t="s">
        <v>109</v>
      </c>
      <c r="B101" s="60">
        <v>1110</v>
      </c>
      <c r="C101" s="142"/>
      <c r="D101" s="142"/>
      <c r="E101" s="142"/>
      <c r="F101" s="139"/>
      <c r="G101" s="140"/>
      <c r="H101" s="141"/>
    </row>
    <row r="102" spans="1:10">
      <c r="A102" s="18" t="s">
        <v>110</v>
      </c>
      <c r="B102" s="60">
        <v>1120</v>
      </c>
      <c r="C102" s="142">
        <f>C103</f>
        <v>1</v>
      </c>
      <c r="D102" s="142"/>
      <c r="E102" s="142">
        <f>E103</f>
        <v>0</v>
      </c>
      <c r="F102" s="139"/>
      <c r="G102" s="140"/>
      <c r="H102" s="141"/>
    </row>
    <row r="103" spans="1:10">
      <c r="A103" s="106" t="s">
        <v>469</v>
      </c>
      <c r="B103" s="27" t="s">
        <v>418</v>
      </c>
      <c r="C103" s="89">
        <v>1</v>
      </c>
      <c r="D103" s="88"/>
      <c r="E103" s="89"/>
      <c r="F103" s="98"/>
      <c r="G103" s="88"/>
      <c r="H103" s="88"/>
    </row>
    <row r="104" spans="1:10">
      <c r="A104" s="18" t="s">
        <v>112</v>
      </c>
      <c r="B104" s="60">
        <v>1130</v>
      </c>
      <c r="C104" s="142"/>
      <c r="D104" s="142"/>
      <c r="E104" s="142"/>
      <c r="F104" s="139"/>
      <c r="G104" s="140"/>
      <c r="H104" s="141"/>
    </row>
    <row r="105" spans="1:10">
      <c r="A105" s="18" t="s">
        <v>450</v>
      </c>
      <c r="B105" s="60">
        <v>1140</v>
      </c>
      <c r="C105" s="142"/>
      <c r="D105" s="142"/>
      <c r="E105" s="142"/>
      <c r="F105" s="139"/>
      <c r="G105" s="140"/>
      <c r="H105" s="141"/>
    </row>
    <row r="106" spans="1:10">
      <c r="A106" s="18" t="s">
        <v>216</v>
      </c>
      <c r="B106" s="60">
        <v>1150</v>
      </c>
      <c r="C106" s="89">
        <f>SUM(C107:C110)</f>
        <v>576</v>
      </c>
      <c r="D106" s="89">
        <f>D107+D108+D110</f>
        <v>564</v>
      </c>
      <c r="E106" s="89">
        <f>SUM(E107:E110)</f>
        <v>0</v>
      </c>
      <c r="F106" s="139">
        <f>E106-D106</f>
        <v>-564</v>
      </c>
      <c r="G106" s="140">
        <f>E106/D106*100</f>
        <v>0</v>
      </c>
      <c r="H106" s="141"/>
      <c r="J106" s="108">
        <f>E106-I106</f>
        <v>0</v>
      </c>
    </row>
    <row r="107" spans="1:10">
      <c r="A107" s="18" t="s">
        <v>462</v>
      </c>
      <c r="B107" s="60" t="s">
        <v>419</v>
      </c>
      <c r="C107" s="157"/>
      <c r="D107" s="89">
        <v>564</v>
      </c>
      <c r="E107" s="157"/>
      <c r="F107" s="139"/>
      <c r="G107" s="140"/>
      <c r="H107" s="141"/>
    </row>
    <row r="108" spans="1:10">
      <c r="A108" s="18" t="s">
        <v>451</v>
      </c>
      <c r="B108" s="60" t="s">
        <v>441</v>
      </c>
      <c r="C108" s="157">
        <v>370</v>
      </c>
      <c r="D108" s="89"/>
      <c r="E108" s="157"/>
      <c r="F108" s="139"/>
      <c r="G108" s="140"/>
      <c r="H108" s="141"/>
    </row>
    <row r="109" spans="1:10" ht="31">
      <c r="A109" s="18" t="s">
        <v>442</v>
      </c>
      <c r="B109" s="60" t="s">
        <v>448</v>
      </c>
      <c r="C109" s="157"/>
      <c r="D109" s="89"/>
      <c r="E109" s="157"/>
      <c r="F109" s="139"/>
      <c r="G109" s="140"/>
      <c r="H109" s="141"/>
    </row>
    <row r="110" spans="1:10" ht="31">
      <c r="A110" s="18" t="s">
        <v>467</v>
      </c>
      <c r="B110" s="60" t="s">
        <v>468</v>
      </c>
      <c r="C110" s="157">
        <v>206</v>
      </c>
      <c r="D110" s="89"/>
      <c r="E110" s="157"/>
      <c r="F110" s="139"/>
      <c r="G110" s="140"/>
      <c r="H110" s="141"/>
    </row>
    <row r="111" spans="1:10">
      <c r="A111" s="18" t="s">
        <v>215</v>
      </c>
      <c r="B111" s="60">
        <v>1151</v>
      </c>
      <c r="C111" s="142"/>
      <c r="D111" s="89"/>
      <c r="E111" s="142"/>
      <c r="F111" s="139"/>
      <c r="G111" s="140"/>
      <c r="H111" s="141"/>
    </row>
    <row r="112" spans="1:10" ht="30">
      <c r="A112" s="97" t="s">
        <v>217</v>
      </c>
      <c r="B112" s="137">
        <v>1160</v>
      </c>
      <c r="C112" s="138">
        <f>C113+C114</f>
        <v>223.8</v>
      </c>
      <c r="D112" s="158">
        <f>D113+D114</f>
        <v>0</v>
      </c>
      <c r="E112" s="138">
        <f>E113+E114</f>
        <v>0</v>
      </c>
      <c r="F112" s="150">
        <f>E112-D112</f>
        <v>0</v>
      </c>
      <c r="G112" s="229" t="e">
        <f>E112/D112*100</f>
        <v>#DIV/0!</v>
      </c>
      <c r="H112" s="159"/>
      <c r="J112" s="108">
        <f>E112-I112</f>
        <v>0</v>
      </c>
    </row>
    <row r="113" spans="1:10" ht="31">
      <c r="A113" s="18" t="s">
        <v>574</v>
      </c>
      <c r="B113" s="60" t="s">
        <v>420</v>
      </c>
      <c r="C113" s="157">
        <v>11.4</v>
      </c>
      <c r="D113" s="89"/>
      <c r="E113" s="157"/>
      <c r="F113" s="139"/>
      <c r="G113" s="140"/>
      <c r="H113" s="141"/>
    </row>
    <row r="114" spans="1:10" ht="31">
      <c r="A114" s="18" t="s">
        <v>507</v>
      </c>
      <c r="B114" s="60" t="s">
        <v>421</v>
      </c>
      <c r="C114" s="157">
        <v>212.4</v>
      </c>
      <c r="D114" s="89"/>
      <c r="E114" s="157"/>
      <c r="F114" s="139"/>
      <c r="G114" s="140"/>
      <c r="H114" s="141"/>
    </row>
    <row r="115" spans="1:10">
      <c r="A115" s="18" t="s">
        <v>215</v>
      </c>
      <c r="B115" s="60">
        <v>1161</v>
      </c>
      <c r="C115" s="142"/>
      <c r="D115" s="89"/>
      <c r="E115" s="142"/>
      <c r="F115" s="139"/>
      <c r="G115" s="140"/>
      <c r="H115" s="141"/>
    </row>
    <row r="116" spans="1:10" s="15" customFormat="1">
      <c r="A116" s="97" t="s">
        <v>97</v>
      </c>
      <c r="B116" s="137">
        <v>1170</v>
      </c>
      <c r="C116" s="143">
        <f>C100+C101+C102-C104-C105+C106-C112</f>
        <v>123.69999999999999</v>
      </c>
      <c r="D116" s="143">
        <f>D100+D101+D102-D104-D105+D106-D112</f>
        <v>2776</v>
      </c>
      <c r="E116" s="143">
        <f>E100+E101+E102-E104-E105+E106-E112</f>
        <v>675.2999999999995</v>
      </c>
      <c r="F116" s="139">
        <f>E116-D116</f>
        <v>-2100.7000000000007</v>
      </c>
      <c r="G116" s="140">
        <f>E116/D116*100</f>
        <v>24.326368876080672</v>
      </c>
      <c r="H116" s="148"/>
      <c r="I116" s="15">
        <v>10</v>
      </c>
      <c r="J116" s="107">
        <f>E116-I116</f>
        <v>665.2999999999995</v>
      </c>
    </row>
    <row r="117" spans="1:10">
      <c r="A117" s="18" t="s">
        <v>138</v>
      </c>
      <c r="B117" s="60">
        <v>1180</v>
      </c>
      <c r="C117" s="142"/>
      <c r="D117" s="142">
        <v>0</v>
      </c>
      <c r="E117" s="142"/>
      <c r="F117" s="139">
        <f>E117-D117</f>
        <v>0</v>
      </c>
      <c r="G117" s="153" t="e">
        <f>E117/D117*100</f>
        <v>#DIV/0!</v>
      </c>
      <c r="H117" s="141"/>
    </row>
    <row r="118" spans="1:10" ht="31">
      <c r="A118" s="18" t="s">
        <v>139</v>
      </c>
      <c r="B118" s="60">
        <v>1190</v>
      </c>
      <c r="C118" s="142"/>
      <c r="D118" s="142"/>
      <c r="E118" s="142"/>
      <c r="F118" s="139"/>
      <c r="G118" s="140"/>
      <c r="H118" s="141"/>
    </row>
    <row r="119" spans="1:10" s="15" customFormat="1" ht="30">
      <c r="A119" s="97" t="s">
        <v>98</v>
      </c>
      <c r="B119" s="137">
        <v>1200</v>
      </c>
      <c r="C119" s="143">
        <f>C116-C117</f>
        <v>123.69999999999999</v>
      </c>
      <c r="D119" s="143">
        <f>D116-D117</f>
        <v>2776</v>
      </c>
      <c r="E119" s="143">
        <f>E116-E117</f>
        <v>675.2999999999995</v>
      </c>
      <c r="F119" s="139">
        <f>E119-D119</f>
        <v>-2100.7000000000007</v>
      </c>
      <c r="G119" s="140">
        <f>E119/D119*100</f>
        <v>24.326368876080672</v>
      </c>
      <c r="H119" s="148"/>
      <c r="I119" s="15">
        <v>10</v>
      </c>
      <c r="J119" s="107">
        <f>E119-I119</f>
        <v>665.2999999999995</v>
      </c>
    </row>
    <row r="120" spans="1:10">
      <c r="A120" s="18" t="s">
        <v>24</v>
      </c>
      <c r="B120" s="27">
        <v>1201</v>
      </c>
      <c r="C120" s="89">
        <f>C119</f>
        <v>123.69999999999999</v>
      </c>
      <c r="D120" s="89">
        <f>D119</f>
        <v>2776</v>
      </c>
      <c r="E120" s="89">
        <f>E119</f>
        <v>675.2999999999995</v>
      </c>
      <c r="F120" s="87"/>
      <c r="G120" s="147"/>
      <c r="H120" s="146"/>
    </row>
    <row r="121" spans="1:10">
      <c r="A121" s="18" t="s">
        <v>25</v>
      </c>
      <c r="B121" s="27">
        <v>1202</v>
      </c>
      <c r="C121" s="89"/>
      <c r="D121" s="89"/>
      <c r="E121" s="89"/>
      <c r="F121" s="87"/>
      <c r="G121" s="147"/>
      <c r="H121" s="146"/>
    </row>
    <row r="122" spans="1:10">
      <c r="A122" s="18" t="s">
        <v>260</v>
      </c>
      <c r="B122" s="60">
        <v>1210</v>
      </c>
      <c r="C122" s="142"/>
      <c r="D122" s="142"/>
      <c r="E122" s="142"/>
      <c r="F122" s="139"/>
      <c r="G122" s="140"/>
      <c r="H122" s="141"/>
    </row>
    <row r="123" spans="1:10" s="15" customFormat="1" ht="15">
      <c r="A123" s="235" t="s">
        <v>273</v>
      </c>
      <c r="B123" s="236"/>
      <c r="C123" s="236"/>
      <c r="D123" s="236"/>
      <c r="E123" s="236"/>
      <c r="F123" s="236"/>
      <c r="G123" s="236"/>
      <c r="H123" s="237"/>
    </row>
    <row r="124" spans="1:10" ht="31">
      <c r="A124" s="1" t="s">
        <v>274</v>
      </c>
      <c r="B124" s="27">
        <v>1300</v>
      </c>
      <c r="C124" s="31">
        <f>C32-C88</f>
        <v>4889</v>
      </c>
      <c r="D124" s="31">
        <f>D32-D88</f>
        <v>14709</v>
      </c>
      <c r="E124" s="31">
        <f>E32-E88</f>
        <v>11028</v>
      </c>
      <c r="F124" s="139">
        <f>E124-D124</f>
        <v>-3681</v>
      </c>
      <c r="G124" s="153">
        <f>E124/D124*100</f>
        <v>74.97450540485417</v>
      </c>
      <c r="H124" s="146"/>
    </row>
    <row r="125" spans="1:10" ht="62">
      <c r="A125" s="106" t="s">
        <v>275</v>
      </c>
      <c r="B125" s="27">
        <v>1310</v>
      </c>
      <c r="C125" s="31">
        <f>C101+C102-C104-C105</f>
        <v>1</v>
      </c>
      <c r="D125" s="31">
        <f>D101+D102-D104-D105</f>
        <v>0</v>
      </c>
      <c r="E125" s="31">
        <f>E101+E102-E104-E105</f>
        <v>0</v>
      </c>
      <c r="F125" s="139">
        <f>E125-D125</f>
        <v>0</v>
      </c>
      <c r="G125" s="153" t="e">
        <f>E125/D125*100</f>
        <v>#DIV/0!</v>
      </c>
      <c r="H125" s="146"/>
    </row>
    <row r="126" spans="1:10" ht="31">
      <c r="A126" s="1" t="s">
        <v>276</v>
      </c>
      <c r="B126" s="27">
        <v>1320</v>
      </c>
      <c r="C126" s="31">
        <f>C106-C112</f>
        <v>352.2</v>
      </c>
      <c r="D126" s="31">
        <f>D106-D112</f>
        <v>564</v>
      </c>
      <c r="E126" s="31">
        <f>E106-E112</f>
        <v>0</v>
      </c>
      <c r="F126" s="139">
        <f>E126-D126</f>
        <v>-564</v>
      </c>
      <c r="G126" s="140">
        <f>E126/D126*100</f>
        <v>0</v>
      </c>
      <c r="H126" s="146"/>
    </row>
    <row r="127" spans="1:10" ht="31">
      <c r="A127" s="18" t="s">
        <v>363</v>
      </c>
      <c r="B127" s="60">
        <v>1330</v>
      </c>
      <c r="C127" s="62">
        <f>C9+C32+C101+C102+C106</f>
        <v>20419.5</v>
      </c>
      <c r="D127" s="62">
        <f>D9+D32+D101+D102+D106</f>
        <v>32187</v>
      </c>
      <c r="E127" s="62">
        <f>E9+E32+E101+E102+E106</f>
        <v>21344</v>
      </c>
      <c r="F127" s="139">
        <f>E127-D127</f>
        <v>-10843</v>
      </c>
      <c r="G127" s="140">
        <f>E127/D127*100</f>
        <v>66.312486407555852</v>
      </c>
      <c r="H127" s="141"/>
    </row>
    <row r="128" spans="1:10" ht="62">
      <c r="A128" s="18" t="s">
        <v>364</v>
      </c>
      <c r="B128" s="60">
        <v>1340</v>
      </c>
      <c r="C128" s="62">
        <f>C11+C35+C67+C88+C104+C112+C117</f>
        <v>20295.8</v>
      </c>
      <c r="D128" s="62">
        <f>D11+D35+D67+D88+D104+D112+D117</f>
        <v>29411</v>
      </c>
      <c r="E128" s="62">
        <f>E11+E35+E67+E88+E104+E112+E117</f>
        <v>20668.7</v>
      </c>
      <c r="F128" s="139">
        <f>E128-D128</f>
        <v>-8742.2999999999993</v>
      </c>
      <c r="G128" s="140">
        <f>E128/D128*100</f>
        <v>70.275407160586184</v>
      </c>
      <c r="H128" s="141"/>
    </row>
    <row r="129" spans="1:8">
      <c r="A129" s="261" t="s">
        <v>166</v>
      </c>
      <c r="B129" s="262"/>
      <c r="C129" s="262"/>
      <c r="D129" s="262"/>
      <c r="E129" s="262"/>
      <c r="F129" s="262"/>
      <c r="G129" s="262"/>
      <c r="H129" s="263"/>
    </row>
    <row r="130" spans="1:8" ht="31">
      <c r="A130" s="18" t="s">
        <v>277</v>
      </c>
      <c r="B130" s="60">
        <v>1400</v>
      </c>
      <c r="C130" s="62">
        <f>C100</f>
        <v>-229.5</v>
      </c>
      <c r="D130" s="62">
        <f>D100</f>
        <v>2212</v>
      </c>
      <c r="E130" s="62">
        <f>E100</f>
        <v>675.2999999999995</v>
      </c>
      <c r="F130" s="139">
        <f>E130-D130</f>
        <v>-1536.7000000000005</v>
      </c>
      <c r="G130" s="140">
        <f>E130/D130*100</f>
        <v>30.528933092224207</v>
      </c>
      <c r="H130" s="141"/>
    </row>
    <row r="131" spans="1:8">
      <c r="A131" s="18" t="s">
        <v>278</v>
      </c>
      <c r="B131" s="60">
        <v>1401</v>
      </c>
      <c r="C131" s="62">
        <f>C142</f>
        <v>516</v>
      </c>
      <c r="D131" s="62">
        <f>D142</f>
        <v>564</v>
      </c>
      <c r="E131" s="157">
        <f>E142</f>
        <v>681</v>
      </c>
      <c r="F131" s="139">
        <f>E131-D131</f>
        <v>117</v>
      </c>
      <c r="G131" s="140">
        <f>E131/D131*100</f>
        <v>120.74468085106382</v>
      </c>
      <c r="H131" s="141"/>
    </row>
    <row r="132" spans="1:8" ht="31">
      <c r="A132" s="18" t="s">
        <v>279</v>
      </c>
      <c r="B132" s="60">
        <v>1402</v>
      </c>
      <c r="C132" s="62"/>
      <c r="D132" s="62">
        <f>D34</f>
        <v>0</v>
      </c>
      <c r="E132" s="62">
        <f>E34</f>
        <v>0</v>
      </c>
      <c r="F132" s="139"/>
      <c r="G132" s="140"/>
      <c r="H132" s="141"/>
    </row>
    <row r="133" spans="1:8" ht="31">
      <c r="A133" s="18" t="s">
        <v>280</v>
      </c>
      <c r="B133" s="60">
        <v>1403</v>
      </c>
      <c r="C133" s="62"/>
      <c r="D133" s="62">
        <f>D92</f>
        <v>0</v>
      </c>
      <c r="E133" s="62">
        <f>E92</f>
        <v>0</v>
      </c>
      <c r="F133" s="139"/>
      <c r="G133" s="140"/>
      <c r="H133" s="141"/>
    </row>
    <row r="134" spans="1:8" ht="31">
      <c r="A134" s="18" t="s">
        <v>320</v>
      </c>
      <c r="B134" s="60">
        <v>1404</v>
      </c>
      <c r="C134" s="62"/>
      <c r="D134" s="62"/>
      <c r="E134" s="62"/>
      <c r="F134" s="139"/>
      <c r="G134" s="140"/>
      <c r="H134" s="141"/>
    </row>
    <row r="135" spans="1:8" s="15" customFormat="1">
      <c r="A135" s="97" t="s">
        <v>142</v>
      </c>
      <c r="B135" s="137">
        <v>1410</v>
      </c>
      <c r="C135" s="143">
        <f>C130+C131-C132+C133-C134-1</f>
        <v>285.5</v>
      </c>
      <c r="D135" s="143">
        <f>D130+D131-D132+D133-D134</f>
        <v>2776</v>
      </c>
      <c r="E135" s="143">
        <f>E130+E131-E132+E133-E134</f>
        <v>1356.2999999999995</v>
      </c>
      <c r="F135" s="139">
        <f>E135-D135</f>
        <v>-1419.7000000000005</v>
      </c>
      <c r="G135" s="140">
        <f>E135/D135*100</f>
        <v>48.85806916426511</v>
      </c>
      <c r="H135" s="159"/>
    </row>
    <row r="136" spans="1:8">
      <c r="A136" s="254" t="s">
        <v>232</v>
      </c>
      <c r="B136" s="255"/>
      <c r="C136" s="255"/>
      <c r="D136" s="255"/>
      <c r="E136" s="255"/>
      <c r="F136" s="255"/>
      <c r="G136" s="255"/>
      <c r="H136" s="256"/>
    </row>
    <row r="137" spans="1:8">
      <c r="A137" s="18" t="s">
        <v>281</v>
      </c>
      <c r="B137" s="60">
        <v>1500</v>
      </c>
      <c r="C137" s="142">
        <f t="shared" ref="C137" si="8">C138+C139</f>
        <v>1982.5</v>
      </c>
      <c r="D137" s="142">
        <f>D138+D139</f>
        <v>2757</v>
      </c>
      <c r="E137" s="142">
        <f t="shared" ref="E137" si="9">E138+E139</f>
        <v>2472</v>
      </c>
      <c r="F137" s="139">
        <f t="shared" ref="F137:F144" si="10">E137-D137</f>
        <v>-285</v>
      </c>
      <c r="G137" s="140">
        <f t="shared" ref="G137:G144" si="11">E137/D137*100</f>
        <v>89.662676822633287</v>
      </c>
      <c r="H137" s="141"/>
    </row>
    <row r="138" spans="1:8">
      <c r="A138" s="18" t="s">
        <v>282</v>
      </c>
      <c r="B138" s="27">
        <v>1501</v>
      </c>
      <c r="C138" s="89">
        <f>C12+C61</f>
        <v>48</v>
      </c>
      <c r="D138" s="89">
        <f>D12+D61</f>
        <v>80</v>
      </c>
      <c r="E138" s="89">
        <f>E12+E61</f>
        <v>87</v>
      </c>
      <c r="F138" s="139">
        <f t="shared" si="10"/>
        <v>7</v>
      </c>
      <c r="G138" s="140">
        <f t="shared" si="11"/>
        <v>108.74999999999999</v>
      </c>
      <c r="H138" s="146"/>
    </row>
    <row r="139" spans="1:8">
      <c r="A139" s="18" t="s">
        <v>28</v>
      </c>
      <c r="B139" s="27">
        <v>1502</v>
      </c>
      <c r="C139" s="89">
        <f>C13+C14+C58+C77</f>
        <v>1934.5</v>
      </c>
      <c r="D139" s="89">
        <f>D13+D14+D58+D77</f>
        <v>2677</v>
      </c>
      <c r="E139" s="89">
        <f>E13+E14+E58+E77</f>
        <v>2385</v>
      </c>
      <c r="F139" s="139">
        <f t="shared" si="10"/>
        <v>-292</v>
      </c>
      <c r="G139" s="140">
        <f t="shared" si="11"/>
        <v>89.092267463578636</v>
      </c>
      <c r="H139" s="146"/>
    </row>
    <row r="140" spans="1:8">
      <c r="A140" s="18" t="s">
        <v>5</v>
      </c>
      <c r="B140" s="60">
        <v>1510</v>
      </c>
      <c r="C140" s="142">
        <f>C15+C43+C70</f>
        <v>11415</v>
      </c>
      <c r="D140" s="142">
        <f>D15+D43+D70</f>
        <v>18248</v>
      </c>
      <c r="E140" s="142">
        <f>E15+E43+E70</f>
        <v>10957</v>
      </c>
      <c r="F140" s="139">
        <f t="shared" si="10"/>
        <v>-7291</v>
      </c>
      <c r="G140" s="140">
        <f t="shared" si="11"/>
        <v>60.044936431389736</v>
      </c>
      <c r="H140" s="141"/>
    </row>
    <row r="141" spans="1:8">
      <c r="A141" s="18" t="s">
        <v>6</v>
      </c>
      <c r="B141" s="60">
        <v>1520</v>
      </c>
      <c r="C141" s="142">
        <f>C16+C44+C74</f>
        <v>2477</v>
      </c>
      <c r="D141" s="142">
        <f>D16+D44+D74</f>
        <v>3923</v>
      </c>
      <c r="E141" s="142">
        <f>E16+E44+E74</f>
        <v>2382.4</v>
      </c>
      <c r="F141" s="139">
        <f t="shared" si="10"/>
        <v>-1540.6</v>
      </c>
      <c r="G141" s="140">
        <f t="shared" si="11"/>
        <v>60.729033902625538</v>
      </c>
      <c r="H141" s="141"/>
    </row>
    <row r="142" spans="1:8">
      <c r="A142" s="18" t="s">
        <v>7</v>
      </c>
      <c r="B142" s="60">
        <v>1530</v>
      </c>
      <c r="C142" s="157">
        <f>C18+C45+C71</f>
        <v>516</v>
      </c>
      <c r="D142" s="157">
        <f>D18+D45+D71</f>
        <v>564</v>
      </c>
      <c r="E142" s="157">
        <f>E18+E45+E71</f>
        <v>681</v>
      </c>
      <c r="F142" s="139">
        <f t="shared" si="10"/>
        <v>117</v>
      </c>
      <c r="G142" s="140">
        <f t="shared" si="11"/>
        <v>120.74468085106382</v>
      </c>
      <c r="H142" s="141"/>
    </row>
    <row r="143" spans="1:8">
      <c r="A143" s="18" t="s">
        <v>29</v>
      </c>
      <c r="B143" s="60">
        <v>1540</v>
      </c>
      <c r="C143" s="142">
        <f>C11+C35+C67+C88-C137-C140-C141-C142</f>
        <v>3681.5</v>
      </c>
      <c r="D143" s="142">
        <f>D11+D35+D67+D88-D137-D140-D141-D142</f>
        <v>3919</v>
      </c>
      <c r="E143" s="142">
        <f>E11+E35+E67+E88-E137-E140-E141-E142</f>
        <v>4176.3000000000011</v>
      </c>
      <c r="F143" s="139">
        <f t="shared" si="10"/>
        <v>257.30000000000109</v>
      </c>
      <c r="G143" s="140">
        <f t="shared" si="11"/>
        <v>106.56545036999236</v>
      </c>
      <c r="H143" s="141"/>
    </row>
    <row r="144" spans="1:8" s="15" customFormat="1" ht="15">
      <c r="A144" s="97" t="s">
        <v>58</v>
      </c>
      <c r="B144" s="137">
        <v>1550</v>
      </c>
      <c r="C144" s="143">
        <f>C137+C140+C141+C142+C143+1</f>
        <v>20073</v>
      </c>
      <c r="D144" s="143">
        <f t="shared" ref="D144" si="12">D137+D140+D141+D142+D143</f>
        <v>29411</v>
      </c>
      <c r="E144" s="143">
        <f>E137+E140+E141+E142+E143</f>
        <v>20668.700000000004</v>
      </c>
      <c r="F144" s="150">
        <f t="shared" si="10"/>
        <v>-8742.2999999999956</v>
      </c>
      <c r="G144" s="151">
        <f t="shared" si="11"/>
        <v>70.275407160586184</v>
      </c>
      <c r="H144" s="159"/>
    </row>
    <row r="145" spans="1:8" s="15" customFormat="1" ht="15">
      <c r="A145" s="52"/>
      <c r="B145" s="109"/>
      <c r="C145" s="160"/>
      <c r="D145" s="161"/>
      <c r="E145" s="109"/>
      <c r="F145" s="162"/>
      <c r="G145" s="109"/>
      <c r="H145" s="109"/>
    </row>
    <row r="146" spans="1:8" ht="30.5">
      <c r="A146" s="52" t="s">
        <v>516</v>
      </c>
      <c r="B146" s="53"/>
      <c r="C146" s="51"/>
      <c r="D146" s="51"/>
      <c r="E146" s="54"/>
      <c r="F146" s="55" t="s">
        <v>515</v>
      </c>
      <c r="G146" s="51"/>
      <c r="H146" s="13"/>
    </row>
    <row r="147" spans="1:8">
      <c r="A147" s="56" t="s">
        <v>365</v>
      </c>
      <c r="B147" s="51"/>
      <c r="C147" s="232" t="s">
        <v>79</v>
      </c>
      <c r="D147" s="232"/>
      <c r="E147" s="51"/>
      <c r="F147" s="51" t="s">
        <v>103</v>
      </c>
      <c r="G147" s="51"/>
      <c r="H147" s="13"/>
    </row>
    <row r="148" spans="1:8">
      <c r="A148" s="163"/>
      <c r="B148" s="66"/>
      <c r="C148" s="164"/>
      <c r="D148" s="66"/>
      <c r="E148" s="66"/>
      <c r="F148" s="165"/>
      <c r="G148" s="66"/>
      <c r="H148" s="66"/>
    </row>
    <row r="149" spans="1:8">
      <c r="A149" s="231"/>
      <c r="B149" s="231"/>
      <c r="C149" s="231"/>
      <c r="D149" s="231"/>
      <c r="E149" s="231"/>
      <c r="F149" s="231"/>
      <c r="G149" s="231"/>
      <c r="H149" s="231"/>
    </row>
    <row r="150" spans="1:8">
      <c r="A150" s="19"/>
      <c r="C150" s="226">
        <f>C12+C17</f>
        <v>34</v>
      </c>
      <c r="D150" s="226">
        <f>D12+D61</f>
        <v>80</v>
      </c>
      <c r="E150" s="226">
        <f>E12+E61</f>
        <v>87</v>
      </c>
      <c r="F150" s="227"/>
    </row>
    <row r="151" spans="1:8">
      <c r="A151" s="19"/>
      <c r="C151" s="226">
        <f>C13+C14+C58+C77</f>
        <v>1934.5</v>
      </c>
      <c r="D151" s="226">
        <f>D13+D14+D58+D77</f>
        <v>2677</v>
      </c>
      <c r="E151" s="226">
        <f>E13+E14+E58+E77</f>
        <v>2385</v>
      </c>
      <c r="F151" s="227"/>
    </row>
    <row r="152" spans="1:8">
      <c r="A152" s="19"/>
      <c r="C152" s="226">
        <f>C15+C43+C70</f>
        <v>11415</v>
      </c>
      <c r="D152" s="226">
        <f>D15+D43+D70</f>
        <v>18248</v>
      </c>
      <c r="E152" s="226">
        <f>E15+E43+E70</f>
        <v>10957</v>
      </c>
      <c r="F152" s="227"/>
    </row>
    <row r="153" spans="1:8">
      <c r="A153" s="19"/>
      <c r="C153" s="226">
        <f>C16+C44+C74</f>
        <v>2477</v>
      </c>
      <c r="D153" s="226">
        <f>D16+D44+D74</f>
        <v>3923</v>
      </c>
      <c r="E153" s="226">
        <f>E16+E44+E74</f>
        <v>2382.4</v>
      </c>
      <c r="F153" s="227"/>
    </row>
    <row r="154" spans="1:8">
      <c r="A154" s="19"/>
      <c r="C154" s="226">
        <f>C18+C45+C71</f>
        <v>516</v>
      </c>
      <c r="D154" s="226">
        <f>D18+D45+D71</f>
        <v>564</v>
      </c>
      <c r="E154" s="226">
        <f>E18+E45+E71</f>
        <v>681</v>
      </c>
      <c r="F154" s="227"/>
    </row>
    <row r="155" spans="1:8">
      <c r="A155" s="19"/>
      <c r="C155" s="228"/>
      <c r="D155" s="227"/>
      <c r="E155" s="227"/>
      <c r="F155" s="227"/>
    </row>
    <row r="156" spans="1:8">
      <c r="A156" s="19"/>
      <c r="C156" s="228"/>
      <c r="D156" s="227"/>
      <c r="E156" s="227"/>
      <c r="F156" s="227"/>
    </row>
    <row r="157" spans="1:8">
      <c r="A157" s="19"/>
    </row>
    <row r="158" spans="1:8">
      <c r="A158" s="19"/>
    </row>
    <row r="159" spans="1:8">
      <c r="A159" s="19"/>
    </row>
    <row r="160" spans="1:8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  <row r="249" spans="1:1">
      <c r="A249" s="67"/>
    </row>
    <row r="250" spans="1:1">
      <c r="A250" s="67"/>
    </row>
    <row r="251" spans="1:1">
      <c r="A251" s="67"/>
    </row>
    <row r="252" spans="1:1">
      <c r="A252" s="67"/>
    </row>
    <row r="253" spans="1:1">
      <c r="A253" s="67"/>
    </row>
    <row r="254" spans="1:1">
      <c r="A254" s="67"/>
    </row>
    <row r="255" spans="1:1">
      <c r="A255" s="67"/>
    </row>
    <row r="256" spans="1:1">
      <c r="A256" s="67"/>
    </row>
    <row r="257" spans="1:1">
      <c r="A257" s="67"/>
    </row>
    <row r="258" spans="1:1">
      <c r="A258" s="67"/>
    </row>
    <row r="259" spans="1:1">
      <c r="A259" s="67"/>
    </row>
    <row r="260" spans="1:1">
      <c r="A260" s="67"/>
    </row>
    <row r="261" spans="1:1">
      <c r="A261" s="67"/>
    </row>
    <row r="262" spans="1:1">
      <c r="A262" s="67"/>
    </row>
    <row r="263" spans="1:1">
      <c r="A263" s="67"/>
    </row>
    <row r="264" spans="1:1">
      <c r="A264" s="67"/>
    </row>
    <row r="265" spans="1:1">
      <c r="A265" s="67"/>
    </row>
    <row r="266" spans="1:1">
      <c r="A266" s="67"/>
    </row>
    <row r="267" spans="1:1">
      <c r="A267" s="67"/>
    </row>
    <row r="268" spans="1:1">
      <c r="A268" s="67"/>
    </row>
    <row r="269" spans="1:1">
      <c r="A269" s="67"/>
    </row>
    <row r="270" spans="1:1">
      <c r="A270" s="67"/>
    </row>
    <row r="271" spans="1:1">
      <c r="A271" s="67"/>
    </row>
    <row r="272" spans="1:1">
      <c r="A272" s="67"/>
    </row>
    <row r="273" spans="1:1">
      <c r="A273" s="67"/>
    </row>
    <row r="274" spans="1:1">
      <c r="A274" s="67"/>
    </row>
    <row r="275" spans="1:1">
      <c r="A275" s="67"/>
    </row>
    <row r="276" spans="1:1">
      <c r="A276" s="67"/>
    </row>
    <row r="277" spans="1:1">
      <c r="A277" s="67"/>
    </row>
    <row r="278" spans="1:1">
      <c r="A278" s="67"/>
    </row>
    <row r="279" spans="1:1">
      <c r="A279" s="67"/>
    </row>
    <row r="280" spans="1:1">
      <c r="A280" s="67"/>
    </row>
    <row r="281" spans="1:1">
      <c r="A281" s="67"/>
    </row>
    <row r="282" spans="1:1">
      <c r="A282" s="67"/>
    </row>
    <row r="283" spans="1:1">
      <c r="A283" s="67"/>
    </row>
    <row r="284" spans="1:1">
      <c r="A284" s="67"/>
    </row>
    <row r="285" spans="1:1">
      <c r="A285" s="67"/>
    </row>
    <row r="286" spans="1:1">
      <c r="A286" s="67"/>
    </row>
    <row r="287" spans="1:1">
      <c r="A287" s="67"/>
    </row>
    <row r="288" spans="1:1">
      <c r="A288" s="67"/>
    </row>
    <row r="289" spans="1:1">
      <c r="A289" s="67"/>
    </row>
    <row r="290" spans="1:1">
      <c r="A290" s="67"/>
    </row>
    <row r="291" spans="1:1">
      <c r="A291" s="67"/>
    </row>
    <row r="292" spans="1:1">
      <c r="A292" s="67"/>
    </row>
    <row r="293" spans="1:1">
      <c r="A293" s="67"/>
    </row>
    <row r="294" spans="1:1">
      <c r="A294" s="67"/>
    </row>
    <row r="295" spans="1:1">
      <c r="A295" s="67"/>
    </row>
    <row r="296" spans="1:1">
      <c r="A296" s="67"/>
    </row>
    <row r="297" spans="1:1">
      <c r="A297" s="67"/>
    </row>
    <row r="298" spans="1:1">
      <c r="A298" s="67"/>
    </row>
    <row r="299" spans="1:1">
      <c r="A299" s="67"/>
    </row>
    <row r="300" spans="1:1">
      <c r="A300" s="67"/>
    </row>
    <row r="301" spans="1:1">
      <c r="A301" s="67"/>
    </row>
    <row r="302" spans="1:1">
      <c r="A302" s="67"/>
    </row>
    <row r="303" spans="1:1">
      <c r="A303" s="67"/>
    </row>
    <row r="304" spans="1:1">
      <c r="A304" s="67"/>
    </row>
    <row r="305" spans="1:1">
      <c r="A305" s="67"/>
    </row>
    <row r="306" spans="1:1">
      <c r="A306" s="67"/>
    </row>
    <row r="307" spans="1:1">
      <c r="A307" s="67"/>
    </row>
    <row r="308" spans="1:1">
      <c r="A308" s="67"/>
    </row>
    <row r="309" spans="1:1">
      <c r="A309" s="67"/>
    </row>
    <row r="310" spans="1:1">
      <c r="A310" s="67"/>
    </row>
    <row r="311" spans="1:1">
      <c r="A311" s="67"/>
    </row>
    <row r="312" spans="1:1">
      <c r="A312" s="67"/>
    </row>
    <row r="313" spans="1:1">
      <c r="A313" s="67"/>
    </row>
    <row r="314" spans="1:1">
      <c r="A314" s="67"/>
    </row>
    <row r="315" spans="1:1">
      <c r="A315" s="67"/>
    </row>
    <row r="316" spans="1:1">
      <c r="A316" s="67"/>
    </row>
    <row r="317" spans="1:1">
      <c r="A317" s="67"/>
    </row>
    <row r="318" spans="1:1">
      <c r="A318" s="67"/>
    </row>
    <row r="319" spans="1:1">
      <c r="A319" s="67"/>
    </row>
    <row r="320" spans="1:1">
      <c r="A320" s="67"/>
    </row>
    <row r="321" spans="1:1">
      <c r="A321" s="67"/>
    </row>
    <row r="322" spans="1:1">
      <c r="A322" s="67"/>
    </row>
    <row r="323" spans="1:1">
      <c r="A323" s="67"/>
    </row>
    <row r="324" spans="1:1">
      <c r="A324" s="67"/>
    </row>
    <row r="325" spans="1:1">
      <c r="A325" s="67"/>
    </row>
    <row r="326" spans="1:1">
      <c r="A326" s="67"/>
    </row>
    <row r="327" spans="1:1">
      <c r="A327" s="67"/>
    </row>
    <row r="328" spans="1:1">
      <c r="A328" s="67"/>
    </row>
    <row r="329" spans="1:1">
      <c r="A329" s="67"/>
    </row>
    <row r="330" spans="1:1">
      <c r="A330" s="67"/>
    </row>
    <row r="331" spans="1:1">
      <c r="A331" s="67"/>
    </row>
    <row r="332" spans="1:1">
      <c r="A332" s="67"/>
    </row>
    <row r="333" spans="1:1">
      <c r="A333" s="67"/>
    </row>
    <row r="334" spans="1:1">
      <c r="A334" s="67"/>
    </row>
    <row r="335" spans="1:1">
      <c r="A335" s="67"/>
    </row>
    <row r="336" spans="1:1">
      <c r="A336" s="67"/>
    </row>
    <row r="337" spans="1:1">
      <c r="A337" s="67"/>
    </row>
    <row r="338" spans="1:1">
      <c r="A338" s="67"/>
    </row>
    <row r="339" spans="1:1">
      <c r="A339" s="67"/>
    </row>
    <row r="340" spans="1:1">
      <c r="A340" s="67"/>
    </row>
    <row r="341" spans="1:1">
      <c r="A341" s="67"/>
    </row>
    <row r="342" spans="1:1">
      <c r="A342" s="67"/>
    </row>
    <row r="343" spans="1:1">
      <c r="A343" s="67"/>
    </row>
    <row r="344" spans="1:1">
      <c r="A344" s="67"/>
    </row>
    <row r="345" spans="1:1">
      <c r="A345" s="67"/>
    </row>
    <row r="346" spans="1:1">
      <c r="A346" s="67"/>
    </row>
    <row r="347" spans="1:1">
      <c r="A347" s="67"/>
    </row>
    <row r="348" spans="1:1">
      <c r="A348" s="67"/>
    </row>
    <row r="349" spans="1:1">
      <c r="A349" s="67"/>
    </row>
    <row r="350" spans="1:1">
      <c r="A350" s="67"/>
    </row>
    <row r="351" spans="1:1">
      <c r="A351" s="67"/>
    </row>
    <row r="352" spans="1:1">
      <c r="A352" s="67"/>
    </row>
    <row r="353" spans="1:1">
      <c r="A353" s="67"/>
    </row>
    <row r="354" spans="1:1">
      <c r="A354" s="67"/>
    </row>
    <row r="355" spans="1:1">
      <c r="A355" s="67"/>
    </row>
    <row r="356" spans="1:1">
      <c r="A356" s="67"/>
    </row>
    <row r="357" spans="1:1">
      <c r="A357" s="67"/>
    </row>
    <row r="358" spans="1:1">
      <c r="A358" s="67"/>
    </row>
    <row r="359" spans="1:1">
      <c r="A359" s="67"/>
    </row>
    <row r="360" spans="1:1">
      <c r="A360" s="67"/>
    </row>
    <row r="361" spans="1:1">
      <c r="A361" s="67"/>
    </row>
    <row r="362" spans="1:1">
      <c r="A362" s="67"/>
    </row>
    <row r="363" spans="1:1">
      <c r="A363" s="67"/>
    </row>
    <row r="364" spans="1:1">
      <c r="A364" s="67"/>
    </row>
    <row r="365" spans="1:1">
      <c r="A365" s="67"/>
    </row>
    <row r="366" spans="1:1">
      <c r="A366" s="67"/>
    </row>
    <row r="367" spans="1:1">
      <c r="A367" s="67"/>
    </row>
    <row r="368" spans="1:1">
      <c r="A368" s="67"/>
    </row>
    <row r="369" spans="1:1">
      <c r="A369" s="67"/>
    </row>
    <row r="370" spans="1:1">
      <c r="A370" s="67"/>
    </row>
    <row r="371" spans="1:1">
      <c r="A371" s="67"/>
    </row>
    <row r="372" spans="1:1">
      <c r="A372" s="67"/>
    </row>
    <row r="1070" spans="4:4">
      <c r="D1070" s="167">
        <v>44608</v>
      </c>
    </row>
  </sheetData>
  <sheetProtection formatCells="0" formatColumns="0" formatRows="0" insertRows="0" deleteRows="0"/>
  <autoFilter ref="A9:H144" xr:uid="{00000000-0009-0000-0000-000001000000}"/>
  <mergeCells count="11">
    <mergeCell ref="A149:H149"/>
    <mergeCell ref="A3:H3"/>
    <mergeCell ref="A136:H136"/>
    <mergeCell ref="D5:H5"/>
    <mergeCell ref="B5:B6"/>
    <mergeCell ref="A5:A6"/>
    <mergeCell ref="C5:C6"/>
    <mergeCell ref="A8:H8"/>
    <mergeCell ref="A123:H123"/>
    <mergeCell ref="A129:H129"/>
    <mergeCell ref="C147:D147"/>
  </mergeCells>
  <phoneticPr fontId="0" type="noConversion"/>
  <pageMargins left="1.1811023622047243" right="0.39370078740157483" top="0.78740157480314965" bottom="0.78740157480314965" header="0" footer="0"/>
  <pageSetup paperSize="9" scale="64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3"/>
    <pageSetUpPr fitToPage="1"/>
  </sheetPr>
  <dimension ref="A1:I191"/>
  <sheetViews>
    <sheetView view="pageBreakPreview" topLeftCell="A34" zoomScale="75" zoomScaleNormal="75" zoomScaleSheetLayoutView="75" workbookViewId="0">
      <selection activeCell="L46" sqref="L46"/>
    </sheetView>
  </sheetViews>
  <sheetFormatPr defaultColWidth="9.1796875" defaultRowHeight="15.5" outlineLevelRow="1"/>
  <cols>
    <col min="1" max="1" width="64.1796875" style="114" customWidth="1"/>
    <col min="2" max="2" width="11.7265625" style="115" customWidth="1"/>
    <col min="3" max="3" width="15.7265625" style="115" customWidth="1"/>
    <col min="4" max="4" width="11.7265625" style="115" customWidth="1"/>
    <col min="5" max="5" width="11.1796875" style="115" customWidth="1"/>
    <col min="6" max="6" width="15.1796875" style="115" customWidth="1"/>
    <col min="7" max="7" width="15.54296875" style="115" customWidth="1"/>
    <col min="8" max="8" width="10" style="114" customWidth="1"/>
    <col min="9" max="9" width="9.54296875" style="114" customWidth="1"/>
    <col min="10" max="16384" width="9.1796875" style="114"/>
  </cols>
  <sheetData>
    <row r="1" spans="1:8" hidden="1" outlineLevel="1">
      <c r="G1" s="33" t="s">
        <v>237</v>
      </c>
    </row>
    <row r="2" spans="1:8" hidden="1" outlineLevel="1">
      <c r="G2" s="33" t="s">
        <v>222</v>
      </c>
    </row>
    <row r="3" spans="1:8" collapsed="1">
      <c r="A3" s="267" t="s">
        <v>355</v>
      </c>
      <c r="B3" s="267"/>
      <c r="C3" s="267"/>
      <c r="D3" s="267"/>
      <c r="E3" s="267"/>
      <c r="F3" s="267"/>
      <c r="G3" s="267"/>
    </row>
    <row r="4" spans="1:8" ht="38.25" customHeight="1">
      <c r="A4" s="245" t="s">
        <v>283</v>
      </c>
      <c r="B4" s="268" t="s">
        <v>18</v>
      </c>
      <c r="C4" s="247" t="s">
        <v>344</v>
      </c>
      <c r="D4" s="245" t="s">
        <v>342</v>
      </c>
      <c r="E4" s="245"/>
      <c r="F4" s="245"/>
      <c r="G4" s="245"/>
    </row>
    <row r="5" spans="1:8" ht="38.25" customHeight="1">
      <c r="A5" s="245"/>
      <c r="B5" s="268"/>
      <c r="C5" s="269"/>
      <c r="D5" s="17" t="s">
        <v>261</v>
      </c>
      <c r="E5" s="17" t="s">
        <v>244</v>
      </c>
      <c r="F5" s="59" t="s">
        <v>271</v>
      </c>
      <c r="G5" s="59" t="s">
        <v>272</v>
      </c>
    </row>
    <row r="6" spans="1:8">
      <c r="A6" s="116">
        <v>1</v>
      </c>
      <c r="B6" s="117">
        <v>2</v>
      </c>
      <c r="C6" s="116">
        <v>3</v>
      </c>
      <c r="D6" s="116">
        <v>4</v>
      </c>
      <c r="E6" s="117">
        <v>5</v>
      </c>
      <c r="F6" s="116">
        <v>6</v>
      </c>
      <c r="G6" s="117">
        <v>7</v>
      </c>
    </row>
    <row r="7" spans="1:8">
      <c r="A7" s="264" t="s">
        <v>151</v>
      </c>
      <c r="B7" s="265"/>
      <c r="C7" s="265"/>
      <c r="D7" s="265"/>
      <c r="E7" s="265"/>
      <c r="F7" s="265"/>
      <c r="G7" s="266"/>
    </row>
    <row r="8" spans="1:8" ht="45.75" customHeight="1">
      <c r="A8" s="75" t="s">
        <v>60</v>
      </c>
      <c r="B8" s="27">
        <v>2000</v>
      </c>
      <c r="C8" s="31">
        <v>-14492</v>
      </c>
      <c r="D8" s="31">
        <v>-14308</v>
      </c>
      <c r="E8" s="31">
        <v>-14336.3</v>
      </c>
      <c r="F8" s="31">
        <f>E8-D8</f>
        <v>-28.299999999999272</v>
      </c>
      <c r="G8" s="65">
        <f>E8/D8*100</f>
        <v>100.19779144534526</v>
      </c>
      <c r="H8" s="114" t="s">
        <v>452</v>
      </c>
    </row>
    <row r="9" spans="1:8">
      <c r="A9" s="75" t="s">
        <v>204</v>
      </c>
      <c r="B9" s="27">
        <v>2010</v>
      </c>
      <c r="C9" s="31">
        <f>C10+C11</f>
        <v>55</v>
      </c>
      <c r="D9" s="31">
        <f>D10+D11</f>
        <v>1832</v>
      </c>
      <c r="E9" s="31">
        <f>E10+E11</f>
        <v>114.6</v>
      </c>
      <c r="F9" s="31">
        <f t="shared" ref="F9:F11" si="0">E9-D9</f>
        <v>-1717.4</v>
      </c>
      <c r="G9" s="65">
        <f t="shared" ref="G9:G11" si="1">E9/D9*100</f>
        <v>6.2554585152838422</v>
      </c>
    </row>
    <row r="10" spans="1:8" ht="31">
      <c r="A10" s="18" t="s">
        <v>347</v>
      </c>
      <c r="B10" s="27">
        <v>2011</v>
      </c>
      <c r="C10" s="31">
        <v>10</v>
      </c>
      <c r="D10" s="31">
        <v>416</v>
      </c>
      <c r="E10" s="31">
        <f>14+12</f>
        <v>26</v>
      </c>
      <c r="F10" s="31">
        <f t="shared" si="0"/>
        <v>-390</v>
      </c>
      <c r="G10" s="65">
        <f t="shared" si="1"/>
        <v>6.25</v>
      </c>
      <c r="H10" s="114" t="s">
        <v>558</v>
      </c>
    </row>
    <row r="11" spans="1:8" ht="62">
      <c r="A11" s="18" t="s">
        <v>348</v>
      </c>
      <c r="B11" s="27">
        <v>2012</v>
      </c>
      <c r="C11" s="31">
        <v>45</v>
      </c>
      <c r="D11" s="31">
        <v>1416</v>
      </c>
      <c r="E11" s="31">
        <f>46.6+42</f>
        <v>88.6</v>
      </c>
      <c r="F11" s="31">
        <f t="shared" si="0"/>
        <v>-1327.4</v>
      </c>
      <c r="G11" s="65">
        <f t="shared" si="1"/>
        <v>6.2570621468926539</v>
      </c>
      <c r="H11" s="114" t="s">
        <v>557</v>
      </c>
    </row>
    <row r="12" spans="1:8">
      <c r="A12" s="18" t="s">
        <v>191</v>
      </c>
      <c r="B12" s="27">
        <v>2020</v>
      </c>
      <c r="C12" s="31"/>
      <c r="D12" s="31"/>
      <c r="E12" s="31"/>
      <c r="F12" s="31"/>
      <c r="G12" s="65"/>
    </row>
    <row r="13" spans="1:8" s="118" customFormat="1">
      <c r="A13" s="75" t="s">
        <v>72</v>
      </c>
      <c r="B13" s="27">
        <v>2030</v>
      </c>
      <c r="C13" s="31"/>
      <c r="D13" s="31"/>
      <c r="E13" s="31"/>
      <c r="F13" s="31"/>
      <c r="G13" s="65"/>
    </row>
    <row r="14" spans="1:8" ht="24" customHeight="1">
      <c r="A14" s="75" t="s">
        <v>131</v>
      </c>
      <c r="B14" s="27">
        <v>2031</v>
      </c>
      <c r="C14" s="31"/>
      <c r="D14" s="31"/>
      <c r="E14" s="31"/>
      <c r="F14" s="31"/>
      <c r="G14" s="65"/>
    </row>
    <row r="15" spans="1:8">
      <c r="A15" s="75" t="s">
        <v>26</v>
      </c>
      <c r="B15" s="27">
        <v>2040</v>
      </c>
      <c r="C15" s="31"/>
      <c r="D15" s="31"/>
      <c r="E15" s="31"/>
      <c r="F15" s="31"/>
      <c r="G15" s="65"/>
    </row>
    <row r="16" spans="1:8">
      <c r="A16" s="75" t="s">
        <v>114</v>
      </c>
      <c r="B16" s="27">
        <v>2050</v>
      </c>
      <c r="C16" s="31"/>
      <c r="D16" s="31"/>
      <c r="E16" s="31"/>
      <c r="F16" s="31"/>
      <c r="G16" s="65"/>
    </row>
    <row r="17" spans="1:9">
      <c r="A17" s="75" t="s">
        <v>115</v>
      </c>
      <c r="B17" s="27">
        <v>2060</v>
      </c>
      <c r="C17" s="31"/>
      <c r="D17" s="31"/>
      <c r="E17" s="31">
        <f>E18</f>
        <v>0</v>
      </c>
      <c r="F17" s="31">
        <f t="shared" ref="F17:F18" si="2">E17-D17</f>
        <v>0</v>
      </c>
      <c r="G17" s="119" t="e">
        <f t="shared" ref="G17:G18" si="3">E17/D17*100</f>
        <v>#DIV/0!</v>
      </c>
    </row>
    <row r="18" spans="1:9" ht="31" hidden="1">
      <c r="A18" s="75" t="s">
        <v>444</v>
      </c>
      <c r="B18" s="27" t="s">
        <v>443</v>
      </c>
      <c r="C18" s="31"/>
      <c r="D18" s="31"/>
      <c r="E18" s="31"/>
      <c r="F18" s="31">
        <f t="shared" si="2"/>
        <v>0</v>
      </c>
      <c r="G18" s="119" t="e">
        <f t="shared" si="3"/>
        <v>#DIV/0!</v>
      </c>
    </row>
    <row r="19" spans="1:9" ht="62.25" customHeight="1">
      <c r="A19" s="92" t="s">
        <v>61</v>
      </c>
      <c r="B19" s="93">
        <v>2070</v>
      </c>
      <c r="C19" s="30">
        <f>C8+'1. Фін результат'!C119-C9-C17</f>
        <v>-14423.3</v>
      </c>
      <c r="D19" s="30">
        <f>D8+'1. Фін результат'!D119-D9</f>
        <v>-13364</v>
      </c>
      <c r="E19" s="30">
        <f>E8+'1. Фін результат'!E119-E9</f>
        <v>-13775.6</v>
      </c>
      <c r="F19" s="30">
        <f>E19-D19</f>
        <v>-411.60000000000036</v>
      </c>
      <c r="G19" s="32">
        <f>E19/D19*100</f>
        <v>103.07991619275667</v>
      </c>
    </row>
    <row r="20" spans="1:9" ht="41.25" customHeight="1">
      <c r="A20" s="264" t="s">
        <v>152</v>
      </c>
      <c r="B20" s="265"/>
      <c r="C20" s="265"/>
      <c r="D20" s="265"/>
      <c r="E20" s="265"/>
      <c r="F20" s="265"/>
      <c r="G20" s="266"/>
    </row>
    <row r="21" spans="1:9" ht="30">
      <c r="A21" s="92" t="s">
        <v>204</v>
      </c>
      <c r="B21" s="93">
        <v>2100</v>
      </c>
      <c r="C21" s="30">
        <f>C22+C23</f>
        <v>55</v>
      </c>
      <c r="D21" s="30">
        <f>D22+D23</f>
        <v>1832</v>
      </c>
      <c r="E21" s="30">
        <f>E22+E23</f>
        <v>114.6</v>
      </c>
      <c r="F21" s="30">
        <f>E21-D21</f>
        <v>-1717.4</v>
      </c>
      <c r="G21" s="32">
        <f>E21/D21*100</f>
        <v>6.2554585152838422</v>
      </c>
      <c r="H21" s="114" t="s">
        <v>487</v>
      </c>
    </row>
    <row r="22" spans="1:9" ht="31">
      <c r="A22" s="18" t="s">
        <v>347</v>
      </c>
      <c r="B22" s="27">
        <v>2101</v>
      </c>
      <c r="C22" s="31">
        <f t="shared" ref="C22:E23" si="4">C10</f>
        <v>10</v>
      </c>
      <c r="D22" s="31">
        <f t="shared" si="4"/>
        <v>416</v>
      </c>
      <c r="E22" s="31">
        <f t="shared" si="4"/>
        <v>26</v>
      </c>
      <c r="F22" s="31">
        <f t="shared" ref="F22:F41" si="5">E22-D22</f>
        <v>-390</v>
      </c>
      <c r="G22" s="65">
        <f t="shared" ref="G22:G41" si="6">E22/D22*100</f>
        <v>6.25</v>
      </c>
    </row>
    <row r="23" spans="1:9" ht="62">
      <c r="A23" s="18" t="s">
        <v>348</v>
      </c>
      <c r="B23" s="27">
        <v>2102</v>
      </c>
      <c r="C23" s="31">
        <f t="shared" si="4"/>
        <v>45</v>
      </c>
      <c r="D23" s="31">
        <f t="shared" si="4"/>
        <v>1416</v>
      </c>
      <c r="E23" s="31">
        <f t="shared" si="4"/>
        <v>88.6</v>
      </c>
      <c r="F23" s="31">
        <f t="shared" si="5"/>
        <v>-1327.4</v>
      </c>
      <c r="G23" s="65">
        <f t="shared" si="6"/>
        <v>6.2570621468926539</v>
      </c>
    </row>
    <row r="24" spans="1:9" s="118" customFormat="1" ht="15">
      <c r="A24" s="92" t="s">
        <v>154</v>
      </c>
      <c r="B24" s="120">
        <v>2110</v>
      </c>
      <c r="C24" s="121">
        <v>0</v>
      </c>
      <c r="D24" s="121">
        <v>0</v>
      </c>
      <c r="E24" s="121">
        <v>0</v>
      </c>
      <c r="F24" s="30"/>
      <c r="G24" s="32"/>
      <c r="H24" s="118" t="s">
        <v>488</v>
      </c>
    </row>
    <row r="25" spans="1:9" ht="30">
      <c r="A25" s="92" t="s">
        <v>327</v>
      </c>
      <c r="B25" s="120">
        <v>2120</v>
      </c>
      <c r="C25" s="121">
        <v>824</v>
      </c>
      <c r="D25" s="121">
        <v>374</v>
      </c>
      <c r="E25" s="121">
        <v>0</v>
      </c>
      <c r="F25" s="30">
        <f t="shared" si="5"/>
        <v>-374</v>
      </c>
      <c r="G25" s="32">
        <f t="shared" si="6"/>
        <v>0</v>
      </c>
    </row>
    <row r="26" spans="1:9" ht="61.5" customHeight="1">
      <c r="A26" s="92" t="s">
        <v>328</v>
      </c>
      <c r="B26" s="120">
        <v>2130</v>
      </c>
      <c r="C26" s="121"/>
      <c r="D26" s="121"/>
      <c r="E26" s="121"/>
      <c r="F26" s="30"/>
      <c r="G26" s="32"/>
    </row>
    <row r="27" spans="1:9" s="122" customFormat="1" ht="39.75" customHeight="1">
      <c r="A27" s="92" t="s">
        <v>253</v>
      </c>
      <c r="B27" s="120">
        <v>2140</v>
      </c>
      <c r="C27" s="121">
        <v>2292</v>
      </c>
      <c r="D27" s="121">
        <v>3563</v>
      </c>
      <c r="E27" s="121">
        <f>E28+E29+E30+E31+E32+E35+E37</f>
        <v>2189</v>
      </c>
      <c r="F27" s="31">
        <f t="shared" si="5"/>
        <v>-1374</v>
      </c>
      <c r="G27" s="65">
        <f t="shared" si="6"/>
        <v>61.43699129946674</v>
      </c>
      <c r="H27" s="122" t="s">
        <v>487</v>
      </c>
    </row>
    <row r="28" spans="1:9">
      <c r="A28" s="75" t="s">
        <v>85</v>
      </c>
      <c r="B28" s="116">
        <v>2141</v>
      </c>
      <c r="C28" s="123"/>
      <c r="D28" s="123"/>
      <c r="E28" s="123"/>
      <c r="F28" s="31"/>
      <c r="G28" s="65"/>
    </row>
    <row r="29" spans="1:9">
      <c r="A29" s="75" t="s">
        <v>105</v>
      </c>
      <c r="B29" s="116">
        <v>2142</v>
      </c>
      <c r="C29" s="123"/>
      <c r="D29" s="123"/>
      <c r="E29" s="123"/>
      <c r="F29" s="31"/>
      <c r="G29" s="65"/>
    </row>
    <row r="30" spans="1:9">
      <c r="A30" s="75" t="s">
        <v>100</v>
      </c>
      <c r="B30" s="116">
        <v>2143</v>
      </c>
      <c r="C30" s="123"/>
      <c r="D30" s="123"/>
      <c r="E30" s="123"/>
      <c r="F30" s="31"/>
      <c r="G30" s="65"/>
    </row>
    <row r="31" spans="1:9">
      <c r="A31" s="75" t="s">
        <v>83</v>
      </c>
      <c r="B31" s="116">
        <v>2144</v>
      </c>
      <c r="C31" s="123">
        <v>2113</v>
      </c>
      <c r="D31" s="123">
        <v>3285</v>
      </c>
      <c r="E31" s="123">
        <v>2017</v>
      </c>
      <c r="F31" s="31">
        <f t="shared" si="5"/>
        <v>-1268</v>
      </c>
      <c r="G31" s="65">
        <f t="shared" si="6"/>
        <v>61.400304414003045</v>
      </c>
      <c r="H31" s="114">
        <v>6411</v>
      </c>
      <c r="I31" s="114" t="s">
        <v>453</v>
      </c>
    </row>
    <row r="32" spans="1:9" s="118" customFormat="1">
      <c r="A32" s="75" t="s">
        <v>172</v>
      </c>
      <c r="B32" s="116">
        <v>2145</v>
      </c>
      <c r="C32" s="123">
        <f>C33+C34</f>
        <v>0</v>
      </c>
      <c r="D32" s="123">
        <f>D33+D34</f>
        <v>0</v>
      </c>
      <c r="E32" s="123">
        <f>E33+E34</f>
        <v>0</v>
      </c>
      <c r="F32" s="31"/>
      <c r="G32" s="65"/>
    </row>
    <row r="33" spans="1:9" ht="46.5">
      <c r="A33" s="75" t="s">
        <v>132</v>
      </c>
      <c r="B33" s="116" t="s">
        <v>218</v>
      </c>
      <c r="C33" s="123"/>
      <c r="D33" s="123"/>
      <c r="E33" s="123"/>
      <c r="F33" s="31"/>
      <c r="G33" s="65"/>
    </row>
    <row r="34" spans="1:9">
      <c r="A34" s="75" t="s">
        <v>27</v>
      </c>
      <c r="B34" s="116" t="s">
        <v>219</v>
      </c>
      <c r="C34" s="123"/>
      <c r="D34" s="123"/>
      <c r="E34" s="123"/>
      <c r="F34" s="31"/>
      <c r="G34" s="65"/>
    </row>
    <row r="35" spans="1:9" s="118" customFormat="1">
      <c r="A35" s="75" t="s">
        <v>116</v>
      </c>
      <c r="B35" s="116">
        <v>2146</v>
      </c>
      <c r="C35" s="123">
        <f>C36</f>
        <v>4</v>
      </c>
      <c r="D35" s="123">
        <v>4</v>
      </c>
      <c r="E35" s="123">
        <f>E36</f>
        <v>4</v>
      </c>
      <c r="F35" s="31">
        <f t="shared" si="5"/>
        <v>0</v>
      </c>
      <c r="G35" s="65">
        <f t="shared" si="6"/>
        <v>100</v>
      </c>
    </row>
    <row r="36" spans="1:9" s="118" customFormat="1">
      <c r="A36" s="75" t="s">
        <v>423</v>
      </c>
      <c r="B36" s="116" t="s">
        <v>424</v>
      </c>
      <c r="C36" s="123">
        <v>4</v>
      </c>
      <c r="D36" s="123">
        <v>4</v>
      </c>
      <c r="E36" s="123">
        <v>4</v>
      </c>
      <c r="F36" s="31">
        <f t="shared" si="5"/>
        <v>0</v>
      </c>
      <c r="G36" s="65">
        <f t="shared" si="6"/>
        <v>100</v>
      </c>
      <c r="H36" s="118">
        <v>6416</v>
      </c>
    </row>
    <row r="37" spans="1:9">
      <c r="A37" s="75" t="s">
        <v>89</v>
      </c>
      <c r="B37" s="116">
        <v>2147</v>
      </c>
      <c r="C37" s="123">
        <f>C38+C39</f>
        <v>252</v>
      </c>
      <c r="D37" s="123">
        <v>274</v>
      </c>
      <c r="E37" s="123">
        <f>E38+E39</f>
        <v>168</v>
      </c>
      <c r="F37" s="31">
        <f t="shared" si="5"/>
        <v>-106</v>
      </c>
      <c r="G37" s="65">
        <f t="shared" si="6"/>
        <v>61.313868613138688</v>
      </c>
    </row>
    <row r="38" spans="1:9">
      <c r="A38" s="75" t="s">
        <v>426</v>
      </c>
      <c r="B38" s="116" t="s">
        <v>425</v>
      </c>
      <c r="C38" s="123">
        <v>252</v>
      </c>
      <c r="D38" s="123">
        <v>274</v>
      </c>
      <c r="E38" s="123">
        <v>168</v>
      </c>
      <c r="F38" s="31">
        <f t="shared" si="5"/>
        <v>-106</v>
      </c>
      <c r="G38" s="65">
        <f t="shared" si="6"/>
        <v>61.313868613138688</v>
      </c>
      <c r="H38" s="114">
        <v>642</v>
      </c>
    </row>
    <row r="39" spans="1:9">
      <c r="A39" s="75" t="s">
        <v>439</v>
      </c>
      <c r="B39" s="116" t="s">
        <v>440</v>
      </c>
      <c r="C39" s="123"/>
      <c r="D39" s="123">
        <v>0</v>
      </c>
      <c r="E39" s="123"/>
      <c r="F39" s="31">
        <f t="shared" si="5"/>
        <v>0</v>
      </c>
      <c r="G39" s="65"/>
    </row>
    <row r="40" spans="1:9" s="118" customFormat="1" ht="30">
      <c r="A40" s="92" t="s">
        <v>84</v>
      </c>
      <c r="B40" s="120">
        <v>2150</v>
      </c>
      <c r="C40" s="121">
        <v>2477</v>
      </c>
      <c r="D40" s="121">
        <v>3924</v>
      </c>
      <c r="E40" s="121">
        <f>'1. Фін результат'!E141</f>
        <v>2382.4</v>
      </c>
      <c r="F40" s="30">
        <f t="shared" si="5"/>
        <v>-1541.6</v>
      </c>
      <c r="G40" s="32">
        <f t="shared" si="6"/>
        <v>60.713557594291544</v>
      </c>
    </row>
    <row r="41" spans="1:9" s="118" customFormat="1" ht="15">
      <c r="A41" s="92" t="s">
        <v>346</v>
      </c>
      <c r="B41" s="120">
        <v>2200</v>
      </c>
      <c r="C41" s="121">
        <f>C40+C27+C26+C25+C24+C21</f>
        <v>5648</v>
      </c>
      <c r="D41" s="121">
        <f>D40+D27+D26+D25+D24+D21</f>
        <v>9693</v>
      </c>
      <c r="E41" s="121">
        <f>E40+E27+E26+E25+E24+E21</f>
        <v>4686</v>
      </c>
      <c r="F41" s="30">
        <f t="shared" si="5"/>
        <v>-5007</v>
      </c>
      <c r="G41" s="32">
        <f t="shared" si="6"/>
        <v>48.344165892912407</v>
      </c>
    </row>
    <row r="42" spans="1:9" s="118" customFormat="1" ht="16.5" customHeight="1">
      <c r="A42" s="124"/>
      <c r="B42" s="125"/>
      <c r="C42" s="125"/>
      <c r="D42" s="125"/>
      <c r="E42" s="125"/>
      <c r="F42" s="125"/>
      <c r="G42" s="125"/>
    </row>
    <row r="43" spans="1:9" s="13" customFormat="1" ht="30.5">
      <c r="A43" s="52" t="s">
        <v>516</v>
      </c>
      <c r="B43" s="53"/>
      <c r="C43" s="51"/>
      <c r="D43" s="51"/>
      <c r="E43" s="54"/>
      <c r="F43" s="55" t="s">
        <v>515</v>
      </c>
      <c r="G43" s="51"/>
    </row>
    <row r="44" spans="1:9" s="13" customFormat="1">
      <c r="A44" s="56" t="s">
        <v>365</v>
      </c>
      <c r="B44" s="51"/>
      <c r="C44" s="232" t="s">
        <v>79</v>
      </c>
      <c r="D44" s="232"/>
      <c r="E44" s="51"/>
      <c r="F44" s="51" t="s">
        <v>103</v>
      </c>
      <c r="G44" s="51"/>
    </row>
    <row r="45" spans="1:9" s="115" customFormat="1" ht="29.25" customHeight="1">
      <c r="A45" s="126"/>
      <c r="B45" s="125"/>
      <c r="C45" s="125"/>
      <c r="D45" s="125"/>
      <c r="E45" s="125"/>
      <c r="F45" s="125"/>
      <c r="G45" s="125"/>
      <c r="H45" s="114"/>
      <c r="I45" s="114"/>
    </row>
    <row r="46" spans="1:9" s="13" customFormat="1" ht="80.25" customHeight="1">
      <c r="A46" s="231"/>
      <c r="B46" s="231"/>
      <c r="C46" s="231"/>
      <c r="D46" s="231"/>
      <c r="E46" s="231"/>
      <c r="F46" s="231"/>
      <c r="G46" s="231"/>
      <c r="H46" s="231"/>
    </row>
    <row r="47" spans="1:9" s="115" customFormat="1">
      <c r="A47" s="127"/>
      <c r="H47" s="114"/>
      <c r="I47" s="114"/>
    </row>
    <row r="48" spans="1:9" s="115" customFormat="1">
      <c r="A48" s="127"/>
      <c r="H48" s="114"/>
      <c r="I48" s="114"/>
    </row>
    <row r="49" spans="1:9" s="115" customFormat="1">
      <c r="A49" s="127"/>
      <c r="H49" s="114"/>
      <c r="I49" s="114"/>
    </row>
    <row r="50" spans="1:9" s="115" customFormat="1">
      <c r="A50" s="127"/>
      <c r="H50" s="114"/>
      <c r="I50" s="114"/>
    </row>
    <row r="51" spans="1:9" s="115" customFormat="1">
      <c r="A51" s="127"/>
      <c r="H51" s="114"/>
      <c r="I51" s="114"/>
    </row>
    <row r="52" spans="1:9" s="115" customFormat="1">
      <c r="A52" s="127"/>
      <c r="H52" s="114"/>
      <c r="I52" s="114"/>
    </row>
    <row r="53" spans="1:9" s="115" customFormat="1">
      <c r="A53" s="127"/>
      <c r="H53" s="114"/>
      <c r="I53" s="114"/>
    </row>
    <row r="54" spans="1:9" s="115" customFormat="1">
      <c r="A54" s="127"/>
      <c r="H54" s="114"/>
      <c r="I54" s="114"/>
    </row>
    <row r="55" spans="1:9" s="115" customFormat="1">
      <c r="A55" s="127"/>
      <c r="H55" s="114"/>
      <c r="I55" s="114"/>
    </row>
    <row r="56" spans="1:9" s="115" customFormat="1">
      <c r="A56" s="127"/>
      <c r="H56" s="114"/>
      <c r="I56" s="114"/>
    </row>
    <row r="57" spans="1:9" s="115" customFormat="1">
      <c r="A57" s="127"/>
      <c r="H57" s="114"/>
      <c r="I57" s="114"/>
    </row>
    <row r="58" spans="1:9" s="115" customFormat="1">
      <c r="A58" s="127"/>
      <c r="H58" s="114"/>
      <c r="I58" s="114"/>
    </row>
    <row r="59" spans="1:9" s="115" customFormat="1">
      <c r="A59" s="127"/>
      <c r="H59" s="114"/>
      <c r="I59" s="114"/>
    </row>
    <row r="60" spans="1:9" s="115" customFormat="1">
      <c r="A60" s="127"/>
      <c r="H60" s="114"/>
      <c r="I60" s="114"/>
    </row>
    <row r="61" spans="1:9" s="115" customFormat="1">
      <c r="A61" s="127"/>
      <c r="H61" s="114"/>
      <c r="I61" s="114"/>
    </row>
    <row r="62" spans="1:9" s="115" customFormat="1">
      <c r="A62" s="127"/>
      <c r="H62" s="114"/>
      <c r="I62" s="114"/>
    </row>
    <row r="63" spans="1:9" s="115" customFormat="1">
      <c r="A63" s="127"/>
      <c r="H63" s="114"/>
      <c r="I63" s="114"/>
    </row>
    <row r="64" spans="1:9" s="115" customFormat="1">
      <c r="A64" s="127"/>
      <c r="H64" s="114"/>
      <c r="I64" s="114"/>
    </row>
    <row r="65" spans="1:9" s="115" customFormat="1">
      <c r="A65" s="127"/>
      <c r="H65" s="114"/>
      <c r="I65" s="114"/>
    </row>
    <row r="66" spans="1:9" s="115" customFormat="1">
      <c r="A66" s="127"/>
      <c r="H66" s="114"/>
      <c r="I66" s="114"/>
    </row>
    <row r="67" spans="1:9" s="115" customFormat="1">
      <c r="A67" s="127"/>
      <c r="H67" s="114"/>
      <c r="I67" s="114"/>
    </row>
    <row r="68" spans="1:9" s="115" customFormat="1">
      <c r="A68" s="127"/>
      <c r="H68" s="114"/>
      <c r="I68" s="114"/>
    </row>
    <row r="69" spans="1:9" s="115" customFormat="1">
      <c r="A69" s="127"/>
      <c r="H69" s="114"/>
      <c r="I69" s="114"/>
    </row>
    <row r="70" spans="1:9" s="115" customFormat="1">
      <c r="A70" s="127"/>
      <c r="H70" s="114"/>
      <c r="I70" s="114"/>
    </row>
    <row r="71" spans="1:9" s="115" customFormat="1">
      <c r="A71" s="127"/>
      <c r="H71" s="114"/>
      <c r="I71" s="114"/>
    </row>
    <row r="72" spans="1:9" s="115" customFormat="1">
      <c r="A72" s="127"/>
      <c r="H72" s="114"/>
      <c r="I72" s="114"/>
    </row>
    <row r="73" spans="1:9" s="115" customFormat="1">
      <c r="A73" s="127"/>
      <c r="H73" s="114"/>
      <c r="I73" s="114"/>
    </row>
    <row r="74" spans="1:9" s="115" customFormat="1">
      <c r="A74" s="127"/>
      <c r="H74" s="114"/>
      <c r="I74" s="114"/>
    </row>
    <row r="75" spans="1:9" s="115" customFormat="1">
      <c r="A75" s="127"/>
      <c r="H75" s="114"/>
      <c r="I75" s="114"/>
    </row>
    <row r="76" spans="1:9" s="115" customFormat="1">
      <c r="A76" s="127"/>
      <c r="H76" s="114"/>
      <c r="I76" s="114"/>
    </row>
    <row r="77" spans="1:9" s="115" customFormat="1">
      <c r="A77" s="127"/>
      <c r="H77" s="114"/>
      <c r="I77" s="114"/>
    </row>
    <row r="78" spans="1:9" s="115" customFormat="1">
      <c r="A78" s="127"/>
      <c r="H78" s="114"/>
      <c r="I78" s="114"/>
    </row>
    <row r="79" spans="1:9" s="115" customFormat="1">
      <c r="A79" s="127"/>
      <c r="H79" s="114"/>
      <c r="I79" s="114"/>
    </row>
    <row r="80" spans="1:9" s="115" customFormat="1">
      <c r="A80" s="127"/>
      <c r="H80" s="114"/>
      <c r="I80" s="114"/>
    </row>
    <row r="81" spans="1:9" s="115" customFormat="1">
      <c r="A81" s="127"/>
      <c r="H81" s="114"/>
      <c r="I81" s="114"/>
    </row>
    <row r="82" spans="1:9" s="115" customFormat="1">
      <c r="A82" s="127"/>
      <c r="H82" s="114"/>
      <c r="I82" s="114"/>
    </row>
    <row r="83" spans="1:9" s="115" customFormat="1">
      <c r="A83" s="127"/>
      <c r="H83" s="114"/>
      <c r="I83" s="114"/>
    </row>
    <row r="84" spans="1:9" s="115" customFormat="1">
      <c r="A84" s="127"/>
      <c r="H84" s="114"/>
      <c r="I84" s="114"/>
    </row>
    <row r="85" spans="1:9" s="115" customFormat="1">
      <c r="A85" s="127"/>
      <c r="H85" s="114"/>
      <c r="I85" s="114"/>
    </row>
    <row r="86" spans="1:9" s="115" customFormat="1">
      <c r="A86" s="127"/>
      <c r="H86" s="114"/>
      <c r="I86" s="114"/>
    </row>
    <row r="87" spans="1:9" s="115" customFormat="1">
      <c r="A87" s="127"/>
      <c r="H87" s="114"/>
      <c r="I87" s="114"/>
    </row>
    <row r="88" spans="1:9" s="115" customFormat="1">
      <c r="A88" s="127"/>
      <c r="H88" s="114"/>
      <c r="I88" s="114"/>
    </row>
    <row r="89" spans="1:9" s="115" customFormat="1">
      <c r="A89" s="127"/>
      <c r="H89" s="114"/>
      <c r="I89" s="114"/>
    </row>
    <row r="90" spans="1:9" s="115" customFormat="1">
      <c r="A90" s="127"/>
      <c r="H90" s="114"/>
      <c r="I90" s="114"/>
    </row>
    <row r="91" spans="1:9" s="115" customFormat="1">
      <c r="A91" s="127"/>
      <c r="H91" s="114"/>
      <c r="I91" s="114"/>
    </row>
    <row r="92" spans="1:9" s="115" customFormat="1">
      <c r="A92" s="127"/>
      <c r="H92" s="114"/>
      <c r="I92" s="114"/>
    </row>
    <row r="93" spans="1:9" s="115" customFormat="1">
      <c r="A93" s="127"/>
      <c r="H93" s="114"/>
      <c r="I93" s="114"/>
    </row>
    <row r="94" spans="1:9" s="115" customFormat="1">
      <c r="A94" s="127"/>
      <c r="H94" s="114"/>
      <c r="I94" s="114"/>
    </row>
    <row r="95" spans="1:9" s="115" customFormat="1">
      <c r="A95" s="127"/>
      <c r="H95" s="114"/>
      <c r="I95" s="114"/>
    </row>
    <row r="96" spans="1:9" s="115" customFormat="1">
      <c r="A96" s="127"/>
      <c r="H96" s="114"/>
      <c r="I96" s="114"/>
    </row>
    <row r="97" spans="1:9" s="115" customFormat="1">
      <c r="A97" s="127"/>
      <c r="H97" s="114"/>
      <c r="I97" s="114"/>
    </row>
    <row r="98" spans="1:9" s="115" customFormat="1">
      <c r="A98" s="127"/>
      <c r="H98" s="114"/>
      <c r="I98" s="114"/>
    </row>
    <row r="99" spans="1:9" s="115" customFormat="1">
      <c r="A99" s="127"/>
      <c r="H99" s="114"/>
      <c r="I99" s="114"/>
    </row>
    <row r="100" spans="1:9" s="115" customFormat="1">
      <c r="A100" s="127"/>
      <c r="H100" s="114"/>
      <c r="I100" s="114"/>
    </row>
    <row r="101" spans="1:9" s="115" customFormat="1">
      <c r="A101" s="127"/>
      <c r="H101" s="114"/>
      <c r="I101" s="114"/>
    </row>
    <row r="102" spans="1:9" s="115" customFormat="1">
      <c r="A102" s="127"/>
      <c r="H102" s="114"/>
      <c r="I102" s="114"/>
    </row>
    <row r="103" spans="1:9" s="115" customFormat="1">
      <c r="A103" s="127"/>
      <c r="H103" s="114"/>
      <c r="I103" s="114"/>
    </row>
    <row r="104" spans="1:9" s="115" customFormat="1">
      <c r="A104" s="127"/>
      <c r="H104" s="114"/>
      <c r="I104" s="114"/>
    </row>
    <row r="105" spans="1:9" s="115" customFormat="1">
      <c r="A105" s="127"/>
      <c r="H105" s="114"/>
      <c r="I105" s="114"/>
    </row>
    <row r="106" spans="1:9" s="115" customFormat="1">
      <c r="A106" s="127"/>
      <c r="H106" s="114"/>
      <c r="I106" s="114"/>
    </row>
    <row r="107" spans="1:9" s="115" customFormat="1">
      <c r="A107" s="127"/>
      <c r="H107" s="114"/>
      <c r="I107" s="114"/>
    </row>
    <row r="108" spans="1:9" s="115" customFormat="1">
      <c r="A108" s="127"/>
      <c r="H108" s="114"/>
      <c r="I108" s="114"/>
    </row>
    <row r="109" spans="1:9" s="115" customFormat="1">
      <c r="A109" s="127"/>
      <c r="H109" s="114"/>
      <c r="I109" s="114"/>
    </row>
    <row r="110" spans="1:9" s="115" customFormat="1">
      <c r="A110" s="127"/>
      <c r="H110" s="114"/>
      <c r="I110" s="114"/>
    </row>
    <row r="111" spans="1:9" s="115" customFormat="1">
      <c r="A111" s="127"/>
      <c r="H111" s="114"/>
      <c r="I111" s="114"/>
    </row>
    <row r="112" spans="1:9" s="115" customFormat="1">
      <c r="A112" s="127"/>
      <c r="H112" s="114"/>
      <c r="I112" s="114"/>
    </row>
    <row r="113" spans="1:9" s="115" customFormat="1">
      <c r="A113" s="127"/>
      <c r="H113" s="114"/>
      <c r="I113" s="114"/>
    </row>
    <row r="114" spans="1:9" s="115" customFormat="1">
      <c r="A114" s="127"/>
      <c r="H114" s="114"/>
      <c r="I114" s="114"/>
    </row>
    <row r="115" spans="1:9" s="115" customFormat="1">
      <c r="A115" s="127"/>
      <c r="H115" s="114"/>
      <c r="I115" s="114"/>
    </row>
    <row r="116" spans="1:9" s="115" customFormat="1">
      <c r="A116" s="127"/>
      <c r="H116" s="114"/>
      <c r="I116" s="114"/>
    </row>
    <row r="117" spans="1:9" s="115" customFormat="1">
      <c r="A117" s="127"/>
      <c r="H117" s="114"/>
      <c r="I117" s="114"/>
    </row>
    <row r="118" spans="1:9" s="115" customFormat="1">
      <c r="A118" s="127"/>
      <c r="H118" s="114"/>
      <c r="I118" s="114"/>
    </row>
    <row r="119" spans="1:9" s="115" customFormat="1">
      <c r="A119" s="127"/>
      <c r="H119" s="114"/>
      <c r="I119" s="114"/>
    </row>
    <row r="120" spans="1:9" s="115" customFormat="1">
      <c r="A120" s="127"/>
      <c r="H120" s="114"/>
      <c r="I120" s="114"/>
    </row>
    <row r="121" spans="1:9" s="115" customFormat="1">
      <c r="A121" s="127"/>
      <c r="H121" s="114"/>
      <c r="I121" s="114"/>
    </row>
    <row r="122" spans="1:9" s="115" customFormat="1">
      <c r="A122" s="127"/>
      <c r="H122" s="114"/>
      <c r="I122" s="114"/>
    </row>
    <row r="123" spans="1:9" s="115" customFormat="1">
      <c r="A123" s="127"/>
      <c r="H123" s="114"/>
      <c r="I123" s="114"/>
    </row>
    <row r="124" spans="1:9" s="115" customFormat="1">
      <c r="A124" s="127"/>
      <c r="H124" s="114"/>
      <c r="I124" s="114"/>
    </row>
    <row r="125" spans="1:9" s="115" customFormat="1">
      <c r="A125" s="127"/>
      <c r="H125" s="114"/>
      <c r="I125" s="114"/>
    </row>
    <row r="126" spans="1:9" s="115" customFormat="1">
      <c r="A126" s="127"/>
      <c r="H126" s="114"/>
      <c r="I126" s="114"/>
    </row>
    <row r="127" spans="1:9" s="115" customFormat="1">
      <c r="A127" s="127"/>
      <c r="H127" s="114"/>
      <c r="I127" s="114"/>
    </row>
    <row r="128" spans="1:9" s="115" customFormat="1">
      <c r="A128" s="127"/>
      <c r="H128" s="114"/>
      <c r="I128" s="114"/>
    </row>
    <row r="129" spans="1:9" s="115" customFormat="1">
      <c r="A129" s="127"/>
      <c r="H129" s="114"/>
      <c r="I129" s="114"/>
    </row>
    <row r="130" spans="1:9" s="115" customFormat="1">
      <c r="A130" s="127"/>
      <c r="H130" s="114"/>
      <c r="I130" s="114"/>
    </row>
    <row r="131" spans="1:9" s="115" customFormat="1">
      <c r="A131" s="127"/>
      <c r="H131" s="114"/>
      <c r="I131" s="114"/>
    </row>
    <row r="132" spans="1:9" s="115" customFormat="1">
      <c r="A132" s="127"/>
      <c r="H132" s="114"/>
      <c r="I132" s="114"/>
    </row>
    <row r="133" spans="1:9" s="115" customFormat="1">
      <c r="A133" s="127"/>
      <c r="H133" s="114"/>
      <c r="I133" s="114"/>
    </row>
    <row r="134" spans="1:9" s="115" customFormat="1">
      <c r="A134" s="127"/>
      <c r="H134" s="114"/>
      <c r="I134" s="114"/>
    </row>
    <row r="135" spans="1:9" s="115" customFormat="1">
      <c r="A135" s="127"/>
      <c r="H135" s="114"/>
      <c r="I135" s="114"/>
    </row>
    <row r="136" spans="1:9" s="115" customFormat="1">
      <c r="A136" s="127"/>
      <c r="H136" s="114"/>
      <c r="I136" s="114"/>
    </row>
    <row r="137" spans="1:9" s="115" customFormat="1">
      <c r="A137" s="127"/>
      <c r="H137" s="114"/>
      <c r="I137" s="114"/>
    </row>
    <row r="138" spans="1:9" s="115" customFormat="1">
      <c r="A138" s="127"/>
      <c r="H138" s="114"/>
      <c r="I138" s="114"/>
    </row>
    <row r="139" spans="1:9" s="115" customFormat="1">
      <c r="A139" s="127"/>
      <c r="H139" s="114"/>
      <c r="I139" s="114"/>
    </row>
    <row r="140" spans="1:9" s="115" customFormat="1">
      <c r="A140" s="127"/>
      <c r="H140" s="114"/>
      <c r="I140" s="114"/>
    </row>
    <row r="141" spans="1:9" s="115" customFormat="1">
      <c r="A141" s="127"/>
      <c r="H141" s="114"/>
      <c r="I141" s="114"/>
    </row>
    <row r="142" spans="1:9" s="115" customFormat="1">
      <c r="A142" s="127"/>
      <c r="H142" s="114"/>
      <c r="I142" s="114"/>
    </row>
    <row r="143" spans="1:9" s="115" customFormat="1">
      <c r="A143" s="127"/>
      <c r="H143" s="114"/>
      <c r="I143" s="114"/>
    </row>
    <row r="144" spans="1:9" s="115" customFormat="1">
      <c r="A144" s="127"/>
      <c r="H144" s="114"/>
      <c r="I144" s="114"/>
    </row>
    <row r="145" spans="1:9" s="115" customFormat="1">
      <c r="A145" s="127"/>
      <c r="H145" s="114"/>
      <c r="I145" s="114"/>
    </row>
    <row r="146" spans="1:9" s="115" customFormat="1">
      <c r="A146" s="127"/>
      <c r="H146" s="114"/>
      <c r="I146" s="114"/>
    </row>
    <row r="147" spans="1:9" s="115" customFormat="1">
      <c r="A147" s="127"/>
      <c r="H147" s="114"/>
      <c r="I147" s="114"/>
    </row>
    <row r="148" spans="1:9" s="115" customFormat="1">
      <c r="A148" s="127"/>
      <c r="H148" s="114"/>
      <c r="I148" s="114"/>
    </row>
    <row r="149" spans="1:9" s="115" customFormat="1">
      <c r="A149" s="127"/>
      <c r="H149" s="114"/>
      <c r="I149" s="114"/>
    </row>
    <row r="150" spans="1:9" s="115" customFormat="1">
      <c r="A150" s="127"/>
      <c r="H150" s="114"/>
      <c r="I150" s="114"/>
    </row>
    <row r="151" spans="1:9" s="115" customFormat="1">
      <c r="A151" s="127"/>
      <c r="H151" s="114"/>
      <c r="I151" s="114"/>
    </row>
    <row r="152" spans="1:9" s="115" customFormat="1">
      <c r="A152" s="127"/>
      <c r="H152" s="114"/>
      <c r="I152" s="114"/>
    </row>
    <row r="153" spans="1:9" s="115" customFormat="1">
      <c r="A153" s="127"/>
      <c r="H153" s="114"/>
      <c r="I153" s="114"/>
    </row>
    <row r="154" spans="1:9" s="115" customFormat="1">
      <c r="A154" s="127"/>
      <c r="H154" s="114"/>
      <c r="I154" s="114"/>
    </row>
    <row r="155" spans="1:9" s="115" customFormat="1">
      <c r="A155" s="127"/>
      <c r="H155" s="114"/>
      <c r="I155" s="114"/>
    </row>
    <row r="156" spans="1:9" s="115" customFormat="1">
      <c r="A156" s="127"/>
      <c r="H156" s="114"/>
      <c r="I156" s="114"/>
    </row>
    <row r="157" spans="1:9" s="115" customFormat="1">
      <c r="A157" s="127"/>
      <c r="H157" s="114"/>
      <c r="I157" s="114"/>
    </row>
    <row r="158" spans="1:9" s="115" customFormat="1">
      <c r="A158" s="127"/>
      <c r="H158" s="114"/>
      <c r="I158" s="114"/>
    </row>
    <row r="159" spans="1:9" s="115" customFormat="1">
      <c r="A159" s="127"/>
      <c r="H159" s="114"/>
      <c r="I159" s="114"/>
    </row>
    <row r="160" spans="1:9" s="115" customFormat="1">
      <c r="A160" s="127"/>
      <c r="H160" s="114"/>
      <c r="I160" s="114"/>
    </row>
    <row r="161" spans="1:9" s="115" customFormat="1">
      <c r="A161" s="127"/>
      <c r="H161" s="114"/>
      <c r="I161" s="114"/>
    </row>
    <row r="162" spans="1:9" s="115" customFormat="1">
      <c r="A162" s="127"/>
      <c r="H162" s="114"/>
      <c r="I162" s="114"/>
    </row>
    <row r="163" spans="1:9" s="115" customFormat="1">
      <c r="A163" s="127"/>
      <c r="H163" s="114"/>
      <c r="I163" s="114"/>
    </row>
    <row r="164" spans="1:9" s="115" customFormat="1">
      <c r="A164" s="127"/>
      <c r="H164" s="114"/>
      <c r="I164" s="114"/>
    </row>
    <row r="165" spans="1:9" s="115" customFormat="1">
      <c r="A165" s="127"/>
      <c r="H165" s="114"/>
      <c r="I165" s="114"/>
    </row>
    <row r="166" spans="1:9" s="115" customFormat="1">
      <c r="A166" s="127"/>
      <c r="H166" s="114"/>
      <c r="I166" s="114"/>
    </row>
    <row r="167" spans="1:9" s="115" customFormat="1">
      <c r="A167" s="127"/>
      <c r="H167" s="114"/>
      <c r="I167" s="114"/>
    </row>
    <row r="168" spans="1:9" s="115" customFormat="1">
      <c r="A168" s="127"/>
      <c r="H168" s="114"/>
      <c r="I168" s="114"/>
    </row>
    <row r="169" spans="1:9" s="115" customFormat="1">
      <c r="A169" s="127"/>
      <c r="H169" s="114"/>
      <c r="I169" s="114"/>
    </row>
    <row r="170" spans="1:9" s="115" customFormat="1">
      <c r="A170" s="127"/>
      <c r="H170" s="114"/>
      <c r="I170" s="114"/>
    </row>
    <row r="171" spans="1:9" s="115" customFormat="1">
      <c r="A171" s="127"/>
      <c r="H171" s="114"/>
      <c r="I171" s="114"/>
    </row>
    <row r="172" spans="1:9" s="115" customFormat="1">
      <c r="A172" s="127"/>
      <c r="H172" s="114"/>
      <c r="I172" s="114"/>
    </row>
    <row r="173" spans="1:9" s="115" customFormat="1">
      <c r="A173" s="127"/>
      <c r="H173" s="114"/>
      <c r="I173" s="114"/>
    </row>
    <row r="174" spans="1:9" s="115" customFormat="1">
      <c r="A174" s="127"/>
      <c r="H174" s="114"/>
      <c r="I174" s="114"/>
    </row>
    <row r="175" spans="1:9" s="115" customFormat="1">
      <c r="A175" s="127"/>
      <c r="H175" s="114"/>
      <c r="I175" s="114"/>
    </row>
    <row r="176" spans="1:9" s="115" customFormat="1">
      <c r="A176" s="127"/>
      <c r="H176" s="114"/>
      <c r="I176" s="114"/>
    </row>
    <row r="177" spans="1:9" s="115" customFormat="1">
      <c r="A177" s="127"/>
      <c r="H177" s="114"/>
      <c r="I177" s="114"/>
    </row>
    <row r="178" spans="1:9" s="115" customFormat="1">
      <c r="A178" s="127"/>
      <c r="H178" s="114"/>
      <c r="I178" s="114"/>
    </row>
    <row r="179" spans="1:9" s="115" customFormat="1">
      <c r="A179" s="127"/>
      <c r="H179" s="114"/>
      <c r="I179" s="114"/>
    </row>
    <row r="180" spans="1:9" s="115" customFormat="1">
      <c r="A180" s="127"/>
      <c r="H180" s="114"/>
      <c r="I180" s="114"/>
    </row>
    <row r="181" spans="1:9" s="115" customFormat="1">
      <c r="A181" s="127"/>
      <c r="H181" s="114"/>
      <c r="I181" s="114"/>
    </row>
    <row r="182" spans="1:9" s="115" customFormat="1">
      <c r="A182" s="127"/>
      <c r="H182" s="114"/>
      <c r="I182" s="114"/>
    </row>
    <row r="183" spans="1:9" s="115" customFormat="1">
      <c r="A183" s="127"/>
      <c r="H183" s="114"/>
      <c r="I183" s="114"/>
    </row>
    <row r="184" spans="1:9" s="115" customFormat="1">
      <c r="A184" s="127"/>
      <c r="H184" s="114"/>
      <c r="I184" s="114"/>
    </row>
    <row r="185" spans="1:9" s="115" customFormat="1">
      <c r="A185" s="127"/>
      <c r="H185" s="114"/>
      <c r="I185" s="114"/>
    </row>
    <row r="186" spans="1:9" s="115" customFormat="1">
      <c r="A186" s="127"/>
      <c r="H186" s="114"/>
      <c r="I186" s="114"/>
    </row>
    <row r="187" spans="1:9" s="115" customFormat="1">
      <c r="A187" s="127"/>
      <c r="H187" s="114"/>
      <c r="I187" s="114"/>
    </row>
    <row r="188" spans="1:9" s="115" customFormat="1">
      <c r="A188" s="127"/>
      <c r="H188" s="114"/>
      <c r="I188" s="114"/>
    </row>
    <row r="189" spans="1:9" s="115" customFormat="1">
      <c r="A189" s="127"/>
      <c r="H189" s="114"/>
      <c r="I189" s="114"/>
    </row>
    <row r="190" spans="1:9" s="115" customFormat="1">
      <c r="A190" s="127"/>
      <c r="H190" s="114"/>
      <c r="I190" s="114"/>
    </row>
    <row r="191" spans="1:9" s="115" customFormat="1">
      <c r="A191" s="127"/>
      <c r="H191" s="114"/>
      <c r="I191" s="114"/>
    </row>
  </sheetData>
  <sheetProtection formatCells="0" formatColumns="0" formatRows="0" insertRows="0" deleteRows="0"/>
  <mergeCells count="9">
    <mergeCell ref="A46:H46"/>
    <mergeCell ref="A7:G7"/>
    <mergeCell ref="A20:G20"/>
    <mergeCell ref="A3:G3"/>
    <mergeCell ref="A4:A5"/>
    <mergeCell ref="B4:B5"/>
    <mergeCell ref="D4:G4"/>
    <mergeCell ref="C4:C5"/>
    <mergeCell ref="C44:D44"/>
  </mergeCells>
  <phoneticPr fontId="3" type="noConversion"/>
  <pageMargins left="1.1811023622047243" right="0.39370078740157483" top="0.78740157480314965" bottom="0.78740157480314965" header="0" footer="0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43"/>
  </sheetPr>
  <dimension ref="A1:R114"/>
  <sheetViews>
    <sheetView view="pageBreakPreview" topLeftCell="A70" zoomScale="75" zoomScaleNormal="75" zoomScaleSheetLayoutView="75" workbookViewId="0">
      <selection activeCell="C15" sqref="C15:C16"/>
    </sheetView>
  </sheetViews>
  <sheetFormatPr defaultColWidth="9.1796875" defaultRowHeight="15.5" outlineLevelRow="1"/>
  <cols>
    <col min="1" max="1" width="55.453125" style="13" customWidth="1"/>
    <col min="2" max="2" width="11" style="13" customWidth="1"/>
    <col min="3" max="3" width="13.26953125" style="13" customWidth="1"/>
    <col min="4" max="4" width="11" style="13" customWidth="1"/>
    <col min="5" max="5" width="12.7265625" style="16" customWidth="1"/>
    <col min="6" max="6" width="11.81640625" style="13" customWidth="1"/>
    <col min="7" max="7" width="13" style="13" customWidth="1"/>
    <col min="8" max="16" width="0" style="13" hidden="1" customWidth="1"/>
    <col min="17" max="16384" width="9.1796875" style="13"/>
  </cols>
  <sheetData>
    <row r="1" spans="1:17" ht="16.5" customHeight="1" outlineLevel="1">
      <c r="G1" s="33" t="s">
        <v>237</v>
      </c>
    </row>
    <row r="2" spans="1:17" ht="15.75" customHeight="1" outlineLevel="1">
      <c r="G2" s="33" t="s">
        <v>223</v>
      </c>
    </row>
    <row r="3" spans="1:17">
      <c r="A3" s="252" t="s">
        <v>356</v>
      </c>
      <c r="B3" s="252"/>
      <c r="C3" s="252"/>
      <c r="D3" s="252"/>
      <c r="E3" s="252"/>
      <c r="F3" s="252"/>
      <c r="G3" s="252"/>
    </row>
    <row r="4" spans="1:17" ht="16" customHeight="1">
      <c r="A4" s="33" t="s">
        <v>353</v>
      </c>
      <c r="B4" s="33"/>
      <c r="C4" s="33"/>
      <c r="D4" s="33"/>
      <c r="E4" s="68"/>
      <c r="F4" s="33"/>
      <c r="G4" s="33"/>
    </row>
    <row r="5" spans="1:17" ht="15.75" customHeight="1">
      <c r="A5" s="239" t="s">
        <v>283</v>
      </c>
      <c r="B5" s="272" t="s">
        <v>0</v>
      </c>
      <c r="C5" s="247" t="s">
        <v>344</v>
      </c>
      <c r="D5" s="245" t="s">
        <v>342</v>
      </c>
      <c r="E5" s="245"/>
      <c r="F5" s="245"/>
      <c r="G5" s="273"/>
    </row>
    <row r="6" spans="1:17" ht="31.5" customHeight="1">
      <c r="A6" s="239"/>
      <c r="B6" s="272"/>
      <c r="C6" s="269"/>
      <c r="D6" s="17" t="s">
        <v>261</v>
      </c>
      <c r="E6" s="69" t="s">
        <v>244</v>
      </c>
      <c r="F6" s="59" t="s">
        <v>271</v>
      </c>
      <c r="G6" s="70" t="s">
        <v>272</v>
      </c>
    </row>
    <row r="7" spans="1:17" ht="15.75" customHeight="1">
      <c r="A7" s="17">
        <v>1</v>
      </c>
      <c r="B7" s="71">
        <v>2</v>
      </c>
      <c r="C7" s="17">
        <v>3</v>
      </c>
      <c r="D7" s="17">
        <v>4</v>
      </c>
      <c r="E7" s="72">
        <v>5</v>
      </c>
      <c r="F7" s="17">
        <v>6</v>
      </c>
      <c r="G7" s="73">
        <v>7</v>
      </c>
    </row>
    <row r="8" spans="1:17" s="74" customFormat="1" ht="15.75" customHeight="1">
      <c r="A8" s="264" t="s">
        <v>157</v>
      </c>
      <c r="B8" s="265"/>
      <c r="C8" s="265"/>
      <c r="D8" s="265"/>
      <c r="E8" s="265"/>
      <c r="F8" s="265"/>
      <c r="G8" s="265"/>
    </row>
    <row r="9" spans="1:17" ht="31" customHeight="1">
      <c r="A9" s="75" t="s">
        <v>175</v>
      </c>
      <c r="B9" s="60">
        <v>1170</v>
      </c>
      <c r="C9" s="76">
        <f>ROUND('1. Фін результат'!C116,0)</f>
        <v>124</v>
      </c>
      <c r="D9" s="62">
        <f>'1. Фін результат'!D116</f>
        <v>2776</v>
      </c>
      <c r="E9" s="76">
        <f>ROUND('1. Фін результат'!E116,0)</f>
        <v>675</v>
      </c>
      <c r="F9" s="62">
        <f>E9-D9</f>
        <v>-2101</v>
      </c>
      <c r="G9" s="77">
        <f>E9/D9*100</f>
        <v>24.315561959654179</v>
      </c>
    </row>
    <row r="10" spans="1:17" ht="15.75" customHeight="1">
      <c r="A10" s="75" t="s">
        <v>176</v>
      </c>
      <c r="B10" s="78"/>
      <c r="C10" s="79"/>
      <c r="D10" s="31"/>
      <c r="E10" s="65"/>
      <c r="F10" s="31"/>
      <c r="G10" s="80"/>
    </row>
    <row r="11" spans="1:17" ht="15.65" customHeight="1">
      <c r="A11" s="75" t="s">
        <v>179</v>
      </c>
      <c r="B11" s="27">
        <v>3000</v>
      </c>
      <c r="C11" s="81">
        <f>'1. Фін результат'!C142</f>
        <v>516</v>
      </c>
      <c r="D11" s="31">
        <f>'1. Фін результат'!D142</f>
        <v>564</v>
      </c>
      <c r="E11" s="31">
        <f>'1. Фін результат'!E142</f>
        <v>681</v>
      </c>
      <c r="F11" s="62">
        <f t="shared" ref="F11:F12" si="0">E11-D11</f>
        <v>117</v>
      </c>
      <c r="G11" s="77">
        <f t="shared" ref="G11" si="1">E11/D11*100</f>
        <v>120.74468085106382</v>
      </c>
      <c r="H11" s="13" t="s">
        <v>508</v>
      </c>
    </row>
    <row r="12" spans="1:17" ht="15.75" customHeight="1">
      <c r="A12" s="75" t="s">
        <v>180</v>
      </c>
      <c r="B12" s="27">
        <v>3010</v>
      </c>
      <c r="C12" s="81">
        <f>C13</f>
        <v>6349.4</v>
      </c>
      <c r="D12" s="31"/>
      <c r="E12" s="31">
        <f>E13</f>
        <v>-775</v>
      </c>
      <c r="F12" s="82">
        <f t="shared" si="0"/>
        <v>-775</v>
      </c>
      <c r="G12" s="83"/>
      <c r="Q12" s="13">
        <v>1595</v>
      </c>
    </row>
    <row r="13" spans="1:17" ht="15.75" customHeight="1">
      <c r="A13" s="75" t="s">
        <v>559</v>
      </c>
      <c r="B13" s="27" t="s">
        <v>474</v>
      </c>
      <c r="C13" s="81">
        <v>6349.4</v>
      </c>
      <c r="D13" s="31"/>
      <c r="E13" s="31">
        <v>-775</v>
      </c>
      <c r="F13" s="84"/>
      <c r="G13" s="85"/>
      <c r="H13" s="13" t="s">
        <v>509</v>
      </c>
      <c r="Q13" s="13">
        <v>1595</v>
      </c>
    </row>
    <row r="14" spans="1:17" ht="31.5" customHeight="1">
      <c r="A14" s="75" t="s">
        <v>181</v>
      </c>
      <c r="B14" s="27">
        <v>3020</v>
      </c>
      <c r="C14" s="81">
        <v>0</v>
      </c>
      <c r="D14" s="81">
        <v>0</v>
      </c>
      <c r="E14" s="31">
        <v>0</v>
      </c>
      <c r="F14" s="84"/>
      <c r="G14" s="85"/>
    </row>
    <row r="15" spans="1:17" ht="31.5" customHeight="1">
      <c r="A15" s="75" t="s">
        <v>182</v>
      </c>
      <c r="B15" s="27">
        <v>3030</v>
      </c>
      <c r="C15" s="81">
        <v>10</v>
      </c>
      <c r="D15" s="31">
        <v>-564</v>
      </c>
      <c r="E15" s="31">
        <f>E16+E17+E19+E20+E18</f>
        <v>0</v>
      </c>
      <c r="F15" s="82">
        <f>E15-D15</f>
        <v>564</v>
      </c>
      <c r="G15" s="83">
        <f>E15/D15*100</f>
        <v>0</v>
      </c>
    </row>
    <row r="16" spans="1:17" ht="33.75" customHeight="1">
      <c r="A16" s="86" t="s">
        <v>546</v>
      </c>
      <c r="B16" s="27" t="s">
        <v>427</v>
      </c>
      <c r="C16" s="87">
        <v>10</v>
      </c>
      <c r="D16" s="88"/>
      <c r="E16" s="89">
        <v>0</v>
      </c>
      <c r="F16" s="90"/>
      <c r="G16" s="91"/>
      <c r="H16" s="13">
        <v>-1000</v>
      </c>
    </row>
    <row r="17" spans="1:17" ht="35.5" customHeight="1">
      <c r="A17" s="75" t="s">
        <v>548</v>
      </c>
      <c r="B17" s="27" t="s">
        <v>428</v>
      </c>
      <c r="C17" s="87"/>
      <c r="D17" s="88">
        <v>-564</v>
      </c>
      <c r="E17" s="87"/>
      <c r="F17" s="82"/>
      <c r="G17" s="83"/>
      <c r="H17" s="13">
        <v>-1005</v>
      </c>
    </row>
    <row r="18" spans="1:17" ht="31.5" hidden="1" customHeight="1">
      <c r="A18" s="75" t="s">
        <v>549</v>
      </c>
      <c r="B18" s="27" t="s">
        <v>429</v>
      </c>
      <c r="C18" s="87">
        <f>'2. Розрахунки з бюджетом'!C12+'2. Розрахунки з бюджетом'!C13++'2. Розрахунки з бюджетом'!C14+'2. Розрахунки з бюджетом'!C15+'2. Розрахунки з бюджетом'!C16+'2. Розрахунки з бюджетом'!C17</f>
        <v>0</v>
      </c>
      <c r="D18" s="88"/>
      <c r="E18" s="87">
        <f>'2. Розрахунки з бюджетом'!E12+'2. Розрахунки з бюджетом'!E13+'2. Розрахунки з бюджетом'!E14+'2. Розрахунки з бюджетом'!E15+'2. Розрахунки з бюджетом'!E16+'2. Розрахунки з бюджетом'!E17</f>
        <v>0</v>
      </c>
      <c r="F18" s="90"/>
      <c r="G18" s="91"/>
    </row>
    <row r="19" spans="1:17" ht="31.5" hidden="1" customHeight="1">
      <c r="A19" s="75" t="s">
        <v>547</v>
      </c>
      <c r="B19" s="27" t="s">
        <v>504</v>
      </c>
      <c r="C19" s="87"/>
      <c r="D19" s="88"/>
      <c r="E19" s="87"/>
      <c r="F19" s="90"/>
      <c r="G19" s="91"/>
    </row>
    <row r="20" spans="1:17" ht="15.65" hidden="1" customHeight="1">
      <c r="A20" s="75" t="s">
        <v>550</v>
      </c>
      <c r="B20" s="27" t="s">
        <v>481</v>
      </c>
      <c r="C20" s="87"/>
      <c r="D20" s="88"/>
      <c r="E20" s="87"/>
      <c r="F20" s="90"/>
      <c r="G20" s="91"/>
    </row>
    <row r="21" spans="1:17" ht="31.5" customHeight="1">
      <c r="A21" s="92" t="s">
        <v>252</v>
      </c>
      <c r="B21" s="93">
        <v>3040</v>
      </c>
      <c r="C21" s="94">
        <f>C9+C11+C12+C14+C15</f>
        <v>6999.4</v>
      </c>
      <c r="D21" s="30">
        <f>D9+D11+D12+D14+D15</f>
        <v>2776</v>
      </c>
      <c r="E21" s="94">
        <f>E9+E11+E12+E14+E15</f>
        <v>581</v>
      </c>
      <c r="F21" s="95">
        <f>E21-D21</f>
        <v>-2195</v>
      </c>
      <c r="G21" s="96">
        <f>E21/D21*100</f>
        <v>20.929394812680115</v>
      </c>
    </row>
    <row r="22" spans="1:17" ht="31">
      <c r="A22" s="75" t="s">
        <v>183</v>
      </c>
      <c r="B22" s="27">
        <v>3050</v>
      </c>
      <c r="C22" s="81">
        <f>C23+C24+C25</f>
        <v>-4263</v>
      </c>
      <c r="D22" s="31">
        <v>0</v>
      </c>
      <c r="E22" s="81">
        <f>E23+E24+E25</f>
        <v>1143</v>
      </c>
      <c r="F22" s="82">
        <f t="shared" ref="F22:F26" si="2">E22-D22</f>
        <v>1143</v>
      </c>
      <c r="G22" s="83" t="e">
        <f t="shared" ref="G22:G26" si="3">E22/D22*100</f>
        <v>#DIV/0!</v>
      </c>
      <c r="H22" s="13" t="s">
        <v>510</v>
      </c>
    </row>
    <row r="23" spans="1:17" ht="28.5" customHeight="1">
      <c r="A23" s="75" t="s">
        <v>539</v>
      </c>
      <c r="B23" s="27" t="s">
        <v>430</v>
      </c>
      <c r="C23" s="87">
        <v>-2748</v>
      </c>
      <c r="D23" s="88">
        <v>0</v>
      </c>
      <c r="E23" s="87">
        <v>1461</v>
      </c>
      <c r="F23" s="82">
        <f t="shared" si="2"/>
        <v>1461</v>
      </c>
      <c r="G23" s="83" t="e">
        <f t="shared" si="3"/>
        <v>#DIV/0!</v>
      </c>
      <c r="Q23" s="13">
        <v>-1100</v>
      </c>
    </row>
    <row r="24" spans="1:17" ht="19.5" customHeight="1">
      <c r="A24" s="75" t="s">
        <v>552</v>
      </c>
      <c r="B24" s="27" t="s">
        <v>541</v>
      </c>
      <c r="C24" s="87">
        <v>-1398</v>
      </c>
      <c r="D24" s="88"/>
      <c r="E24" s="87">
        <v>-416</v>
      </c>
      <c r="F24" s="82"/>
      <c r="G24" s="83"/>
      <c r="Q24" s="13" t="s">
        <v>551</v>
      </c>
    </row>
    <row r="25" spans="1:17" ht="19.5" customHeight="1">
      <c r="A25" s="75" t="s">
        <v>540</v>
      </c>
      <c r="B25" s="27" t="s">
        <v>542</v>
      </c>
      <c r="C25" s="87">
        <v>-117</v>
      </c>
      <c r="D25" s="88"/>
      <c r="E25" s="87">
        <v>98</v>
      </c>
      <c r="F25" s="82"/>
      <c r="G25" s="83"/>
    </row>
    <row r="26" spans="1:17" ht="31.5" customHeight="1">
      <c r="A26" s="75" t="s">
        <v>184</v>
      </c>
      <c r="B26" s="27">
        <v>3060</v>
      </c>
      <c r="C26" s="81">
        <f>C27</f>
        <v>1766.4</v>
      </c>
      <c r="D26" s="31">
        <v>0</v>
      </c>
      <c r="E26" s="81">
        <f>E27</f>
        <v>363.2</v>
      </c>
      <c r="F26" s="82">
        <f t="shared" si="2"/>
        <v>363.2</v>
      </c>
      <c r="G26" s="83" t="e">
        <f t="shared" si="3"/>
        <v>#DIV/0!</v>
      </c>
    </row>
    <row r="27" spans="1:17" ht="46.5">
      <c r="A27" s="75" t="s">
        <v>431</v>
      </c>
      <c r="B27" s="27" t="s">
        <v>432</v>
      </c>
      <c r="C27" s="87">
        <v>1766.4</v>
      </c>
      <c r="D27" s="88">
        <v>0</v>
      </c>
      <c r="E27" s="87">
        <v>363.2</v>
      </c>
      <c r="F27" s="90"/>
      <c r="G27" s="91"/>
      <c r="H27" s="13" t="s">
        <v>511</v>
      </c>
    </row>
    <row r="28" spans="1:17" ht="15.65" customHeight="1">
      <c r="A28" s="92" t="s">
        <v>177</v>
      </c>
      <c r="B28" s="93">
        <v>3070</v>
      </c>
      <c r="C28" s="94">
        <f>C21+C22+C26</f>
        <v>4502.7999999999993</v>
      </c>
      <c r="D28" s="30">
        <f>D21+D22+D26</f>
        <v>2776</v>
      </c>
      <c r="E28" s="94">
        <f>E21+E22+E26</f>
        <v>2087.1999999999998</v>
      </c>
      <c r="F28" s="95">
        <f>E28-D28</f>
        <v>-688.80000000000018</v>
      </c>
      <c r="G28" s="83">
        <f>E28/D28*100</f>
        <v>75.187319884726222</v>
      </c>
    </row>
    <row r="29" spans="1:17" ht="15.65" customHeight="1">
      <c r="A29" s="75" t="s">
        <v>178</v>
      </c>
      <c r="B29" s="27">
        <v>3080</v>
      </c>
      <c r="C29" s="81">
        <f>'1. Фін результат'!C117</f>
        <v>0</v>
      </c>
      <c r="D29" s="31">
        <f>'1. Фін результат'!D117</f>
        <v>0</v>
      </c>
      <c r="E29" s="81">
        <f>'1. Фін результат'!E117</f>
        <v>0</v>
      </c>
      <c r="F29" s="82">
        <f t="shared" ref="F29:F30" si="4">E29-D29</f>
        <v>0</v>
      </c>
      <c r="G29" s="83"/>
    </row>
    <row r="30" spans="1:17" ht="15.65" customHeight="1">
      <c r="A30" s="97" t="s">
        <v>156</v>
      </c>
      <c r="B30" s="93">
        <v>3090</v>
      </c>
      <c r="C30" s="94">
        <f>C28-C29</f>
        <v>4502.7999999999993</v>
      </c>
      <c r="D30" s="30">
        <f>D28-D29</f>
        <v>2776</v>
      </c>
      <c r="E30" s="94">
        <f>E28-E29</f>
        <v>2087.1999999999998</v>
      </c>
      <c r="F30" s="95">
        <f t="shared" si="4"/>
        <v>-688.80000000000018</v>
      </c>
      <c r="G30" s="96">
        <f t="shared" ref="G30" si="5">E30/D30*100</f>
        <v>75.187319884726222</v>
      </c>
    </row>
    <row r="31" spans="1:17" ht="15.75" customHeight="1">
      <c r="A31" s="264" t="s">
        <v>158</v>
      </c>
      <c r="B31" s="265"/>
      <c r="C31" s="265"/>
      <c r="D31" s="265"/>
      <c r="E31" s="265"/>
      <c r="F31" s="265"/>
      <c r="G31" s="265"/>
    </row>
    <row r="32" spans="1:17" ht="15.75" customHeight="1">
      <c r="A32" s="92" t="s">
        <v>284</v>
      </c>
      <c r="B32" s="60"/>
      <c r="C32" s="76"/>
      <c r="D32" s="62"/>
      <c r="E32" s="76"/>
      <c r="F32" s="82"/>
      <c r="G32" s="83"/>
    </row>
    <row r="33" spans="1:17" ht="15.75" customHeight="1">
      <c r="A33" s="18" t="s">
        <v>32</v>
      </c>
      <c r="B33" s="60">
        <v>3200</v>
      </c>
      <c r="C33" s="76"/>
      <c r="D33" s="62"/>
      <c r="E33" s="76"/>
      <c r="F33" s="82"/>
      <c r="G33" s="83"/>
    </row>
    <row r="34" spans="1:17" ht="15.65" customHeight="1">
      <c r="A34" s="18" t="s">
        <v>33</v>
      </c>
      <c r="B34" s="60">
        <v>3210</v>
      </c>
      <c r="C34" s="76"/>
      <c r="D34" s="62"/>
      <c r="E34" s="76"/>
      <c r="F34" s="82"/>
      <c r="G34" s="83"/>
    </row>
    <row r="35" spans="1:17" ht="15.75" customHeight="1">
      <c r="A35" s="18" t="s">
        <v>54</v>
      </c>
      <c r="B35" s="60">
        <v>3220</v>
      </c>
      <c r="C35" s="76"/>
      <c r="D35" s="62"/>
      <c r="E35" s="76"/>
      <c r="F35" s="82"/>
      <c r="G35" s="83"/>
    </row>
    <row r="36" spans="1:17" ht="15.65" customHeight="1">
      <c r="A36" s="75" t="s">
        <v>161</v>
      </c>
      <c r="B36" s="60"/>
      <c r="C36" s="76"/>
      <c r="D36" s="62"/>
      <c r="E36" s="76"/>
      <c r="F36" s="82"/>
      <c r="G36" s="83"/>
    </row>
    <row r="37" spans="1:17">
      <c r="A37" s="18" t="s">
        <v>162</v>
      </c>
      <c r="B37" s="60">
        <v>3230</v>
      </c>
      <c r="C37" s="76"/>
      <c r="D37" s="62"/>
      <c r="E37" s="76"/>
      <c r="F37" s="82"/>
      <c r="G37" s="83"/>
    </row>
    <row r="38" spans="1:17" ht="15.75" customHeight="1">
      <c r="A38" s="18" t="s">
        <v>163</v>
      </c>
      <c r="B38" s="60">
        <v>3240</v>
      </c>
      <c r="C38" s="76"/>
      <c r="D38" s="62"/>
      <c r="E38" s="76"/>
      <c r="F38" s="82"/>
      <c r="G38" s="83"/>
    </row>
    <row r="39" spans="1:17" ht="15.75" customHeight="1">
      <c r="A39" s="75" t="s">
        <v>164</v>
      </c>
      <c r="B39" s="60">
        <v>3250</v>
      </c>
      <c r="C39" s="76"/>
      <c r="D39" s="62"/>
      <c r="E39" s="76"/>
      <c r="F39" s="82"/>
      <c r="G39" s="83"/>
    </row>
    <row r="40" spans="1:17" ht="15.75" customHeight="1">
      <c r="A40" s="18" t="s">
        <v>118</v>
      </c>
      <c r="B40" s="60">
        <v>3260</v>
      </c>
      <c r="C40" s="76"/>
      <c r="D40" s="62"/>
      <c r="E40" s="76"/>
      <c r="F40" s="82"/>
      <c r="G40" s="83"/>
    </row>
    <row r="41" spans="1:17" ht="15.65" customHeight="1">
      <c r="A41" s="92" t="s">
        <v>285</v>
      </c>
      <c r="B41" s="60"/>
      <c r="C41" s="76"/>
      <c r="D41" s="62"/>
      <c r="E41" s="76"/>
      <c r="F41" s="82"/>
      <c r="G41" s="83"/>
    </row>
    <row r="42" spans="1:17" ht="31" customHeight="1">
      <c r="A42" s="18" t="s">
        <v>119</v>
      </c>
      <c r="B42" s="60">
        <v>3270</v>
      </c>
      <c r="C42" s="76">
        <f>C43</f>
        <v>1121</v>
      </c>
      <c r="D42" s="62">
        <v>7874</v>
      </c>
      <c r="E42" s="76">
        <f>E43</f>
        <v>719.8</v>
      </c>
      <c r="F42" s="82">
        <f t="shared" ref="F42" si="6">E42-D42</f>
        <v>-7154.2</v>
      </c>
      <c r="G42" s="83">
        <f t="shared" ref="G42" si="7">E42/D42*100</f>
        <v>9.1414782829565659</v>
      </c>
    </row>
    <row r="43" spans="1:17" ht="33.75" customHeight="1">
      <c r="A43" s="18" t="s">
        <v>482</v>
      </c>
      <c r="B43" s="60" t="s">
        <v>576</v>
      </c>
      <c r="C43" s="76">
        <v>1121</v>
      </c>
      <c r="D43" s="62">
        <v>7874</v>
      </c>
      <c r="E43" s="76">
        <f>768-E49</f>
        <v>719.8</v>
      </c>
      <c r="F43" s="82"/>
      <c r="G43" s="83"/>
      <c r="H43" s="13">
        <v>1011</v>
      </c>
      <c r="Q43" s="13">
        <v>1011</v>
      </c>
    </row>
    <row r="44" spans="1:17">
      <c r="A44" s="18" t="s">
        <v>120</v>
      </c>
      <c r="B44" s="60">
        <v>3280</v>
      </c>
      <c r="C44" s="76">
        <f>C45</f>
        <v>0</v>
      </c>
      <c r="D44" s="62">
        <f>D45</f>
        <v>0</v>
      </c>
      <c r="E44" s="76"/>
      <c r="F44" s="82"/>
      <c r="G44" s="83"/>
    </row>
    <row r="45" spans="1:17" ht="31" customHeight="1">
      <c r="A45" s="18" t="s">
        <v>478</v>
      </c>
      <c r="B45" s="60" t="s">
        <v>477</v>
      </c>
      <c r="C45" s="76"/>
      <c r="D45" s="62"/>
      <c r="E45" s="76"/>
      <c r="F45" s="82"/>
      <c r="G45" s="83"/>
    </row>
    <row r="46" spans="1:17" ht="31">
      <c r="A46" s="18" t="s">
        <v>121</v>
      </c>
      <c r="B46" s="60">
        <v>3290</v>
      </c>
      <c r="C46" s="76"/>
      <c r="D46" s="62"/>
      <c r="E46" s="76"/>
      <c r="F46" s="82"/>
      <c r="G46" s="83"/>
    </row>
    <row r="47" spans="1:17">
      <c r="A47" s="18" t="s">
        <v>55</v>
      </c>
      <c r="B47" s="60">
        <v>3300</v>
      </c>
      <c r="C47" s="76"/>
      <c r="D47" s="62"/>
      <c r="E47" s="76"/>
      <c r="F47" s="82"/>
      <c r="G47" s="83"/>
    </row>
    <row r="48" spans="1:17">
      <c r="A48" s="18" t="s">
        <v>113</v>
      </c>
      <c r="B48" s="60">
        <v>3310</v>
      </c>
      <c r="C48" s="76">
        <f>C49</f>
        <v>0</v>
      </c>
      <c r="D48" s="62"/>
      <c r="E48" s="76">
        <f>E49</f>
        <v>48.200000000000045</v>
      </c>
      <c r="F48" s="82"/>
      <c r="G48" s="83"/>
    </row>
    <row r="49" spans="1:18" ht="31.5" customHeight="1">
      <c r="A49" s="18" t="s">
        <v>433</v>
      </c>
      <c r="B49" s="27" t="s">
        <v>434</v>
      </c>
      <c r="C49" s="98"/>
      <c r="D49" s="88"/>
      <c r="E49" s="98">
        <f>'4. Кап. інвестиції'!E9</f>
        <v>48.200000000000045</v>
      </c>
      <c r="F49" s="99"/>
      <c r="G49" s="100"/>
      <c r="Q49" s="223" t="s">
        <v>575</v>
      </c>
      <c r="R49" s="223"/>
    </row>
    <row r="50" spans="1:18">
      <c r="A50" s="75" t="s">
        <v>159</v>
      </c>
      <c r="B50" s="60">
        <v>3320</v>
      </c>
      <c r="C50" s="76">
        <f>C33+C34+C35+C36+C39+C40-C42-C44-C46-C47-C48+C37</f>
        <v>-1121</v>
      </c>
      <c r="D50" s="62">
        <f>D33+D34+D35+D36+D39+D40-D42-D44-D46-D47-D48</f>
        <v>-7874</v>
      </c>
      <c r="E50" s="76">
        <f>E33+E34+E35+E36+E39+E40-E42-E44-E46-E47-E48+E37</f>
        <v>-768</v>
      </c>
      <c r="F50" s="82">
        <f t="shared" ref="F50" si="8">E50-D50</f>
        <v>7106</v>
      </c>
      <c r="G50" s="83">
        <f t="shared" ref="G50" si="9">E50/D50*100</f>
        <v>9.7536195072390139</v>
      </c>
    </row>
    <row r="51" spans="1:18" ht="15.75" customHeight="1">
      <c r="A51" s="264" t="s">
        <v>160</v>
      </c>
      <c r="B51" s="265"/>
      <c r="C51" s="265"/>
      <c r="D51" s="265"/>
      <c r="E51" s="265"/>
      <c r="F51" s="265"/>
      <c r="G51" s="265"/>
    </row>
    <row r="52" spans="1:18">
      <c r="A52" s="92" t="s">
        <v>284</v>
      </c>
      <c r="B52" s="60"/>
      <c r="C52" s="101"/>
      <c r="D52" s="62"/>
      <c r="E52" s="101"/>
      <c r="F52" s="82"/>
      <c r="G52" s="83"/>
    </row>
    <row r="53" spans="1:18" ht="15.65" customHeight="1">
      <c r="A53" s="75" t="s">
        <v>165</v>
      </c>
      <c r="B53" s="60">
        <v>3400</v>
      </c>
      <c r="C53" s="101"/>
      <c r="D53" s="62"/>
      <c r="E53" s="101"/>
      <c r="F53" s="82"/>
      <c r="G53" s="83"/>
    </row>
    <row r="54" spans="1:18" ht="31">
      <c r="A54" s="18" t="s">
        <v>92</v>
      </c>
      <c r="B54" s="78"/>
      <c r="C54" s="102"/>
      <c r="D54" s="103"/>
      <c r="E54" s="102"/>
      <c r="F54" s="104"/>
      <c r="G54" s="105"/>
    </row>
    <row r="55" spans="1:18">
      <c r="A55" s="18" t="s">
        <v>91</v>
      </c>
      <c r="B55" s="60">
        <v>3410</v>
      </c>
      <c r="C55" s="101"/>
      <c r="D55" s="62"/>
      <c r="E55" s="101"/>
      <c r="F55" s="82"/>
      <c r="G55" s="83"/>
    </row>
    <row r="56" spans="1:18">
      <c r="A56" s="18" t="s">
        <v>96</v>
      </c>
      <c r="B56" s="27">
        <v>3420</v>
      </c>
      <c r="C56" s="79"/>
      <c r="D56" s="31"/>
      <c r="E56" s="79"/>
      <c r="F56" s="84"/>
      <c r="G56" s="85"/>
    </row>
    <row r="57" spans="1:18" ht="15.75" customHeight="1">
      <c r="A57" s="18" t="s">
        <v>122</v>
      </c>
      <c r="B57" s="60">
        <v>3430</v>
      </c>
      <c r="C57" s="101"/>
      <c r="D57" s="62"/>
      <c r="E57" s="101"/>
      <c r="F57" s="82"/>
      <c r="G57" s="83"/>
    </row>
    <row r="58" spans="1:18" ht="31">
      <c r="A58" s="18" t="s">
        <v>94</v>
      </c>
      <c r="B58" s="60"/>
      <c r="C58" s="101"/>
      <c r="D58" s="62"/>
      <c r="E58" s="101"/>
      <c r="F58" s="82"/>
      <c r="G58" s="83"/>
    </row>
    <row r="59" spans="1:18" ht="15.65" customHeight="1">
      <c r="A59" s="18" t="s">
        <v>91</v>
      </c>
      <c r="B59" s="27">
        <v>3440</v>
      </c>
      <c r="C59" s="79"/>
      <c r="D59" s="31"/>
      <c r="E59" s="79"/>
      <c r="F59" s="84"/>
      <c r="G59" s="85"/>
    </row>
    <row r="60" spans="1:18" ht="15.75" customHeight="1">
      <c r="A60" s="18" t="s">
        <v>96</v>
      </c>
      <c r="B60" s="27">
        <v>3450</v>
      </c>
      <c r="C60" s="79"/>
      <c r="D60" s="31"/>
      <c r="E60" s="79"/>
      <c r="F60" s="84"/>
      <c r="G60" s="85"/>
    </row>
    <row r="61" spans="1:18">
      <c r="A61" s="18" t="s">
        <v>122</v>
      </c>
      <c r="B61" s="27">
        <v>3460</v>
      </c>
      <c r="C61" s="79"/>
      <c r="D61" s="31"/>
      <c r="E61" s="79"/>
      <c r="F61" s="84"/>
      <c r="G61" s="85"/>
    </row>
    <row r="62" spans="1:18" ht="15.65" customHeight="1">
      <c r="A62" s="18" t="s">
        <v>117</v>
      </c>
      <c r="B62" s="27">
        <v>3470</v>
      </c>
      <c r="C62" s="79"/>
      <c r="D62" s="31">
        <v>7500</v>
      </c>
      <c r="E62" s="79">
        <f>E63</f>
        <v>0</v>
      </c>
      <c r="F62" s="84"/>
      <c r="G62" s="85"/>
    </row>
    <row r="63" spans="1:18" ht="15.75" customHeight="1">
      <c r="A63" s="18" t="s">
        <v>569</v>
      </c>
      <c r="B63" s="27" t="s">
        <v>447</v>
      </c>
      <c r="C63" s="81"/>
      <c r="D63" s="31">
        <v>7500</v>
      </c>
      <c r="E63" s="81"/>
      <c r="F63" s="84"/>
      <c r="G63" s="85"/>
      <c r="H63" s="13">
        <v>1525</v>
      </c>
    </row>
    <row r="64" spans="1:18" ht="15.75" customHeight="1">
      <c r="A64" s="18" t="s">
        <v>118</v>
      </c>
      <c r="B64" s="27">
        <v>3480</v>
      </c>
      <c r="C64" s="81">
        <f>C65+C67+C66</f>
        <v>630</v>
      </c>
      <c r="D64" s="31">
        <f>D65</f>
        <v>0</v>
      </c>
      <c r="E64" s="81">
        <f>E65+E66+E67</f>
        <v>0</v>
      </c>
      <c r="F64" s="82">
        <f t="shared" ref="F64" si="10">E64-D64</f>
        <v>0</v>
      </c>
      <c r="G64" s="83" t="e">
        <f t="shared" ref="G64" si="11">E64/D64*100</f>
        <v>#DIV/0!</v>
      </c>
    </row>
    <row r="65" spans="1:8" ht="31" customHeight="1">
      <c r="A65" s="18" t="s">
        <v>486</v>
      </c>
      <c r="B65" s="27" t="s">
        <v>435</v>
      </c>
      <c r="C65" s="87">
        <v>1000</v>
      </c>
      <c r="D65" s="88"/>
      <c r="E65" s="87"/>
      <c r="F65" s="90"/>
      <c r="G65" s="91"/>
      <c r="H65" s="13" t="s">
        <v>512</v>
      </c>
    </row>
    <row r="66" spans="1:8" ht="31.5" hidden="1" customHeight="1">
      <c r="A66" s="18" t="s">
        <v>473</v>
      </c>
      <c r="B66" s="27" t="s">
        <v>479</v>
      </c>
      <c r="C66" s="87"/>
      <c r="D66" s="88"/>
      <c r="E66" s="87"/>
      <c r="F66" s="90"/>
      <c r="G66" s="91"/>
    </row>
    <row r="67" spans="1:8" ht="31.5" customHeight="1">
      <c r="A67" s="18" t="s">
        <v>480</v>
      </c>
      <c r="B67" s="27" t="s">
        <v>479</v>
      </c>
      <c r="C67" s="87">
        <v>-370</v>
      </c>
      <c r="D67" s="88"/>
      <c r="E67" s="87"/>
      <c r="F67" s="90"/>
      <c r="G67" s="91"/>
      <c r="H67" s="13">
        <v>1410</v>
      </c>
    </row>
    <row r="68" spans="1:8" ht="15.75" customHeight="1">
      <c r="A68" s="92" t="s">
        <v>285</v>
      </c>
      <c r="B68" s="60"/>
      <c r="C68" s="101"/>
      <c r="D68" s="62"/>
      <c r="E68" s="101"/>
      <c r="F68" s="82"/>
      <c r="G68" s="83"/>
    </row>
    <row r="69" spans="1:8" ht="31" customHeight="1">
      <c r="A69" s="18" t="s">
        <v>463</v>
      </c>
      <c r="B69" s="60">
        <v>3490</v>
      </c>
      <c r="C69" s="76">
        <v>10</v>
      </c>
      <c r="D69" s="62">
        <f>'2. Розрахунки з бюджетом'!D22</f>
        <v>416</v>
      </c>
      <c r="E69" s="76">
        <f>'2. Розрахунки з бюджетом'!E10</f>
        <v>26</v>
      </c>
      <c r="F69" s="82">
        <f t="shared" ref="F69" si="12">E69-D69</f>
        <v>-390</v>
      </c>
      <c r="G69" s="83">
        <f t="shared" ref="G69" si="13">E69/D69*100</f>
        <v>6.25</v>
      </c>
    </row>
    <row r="70" spans="1:8" ht="77.5">
      <c r="A70" s="18" t="s">
        <v>464</v>
      </c>
      <c r="B70" s="60">
        <v>3500</v>
      </c>
      <c r="C70" s="76">
        <v>45</v>
      </c>
      <c r="D70" s="62">
        <f>'2. Розрахунки з бюджетом'!D23</f>
        <v>1416</v>
      </c>
      <c r="E70" s="76">
        <f>'2. Розрахунки з бюджетом'!E11</f>
        <v>88.6</v>
      </c>
      <c r="F70" s="82"/>
      <c r="G70" s="83"/>
    </row>
    <row r="71" spans="1:8" ht="31.5" customHeight="1">
      <c r="A71" s="18" t="s">
        <v>95</v>
      </c>
      <c r="B71" s="60"/>
      <c r="C71" s="101"/>
      <c r="D71" s="62"/>
      <c r="E71" s="101"/>
      <c r="F71" s="82"/>
      <c r="G71" s="83"/>
    </row>
    <row r="72" spans="1:8">
      <c r="A72" s="18" t="s">
        <v>91</v>
      </c>
      <c r="B72" s="27">
        <v>3510</v>
      </c>
      <c r="C72" s="79"/>
      <c r="D72" s="31"/>
      <c r="E72" s="79"/>
      <c r="F72" s="84"/>
      <c r="G72" s="85"/>
    </row>
    <row r="73" spans="1:8" ht="15.65" customHeight="1">
      <c r="A73" s="18" t="s">
        <v>96</v>
      </c>
      <c r="B73" s="27">
        <v>3520</v>
      </c>
      <c r="C73" s="79"/>
      <c r="D73" s="31"/>
      <c r="E73" s="79"/>
      <c r="F73" s="84"/>
      <c r="G73" s="85"/>
    </row>
    <row r="74" spans="1:8">
      <c r="A74" s="18" t="s">
        <v>122</v>
      </c>
      <c r="B74" s="27">
        <v>3530</v>
      </c>
      <c r="C74" s="79"/>
      <c r="D74" s="31"/>
      <c r="E74" s="79"/>
      <c r="F74" s="84"/>
      <c r="G74" s="85"/>
    </row>
    <row r="75" spans="1:8" ht="31">
      <c r="A75" s="18" t="s">
        <v>93</v>
      </c>
      <c r="B75" s="60"/>
      <c r="C75" s="101"/>
      <c r="D75" s="62"/>
      <c r="E75" s="101"/>
      <c r="F75" s="82"/>
      <c r="G75" s="83"/>
    </row>
    <row r="76" spans="1:8" ht="15.75" customHeight="1">
      <c r="A76" s="18" t="s">
        <v>91</v>
      </c>
      <c r="B76" s="27">
        <v>3540</v>
      </c>
      <c r="C76" s="79"/>
      <c r="D76" s="31"/>
      <c r="E76" s="79"/>
      <c r="F76" s="84"/>
      <c r="G76" s="85"/>
    </row>
    <row r="77" spans="1:8">
      <c r="A77" s="18" t="s">
        <v>96</v>
      </c>
      <c r="B77" s="27">
        <v>3550</v>
      </c>
      <c r="C77" s="79"/>
      <c r="D77" s="31"/>
      <c r="E77" s="79"/>
      <c r="F77" s="84"/>
      <c r="G77" s="85"/>
    </row>
    <row r="78" spans="1:8" ht="15.75" customHeight="1">
      <c r="A78" s="18" t="s">
        <v>122</v>
      </c>
      <c r="B78" s="27">
        <v>3560</v>
      </c>
      <c r="C78" s="79"/>
      <c r="D78" s="31"/>
      <c r="E78" s="79"/>
      <c r="F78" s="84"/>
      <c r="G78" s="85"/>
    </row>
    <row r="79" spans="1:8" s="15" customFormat="1" ht="15.75" customHeight="1">
      <c r="A79" s="18" t="s">
        <v>113</v>
      </c>
      <c r="B79" s="27">
        <v>3570</v>
      </c>
      <c r="C79" s="79">
        <f>C80</f>
        <v>0</v>
      </c>
      <c r="D79" s="31"/>
      <c r="E79" s="79">
        <f>E80</f>
        <v>371</v>
      </c>
      <c r="F79" s="82">
        <f t="shared" ref="F79" si="14">E79-D79</f>
        <v>371</v>
      </c>
      <c r="G79" s="83" t="e">
        <f t="shared" ref="G79" si="15">E79/D79*100</f>
        <v>#DIV/0!</v>
      </c>
    </row>
    <row r="80" spans="1:8" s="15" customFormat="1" ht="15.75" customHeight="1">
      <c r="A80" s="75" t="s">
        <v>553</v>
      </c>
      <c r="B80" s="27" t="s">
        <v>554</v>
      </c>
      <c r="C80" s="81"/>
      <c r="D80" s="31"/>
      <c r="E80" s="81">
        <v>371</v>
      </c>
      <c r="F80" s="82"/>
      <c r="G80" s="83"/>
    </row>
    <row r="81" spans="1:18" s="15" customFormat="1" ht="15.65" customHeight="1">
      <c r="A81" s="92" t="s">
        <v>475</v>
      </c>
      <c r="B81" s="27">
        <v>3580</v>
      </c>
      <c r="C81" s="31">
        <f>C53+C55+C56+C57+C59+C60+C61+C62+C64-C69-C70-C72-C73-C74-C76-C77-C78-C79</f>
        <v>575</v>
      </c>
      <c r="D81" s="31">
        <f>D53+D55+D56+D57+D59+D60+D61+D62+D64-D69-D70-D72-D73-D74-D76-D77-D78-D79</f>
        <v>5668</v>
      </c>
      <c r="E81" s="81">
        <f>$E$53+$E$55+$E$56+$E$57+$E$59+$E$60+$E$61+$E$62+$E$64-$E$69-$E$70-$E$72-$E$73-$E$74-$E$76-$E$77-$E$78-$E$79</f>
        <v>-485.6</v>
      </c>
      <c r="F81" s="82"/>
      <c r="G81" s="83"/>
    </row>
    <row r="82" spans="1:18" s="15" customFormat="1" ht="15.75" customHeight="1">
      <c r="A82" s="18" t="s">
        <v>476</v>
      </c>
      <c r="B82" s="27"/>
      <c r="C82" s="79"/>
      <c r="D82" s="31"/>
      <c r="E82" s="79"/>
      <c r="F82" s="82"/>
      <c r="G82" s="83"/>
    </row>
    <row r="83" spans="1:18" s="15" customFormat="1" ht="15.75" customHeight="1">
      <c r="A83" s="97" t="s">
        <v>34</v>
      </c>
      <c r="B83" s="27">
        <v>3600</v>
      </c>
      <c r="C83" s="79">
        <v>5915</v>
      </c>
      <c r="D83" s="31">
        <v>7588</v>
      </c>
      <c r="E83" s="81">
        <v>3582.3</v>
      </c>
      <c r="F83" s="82">
        <f t="shared" ref="F83" si="16">E83-D83</f>
        <v>-4005.7</v>
      </c>
      <c r="G83" s="83">
        <f t="shared" ref="G83" si="17">E83/D83*100</f>
        <v>47.210068529256723</v>
      </c>
      <c r="H83" s="15">
        <v>3582</v>
      </c>
    </row>
    <row r="84" spans="1:18" s="15" customFormat="1" ht="15.75" customHeight="1">
      <c r="A84" s="106" t="s">
        <v>286</v>
      </c>
      <c r="B84" s="27">
        <v>3610</v>
      </c>
      <c r="C84" s="79"/>
      <c r="D84" s="31"/>
      <c r="E84" s="79"/>
      <c r="F84" s="84"/>
      <c r="G84" s="85"/>
    </row>
    <row r="85" spans="1:18" s="15" customFormat="1" ht="15.75" customHeight="1">
      <c r="A85" s="97" t="s">
        <v>56</v>
      </c>
      <c r="B85" s="27">
        <v>3620</v>
      </c>
      <c r="C85" s="81">
        <f>C83+C30+C50+C81</f>
        <v>9871.7999999999993</v>
      </c>
      <c r="D85" s="81">
        <f>D83+D30+D50+D81</f>
        <v>8158</v>
      </c>
      <c r="E85" s="81">
        <f>E83+E30+E50+E81</f>
        <v>4415.8999999999996</v>
      </c>
      <c r="F85" s="82">
        <f t="shared" ref="F85:F86" si="18">E85-D85</f>
        <v>-3742.1000000000004</v>
      </c>
      <c r="G85" s="83">
        <f t="shared" ref="G85:G86" si="19">E85/D85*100</f>
        <v>54.129688649178718</v>
      </c>
      <c r="H85" s="15">
        <v>3984</v>
      </c>
      <c r="Q85" s="15">
        <v>4416</v>
      </c>
      <c r="R85" s="107">
        <f>Q85-E85</f>
        <v>0.1000000000003638</v>
      </c>
    </row>
    <row r="86" spans="1:18" ht="15.75" customHeight="1">
      <c r="A86" s="97" t="s">
        <v>35</v>
      </c>
      <c r="B86" s="27">
        <v>3630</v>
      </c>
      <c r="C86" s="81">
        <f>C85-C83</f>
        <v>3956.7999999999993</v>
      </c>
      <c r="D86" s="31">
        <v>569</v>
      </c>
      <c r="E86" s="81">
        <f>E85-E83</f>
        <v>833.59999999999945</v>
      </c>
      <c r="F86" s="82">
        <f t="shared" si="18"/>
        <v>264.59999999999945</v>
      </c>
      <c r="G86" s="83">
        <f t="shared" si="19"/>
        <v>146.50263620386633</v>
      </c>
      <c r="H86" s="81">
        <f>H85-H83</f>
        <v>402</v>
      </c>
      <c r="I86" s="107">
        <f>E85-H85</f>
        <v>431.89999999999964</v>
      </c>
      <c r="Q86" s="13">
        <v>834</v>
      </c>
      <c r="R86" s="108">
        <f>Q86-E86</f>
        <v>0.4000000000005457</v>
      </c>
    </row>
    <row r="87" spans="1:18" ht="15.75" customHeight="1">
      <c r="A87" s="51"/>
      <c r="B87" s="109"/>
      <c r="C87" s="53"/>
      <c r="D87" s="53"/>
      <c r="E87" s="110"/>
      <c r="F87" s="109"/>
      <c r="G87" s="109"/>
    </row>
    <row r="88" spans="1:18" ht="15.75" customHeight="1">
      <c r="A88" s="52"/>
      <c r="B88" s="53"/>
      <c r="C88" s="111"/>
      <c r="D88" s="112"/>
      <c r="E88" s="270"/>
      <c r="F88" s="271"/>
      <c r="G88" s="271"/>
    </row>
    <row r="89" spans="1:18" ht="30.5">
      <c r="A89" s="52" t="s">
        <v>516</v>
      </c>
      <c r="B89" s="53"/>
      <c r="C89" s="51"/>
      <c r="D89" s="51"/>
      <c r="E89" s="54"/>
      <c r="F89" s="55" t="s">
        <v>515</v>
      </c>
      <c r="G89" s="51"/>
    </row>
    <row r="90" spans="1:18">
      <c r="A90" s="56" t="s">
        <v>365</v>
      </c>
      <c r="B90" s="51"/>
      <c r="C90" s="232" t="s">
        <v>79</v>
      </c>
      <c r="D90" s="232"/>
      <c r="E90" s="51"/>
      <c r="F90" s="51" t="s">
        <v>103</v>
      </c>
      <c r="G90" s="51"/>
    </row>
    <row r="91" spans="1:18" ht="15.75" customHeight="1">
      <c r="A91" s="51"/>
      <c r="B91" s="51"/>
      <c r="C91" s="51"/>
      <c r="D91" s="51"/>
      <c r="E91" s="113"/>
      <c r="F91" s="51"/>
      <c r="G91" s="51"/>
    </row>
    <row r="92" spans="1:18" ht="15.65" customHeight="1">
      <c r="A92" s="231"/>
      <c r="B92" s="231"/>
      <c r="C92" s="231"/>
      <c r="D92" s="231"/>
      <c r="E92" s="231"/>
      <c r="F92" s="231"/>
      <c r="G92" s="231"/>
    </row>
    <row r="93" spans="1:18" ht="15.65" customHeight="1"/>
    <row r="95" spans="1:18" ht="15.75" customHeight="1"/>
    <row r="97" ht="15.65" customHeight="1"/>
    <row r="104" ht="15.75" customHeight="1"/>
    <row r="106" ht="15.65" customHeight="1"/>
    <row r="112" ht="15.75" customHeight="1"/>
    <row r="114" ht="15.65" customHeight="1"/>
  </sheetData>
  <sheetProtection formatCells="0" formatColumns="0" formatRows="0" insertRows="0" deleteRows="0"/>
  <mergeCells count="11">
    <mergeCell ref="A8:G8"/>
    <mergeCell ref="A3:G3"/>
    <mergeCell ref="A5:A6"/>
    <mergeCell ref="B5:B6"/>
    <mergeCell ref="D5:G5"/>
    <mergeCell ref="C5:C6"/>
    <mergeCell ref="A92:G92"/>
    <mergeCell ref="C90:D90"/>
    <mergeCell ref="A31:G31"/>
    <mergeCell ref="A51:G51"/>
    <mergeCell ref="E88:G88"/>
  </mergeCells>
  <phoneticPr fontId="3" type="noConversion"/>
  <pageMargins left="1.1811023622047243" right="0.39370078740157483" top="0.78740157480314965" bottom="0.78740157480314965" header="0" footer="0"/>
  <pageSetup paperSize="9" scale="64" fitToHeight="3" orientation="portrait" r:id="rId1"/>
  <headerFooter alignWithMargins="0"/>
  <rowBreaks count="1" manualBreakCount="1"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FFFF99"/>
  </sheetPr>
  <dimension ref="A1:N182"/>
  <sheetViews>
    <sheetView view="pageBreakPreview" zoomScale="80" zoomScaleNormal="75" zoomScaleSheetLayoutView="80" workbookViewId="0">
      <selection activeCell="C14" sqref="C14"/>
    </sheetView>
  </sheetViews>
  <sheetFormatPr defaultColWidth="9.1796875" defaultRowHeight="15.5"/>
  <cols>
    <col min="1" max="1" width="67.7265625" style="13" customWidth="1"/>
    <col min="2" max="2" width="9.81640625" style="14" customWidth="1"/>
    <col min="3" max="3" width="20.453125" style="14" customWidth="1"/>
    <col min="4" max="4" width="17.7265625" style="14" customWidth="1"/>
    <col min="5" max="5" width="18.453125" style="14" customWidth="1"/>
    <col min="6" max="6" width="18.81640625" style="14" customWidth="1"/>
    <col min="7" max="7" width="18.54296875" style="14" customWidth="1"/>
    <col min="8" max="8" width="9.54296875" style="13" customWidth="1"/>
    <col min="9" max="9" width="9.81640625" style="13" customWidth="1"/>
    <col min="10" max="16384" width="9.1796875" style="13"/>
  </cols>
  <sheetData>
    <row r="1" spans="1:14">
      <c r="A1" s="252" t="s">
        <v>357</v>
      </c>
      <c r="B1" s="252"/>
      <c r="C1" s="252"/>
      <c r="D1" s="252"/>
      <c r="E1" s="252"/>
      <c r="F1" s="252"/>
      <c r="G1" s="252"/>
    </row>
    <row r="2" spans="1:14">
      <c r="A2" s="276"/>
      <c r="B2" s="276"/>
      <c r="C2" s="276"/>
      <c r="D2" s="276"/>
      <c r="E2" s="276"/>
      <c r="F2" s="276"/>
      <c r="G2" s="276"/>
    </row>
    <row r="3" spans="1:14" ht="43.5" customHeight="1">
      <c r="A3" s="274" t="s">
        <v>283</v>
      </c>
      <c r="B3" s="247" t="s">
        <v>18</v>
      </c>
      <c r="C3" s="247" t="s">
        <v>344</v>
      </c>
      <c r="D3" s="273" t="s">
        <v>342</v>
      </c>
      <c r="E3" s="277"/>
      <c r="F3" s="277"/>
      <c r="G3" s="278"/>
    </row>
    <row r="4" spans="1:14" ht="56.25" customHeight="1">
      <c r="A4" s="275"/>
      <c r="B4" s="248"/>
      <c r="C4" s="248"/>
      <c r="D4" s="17" t="s">
        <v>261</v>
      </c>
      <c r="E4" s="17" t="s">
        <v>244</v>
      </c>
      <c r="F4" s="59" t="s">
        <v>271</v>
      </c>
      <c r="G4" s="59" t="s">
        <v>272</v>
      </c>
    </row>
    <row r="5" spans="1:14" ht="18" customHeight="1">
      <c r="A5" s="27">
        <v>1</v>
      </c>
      <c r="B5" s="17">
        <v>2</v>
      </c>
      <c r="C5" s="27">
        <v>3</v>
      </c>
      <c r="D5" s="27">
        <v>4</v>
      </c>
      <c r="E5" s="17">
        <v>5</v>
      </c>
      <c r="F5" s="27">
        <v>6</v>
      </c>
      <c r="G5" s="17">
        <v>7</v>
      </c>
    </row>
    <row r="6" spans="1:14" s="15" customFormat="1" ht="42.75" customHeight="1">
      <c r="A6" s="18" t="s">
        <v>82</v>
      </c>
      <c r="B6" s="60">
        <v>4000</v>
      </c>
      <c r="C6" s="31">
        <f>C8</f>
        <v>1111</v>
      </c>
      <c r="D6" s="61">
        <v>7812</v>
      </c>
      <c r="E6" s="62">
        <f>SUM(E7:E11)</f>
        <v>771.6</v>
      </c>
      <c r="F6" s="62">
        <f>E6-D6</f>
        <v>-7040.4</v>
      </c>
      <c r="G6" s="63">
        <f>E6/D6*100</f>
        <v>9.8771121351766524</v>
      </c>
    </row>
    <row r="7" spans="1:14" ht="20.149999999999999" customHeight="1">
      <c r="A7" s="18" t="s">
        <v>1</v>
      </c>
      <c r="B7" s="27" t="s">
        <v>220</v>
      </c>
      <c r="C7" s="62">
        <v>0</v>
      </c>
      <c r="D7" s="64"/>
      <c r="E7" s="31"/>
      <c r="F7" s="31"/>
      <c r="G7" s="65"/>
    </row>
    <row r="8" spans="1:14" ht="18">
      <c r="A8" s="18" t="s">
        <v>2</v>
      </c>
      <c r="B8" s="60">
        <v>4020</v>
      </c>
      <c r="C8" s="31">
        <v>1111</v>
      </c>
      <c r="D8" s="64">
        <v>7812</v>
      </c>
      <c r="E8" s="62">
        <f>'6.2. Інша інфо_2'!L29+'6.2. Інша інфо_2'!L35</f>
        <v>723.4</v>
      </c>
      <c r="F8" s="62"/>
      <c r="G8" s="63"/>
      <c r="N8" s="33"/>
    </row>
    <row r="9" spans="1:14">
      <c r="A9" s="18" t="s">
        <v>30</v>
      </c>
      <c r="B9" s="27">
        <v>4030</v>
      </c>
      <c r="C9" s="62"/>
      <c r="D9" s="31"/>
      <c r="E9" s="31">
        <f>'6.2. Інша інфо_2'!L40-'4. Кап. інвестиції'!E8</f>
        <v>48.200000000000045</v>
      </c>
      <c r="F9" s="31"/>
      <c r="G9" s="65"/>
      <c r="M9" s="33"/>
    </row>
    <row r="10" spans="1:14">
      <c r="A10" s="18" t="s">
        <v>3</v>
      </c>
      <c r="B10" s="60">
        <v>4040</v>
      </c>
      <c r="C10" s="31"/>
      <c r="D10" s="62"/>
      <c r="E10" s="62"/>
      <c r="F10" s="62"/>
      <c r="G10" s="63"/>
    </row>
    <row r="11" spans="1:14" ht="31">
      <c r="A11" s="18" t="s">
        <v>71</v>
      </c>
      <c r="B11" s="27">
        <v>4050</v>
      </c>
      <c r="C11" s="62"/>
      <c r="D11" s="31"/>
      <c r="E11" s="31"/>
      <c r="F11" s="31"/>
      <c r="G11" s="65"/>
    </row>
    <row r="12" spans="1:14" ht="20.149999999999999" customHeight="1">
      <c r="B12" s="13"/>
      <c r="C12" s="31"/>
      <c r="D12" s="13"/>
      <c r="E12" s="13"/>
      <c r="F12" s="13"/>
      <c r="G12" s="13"/>
    </row>
    <row r="13" spans="1:14" ht="20.149999999999999" customHeight="1">
      <c r="A13" s="51"/>
      <c r="B13" s="51"/>
      <c r="C13" s="51"/>
      <c r="D13" s="51"/>
      <c r="E13" s="51"/>
      <c r="F13" s="51"/>
      <c r="G13" s="51"/>
    </row>
    <row r="14" spans="1:14">
      <c r="A14" s="66"/>
      <c r="B14" s="51"/>
      <c r="C14" s="51"/>
      <c r="D14" s="51"/>
      <c r="E14" s="51"/>
      <c r="F14" s="51"/>
      <c r="G14" s="51"/>
    </row>
    <row r="15" spans="1:14" ht="30.5">
      <c r="A15" s="52" t="s">
        <v>516</v>
      </c>
      <c r="B15" s="53"/>
      <c r="C15" s="51"/>
      <c r="D15" s="51"/>
      <c r="E15" s="54"/>
      <c r="F15" s="55" t="s">
        <v>515</v>
      </c>
      <c r="G15" s="51"/>
    </row>
    <row r="16" spans="1:14">
      <c r="A16" s="56" t="s">
        <v>365</v>
      </c>
      <c r="B16" s="51"/>
      <c r="C16" s="232" t="s">
        <v>79</v>
      </c>
      <c r="D16" s="232"/>
      <c r="E16" s="51"/>
      <c r="F16" s="51" t="s">
        <v>103</v>
      </c>
      <c r="G16" s="51"/>
    </row>
    <row r="17" spans="1:8">
      <c r="A17" s="54"/>
      <c r="B17" s="66"/>
      <c r="C17" s="66"/>
      <c r="D17" s="66"/>
      <c r="E17" s="66"/>
      <c r="F17" s="66"/>
      <c r="G17" s="66"/>
    </row>
    <row r="18" spans="1:8">
      <c r="A18" s="54"/>
      <c r="B18" s="66"/>
      <c r="C18" s="66"/>
      <c r="D18" s="66"/>
      <c r="E18" s="66"/>
      <c r="F18" s="66"/>
      <c r="G18" s="66"/>
    </row>
    <row r="19" spans="1:8">
      <c r="A19" s="231"/>
      <c r="B19" s="231"/>
      <c r="C19" s="231"/>
      <c r="D19" s="231"/>
      <c r="E19" s="231"/>
      <c r="F19" s="231"/>
      <c r="G19" s="231"/>
      <c r="H19" s="231"/>
    </row>
    <row r="20" spans="1:8">
      <c r="A20" s="67"/>
    </row>
    <row r="21" spans="1:8">
      <c r="A21" s="67"/>
    </row>
    <row r="22" spans="1:8">
      <c r="A22" s="67"/>
    </row>
    <row r="23" spans="1:8">
      <c r="A23" s="67"/>
    </row>
    <row r="24" spans="1:8">
      <c r="A24" s="67"/>
    </row>
    <row r="25" spans="1:8">
      <c r="A25" s="67"/>
    </row>
    <row r="26" spans="1:8">
      <c r="A26" s="67"/>
    </row>
    <row r="27" spans="1:8">
      <c r="A27" s="67"/>
    </row>
    <row r="28" spans="1:8">
      <c r="A28" s="67"/>
    </row>
    <row r="29" spans="1:8">
      <c r="A29" s="67"/>
    </row>
    <row r="30" spans="1:8">
      <c r="A30" s="67"/>
    </row>
    <row r="31" spans="1:8">
      <c r="A31" s="67"/>
    </row>
    <row r="32" spans="1:8">
      <c r="A32" s="67"/>
    </row>
    <row r="33" spans="1:1">
      <c r="A33" s="67"/>
    </row>
    <row r="34" spans="1:1">
      <c r="A34" s="67"/>
    </row>
    <row r="35" spans="1:1">
      <c r="A35" s="67"/>
    </row>
    <row r="36" spans="1:1">
      <c r="A36" s="67"/>
    </row>
    <row r="37" spans="1:1">
      <c r="A37" s="67"/>
    </row>
    <row r="38" spans="1:1">
      <c r="A38" s="67"/>
    </row>
    <row r="39" spans="1:1">
      <c r="A39" s="67"/>
    </row>
    <row r="40" spans="1:1">
      <c r="A40" s="67"/>
    </row>
    <row r="41" spans="1:1">
      <c r="A41" s="67"/>
    </row>
    <row r="42" spans="1:1">
      <c r="A42" s="67"/>
    </row>
    <row r="43" spans="1:1">
      <c r="A43" s="67"/>
    </row>
    <row r="44" spans="1:1">
      <c r="A44" s="67"/>
    </row>
    <row r="45" spans="1:1">
      <c r="A45" s="67"/>
    </row>
    <row r="46" spans="1:1">
      <c r="A46" s="67"/>
    </row>
    <row r="47" spans="1:1">
      <c r="A47" s="67"/>
    </row>
    <row r="48" spans="1:1">
      <c r="A48" s="67"/>
    </row>
    <row r="49" spans="1:1">
      <c r="A49" s="67"/>
    </row>
    <row r="50" spans="1:1">
      <c r="A50" s="67"/>
    </row>
    <row r="51" spans="1:1">
      <c r="A51" s="67"/>
    </row>
    <row r="52" spans="1:1">
      <c r="A52" s="67"/>
    </row>
    <row r="53" spans="1:1">
      <c r="A53" s="67"/>
    </row>
    <row r="54" spans="1:1">
      <c r="A54" s="67"/>
    </row>
    <row r="55" spans="1:1">
      <c r="A55" s="67"/>
    </row>
    <row r="56" spans="1:1">
      <c r="A56" s="67"/>
    </row>
    <row r="57" spans="1:1">
      <c r="A57" s="67"/>
    </row>
    <row r="58" spans="1:1">
      <c r="A58" s="67"/>
    </row>
    <row r="59" spans="1:1">
      <c r="A59" s="67"/>
    </row>
    <row r="60" spans="1:1">
      <c r="A60" s="67"/>
    </row>
    <row r="61" spans="1:1">
      <c r="A61" s="67"/>
    </row>
    <row r="62" spans="1:1">
      <c r="A62" s="67"/>
    </row>
    <row r="63" spans="1:1">
      <c r="A63" s="67"/>
    </row>
    <row r="64" spans="1:1">
      <c r="A64" s="67"/>
    </row>
    <row r="65" spans="1:1">
      <c r="A65" s="67"/>
    </row>
    <row r="66" spans="1:1">
      <c r="A66" s="67"/>
    </row>
    <row r="67" spans="1:1">
      <c r="A67" s="67"/>
    </row>
    <row r="68" spans="1:1">
      <c r="A68" s="67"/>
    </row>
    <row r="69" spans="1:1">
      <c r="A69" s="67"/>
    </row>
    <row r="70" spans="1:1">
      <c r="A70" s="67"/>
    </row>
    <row r="71" spans="1:1">
      <c r="A71" s="67"/>
    </row>
    <row r="72" spans="1:1">
      <c r="A72" s="67"/>
    </row>
    <row r="73" spans="1:1">
      <c r="A73" s="67"/>
    </row>
    <row r="74" spans="1:1">
      <c r="A74" s="67"/>
    </row>
    <row r="75" spans="1:1">
      <c r="A75" s="67"/>
    </row>
    <row r="76" spans="1:1">
      <c r="A76" s="67"/>
    </row>
    <row r="77" spans="1:1">
      <c r="A77" s="67"/>
    </row>
    <row r="78" spans="1:1">
      <c r="A78" s="67"/>
    </row>
    <row r="79" spans="1:1">
      <c r="A79" s="67"/>
    </row>
    <row r="80" spans="1:1">
      <c r="A80" s="67"/>
    </row>
    <row r="81" spans="1:1">
      <c r="A81" s="67"/>
    </row>
    <row r="82" spans="1:1">
      <c r="A82" s="67"/>
    </row>
    <row r="83" spans="1:1">
      <c r="A83" s="67"/>
    </row>
    <row r="84" spans="1:1">
      <c r="A84" s="67"/>
    </row>
    <row r="85" spans="1:1">
      <c r="A85" s="67"/>
    </row>
    <row r="86" spans="1:1">
      <c r="A86" s="67"/>
    </row>
    <row r="87" spans="1:1">
      <c r="A87" s="67"/>
    </row>
    <row r="88" spans="1:1">
      <c r="A88" s="67"/>
    </row>
    <row r="89" spans="1:1">
      <c r="A89" s="67"/>
    </row>
    <row r="90" spans="1:1">
      <c r="A90" s="67"/>
    </row>
    <row r="91" spans="1:1">
      <c r="A91" s="67"/>
    </row>
    <row r="92" spans="1:1">
      <c r="A92" s="67"/>
    </row>
    <row r="93" spans="1:1">
      <c r="A93" s="67"/>
    </row>
    <row r="94" spans="1:1">
      <c r="A94" s="67"/>
    </row>
    <row r="95" spans="1:1">
      <c r="A95" s="67"/>
    </row>
    <row r="96" spans="1:1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  <row r="109" spans="1:1">
      <c r="A109" s="67"/>
    </row>
    <row r="110" spans="1:1">
      <c r="A110" s="67"/>
    </row>
    <row r="111" spans="1:1">
      <c r="A111" s="67"/>
    </row>
    <row r="112" spans="1:1">
      <c r="A112" s="67"/>
    </row>
    <row r="113" spans="1:1">
      <c r="A113" s="67"/>
    </row>
    <row r="114" spans="1:1">
      <c r="A114" s="67"/>
    </row>
    <row r="115" spans="1:1">
      <c r="A115" s="67"/>
    </row>
    <row r="116" spans="1:1">
      <c r="A116" s="67"/>
    </row>
    <row r="117" spans="1:1">
      <c r="A117" s="67"/>
    </row>
    <row r="118" spans="1:1">
      <c r="A118" s="67"/>
    </row>
    <row r="119" spans="1:1">
      <c r="A119" s="67"/>
    </row>
    <row r="120" spans="1:1">
      <c r="A120" s="67"/>
    </row>
    <row r="121" spans="1:1">
      <c r="A121" s="67"/>
    </row>
    <row r="122" spans="1:1">
      <c r="A122" s="67"/>
    </row>
    <row r="123" spans="1:1">
      <c r="A123" s="67"/>
    </row>
    <row r="124" spans="1:1">
      <c r="A124" s="67"/>
    </row>
    <row r="125" spans="1:1">
      <c r="A125" s="67"/>
    </row>
    <row r="126" spans="1:1">
      <c r="A126" s="67"/>
    </row>
    <row r="127" spans="1:1">
      <c r="A127" s="67"/>
    </row>
    <row r="128" spans="1:1">
      <c r="A128" s="67"/>
    </row>
    <row r="129" spans="1:1">
      <c r="A129" s="67"/>
    </row>
    <row r="130" spans="1:1">
      <c r="A130" s="67"/>
    </row>
    <row r="131" spans="1:1">
      <c r="A131" s="67"/>
    </row>
    <row r="132" spans="1:1">
      <c r="A132" s="67"/>
    </row>
    <row r="133" spans="1:1">
      <c r="A133" s="67"/>
    </row>
    <row r="134" spans="1:1">
      <c r="A134" s="67"/>
    </row>
    <row r="135" spans="1:1">
      <c r="A135" s="67"/>
    </row>
    <row r="136" spans="1:1">
      <c r="A136" s="67"/>
    </row>
    <row r="137" spans="1:1">
      <c r="A137" s="67"/>
    </row>
    <row r="138" spans="1:1">
      <c r="A138" s="67"/>
    </row>
    <row r="139" spans="1:1">
      <c r="A139" s="67"/>
    </row>
    <row r="140" spans="1:1">
      <c r="A140" s="67"/>
    </row>
    <row r="141" spans="1:1">
      <c r="A141" s="67"/>
    </row>
    <row r="142" spans="1:1">
      <c r="A142" s="67"/>
    </row>
    <row r="143" spans="1:1">
      <c r="A143" s="67"/>
    </row>
    <row r="144" spans="1:1">
      <c r="A144" s="67"/>
    </row>
    <row r="145" spans="1:1">
      <c r="A145" s="67"/>
    </row>
    <row r="146" spans="1:1">
      <c r="A146" s="67"/>
    </row>
    <row r="147" spans="1:1">
      <c r="A147" s="67"/>
    </row>
    <row r="148" spans="1:1">
      <c r="A148" s="67"/>
    </row>
    <row r="149" spans="1:1">
      <c r="A149" s="67"/>
    </row>
    <row r="150" spans="1:1">
      <c r="A150" s="67"/>
    </row>
    <row r="151" spans="1:1">
      <c r="A151" s="67"/>
    </row>
    <row r="152" spans="1:1">
      <c r="A152" s="67"/>
    </row>
    <row r="153" spans="1:1">
      <c r="A153" s="67"/>
    </row>
    <row r="154" spans="1:1">
      <c r="A154" s="67"/>
    </row>
    <row r="155" spans="1:1">
      <c r="A155" s="67"/>
    </row>
    <row r="156" spans="1:1">
      <c r="A156" s="67"/>
    </row>
    <row r="157" spans="1:1">
      <c r="A157" s="67"/>
    </row>
    <row r="158" spans="1:1">
      <c r="A158" s="67"/>
    </row>
    <row r="159" spans="1:1">
      <c r="A159" s="67"/>
    </row>
    <row r="160" spans="1:1">
      <c r="A160" s="67"/>
    </row>
    <row r="161" spans="1:1">
      <c r="A161" s="67"/>
    </row>
    <row r="162" spans="1:1">
      <c r="A162" s="67"/>
    </row>
    <row r="163" spans="1:1">
      <c r="A163" s="67"/>
    </row>
    <row r="164" spans="1:1">
      <c r="A164" s="67"/>
    </row>
    <row r="165" spans="1:1">
      <c r="A165" s="67"/>
    </row>
    <row r="166" spans="1:1">
      <c r="A166" s="67"/>
    </row>
    <row r="167" spans="1:1">
      <c r="A167" s="67"/>
    </row>
    <row r="168" spans="1:1">
      <c r="A168" s="67"/>
    </row>
    <row r="169" spans="1:1">
      <c r="A169" s="67"/>
    </row>
    <row r="170" spans="1:1">
      <c r="A170" s="67"/>
    </row>
    <row r="171" spans="1:1">
      <c r="A171" s="67"/>
    </row>
    <row r="172" spans="1:1">
      <c r="A172" s="67"/>
    </row>
    <row r="173" spans="1:1">
      <c r="A173" s="67"/>
    </row>
    <row r="174" spans="1:1">
      <c r="A174" s="67"/>
    </row>
    <row r="175" spans="1:1">
      <c r="A175" s="67"/>
    </row>
    <row r="176" spans="1:1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</sheetData>
  <sheetProtection formatCells="0" formatColumns="0" formatRows="0" insertRows="0" deleteRows="0"/>
  <mergeCells count="8">
    <mergeCell ref="A19:H19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1.1811023622047243" right="0.39370078740157483" top="0.78740157480314965" bottom="0.78740157480314965" header="0" footer="0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43"/>
    <pageSetUpPr fitToPage="1"/>
  </sheetPr>
  <dimension ref="A1:I28"/>
  <sheetViews>
    <sheetView view="pageBreakPreview" topLeftCell="A19" zoomScale="75" zoomScaleNormal="75" zoomScaleSheetLayoutView="70" workbookViewId="0">
      <selection sqref="A1:XFD1048576"/>
    </sheetView>
  </sheetViews>
  <sheetFormatPr defaultColWidth="9.1796875" defaultRowHeight="15.5"/>
  <cols>
    <col min="1" max="1" width="66" style="13" customWidth="1"/>
    <col min="2" max="2" width="16.54296875" style="13" customWidth="1"/>
    <col min="3" max="3" width="19.7265625" style="13" customWidth="1"/>
    <col min="4" max="4" width="20" style="13" customWidth="1"/>
    <col min="5" max="5" width="19.7265625" style="13" customWidth="1"/>
    <col min="6" max="6" width="39" style="13" customWidth="1"/>
    <col min="7" max="7" width="9.54296875" style="13" customWidth="1"/>
    <col min="8" max="8" width="9.1796875" style="13"/>
    <col min="9" max="9" width="27.1796875" style="13" customWidth="1"/>
    <col min="10" max="16384" width="9.1796875" style="13"/>
  </cols>
  <sheetData>
    <row r="1" spans="1:6">
      <c r="A1" s="282" t="s">
        <v>358</v>
      </c>
      <c r="B1" s="282"/>
      <c r="C1" s="282"/>
      <c r="D1" s="282"/>
      <c r="E1" s="282"/>
      <c r="F1" s="282"/>
    </row>
    <row r="3" spans="1:6">
      <c r="A3" s="283" t="s">
        <v>283</v>
      </c>
      <c r="B3" s="283" t="s">
        <v>0</v>
      </c>
      <c r="C3" s="283" t="s">
        <v>101</v>
      </c>
      <c r="D3" s="239" t="s">
        <v>344</v>
      </c>
      <c r="E3" s="285" t="s">
        <v>342</v>
      </c>
      <c r="F3" s="283" t="s">
        <v>316</v>
      </c>
    </row>
    <row r="4" spans="1:6" ht="34" customHeight="1">
      <c r="A4" s="284"/>
      <c r="B4" s="284"/>
      <c r="C4" s="284"/>
      <c r="D4" s="239"/>
      <c r="E4" s="286"/>
      <c r="F4" s="284"/>
    </row>
    <row r="5" spans="1:6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</row>
    <row r="6" spans="1:6">
      <c r="A6" s="279" t="s">
        <v>187</v>
      </c>
      <c r="B6" s="280"/>
      <c r="C6" s="280"/>
      <c r="D6" s="280"/>
      <c r="E6" s="280"/>
      <c r="F6" s="281"/>
    </row>
    <row r="7" spans="1:6" ht="46.5">
      <c r="A7" s="18" t="s">
        <v>338</v>
      </c>
      <c r="B7" s="17">
        <v>5000</v>
      </c>
      <c r="C7" s="44" t="s">
        <v>329</v>
      </c>
      <c r="D7" s="45">
        <f>'фінплан - зведені показники'!C33/'фінплан - зведені показники'!C31</f>
        <v>-5.4975335941486646E-2</v>
      </c>
      <c r="E7" s="45">
        <f>'фінплан - зведені показники'!E33/'фінплан - зведені показники'!E31</f>
        <v>-0.57329901070058553</v>
      </c>
      <c r="F7" s="46"/>
    </row>
    <row r="8" spans="1:6" ht="46.5">
      <c r="A8" s="18" t="s">
        <v>339</v>
      </c>
      <c r="B8" s="17">
        <v>5010</v>
      </c>
      <c r="C8" s="44" t="s">
        <v>329</v>
      </c>
      <c r="D8" s="45">
        <f>'фінплан - зведені показники'!C38/'фінплан - зведені показники'!C31</f>
        <v>1.9425072291205988E-2</v>
      </c>
      <c r="E8" s="45">
        <f>'фінплан - зведені показники'!E38/'фінплан - зведені показники'!E31</f>
        <v>0.13691701998788608</v>
      </c>
      <c r="F8" s="47"/>
    </row>
    <row r="9" spans="1:6" ht="46.5">
      <c r="A9" s="47" t="s">
        <v>366</v>
      </c>
      <c r="B9" s="17">
        <v>5020</v>
      </c>
      <c r="C9" s="44" t="s">
        <v>329</v>
      </c>
      <c r="D9" s="48">
        <f>'фінплан - зведені показники'!C44/'фінплан - зведені показники'!C73</f>
        <v>1.1457947387921451E-2</v>
      </c>
      <c r="E9" s="48">
        <f>'фінплан - зведені показники'!E44/'фінплан - зведені показники'!E70</f>
        <v>3.6461314183899328E-2</v>
      </c>
      <c r="F9" s="47" t="s">
        <v>330</v>
      </c>
    </row>
    <row r="10" spans="1:6" ht="46.5">
      <c r="A10" s="47" t="s">
        <v>570</v>
      </c>
      <c r="B10" s="17">
        <v>5030</v>
      </c>
      <c r="C10" s="44" t="s">
        <v>329</v>
      </c>
      <c r="D10" s="48">
        <f>'фінплан - зведені показники'!C44/'фінплан - зведені показники'!C76</f>
        <v>1.1654418692293196E-2</v>
      </c>
      <c r="E10" s="48">
        <f>'фінплан - зведені показники'!E44/'фінплан - зведені показники'!E76</f>
        <v>6.4246979354961417E-2</v>
      </c>
      <c r="F10" s="47"/>
    </row>
    <row r="11" spans="1:6" ht="46.5">
      <c r="A11" s="47" t="s">
        <v>571</v>
      </c>
      <c r="B11" s="17">
        <v>5040</v>
      </c>
      <c r="C11" s="44" t="s">
        <v>102</v>
      </c>
      <c r="D11" s="48">
        <v>0.1</v>
      </c>
      <c r="E11" s="48">
        <f>'фінплан - зведені показники'!E44/'фінплан - зведені показники'!E31</f>
        <v>6.8170805572380325E-2</v>
      </c>
      <c r="F11" s="47" t="s">
        <v>331</v>
      </c>
    </row>
    <row r="12" spans="1:6">
      <c r="A12" s="279"/>
      <c r="B12" s="280"/>
      <c r="C12" s="280"/>
      <c r="D12" s="280"/>
      <c r="E12" s="280"/>
      <c r="F12" s="281"/>
    </row>
    <row r="13" spans="1:6" ht="46.5">
      <c r="A13" s="47" t="s">
        <v>325</v>
      </c>
      <c r="B13" s="17">
        <v>5100</v>
      </c>
      <c r="C13" s="44"/>
      <c r="D13" s="48">
        <f>('фінплан - зведені показники'!C71+'фінплан - зведені показники'!C72)/'фінплан - зведені показники'!C38</f>
        <v>37.814360770577935</v>
      </c>
      <c r="E13" s="48">
        <f>'фінплан - зведені показники'!E73/'фінплан - зведені показники'!E38</f>
        <v>5.9057730590577329</v>
      </c>
      <c r="F13" s="47"/>
    </row>
    <row r="14" spans="1:6" ht="62">
      <c r="A14" s="47" t="s">
        <v>321</v>
      </c>
      <c r="B14" s="17">
        <v>5110</v>
      </c>
      <c r="C14" s="44" t="s">
        <v>174</v>
      </c>
      <c r="D14" s="48">
        <f>'фінплан - зведені показники'!C76/('фінплан - зведені показники'!C71+'фінплан - зведені показники'!C72)</f>
        <v>0.98314190440904037</v>
      </c>
      <c r="E14" s="48">
        <f>'фінплан - зведені показники'!E76/'фінплан - зведені показники'!E73</f>
        <v>1.312234706616729</v>
      </c>
      <c r="F14" s="47" t="s">
        <v>332</v>
      </c>
    </row>
    <row r="15" spans="1:6" ht="93">
      <c r="A15" s="47" t="s">
        <v>322</v>
      </c>
      <c r="B15" s="17">
        <v>5120</v>
      </c>
      <c r="C15" s="44" t="s">
        <v>174</v>
      </c>
      <c r="D15" s="48">
        <f>'фінплан - зведені показники'!C68/'фінплан - зведені показники'!C72</f>
        <v>4.3591491682574315</v>
      </c>
      <c r="E15" s="48">
        <f>'фінплан - зведені показники'!E68/'фінплан - зведені показники'!E72</f>
        <v>3.2936296296296295</v>
      </c>
      <c r="F15" s="47" t="s">
        <v>334</v>
      </c>
    </row>
    <row r="16" spans="1:6">
      <c r="A16" s="279" t="s">
        <v>188</v>
      </c>
      <c r="B16" s="280"/>
      <c r="C16" s="280"/>
      <c r="D16" s="280"/>
      <c r="E16" s="280"/>
      <c r="F16" s="281"/>
    </row>
    <row r="17" spans="1:9" ht="31">
      <c r="A17" s="47" t="s">
        <v>323</v>
      </c>
      <c r="B17" s="17">
        <v>5200</v>
      </c>
      <c r="C17" s="44"/>
      <c r="D17" s="49">
        <f>'фінплан - зведені показники'!C61/'1. Фін результат'!C142</f>
        <v>2.1531007751937983</v>
      </c>
      <c r="E17" s="49">
        <f>'4. Кап. інвестиції'!E6/'1. Фін результат'!E142</f>
        <v>1.1330396475770925</v>
      </c>
      <c r="F17" s="47"/>
    </row>
    <row r="18" spans="1:9" ht="46.5">
      <c r="A18" s="47" t="s">
        <v>349</v>
      </c>
      <c r="B18" s="17">
        <v>5210</v>
      </c>
      <c r="C18" s="44"/>
      <c r="D18" s="49">
        <f>'фінплан - зведені показники'!C61/'фінплан - зведені показники'!C31</f>
        <v>7.5591086919544137E-2</v>
      </c>
      <c r="E18" s="49">
        <f>'4. Кап. інвестиції'!E6/'1. Фін результат'!E9</f>
        <v>7.7892186553603873E-2</v>
      </c>
      <c r="F18" s="47"/>
    </row>
    <row r="19" spans="1:9" ht="46.5">
      <c r="A19" s="47" t="s">
        <v>340</v>
      </c>
      <c r="B19" s="17">
        <v>5220</v>
      </c>
      <c r="C19" s="44" t="s">
        <v>329</v>
      </c>
      <c r="D19" s="48">
        <f>'3. Рух грошових коштів'!C11/'3. Рух грошових коштів'!C42</f>
        <v>0.46030330062444247</v>
      </c>
      <c r="E19" s="48">
        <f>3690.7/11095.8</f>
        <v>0.33262135222336381</v>
      </c>
      <c r="F19" s="47" t="s">
        <v>333</v>
      </c>
    </row>
    <row r="20" spans="1:9">
      <c r="A20" s="279" t="s">
        <v>324</v>
      </c>
      <c r="B20" s="280"/>
      <c r="C20" s="280"/>
      <c r="D20" s="280"/>
      <c r="E20" s="280"/>
      <c r="F20" s="281"/>
    </row>
    <row r="21" spans="1:9" ht="62">
      <c r="A21" s="47" t="s">
        <v>341</v>
      </c>
      <c r="B21" s="17">
        <v>5300</v>
      </c>
      <c r="C21" s="44"/>
      <c r="D21" s="48"/>
      <c r="E21" s="48"/>
      <c r="F21" s="50"/>
    </row>
    <row r="22" spans="1:9">
      <c r="A22" s="51"/>
      <c r="B22" s="51"/>
      <c r="C22" s="51"/>
      <c r="D22" s="51"/>
      <c r="E22" s="51"/>
      <c r="F22" s="51"/>
    </row>
    <row r="23" spans="1:9" ht="30.5">
      <c r="A23" s="52" t="s">
        <v>516</v>
      </c>
      <c r="B23" s="53"/>
      <c r="C23" s="51"/>
      <c r="D23" s="51"/>
      <c r="E23" s="54"/>
      <c r="F23" s="55" t="s">
        <v>515</v>
      </c>
      <c r="G23" s="51"/>
    </row>
    <row r="24" spans="1:9">
      <c r="A24" s="56" t="s">
        <v>365</v>
      </c>
      <c r="B24" s="51"/>
      <c r="C24" s="232" t="s">
        <v>79</v>
      </c>
      <c r="D24" s="232"/>
      <c r="E24" s="51"/>
      <c r="F24" s="51" t="s">
        <v>103</v>
      </c>
      <c r="G24" s="51"/>
    </row>
    <row r="25" spans="1:9">
      <c r="A25" s="51"/>
      <c r="B25" s="51"/>
      <c r="C25" s="51"/>
      <c r="D25" s="51"/>
      <c r="E25" s="51"/>
      <c r="F25" s="51"/>
    </row>
    <row r="26" spans="1:9">
      <c r="A26" s="51"/>
      <c r="B26" s="51"/>
      <c r="C26" s="51"/>
      <c r="D26" s="51"/>
      <c r="E26" s="51"/>
      <c r="F26" s="51"/>
      <c r="I26" s="57"/>
    </row>
    <row r="27" spans="1:9">
      <c r="A27" s="231"/>
      <c r="B27" s="231"/>
      <c r="C27" s="231"/>
      <c r="D27" s="231"/>
      <c r="E27" s="231"/>
      <c r="F27" s="231"/>
      <c r="G27" s="231"/>
      <c r="H27" s="231"/>
    </row>
    <row r="28" spans="1:9">
      <c r="A28" s="58"/>
      <c r="C28" s="287"/>
      <c r="D28" s="287"/>
      <c r="F28" s="14"/>
    </row>
  </sheetData>
  <sheetProtection formatCells="0"/>
  <mergeCells count="14">
    <mergeCell ref="C28:D28"/>
    <mergeCell ref="A16:F16"/>
    <mergeCell ref="A20:F20"/>
    <mergeCell ref="A27:H27"/>
    <mergeCell ref="C24:D24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1.1811023622047245" right="0.39370078740157483" top="0.78740157480314965" bottom="0.78740157480314965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indexed="43"/>
  </sheetPr>
  <dimension ref="A1:Q94"/>
  <sheetViews>
    <sheetView view="pageBreakPreview" zoomScale="70" zoomScaleNormal="75" zoomScaleSheetLayoutView="70" workbookViewId="0">
      <selection activeCell="B10" sqref="B10:D10"/>
    </sheetView>
  </sheetViews>
  <sheetFormatPr defaultColWidth="9.1796875" defaultRowHeight="15.5" outlineLevelRow="1"/>
  <cols>
    <col min="1" max="1" width="44.81640625" style="13" customWidth="1"/>
    <col min="2" max="2" width="13.54296875" style="14" customWidth="1"/>
    <col min="3" max="3" width="18.54296875" style="13" customWidth="1"/>
    <col min="4" max="4" width="16.1796875" style="13" customWidth="1"/>
    <col min="5" max="5" width="12.54296875" style="13" customWidth="1"/>
    <col min="6" max="6" width="16.54296875" style="13" customWidth="1"/>
    <col min="7" max="7" width="15.26953125" style="13" customWidth="1"/>
    <col min="8" max="8" width="16.54296875" style="13" customWidth="1"/>
    <col min="9" max="9" width="16.1796875" style="13" customWidth="1"/>
    <col min="10" max="10" width="16.453125" style="13" customWidth="1"/>
    <col min="11" max="11" width="16.54296875" style="13" customWidth="1"/>
    <col min="12" max="12" width="20.81640625" style="13" customWidth="1"/>
    <col min="13" max="13" width="14.453125" style="13" customWidth="1"/>
    <col min="14" max="15" width="16.7265625" style="13" customWidth="1"/>
    <col min="16" max="16" width="9.1796875" style="13"/>
    <col min="17" max="17" width="18.1796875" style="13" customWidth="1"/>
    <col min="18" max="18" width="8.54296875" style="13" customWidth="1"/>
    <col min="19" max="16384" width="9.1796875" style="13"/>
  </cols>
  <sheetData>
    <row r="1" spans="1:15" outlineLevel="1">
      <c r="N1" s="296" t="s">
        <v>237</v>
      </c>
      <c r="O1" s="296"/>
    </row>
    <row r="2" spans="1:15" outlineLevel="1">
      <c r="N2" s="296" t="s">
        <v>257</v>
      </c>
      <c r="O2" s="296"/>
    </row>
    <row r="3" spans="1:15">
      <c r="A3" s="251" t="s">
        <v>556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>
      <c r="A5" s="232" t="s">
        <v>471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>
      <c r="A6" s="232" t="s">
        <v>133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>
      <c r="A7" s="251" t="s">
        <v>359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1:15">
      <c r="B10" s="230" t="s">
        <v>544</v>
      </c>
      <c r="C10" s="230"/>
      <c r="D10" s="230" t="s">
        <v>545</v>
      </c>
    </row>
    <row r="11" spans="1:15">
      <c r="A11" s="17" t="s">
        <v>283</v>
      </c>
      <c r="B11" s="239" t="s">
        <v>135</v>
      </c>
      <c r="C11" s="239"/>
      <c r="D11" s="239" t="s">
        <v>31</v>
      </c>
      <c r="E11" s="239"/>
      <c r="F11" s="239" t="s">
        <v>317</v>
      </c>
      <c r="G11" s="239"/>
      <c r="H11" s="239" t="s">
        <v>318</v>
      </c>
      <c r="I11" s="239"/>
      <c r="J11" s="239" t="s">
        <v>319</v>
      </c>
      <c r="K11" s="239"/>
      <c r="L11" s="239" t="s">
        <v>288</v>
      </c>
      <c r="M11" s="239"/>
      <c r="N11" s="239" t="s">
        <v>289</v>
      </c>
      <c r="O11" s="239"/>
    </row>
    <row r="12" spans="1:15">
      <c r="A12" s="17">
        <v>1</v>
      </c>
      <c r="B12" s="301">
        <v>2</v>
      </c>
      <c r="C12" s="303"/>
      <c r="D12" s="301">
        <v>3</v>
      </c>
      <c r="E12" s="303"/>
      <c r="F12" s="301">
        <v>4</v>
      </c>
      <c r="G12" s="303"/>
      <c r="H12" s="301">
        <v>5</v>
      </c>
      <c r="I12" s="303"/>
      <c r="J12" s="301">
        <v>6</v>
      </c>
      <c r="K12" s="303"/>
      <c r="L12" s="301">
        <v>7</v>
      </c>
      <c r="M12" s="303"/>
      <c r="N12" s="239">
        <v>8</v>
      </c>
      <c r="O12" s="239"/>
    </row>
    <row r="13" spans="1:15">
      <c r="A13" s="235" t="s">
        <v>134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</row>
    <row r="14" spans="1:15">
      <c r="A14" s="18" t="s">
        <v>290</v>
      </c>
      <c r="B14" s="294">
        <v>32</v>
      </c>
      <c r="C14" s="294"/>
      <c r="D14" s="294">
        <v>26</v>
      </c>
      <c r="E14" s="294"/>
      <c r="F14" s="301">
        <v>32</v>
      </c>
      <c r="G14" s="303"/>
      <c r="H14" s="294">
        <f>F14</f>
        <v>32</v>
      </c>
      <c r="I14" s="294"/>
      <c r="J14" s="294">
        <v>25.5</v>
      </c>
      <c r="K14" s="294"/>
      <c r="L14" s="294">
        <f>J14-H14</f>
        <v>-6.5</v>
      </c>
      <c r="M14" s="294"/>
      <c r="N14" s="295">
        <f>J14*100/H14</f>
        <v>79.6875</v>
      </c>
      <c r="O14" s="295"/>
    </row>
    <row r="15" spans="1:15">
      <c r="A15" s="18" t="s">
        <v>291</v>
      </c>
      <c r="B15" s="294">
        <v>3</v>
      </c>
      <c r="C15" s="294"/>
      <c r="D15" s="294">
        <v>2</v>
      </c>
      <c r="E15" s="294"/>
      <c r="F15" s="301">
        <v>3</v>
      </c>
      <c r="G15" s="303"/>
      <c r="H15" s="294">
        <f t="shared" ref="H15:H19" si="0">F15</f>
        <v>3</v>
      </c>
      <c r="I15" s="294"/>
      <c r="J15" s="294">
        <v>3.1</v>
      </c>
      <c r="K15" s="294"/>
      <c r="L15" s="294">
        <f t="shared" ref="L15:L18" si="1">J15-H15</f>
        <v>0.10000000000000009</v>
      </c>
      <c r="M15" s="294"/>
      <c r="N15" s="295">
        <f t="shared" ref="N15:N18" si="2">J15*100/H15</f>
        <v>103.33333333333333</v>
      </c>
      <c r="O15" s="295"/>
    </row>
    <row r="16" spans="1:15">
      <c r="A16" s="18" t="s">
        <v>292</v>
      </c>
      <c r="B16" s="294">
        <v>3</v>
      </c>
      <c r="C16" s="294"/>
      <c r="D16" s="294">
        <v>2</v>
      </c>
      <c r="E16" s="294"/>
      <c r="F16" s="301">
        <v>3</v>
      </c>
      <c r="G16" s="303"/>
      <c r="H16" s="294">
        <f t="shared" si="0"/>
        <v>3</v>
      </c>
      <c r="I16" s="294"/>
      <c r="J16" s="294">
        <v>2</v>
      </c>
      <c r="K16" s="294"/>
      <c r="L16" s="294">
        <f t="shared" si="1"/>
        <v>-1</v>
      </c>
      <c r="M16" s="294"/>
      <c r="N16" s="295">
        <f t="shared" si="2"/>
        <v>66.666666666666671</v>
      </c>
      <c r="O16" s="295"/>
    </row>
    <row r="17" spans="1:16">
      <c r="A17" s="18" t="s">
        <v>293</v>
      </c>
      <c r="B17" s="294">
        <v>2</v>
      </c>
      <c r="C17" s="294"/>
      <c r="D17" s="294">
        <v>0</v>
      </c>
      <c r="E17" s="294"/>
      <c r="F17" s="301">
        <v>2</v>
      </c>
      <c r="G17" s="303"/>
      <c r="H17" s="294">
        <f t="shared" si="0"/>
        <v>2</v>
      </c>
      <c r="I17" s="294"/>
      <c r="J17" s="294">
        <v>1.8</v>
      </c>
      <c r="K17" s="294"/>
      <c r="L17" s="294">
        <f t="shared" si="1"/>
        <v>-0.19999999999999996</v>
      </c>
      <c r="M17" s="294"/>
      <c r="N17" s="295">
        <f t="shared" si="2"/>
        <v>90</v>
      </c>
      <c r="O17" s="295"/>
    </row>
    <row r="18" spans="1:16">
      <c r="A18" s="18" t="s">
        <v>294</v>
      </c>
      <c r="B18" s="294">
        <v>197</v>
      </c>
      <c r="C18" s="294"/>
      <c r="D18" s="294">
        <v>105</v>
      </c>
      <c r="E18" s="294"/>
      <c r="F18" s="301">
        <v>197</v>
      </c>
      <c r="G18" s="303"/>
      <c r="H18" s="294">
        <f t="shared" si="0"/>
        <v>197</v>
      </c>
      <c r="I18" s="294"/>
      <c r="J18" s="294">
        <f>123-J14-J15-J16-J17-J19</f>
        <v>84.2</v>
      </c>
      <c r="K18" s="294"/>
      <c r="L18" s="294">
        <f t="shared" si="1"/>
        <v>-112.8</v>
      </c>
      <c r="M18" s="294"/>
      <c r="N18" s="295">
        <f t="shared" si="2"/>
        <v>42.741116751269033</v>
      </c>
      <c r="O18" s="295"/>
    </row>
    <row r="19" spans="1:16">
      <c r="A19" s="18" t="s">
        <v>295</v>
      </c>
      <c r="B19" s="294">
        <v>15</v>
      </c>
      <c r="C19" s="294"/>
      <c r="D19" s="294">
        <v>7</v>
      </c>
      <c r="E19" s="294"/>
      <c r="F19" s="294">
        <v>15</v>
      </c>
      <c r="G19" s="294"/>
      <c r="H19" s="294">
        <f t="shared" si="0"/>
        <v>15</v>
      </c>
      <c r="I19" s="294"/>
      <c r="J19" s="294">
        <v>6.4</v>
      </c>
      <c r="K19" s="294"/>
      <c r="L19" s="294">
        <f t="shared" ref="L19" si="3">J19-H19</f>
        <v>-8.6</v>
      </c>
      <c r="M19" s="294"/>
      <c r="N19" s="295">
        <f t="shared" ref="N19" si="4">J19*100/H19</f>
        <v>42.666666666666664</v>
      </c>
      <c r="O19" s="295"/>
    </row>
    <row r="20" spans="1:16">
      <c r="A20" s="235" t="s">
        <v>350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7"/>
    </row>
    <row r="21" spans="1:16">
      <c r="A21" s="18" t="s">
        <v>297</v>
      </c>
      <c r="B21" s="294">
        <v>519</v>
      </c>
      <c r="C21" s="294"/>
      <c r="D21" s="294">
        <v>229</v>
      </c>
      <c r="E21" s="294"/>
      <c r="F21" s="239">
        <v>575</v>
      </c>
      <c r="G21" s="239"/>
      <c r="H21" s="294">
        <f>F21/12*3</f>
        <v>143.75</v>
      </c>
      <c r="I21" s="294"/>
      <c r="J21" s="294">
        <v>187</v>
      </c>
      <c r="K21" s="294"/>
      <c r="L21" s="294">
        <f t="shared" ref="L21:L23" si="5">J21-H21</f>
        <v>43.25</v>
      </c>
      <c r="M21" s="294"/>
      <c r="N21" s="295">
        <f t="shared" ref="N21:N23" si="6">J21*100/H21</f>
        <v>130.08695652173913</v>
      </c>
      <c r="O21" s="295"/>
      <c r="P21" s="13" t="s">
        <v>472</v>
      </c>
    </row>
    <row r="22" spans="1:16">
      <c r="A22" s="18" t="s">
        <v>296</v>
      </c>
      <c r="B22" s="294">
        <v>4552</v>
      </c>
      <c r="C22" s="294"/>
      <c r="D22" s="294">
        <v>8647</v>
      </c>
      <c r="E22" s="294"/>
      <c r="F22" s="239">
        <v>4899</v>
      </c>
      <c r="G22" s="239"/>
      <c r="H22" s="294">
        <f t="shared" ref="H22:H23" si="7">F22/12*3</f>
        <v>1224.75</v>
      </c>
      <c r="I22" s="294"/>
      <c r="J22" s="294">
        <v>2373</v>
      </c>
      <c r="K22" s="294"/>
      <c r="L22" s="294">
        <f t="shared" si="5"/>
        <v>1148.25</v>
      </c>
      <c r="M22" s="294"/>
      <c r="N22" s="295">
        <f t="shared" si="6"/>
        <v>193.75382731169626</v>
      </c>
      <c r="O22" s="295"/>
    </row>
    <row r="23" spans="1:16">
      <c r="A23" s="18" t="s">
        <v>298</v>
      </c>
      <c r="B23" s="294">
        <v>29393</v>
      </c>
      <c r="C23" s="294"/>
      <c r="D23" s="294">
        <v>14864</v>
      </c>
      <c r="E23" s="294"/>
      <c r="F23" s="239">
        <v>31735</v>
      </c>
      <c r="G23" s="239"/>
      <c r="H23" s="294">
        <f t="shared" si="7"/>
        <v>7933.75</v>
      </c>
      <c r="I23" s="294"/>
      <c r="J23" s="294">
        <f>'1. Фін результат'!E140-'6.1. Інша інфо_1'!J21:K21-'6.1. Інша інфо_1'!J22:K22</f>
        <v>8397</v>
      </c>
      <c r="K23" s="294"/>
      <c r="L23" s="294">
        <f t="shared" si="5"/>
        <v>463.25</v>
      </c>
      <c r="M23" s="294"/>
      <c r="N23" s="295">
        <f t="shared" si="6"/>
        <v>105.83897904521821</v>
      </c>
      <c r="O23" s="295"/>
    </row>
    <row r="24" spans="1:16">
      <c r="A24" s="235" t="s">
        <v>470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</row>
    <row r="25" spans="1:16">
      <c r="A25" s="18" t="s">
        <v>297</v>
      </c>
      <c r="B25" s="294">
        <v>633</v>
      </c>
      <c r="C25" s="294"/>
      <c r="D25" s="294">
        <v>279.38</v>
      </c>
      <c r="E25" s="294"/>
      <c r="F25" s="294">
        <v>701</v>
      </c>
      <c r="G25" s="294"/>
      <c r="H25" s="294">
        <f>F25/12*3</f>
        <v>175.25</v>
      </c>
      <c r="I25" s="294"/>
      <c r="J25" s="294">
        <f>J21/100*122</f>
        <v>228.14000000000001</v>
      </c>
      <c r="K25" s="294"/>
      <c r="L25" s="294">
        <f t="shared" ref="L25:L27" si="8">J25-H25</f>
        <v>52.890000000000015</v>
      </c>
      <c r="M25" s="294"/>
      <c r="N25" s="295">
        <f t="shared" ref="N25:N27" si="9">J25*100/H25</f>
        <v>130.17974322396577</v>
      </c>
      <c r="O25" s="295"/>
      <c r="P25" s="13" t="s">
        <v>472</v>
      </c>
    </row>
    <row r="26" spans="1:16">
      <c r="A26" s="18" t="s">
        <v>296</v>
      </c>
      <c r="B26" s="294">
        <v>5553</v>
      </c>
      <c r="C26" s="294"/>
      <c r="D26" s="294">
        <v>10549.34</v>
      </c>
      <c r="E26" s="294"/>
      <c r="F26" s="294">
        <v>5977</v>
      </c>
      <c r="G26" s="294"/>
      <c r="H26" s="294">
        <f t="shared" ref="H26:H27" si="10">F26/12*3</f>
        <v>1494.25</v>
      </c>
      <c r="I26" s="294"/>
      <c r="J26" s="294">
        <f>'1. Фін результат'!E43+'1. Фін результат'!E44-J25</f>
        <v>2536.86</v>
      </c>
      <c r="K26" s="294"/>
      <c r="L26" s="294">
        <f t="shared" si="8"/>
        <v>1042.6100000000001</v>
      </c>
      <c r="M26" s="294"/>
      <c r="N26" s="295">
        <f t="shared" si="9"/>
        <v>169.77480341308348</v>
      </c>
      <c r="O26" s="295"/>
    </row>
    <row r="27" spans="1:16">
      <c r="A27" s="18" t="s">
        <v>298</v>
      </c>
      <c r="B27" s="294">
        <v>35687</v>
      </c>
      <c r="C27" s="294"/>
      <c r="D27" s="294">
        <v>18039.28</v>
      </c>
      <c r="E27" s="294"/>
      <c r="F27" s="294">
        <v>38532</v>
      </c>
      <c r="G27" s="294"/>
      <c r="H27" s="294">
        <f t="shared" si="10"/>
        <v>9633</v>
      </c>
      <c r="I27" s="294"/>
      <c r="J27" s="294">
        <f>'1. Фін результат'!E140+'1. Фін результат'!E141-'6.1. Інша інфо_1'!J25:K25-'6.1. Інша інфо_1'!J26:K26</f>
        <v>10574.4</v>
      </c>
      <c r="K27" s="294"/>
      <c r="L27" s="294">
        <f t="shared" si="8"/>
        <v>941.39999999999964</v>
      </c>
      <c r="M27" s="294"/>
      <c r="N27" s="295">
        <f t="shared" si="9"/>
        <v>109.77265649330427</v>
      </c>
      <c r="O27" s="295"/>
    </row>
    <row r="28" spans="1:16">
      <c r="A28" s="235" t="s">
        <v>299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7"/>
    </row>
    <row r="29" spans="1:16">
      <c r="A29" s="18" t="s">
        <v>297</v>
      </c>
      <c r="B29" s="294">
        <v>43225</v>
      </c>
      <c r="C29" s="294"/>
      <c r="D29" s="294">
        <v>19083.333333333332</v>
      </c>
      <c r="E29" s="294"/>
      <c r="F29" s="294">
        <v>47904</v>
      </c>
      <c r="G29" s="294"/>
      <c r="H29" s="294">
        <f>F29</f>
        <v>47904</v>
      </c>
      <c r="I29" s="294"/>
      <c r="J29" s="294">
        <f>J21/6*1000</f>
        <v>31166.666666666668</v>
      </c>
      <c r="K29" s="294"/>
      <c r="L29" s="294">
        <f t="shared" ref="L29:L31" si="11">J29-H29</f>
        <v>-16737.333333333332</v>
      </c>
      <c r="M29" s="294"/>
      <c r="N29" s="295">
        <f t="shared" ref="N29:N31" si="12">J29*100/H29</f>
        <v>65.060676909374308</v>
      </c>
      <c r="O29" s="295"/>
    </row>
    <row r="30" spans="1:16">
      <c r="A30" s="18" t="s">
        <v>296</v>
      </c>
      <c r="B30" s="294">
        <v>30344</v>
      </c>
      <c r="C30" s="294"/>
      <c r="D30" s="294">
        <v>24847.701149425287</v>
      </c>
      <c r="E30" s="294"/>
      <c r="F30" s="294">
        <v>29160</v>
      </c>
      <c r="G30" s="294"/>
      <c r="H30" s="294">
        <f>F30</f>
        <v>29160</v>
      </c>
      <c r="I30" s="294"/>
      <c r="J30" s="294">
        <f>J22/13/6*1000</f>
        <v>30423.076923076922</v>
      </c>
      <c r="K30" s="294"/>
      <c r="L30" s="294">
        <f t="shared" si="11"/>
        <v>1263.076923076922</v>
      </c>
      <c r="M30" s="294"/>
      <c r="N30" s="295">
        <f t="shared" si="12"/>
        <v>104.33153951672469</v>
      </c>
      <c r="O30" s="295"/>
    </row>
    <row r="31" spans="1:16">
      <c r="A31" s="18" t="s">
        <v>298</v>
      </c>
      <c r="B31" s="294">
        <v>10249</v>
      </c>
      <c r="C31" s="294"/>
      <c r="D31" s="294">
        <v>11059.523809523811</v>
      </c>
      <c r="E31" s="294"/>
      <c r="F31" s="294">
        <v>11135</v>
      </c>
      <c r="G31" s="294"/>
      <c r="H31" s="294">
        <f t="shared" ref="H31" si="13">F31</f>
        <v>11135</v>
      </c>
      <c r="I31" s="294"/>
      <c r="J31" s="294">
        <f>J23*1000/(123-14)/6</f>
        <v>12839.449541284404</v>
      </c>
      <c r="K31" s="294"/>
      <c r="L31" s="294">
        <f t="shared" si="11"/>
        <v>1704.4495412844044</v>
      </c>
      <c r="M31" s="294"/>
      <c r="N31" s="295">
        <f t="shared" si="12"/>
        <v>115.30713553016977</v>
      </c>
      <c r="O31" s="295"/>
    </row>
    <row r="32" spans="1:16">
      <c r="A32" s="235" t="s">
        <v>300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7"/>
    </row>
    <row r="33" spans="1:17">
      <c r="A33" s="18" t="s">
        <v>297</v>
      </c>
      <c r="B33" s="294">
        <v>43225</v>
      </c>
      <c r="C33" s="294"/>
      <c r="D33" s="294">
        <v>19083.333333333332</v>
      </c>
      <c r="E33" s="294"/>
      <c r="F33" s="294">
        <v>47904</v>
      </c>
      <c r="G33" s="294"/>
      <c r="H33" s="294">
        <f>F33</f>
        <v>47904</v>
      </c>
      <c r="I33" s="294"/>
      <c r="J33" s="294">
        <f>J29</f>
        <v>31166.666666666668</v>
      </c>
      <c r="K33" s="294"/>
      <c r="L33" s="294">
        <f t="shared" ref="L33:L35" si="14">J33-H33</f>
        <v>-16737.333333333332</v>
      </c>
      <c r="M33" s="294"/>
      <c r="N33" s="295">
        <f t="shared" ref="N33:N35" si="15">J33*100/H33</f>
        <v>65.060676909374308</v>
      </c>
      <c r="O33" s="295"/>
    </row>
    <row r="34" spans="1:17">
      <c r="A34" s="18" t="s">
        <v>296</v>
      </c>
      <c r="B34" s="294">
        <v>30344</v>
      </c>
      <c r="C34" s="294"/>
      <c r="D34" s="294">
        <v>24847.701149425287</v>
      </c>
      <c r="E34" s="294"/>
      <c r="F34" s="294">
        <v>29160</v>
      </c>
      <c r="G34" s="294"/>
      <c r="H34" s="294">
        <f t="shared" ref="H34" si="16">F34</f>
        <v>29160</v>
      </c>
      <c r="I34" s="294"/>
      <c r="J34" s="294">
        <f t="shared" ref="J34" si="17">J30</f>
        <v>30423.076923076922</v>
      </c>
      <c r="K34" s="294"/>
      <c r="L34" s="294">
        <f t="shared" si="14"/>
        <v>1263.076923076922</v>
      </c>
      <c r="M34" s="294"/>
      <c r="N34" s="295">
        <f t="shared" si="15"/>
        <v>104.33153951672469</v>
      </c>
      <c r="O34" s="295"/>
    </row>
    <row r="35" spans="1:17">
      <c r="A35" s="18" t="s">
        <v>298</v>
      </c>
      <c r="B35" s="294">
        <v>10249</v>
      </c>
      <c r="C35" s="294"/>
      <c r="D35" s="294">
        <v>11059.523809523811</v>
      </c>
      <c r="E35" s="294"/>
      <c r="F35" s="294">
        <v>11135</v>
      </c>
      <c r="G35" s="294"/>
      <c r="H35" s="294">
        <f>F35</f>
        <v>11135</v>
      </c>
      <c r="I35" s="294"/>
      <c r="J35" s="294">
        <f>J31</f>
        <v>12839.449541284404</v>
      </c>
      <c r="K35" s="294"/>
      <c r="L35" s="294">
        <f t="shared" si="14"/>
        <v>1704.4495412844044</v>
      </c>
      <c r="M35" s="294"/>
      <c r="N35" s="295">
        <f t="shared" si="15"/>
        <v>115.30713553016977</v>
      </c>
      <c r="O35" s="295"/>
    </row>
    <row r="36" spans="1:17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</row>
    <row r="37" spans="1:17">
      <c r="A37" s="291" t="s">
        <v>336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</row>
    <row r="38" spans="1:17">
      <c r="A38" s="22"/>
      <c r="B38" s="22"/>
      <c r="C38" s="22"/>
      <c r="D38" s="22"/>
      <c r="E38" s="22"/>
      <c r="F38" s="22"/>
      <c r="G38" s="22"/>
      <c r="H38" s="22"/>
      <c r="I38" s="22"/>
    </row>
    <row r="39" spans="1:17">
      <c r="A39" s="304" t="s">
        <v>351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spans="1:17">
      <c r="A40" s="23" t="s">
        <v>136</v>
      </c>
      <c r="B40" s="301" t="s">
        <v>352</v>
      </c>
      <c r="C40" s="302"/>
      <c r="D40" s="302"/>
      <c r="E40" s="303"/>
      <c r="F40" s="250" t="s">
        <v>86</v>
      </c>
      <c r="G40" s="250"/>
      <c r="H40" s="250"/>
      <c r="I40" s="250"/>
      <c r="J40" s="250"/>
      <c r="K40" s="250"/>
      <c r="L40" s="250"/>
      <c r="M40" s="250"/>
      <c r="N40" s="250"/>
      <c r="O40" s="250"/>
    </row>
    <row r="41" spans="1:17">
      <c r="A41" s="23">
        <v>1</v>
      </c>
      <c r="B41" s="299">
        <v>2</v>
      </c>
      <c r="C41" s="300"/>
      <c r="D41" s="300"/>
      <c r="E41" s="300"/>
      <c r="F41" s="250">
        <v>3</v>
      </c>
      <c r="G41" s="250"/>
      <c r="H41" s="250"/>
      <c r="I41" s="250"/>
      <c r="J41" s="250"/>
      <c r="K41" s="250"/>
      <c r="L41" s="250"/>
      <c r="M41" s="250"/>
      <c r="N41" s="250"/>
      <c r="O41" s="250"/>
    </row>
    <row r="42" spans="1:17">
      <c r="A42" s="23"/>
      <c r="B42" s="289"/>
      <c r="C42" s="290"/>
      <c r="D42" s="290"/>
      <c r="E42" s="290"/>
      <c r="F42" s="288"/>
      <c r="G42" s="288"/>
      <c r="H42" s="288"/>
      <c r="I42" s="288"/>
      <c r="J42" s="288"/>
      <c r="K42" s="288"/>
      <c r="L42" s="288"/>
      <c r="M42" s="288"/>
      <c r="N42" s="288"/>
      <c r="O42" s="288"/>
    </row>
    <row r="43" spans="1:17" outlineLevel="1">
      <c r="A43" s="14"/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92" t="s">
        <v>237</v>
      </c>
      <c r="N43" s="292"/>
      <c r="O43" s="292"/>
    </row>
    <row r="44" spans="1:17" outlineLevel="1">
      <c r="A44" s="14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93" t="s">
        <v>287</v>
      </c>
      <c r="N44" s="293"/>
      <c r="O44" s="293"/>
    </row>
    <row r="45" spans="1:17">
      <c r="A45" s="252" t="s">
        <v>247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</row>
    <row r="47" spans="1:17">
      <c r="A47" s="313" t="s">
        <v>283</v>
      </c>
      <c r="B47" s="314"/>
      <c r="C47" s="285"/>
      <c r="D47" s="239" t="s">
        <v>238</v>
      </c>
      <c r="E47" s="239"/>
      <c r="F47" s="239"/>
      <c r="G47" s="239" t="s">
        <v>234</v>
      </c>
      <c r="H47" s="239"/>
      <c r="I47" s="239"/>
      <c r="J47" s="239" t="s">
        <v>288</v>
      </c>
      <c r="K47" s="239"/>
      <c r="L47" s="239"/>
      <c r="M47" s="301" t="s">
        <v>289</v>
      </c>
      <c r="N47" s="303"/>
      <c r="O47" s="247" t="s">
        <v>311</v>
      </c>
    </row>
    <row r="48" spans="1:17" ht="128.25" customHeight="1">
      <c r="A48" s="315"/>
      <c r="B48" s="316"/>
      <c r="C48" s="286"/>
      <c r="D48" s="17" t="s">
        <v>314</v>
      </c>
      <c r="E48" s="17" t="s">
        <v>313</v>
      </c>
      <c r="F48" s="17" t="s">
        <v>312</v>
      </c>
      <c r="G48" s="17" t="s">
        <v>314</v>
      </c>
      <c r="H48" s="17" t="s">
        <v>313</v>
      </c>
      <c r="I48" s="17" t="s">
        <v>312</v>
      </c>
      <c r="J48" s="17" t="s">
        <v>314</v>
      </c>
      <c r="K48" s="17" t="s">
        <v>313</v>
      </c>
      <c r="L48" s="17" t="s">
        <v>312</v>
      </c>
      <c r="M48" s="17" t="s">
        <v>239</v>
      </c>
      <c r="N48" s="17" t="s">
        <v>240</v>
      </c>
      <c r="O48" s="248"/>
      <c r="Q48" s="26" t="s">
        <v>449</v>
      </c>
    </row>
    <row r="49" spans="1:15">
      <c r="A49" s="301">
        <v>1</v>
      </c>
      <c r="B49" s="302"/>
      <c r="C49" s="303"/>
      <c r="D49" s="17">
        <v>4</v>
      </c>
      <c r="E49" s="17">
        <v>5</v>
      </c>
      <c r="F49" s="17">
        <v>6</v>
      </c>
      <c r="G49" s="17">
        <v>7</v>
      </c>
      <c r="H49" s="27">
        <v>8</v>
      </c>
      <c r="I49" s="27">
        <v>9</v>
      </c>
      <c r="J49" s="27">
        <v>10</v>
      </c>
      <c r="K49" s="27">
        <v>11</v>
      </c>
      <c r="L49" s="27">
        <v>12</v>
      </c>
      <c r="M49" s="27">
        <v>13</v>
      </c>
      <c r="N49" s="27">
        <v>14</v>
      </c>
      <c r="O49" s="27">
        <v>15</v>
      </c>
    </row>
    <row r="50" spans="1:15">
      <c r="A50" s="317" t="s">
        <v>436</v>
      </c>
      <c r="B50" s="240"/>
      <c r="C50" s="244"/>
      <c r="D50" s="3">
        <f>12283/2</f>
        <v>6141.5</v>
      </c>
      <c r="E50" s="3">
        <v>1</v>
      </c>
      <c r="F50" s="4">
        <f>D50/E50*1000</f>
        <v>6141500</v>
      </c>
      <c r="G50" s="4">
        <v>0</v>
      </c>
      <c r="H50" s="27"/>
      <c r="I50" s="4">
        <v>0</v>
      </c>
      <c r="J50" s="28">
        <f t="shared" ref="J50:L53" si="18">G50-D50</f>
        <v>-6141.5</v>
      </c>
      <c r="K50" s="28">
        <f t="shared" si="18"/>
        <v>-1</v>
      </c>
      <c r="L50" s="28">
        <f t="shared" si="18"/>
        <v>-6141500</v>
      </c>
      <c r="M50" s="28">
        <f>G50/D50*100</f>
        <v>0</v>
      </c>
      <c r="N50" s="28">
        <f>H50*100/E50</f>
        <v>0</v>
      </c>
      <c r="O50" s="28">
        <f>I50-F50</f>
        <v>-6141500</v>
      </c>
    </row>
    <row r="51" spans="1:15">
      <c r="A51" s="317" t="s">
        <v>437</v>
      </c>
      <c r="B51" s="240"/>
      <c r="C51" s="244"/>
      <c r="D51" s="3">
        <f>3500/2</f>
        <v>1750</v>
      </c>
      <c r="E51" s="3">
        <f>600/2</f>
        <v>300</v>
      </c>
      <c r="F51" s="4">
        <f t="shared" ref="F51:F52" si="19">D51/E51*1000</f>
        <v>5833.333333333333</v>
      </c>
      <c r="G51" s="4">
        <v>1714</v>
      </c>
      <c r="H51" s="27">
        <v>393</v>
      </c>
      <c r="I51" s="4">
        <f t="shared" ref="I51:I53" si="20">G51/H51*1000</f>
        <v>4361.3231552162852</v>
      </c>
      <c r="J51" s="28">
        <f t="shared" si="18"/>
        <v>-36</v>
      </c>
      <c r="K51" s="28">
        <f t="shared" si="18"/>
        <v>93</v>
      </c>
      <c r="L51" s="28">
        <f t="shared" si="18"/>
        <v>-1472.0101781170479</v>
      </c>
      <c r="M51" s="28">
        <f>G51/D51*100</f>
        <v>97.942857142857136</v>
      </c>
      <c r="N51" s="28">
        <f t="shared" ref="N51:N53" si="21">H51*100/E51</f>
        <v>131</v>
      </c>
      <c r="O51" s="28">
        <f>I51-F51</f>
        <v>-1472.0101781170479</v>
      </c>
    </row>
    <row r="52" spans="1:15">
      <c r="A52" s="317" t="s">
        <v>505</v>
      </c>
      <c r="B52" s="240"/>
      <c r="C52" s="244"/>
      <c r="D52" s="3">
        <f>16042/2</f>
        <v>8021</v>
      </c>
      <c r="E52" s="3">
        <f>17400/2</f>
        <v>8700</v>
      </c>
      <c r="F52" s="4">
        <f t="shared" si="19"/>
        <v>921.9540229885057</v>
      </c>
      <c r="G52" s="4">
        <v>6135</v>
      </c>
      <c r="H52" s="27">
        <v>5105</v>
      </c>
      <c r="I52" s="4">
        <f t="shared" si="20"/>
        <v>1201.7629774730656</v>
      </c>
      <c r="J52" s="28">
        <f t="shared" si="18"/>
        <v>-1886</v>
      </c>
      <c r="K52" s="28">
        <f t="shared" si="18"/>
        <v>-3595</v>
      </c>
      <c r="L52" s="28">
        <f t="shared" si="18"/>
        <v>279.80895448455988</v>
      </c>
      <c r="M52" s="28">
        <f>G52/D52*100</f>
        <v>76.486722353821222</v>
      </c>
      <c r="N52" s="28">
        <f t="shared" si="21"/>
        <v>58.678160919540232</v>
      </c>
      <c r="O52" s="28">
        <f>I52-F52</f>
        <v>279.80895448455988</v>
      </c>
    </row>
    <row r="53" spans="1:15">
      <c r="A53" s="317" t="s">
        <v>527</v>
      </c>
      <c r="B53" s="240"/>
      <c r="C53" s="244"/>
      <c r="D53" s="3">
        <f>2002/2</f>
        <v>1001</v>
      </c>
      <c r="E53" s="3">
        <f>7535/2</f>
        <v>3767.5</v>
      </c>
      <c r="F53" s="4">
        <f>D53/E53*1000</f>
        <v>265.69343065693431</v>
      </c>
      <c r="G53" s="4">
        <f>2199-81+20-81</f>
        <v>2057</v>
      </c>
      <c r="H53" s="27">
        <v>5266</v>
      </c>
      <c r="I53" s="4">
        <f t="shared" si="20"/>
        <v>390.61906570451953</v>
      </c>
      <c r="J53" s="28">
        <f t="shared" si="18"/>
        <v>1056</v>
      </c>
      <c r="K53" s="28">
        <f t="shared" si="18"/>
        <v>1498.5</v>
      </c>
      <c r="L53" s="28">
        <f t="shared" si="18"/>
        <v>124.92563504758522</v>
      </c>
      <c r="M53" s="28">
        <f>G53/D53*100</f>
        <v>205.49450549450546</v>
      </c>
      <c r="N53" s="28">
        <f t="shared" si="21"/>
        <v>139.77438619774387</v>
      </c>
      <c r="O53" s="28">
        <f>I53-F53</f>
        <v>124.92563504758522</v>
      </c>
    </row>
    <row r="54" spans="1:15">
      <c r="A54" s="318" t="s">
        <v>58</v>
      </c>
      <c r="B54" s="319"/>
      <c r="C54" s="320"/>
      <c r="D54" s="29">
        <f>SUM(D50:D53)</f>
        <v>16913.5</v>
      </c>
      <c r="E54" s="29"/>
      <c r="F54" s="30"/>
      <c r="G54" s="30">
        <f>SUM(G50:G53)</f>
        <v>9906</v>
      </c>
      <c r="H54" s="30"/>
      <c r="I54" s="30"/>
      <c r="J54" s="31">
        <f>SUM(J50:J53)</f>
        <v>-7007.5</v>
      </c>
      <c r="K54" s="30"/>
      <c r="L54" s="30"/>
      <c r="M54" s="28">
        <f>G54/D54*100</f>
        <v>58.568599048097667</v>
      </c>
      <c r="N54" s="32"/>
      <c r="O54" s="30"/>
    </row>
    <row r="55" spans="1:15">
      <c r="A55" s="33"/>
      <c r="B55" s="34"/>
      <c r="C55" s="34"/>
      <c r="D55" s="35"/>
      <c r="E55" s="35"/>
      <c r="F55" s="36"/>
      <c r="G55" s="37">
        <f>'1. Фін результат'!E10</f>
        <v>9906</v>
      </c>
      <c r="H55" s="38">
        <f>G55-G54</f>
        <v>0</v>
      </c>
      <c r="I55" s="15"/>
      <c r="J55" s="15"/>
      <c r="K55" s="15"/>
      <c r="L55" s="15"/>
      <c r="M55" s="15"/>
      <c r="N55" s="15"/>
      <c r="O55" s="15"/>
    </row>
    <row r="56" spans="1:15">
      <c r="A56" s="252" t="s">
        <v>75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8" spans="1:15">
      <c r="A58" s="17" t="s">
        <v>126</v>
      </c>
      <c r="B58" s="239" t="s">
        <v>74</v>
      </c>
      <c r="C58" s="239"/>
      <c r="D58" s="239" t="s">
        <v>69</v>
      </c>
      <c r="E58" s="239"/>
      <c r="F58" s="239" t="s">
        <v>70</v>
      </c>
      <c r="G58" s="239"/>
      <c r="H58" s="239" t="s">
        <v>90</v>
      </c>
      <c r="I58" s="239"/>
      <c r="J58" s="239"/>
      <c r="K58" s="301" t="s">
        <v>87</v>
      </c>
      <c r="L58" s="303"/>
      <c r="M58" s="301" t="s">
        <v>36</v>
      </c>
      <c r="N58" s="302"/>
      <c r="O58" s="303"/>
    </row>
    <row r="59" spans="1:15">
      <c r="A59" s="27">
        <v>1</v>
      </c>
      <c r="B59" s="250">
        <v>2</v>
      </c>
      <c r="C59" s="250"/>
      <c r="D59" s="250">
        <v>3</v>
      </c>
      <c r="E59" s="250"/>
      <c r="F59" s="250">
        <v>4</v>
      </c>
      <c r="G59" s="250"/>
      <c r="H59" s="250">
        <v>5</v>
      </c>
      <c r="I59" s="250"/>
      <c r="J59" s="250"/>
      <c r="K59" s="250">
        <v>6</v>
      </c>
      <c r="L59" s="250"/>
      <c r="M59" s="299">
        <v>7</v>
      </c>
      <c r="N59" s="300"/>
      <c r="O59" s="311"/>
    </row>
    <row r="60" spans="1:15">
      <c r="A60" s="39"/>
      <c r="B60" s="288"/>
      <c r="C60" s="288"/>
      <c r="D60" s="294"/>
      <c r="E60" s="294"/>
      <c r="F60" s="295" t="s">
        <v>255</v>
      </c>
      <c r="G60" s="295"/>
      <c r="H60" s="239"/>
      <c r="I60" s="239"/>
      <c r="J60" s="239"/>
      <c r="K60" s="306"/>
      <c r="L60" s="307"/>
      <c r="M60" s="294"/>
      <c r="N60" s="294"/>
      <c r="O60" s="294"/>
    </row>
    <row r="61" spans="1:15">
      <c r="A61" s="39"/>
      <c r="B61" s="321"/>
      <c r="C61" s="322"/>
      <c r="D61" s="306"/>
      <c r="E61" s="307"/>
      <c r="F61" s="308"/>
      <c r="G61" s="309"/>
      <c r="H61" s="301"/>
      <c r="I61" s="302"/>
      <c r="J61" s="303"/>
      <c r="K61" s="306"/>
      <c r="L61" s="307"/>
      <c r="M61" s="306"/>
      <c r="N61" s="312"/>
      <c r="O61" s="307"/>
    </row>
    <row r="62" spans="1:15">
      <c r="A62" s="39"/>
      <c r="B62" s="289"/>
      <c r="C62" s="305"/>
      <c r="D62" s="306"/>
      <c r="E62" s="307"/>
      <c r="F62" s="308"/>
      <c r="G62" s="309"/>
      <c r="H62" s="301"/>
      <c r="I62" s="302"/>
      <c r="J62" s="303"/>
      <c r="K62" s="306"/>
      <c r="L62" s="307"/>
      <c r="M62" s="306"/>
      <c r="N62" s="312"/>
      <c r="O62" s="307"/>
    </row>
    <row r="63" spans="1:15">
      <c r="A63" s="39"/>
      <c r="B63" s="288"/>
      <c r="C63" s="288"/>
      <c r="D63" s="294"/>
      <c r="E63" s="294"/>
      <c r="F63" s="295"/>
      <c r="G63" s="295"/>
      <c r="H63" s="239"/>
      <c r="I63" s="239"/>
      <c r="J63" s="239"/>
      <c r="K63" s="306"/>
      <c r="L63" s="307"/>
      <c r="M63" s="294"/>
      <c r="N63" s="294"/>
      <c r="O63" s="294"/>
    </row>
    <row r="64" spans="1:15">
      <c r="A64" s="40" t="s">
        <v>58</v>
      </c>
      <c r="B64" s="250" t="s">
        <v>37</v>
      </c>
      <c r="C64" s="250"/>
      <c r="D64" s="250" t="s">
        <v>37</v>
      </c>
      <c r="E64" s="250"/>
      <c r="F64" s="250" t="s">
        <v>37</v>
      </c>
      <c r="G64" s="250"/>
      <c r="H64" s="239"/>
      <c r="I64" s="239"/>
      <c r="J64" s="239"/>
      <c r="K64" s="306"/>
      <c r="L64" s="307"/>
      <c r="M64" s="294"/>
      <c r="N64" s="294"/>
      <c r="O64" s="294"/>
    </row>
    <row r="65" spans="1:15">
      <c r="A65" s="36"/>
      <c r="C65" s="14"/>
      <c r="D65" s="14"/>
      <c r="E65" s="14"/>
      <c r="F65" s="14"/>
      <c r="G65" s="14"/>
      <c r="H65" s="14"/>
      <c r="I65" s="14"/>
      <c r="J65" s="14"/>
    </row>
    <row r="66" spans="1:15">
      <c r="A66" s="252" t="s">
        <v>76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</row>
    <row r="67" spans="1:15">
      <c r="A67" s="15"/>
      <c r="B67" s="15"/>
      <c r="C67" s="15"/>
      <c r="D67" s="15"/>
      <c r="E67" s="15"/>
      <c r="F67" s="15"/>
      <c r="G67" s="15"/>
      <c r="H67" s="15"/>
      <c r="I67" s="41"/>
    </row>
    <row r="68" spans="1:15">
      <c r="A68" s="239" t="s">
        <v>68</v>
      </c>
      <c r="B68" s="239"/>
      <c r="C68" s="239"/>
      <c r="D68" s="239" t="s">
        <v>241</v>
      </c>
      <c r="E68" s="239"/>
      <c r="F68" s="239" t="s">
        <v>242</v>
      </c>
      <c r="G68" s="239"/>
      <c r="H68" s="239"/>
      <c r="I68" s="239"/>
      <c r="J68" s="239" t="s">
        <v>245</v>
      </c>
      <c r="K68" s="239"/>
      <c r="L68" s="239"/>
      <c r="M68" s="239"/>
      <c r="N68" s="239" t="s">
        <v>246</v>
      </c>
      <c r="O68" s="239"/>
    </row>
    <row r="69" spans="1:15">
      <c r="A69" s="239"/>
      <c r="B69" s="239"/>
      <c r="C69" s="239"/>
      <c r="D69" s="239"/>
      <c r="E69" s="239"/>
      <c r="F69" s="250" t="s">
        <v>243</v>
      </c>
      <c r="G69" s="250"/>
      <c r="H69" s="239" t="s">
        <v>244</v>
      </c>
      <c r="I69" s="239"/>
      <c r="J69" s="250" t="s">
        <v>243</v>
      </c>
      <c r="K69" s="250"/>
      <c r="L69" s="239" t="s">
        <v>244</v>
      </c>
      <c r="M69" s="239"/>
      <c r="N69" s="239"/>
      <c r="O69" s="239"/>
    </row>
    <row r="70" spans="1:15">
      <c r="A70" s="239">
        <v>1</v>
      </c>
      <c r="B70" s="239"/>
      <c r="C70" s="239"/>
      <c r="D70" s="301">
        <v>2</v>
      </c>
      <c r="E70" s="303"/>
      <c r="F70" s="301">
        <v>3</v>
      </c>
      <c r="G70" s="303"/>
      <c r="H70" s="299">
        <v>4</v>
      </c>
      <c r="I70" s="311"/>
      <c r="J70" s="299">
        <v>5</v>
      </c>
      <c r="K70" s="311"/>
      <c r="L70" s="299">
        <v>6</v>
      </c>
      <c r="M70" s="311"/>
      <c r="N70" s="299">
        <v>7</v>
      </c>
      <c r="O70" s="311"/>
    </row>
    <row r="71" spans="1:15">
      <c r="A71" s="310" t="s">
        <v>308</v>
      </c>
      <c r="B71" s="310"/>
      <c r="C71" s="310"/>
      <c r="D71" s="306"/>
      <c r="E71" s="307"/>
      <c r="F71" s="306"/>
      <c r="G71" s="307"/>
      <c r="H71" s="306"/>
      <c r="I71" s="307"/>
      <c r="J71" s="306"/>
      <c r="K71" s="307"/>
      <c r="L71" s="306"/>
      <c r="M71" s="307"/>
      <c r="N71" s="306"/>
      <c r="O71" s="307"/>
    </row>
    <row r="72" spans="1:15">
      <c r="A72" s="310" t="s">
        <v>104</v>
      </c>
      <c r="B72" s="310"/>
      <c r="C72" s="310"/>
      <c r="D72" s="306"/>
      <c r="E72" s="307"/>
      <c r="F72" s="306"/>
      <c r="G72" s="307"/>
      <c r="H72" s="306"/>
      <c r="I72" s="307"/>
      <c r="J72" s="306"/>
      <c r="K72" s="307"/>
      <c r="L72" s="306"/>
      <c r="M72" s="307"/>
      <c r="N72" s="306"/>
      <c r="O72" s="307"/>
    </row>
    <row r="73" spans="1:15">
      <c r="A73" s="310"/>
      <c r="B73" s="310"/>
      <c r="C73" s="310"/>
      <c r="D73" s="306"/>
      <c r="E73" s="307"/>
      <c r="F73" s="306"/>
      <c r="G73" s="307"/>
      <c r="H73" s="306"/>
      <c r="I73" s="307"/>
      <c r="J73" s="306"/>
      <c r="K73" s="307"/>
      <c r="L73" s="306"/>
      <c r="M73" s="307"/>
      <c r="N73" s="306"/>
      <c r="O73" s="307"/>
    </row>
    <row r="74" spans="1:15">
      <c r="A74" s="310" t="s">
        <v>309</v>
      </c>
      <c r="B74" s="310"/>
      <c r="C74" s="310"/>
      <c r="D74" s="306"/>
      <c r="E74" s="307"/>
      <c r="F74" s="306"/>
      <c r="G74" s="307"/>
      <c r="H74" s="306"/>
      <c r="I74" s="307"/>
      <c r="J74" s="306"/>
      <c r="K74" s="307"/>
      <c r="L74" s="306"/>
      <c r="M74" s="307"/>
      <c r="N74" s="306"/>
      <c r="O74" s="307"/>
    </row>
    <row r="75" spans="1:15">
      <c r="A75" s="310" t="s">
        <v>456</v>
      </c>
      <c r="B75" s="310"/>
      <c r="C75" s="310"/>
      <c r="D75" s="306"/>
      <c r="E75" s="307"/>
      <c r="F75" s="306"/>
      <c r="G75" s="307"/>
      <c r="H75" s="306"/>
      <c r="I75" s="307"/>
      <c r="J75" s="306"/>
      <c r="K75" s="307"/>
      <c r="L75" s="306"/>
      <c r="M75" s="307"/>
      <c r="N75" s="306"/>
      <c r="O75" s="307"/>
    </row>
    <row r="76" spans="1:15">
      <c r="A76" s="310"/>
      <c r="B76" s="310"/>
      <c r="C76" s="310"/>
      <c r="D76" s="306"/>
      <c r="E76" s="307"/>
      <c r="F76" s="306"/>
      <c r="G76" s="307"/>
      <c r="H76" s="306"/>
      <c r="I76" s="307"/>
      <c r="J76" s="306"/>
      <c r="K76" s="307"/>
      <c r="L76" s="306"/>
      <c r="M76" s="307"/>
      <c r="N76" s="306"/>
      <c r="O76" s="307"/>
    </row>
    <row r="77" spans="1:15">
      <c r="A77" s="310" t="s">
        <v>310</v>
      </c>
      <c r="B77" s="310"/>
      <c r="C77" s="310"/>
      <c r="D77" s="306"/>
      <c r="E77" s="307"/>
      <c r="F77" s="306"/>
      <c r="G77" s="307"/>
      <c r="H77" s="306"/>
      <c r="I77" s="307"/>
      <c r="J77" s="306"/>
      <c r="K77" s="307"/>
      <c r="L77" s="306"/>
      <c r="M77" s="307"/>
      <c r="N77" s="306"/>
      <c r="O77" s="307"/>
    </row>
    <row r="78" spans="1:15">
      <c r="A78" s="310" t="s">
        <v>104</v>
      </c>
      <c r="B78" s="310"/>
      <c r="C78" s="310"/>
      <c r="D78" s="306"/>
      <c r="E78" s="307"/>
      <c r="F78" s="306"/>
      <c r="G78" s="307"/>
      <c r="H78" s="306"/>
      <c r="I78" s="307"/>
      <c r="J78" s="306"/>
      <c r="K78" s="307"/>
      <c r="L78" s="306"/>
      <c r="M78" s="307"/>
      <c r="N78" s="306"/>
      <c r="O78" s="307"/>
    </row>
    <row r="79" spans="1:15">
      <c r="A79" s="310"/>
      <c r="B79" s="310"/>
      <c r="C79" s="310"/>
      <c r="D79" s="306"/>
      <c r="E79" s="307"/>
      <c r="F79" s="306"/>
      <c r="G79" s="307"/>
      <c r="H79" s="306"/>
      <c r="I79" s="307"/>
      <c r="J79" s="306"/>
      <c r="K79" s="307"/>
      <c r="L79" s="306"/>
      <c r="M79" s="307"/>
      <c r="N79" s="306"/>
      <c r="O79" s="307"/>
    </row>
    <row r="80" spans="1:15">
      <c r="A80" s="310" t="s">
        <v>58</v>
      </c>
      <c r="B80" s="310"/>
      <c r="C80" s="310"/>
      <c r="D80" s="306"/>
      <c r="E80" s="307"/>
      <c r="F80" s="306"/>
      <c r="G80" s="307"/>
      <c r="H80" s="306"/>
      <c r="I80" s="307"/>
      <c r="J80" s="306"/>
      <c r="K80" s="307"/>
      <c r="L80" s="306"/>
      <c r="M80" s="307"/>
      <c r="N80" s="306"/>
      <c r="O80" s="307"/>
    </row>
    <row r="81" spans="3:5">
      <c r="C81" s="42"/>
      <c r="D81" s="42"/>
      <c r="E81" s="42"/>
    </row>
    <row r="82" spans="3:5">
      <c r="C82" s="42"/>
      <c r="D82" s="42"/>
      <c r="E82" s="42"/>
    </row>
    <row r="83" spans="3:5">
      <c r="C83" s="42"/>
      <c r="D83" s="42"/>
      <c r="E83" s="42"/>
    </row>
    <row r="84" spans="3:5">
      <c r="C84" s="42"/>
      <c r="D84" s="42"/>
      <c r="E84" s="42"/>
    </row>
    <row r="85" spans="3:5">
      <c r="C85" s="42"/>
      <c r="D85" s="42"/>
      <c r="E85" s="42"/>
    </row>
    <row r="86" spans="3:5">
      <c r="C86" s="42"/>
      <c r="D86" s="42"/>
      <c r="E86" s="42"/>
    </row>
    <row r="87" spans="3:5">
      <c r="C87" s="42"/>
      <c r="D87" s="42"/>
      <c r="E87" s="42"/>
    </row>
    <row r="88" spans="3:5">
      <c r="C88" s="42"/>
      <c r="D88" s="42"/>
      <c r="E88" s="42"/>
    </row>
    <row r="89" spans="3:5">
      <c r="C89" s="42"/>
      <c r="D89" s="42"/>
      <c r="E89" s="42"/>
    </row>
    <row r="90" spans="3:5">
      <c r="C90" s="42"/>
      <c r="D90" s="42"/>
      <c r="E90" s="42"/>
    </row>
    <row r="91" spans="3:5">
      <c r="C91" s="42"/>
      <c r="D91" s="42"/>
      <c r="E91" s="42"/>
    </row>
    <row r="92" spans="3:5">
      <c r="C92" s="42"/>
      <c r="D92" s="42"/>
      <c r="E92" s="42"/>
    </row>
    <row r="93" spans="3:5">
      <c r="C93" s="42"/>
      <c r="D93" s="42"/>
      <c r="E93" s="42"/>
    </row>
    <row r="94" spans="3:5">
      <c r="C94" s="42"/>
      <c r="D94" s="42"/>
      <c r="E94" s="42"/>
    </row>
  </sheetData>
  <sheetProtection formatCells="0" formatColumns="0" formatRows="0" insertRows="0" deleteRows="0"/>
  <mergeCells count="306">
    <mergeCell ref="O47:O48"/>
    <mergeCell ref="G47:I47"/>
    <mergeCell ref="J47:L47"/>
    <mergeCell ref="M47:N47"/>
    <mergeCell ref="A49:C49"/>
    <mergeCell ref="H62:J62"/>
    <mergeCell ref="B34:C34"/>
    <mergeCell ref="B35:C35"/>
    <mergeCell ref="J35:K35"/>
    <mergeCell ref="F35:G35"/>
    <mergeCell ref="D59:E59"/>
    <mergeCell ref="D35:E35"/>
    <mergeCell ref="H35:I35"/>
    <mergeCell ref="H34:I34"/>
    <mergeCell ref="D47:F47"/>
    <mergeCell ref="A47:C48"/>
    <mergeCell ref="A50:C50"/>
    <mergeCell ref="B58:C58"/>
    <mergeCell ref="A56:O56"/>
    <mergeCell ref="A54:C54"/>
    <mergeCell ref="A51:C51"/>
    <mergeCell ref="A52:C52"/>
    <mergeCell ref="A53:C53"/>
    <mergeCell ref="B61:C61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L29:M29"/>
    <mergeCell ref="L30:M30"/>
    <mergeCell ref="L31:M31"/>
    <mergeCell ref="F29:G29"/>
    <mergeCell ref="F30:G30"/>
    <mergeCell ref="F31:G31"/>
    <mergeCell ref="F33:G33"/>
    <mergeCell ref="J29:K29"/>
    <mergeCell ref="H29:I29"/>
    <mergeCell ref="H30:I30"/>
    <mergeCell ref="H31:I31"/>
    <mergeCell ref="H33:I33"/>
    <mergeCell ref="J31:K31"/>
    <mergeCell ref="N23:O23"/>
    <mergeCell ref="N25:O25"/>
    <mergeCell ref="N26:O26"/>
    <mergeCell ref="A24:O24"/>
    <mergeCell ref="D33:E33"/>
    <mergeCell ref="D34:E34"/>
    <mergeCell ref="B33:C33"/>
    <mergeCell ref="A32:O32"/>
    <mergeCell ref="F34:G34"/>
    <mergeCell ref="J34:K34"/>
    <mergeCell ref="N27:O27"/>
    <mergeCell ref="D29:E29"/>
    <mergeCell ref="D30:E30"/>
    <mergeCell ref="D31:E31"/>
    <mergeCell ref="B25:C25"/>
    <mergeCell ref="B26:C26"/>
    <mergeCell ref="B27:C27"/>
    <mergeCell ref="B29:C29"/>
    <mergeCell ref="B31:C31"/>
    <mergeCell ref="B30:C30"/>
    <mergeCell ref="L23:M23"/>
    <mergeCell ref="L25:M25"/>
    <mergeCell ref="L26:M26"/>
    <mergeCell ref="J30:K30"/>
    <mergeCell ref="L27:M27"/>
    <mergeCell ref="F27:G27"/>
    <mergeCell ref="H23:I23"/>
    <mergeCell ref="H25:I25"/>
    <mergeCell ref="H26:I26"/>
    <mergeCell ref="H27:I27"/>
    <mergeCell ref="F23:G23"/>
    <mergeCell ref="F25:G25"/>
    <mergeCell ref="F26:G26"/>
    <mergeCell ref="J23:K23"/>
    <mergeCell ref="J25:K25"/>
    <mergeCell ref="J26:K26"/>
    <mergeCell ref="J27:K27"/>
    <mergeCell ref="F19:G19"/>
    <mergeCell ref="F21:G21"/>
    <mergeCell ref="F22:G22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N21:O21"/>
    <mergeCell ref="N22:O22"/>
    <mergeCell ref="L19:M19"/>
    <mergeCell ref="L21:M21"/>
    <mergeCell ref="L22:M22"/>
    <mergeCell ref="N17:O17"/>
    <mergeCell ref="L18:M18"/>
    <mergeCell ref="N18:O18"/>
    <mergeCell ref="F17:G17"/>
    <mergeCell ref="F18:G18"/>
    <mergeCell ref="H17:I17"/>
    <mergeCell ref="H18:I18"/>
    <mergeCell ref="J17:K17"/>
    <mergeCell ref="J18:K18"/>
    <mergeCell ref="H80:I80"/>
    <mergeCell ref="J80:K80"/>
    <mergeCell ref="L80:M80"/>
    <mergeCell ref="F11:G11"/>
    <mergeCell ref="F12:G12"/>
    <mergeCell ref="B12:C12"/>
    <mergeCell ref="D16:E16"/>
    <mergeCell ref="H76:I76"/>
    <mergeCell ref="N80:O80"/>
    <mergeCell ref="D79:E79"/>
    <mergeCell ref="F79:G79"/>
    <mergeCell ref="H79:I79"/>
    <mergeCell ref="J79:K79"/>
    <mergeCell ref="D17:E17"/>
    <mergeCell ref="D18:E18"/>
    <mergeCell ref="A68:C69"/>
    <mergeCell ref="D27:E27"/>
    <mergeCell ref="D23:E23"/>
    <mergeCell ref="D25:E25"/>
    <mergeCell ref="D26:E26"/>
    <mergeCell ref="D21:E21"/>
    <mergeCell ref="D22:E22"/>
    <mergeCell ref="A28:O28"/>
    <mergeCell ref="L12:M12"/>
    <mergeCell ref="J78:K78"/>
    <mergeCell ref="H72:I72"/>
    <mergeCell ref="J72:K72"/>
    <mergeCell ref="L73:M73"/>
    <mergeCell ref="H73:I73"/>
    <mergeCell ref="J73:K73"/>
    <mergeCell ref="J74:K74"/>
    <mergeCell ref="L79:M79"/>
    <mergeCell ref="N79:O79"/>
    <mergeCell ref="H78:I78"/>
    <mergeCell ref="L74:M74"/>
    <mergeCell ref="N73:O73"/>
    <mergeCell ref="N78:O78"/>
    <mergeCell ref="N76:O76"/>
    <mergeCell ref="L78:M78"/>
    <mergeCell ref="N77:O77"/>
    <mergeCell ref="N74:O74"/>
    <mergeCell ref="N75:O75"/>
    <mergeCell ref="N72:O72"/>
    <mergeCell ref="J76:K76"/>
    <mergeCell ref="L76:M76"/>
    <mergeCell ref="L72:M72"/>
    <mergeCell ref="H77:I77"/>
    <mergeCell ref="J77:K77"/>
    <mergeCell ref="N68:O69"/>
    <mergeCell ref="M64:O64"/>
    <mergeCell ref="L70:M70"/>
    <mergeCell ref="N70:O70"/>
    <mergeCell ref="L71:M71"/>
    <mergeCell ref="N71:O71"/>
    <mergeCell ref="H69:I69"/>
    <mergeCell ref="J71:K71"/>
    <mergeCell ref="H71:I71"/>
    <mergeCell ref="A66:O66"/>
    <mergeCell ref="B64:C64"/>
    <mergeCell ref="D64:E64"/>
    <mergeCell ref="F64:G64"/>
    <mergeCell ref="A71:C71"/>
    <mergeCell ref="A70:C70"/>
    <mergeCell ref="D70:E70"/>
    <mergeCell ref="A80:C80"/>
    <mergeCell ref="D73:E73"/>
    <mergeCell ref="F73:G73"/>
    <mergeCell ref="A78:C78"/>
    <mergeCell ref="D76:E76"/>
    <mergeCell ref="F76:G76"/>
    <mergeCell ref="A77:C77"/>
    <mergeCell ref="A76:C76"/>
    <mergeCell ref="A79:C79"/>
    <mergeCell ref="D75:E75"/>
    <mergeCell ref="D80:E80"/>
    <mergeCell ref="F80:G80"/>
    <mergeCell ref="D78:E78"/>
    <mergeCell ref="F78:G78"/>
    <mergeCell ref="A73:C73"/>
    <mergeCell ref="D77:E77"/>
    <mergeCell ref="F77:G77"/>
    <mergeCell ref="H63:J63"/>
    <mergeCell ref="A74:C74"/>
    <mergeCell ref="H75:I75"/>
    <mergeCell ref="J75:K75"/>
    <mergeCell ref="A75:C75"/>
    <mergeCell ref="L75:M75"/>
    <mergeCell ref="D72:E72"/>
    <mergeCell ref="F72:G72"/>
    <mergeCell ref="B63:C63"/>
    <mergeCell ref="L69:M69"/>
    <mergeCell ref="L77:M77"/>
    <mergeCell ref="H74:I74"/>
    <mergeCell ref="K63:L63"/>
    <mergeCell ref="F75:G75"/>
    <mergeCell ref="D74:E74"/>
    <mergeCell ref="F74:G74"/>
    <mergeCell ref="H70:I70"/>
    <mergeCell ref="D71:E71"/>
    <mergeCell ref="M58:O58"/>
    <mergeCell ref="H64:J64"/>
    <mergeCell ref="D58:E58"/>
    <mergeCell ref="F58:G58"/>
    <mergeCell ref="H58:J58"/>
    <mergeCell ref="K58:L58"/>
    <mergeCell ref="D63:E63"/>
    <mergeCell ref="D61:E61"/>
    <mergeCell ref="F61:G61"/>
    <mergeCell ref="M63:O63"/>
    <mergeCell ref="K64:L64"/>
    <mergeCell ref="M62:O62"/>
    <mergeCell ref="M61:O61"/>
    <mergeCell ref="M59:O59"/>
    <mergeCell ref="M60:O60"/>
    <mergeCell ref="F63:G63"/>
    <mergeCell ref="B62:C62"/>
    <mergeCell ref="D62:E62"/>
    <mergeCell ref="F62:G62"/>
    <mergeCell ref="A72:C72"/>
    <mergeCell ref="H59:J59"/>
    <mergeCell ref="K61:L61"/>
    <mergeCell ref="K62:L62"/>
    <mergeCell ref="H61:J61"/>
    <mergeCell ref="F71:G71"/>
    <mergeCell ref="K59:L59"/>
    <mergeCell ref="B59:C59"/>
    <mergeCell ref="F59:G59"/>
    <mergeCell ref="F68:I68"/>
    <mergeCell ref="F69:G69"/>
    <mergeCell ref="D68:E69"/>
    <mergeCell ref="F70:G70"/>
    <mergeCell ref="B60:C60"/>
    <mergeCell ref="H60:J60"/>
    <mergeCell ref="F60:G60"/>
    <mergeCell ref="D60:E60"/>
    <mergeCell ref="K60:L60"/>
    <mergeCell ref="J70:K70"/>
    <mergeCell ref="J68:M68"/>
    <mergeCell ref="J69:K69"/>
    <mergeCell ref="N1:O1"/>
    <mergeCell ref="N2:O2"/>
    <mergeCell ref="A3:O3"/>
    <mergeCell ref="A4:O4"/>
    <mergeCell ref="A7:O7"/>
    <mergeCell ref="A9:O9"/>
    <mergeCell ref="B41:E41"/>
    <mergeCell ref="F40:O40"/>
    <mergeCell ref="B40:E40"/>
    <mergeCell ref="A39:O39"/>
    <mergeCell ref="N12:O12"/>
    <mergeCell ref="H12:I12"/>
    <mergeCell ref="J12:K12"/>
    <mergeCell ref="F14:G14"/>
    <mergeCell ref="F15:G15"/>
    <mergeCell ref="F16:G16"/>
    <mergeCell ref="D12:E12"/>
    <mergeCell ref="H16:I16"/>
    <mergeCell ref="H11:I11"/>
    <mergeCell ref="J11:K11"/>
    <mergeCell ref="L11:M11"/>
    <mergeCell ref="J16:K16"/>
    <mergeCell ref="J15:K15"/>
    <mergeCell ref="L15:M15"/>
    <mergeCell ref="A5:O5"/>
    <mergeCell ref="A6:O6"/>
    <mergeCell ref="F42:O42"/>
    <mergeCell ref="B42:E42"/>
    <mergeCell ref="A37:O37"/>
    <mergeCell ref="F41:O41"/>
    <mergeCell ref="A45:O45"/>
    <mergeCell ref="M43:O43"/>
    <mergeCell ref="M44:O44"/>
    <mergeCell ref="L16:M16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N16:O16"/>
    <mergeCell ref="L14:M14"/>
    <mergeCell ref="N14:O14"/>
    <mergeCell ref="L17:M17"/>
  </mergeCells>
  <phoneticPr fontId="3" type="noConversion"/>
  <pageMargins left="0.78740157480314965" right="0.78740157480314965" top="1.1811023622047245" bottom="0.39370078740157483" header="0" footer="0"/>
  <pageSetup paperSize="9" scale="45" orientation="landscape" horizontalDpi="1200" verticalDpi="1200" r:id="rId1"/>
  <headerFooter alignWithMargins="0"/>
  <rowBreaks count="1" manualBreakCount="1">
    <brk id="3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indexed="43"/>
  </sheetPr>
  <dimension ref="A1:AE67"/>
  <sheetViews>
    <sheetView tabSelected="1" view="pageBreakPreview" topLeftCell="A19" zoomScale="60" zoomScaleNormal="60" workbookViewId="0">
      <selection activeCell="B38" sqref="B38"/>
    </sheetView>
  </sheetViews>
  <sheetFormatPr defaultColWidth="9.1796875" defaultRowHeight="18"/>
  <cols>
    <col min="1" max="1" width="4.453125" style="187" customWidth="1"/>
    <col min="2" max="2" width="92.81640625" style="187" customWidth="1"/>
    <col min="3" max="6" width="11.26953125" style="187" customWidth="1"/>
    <col min="7" max="12" width="11" style="187" customWidth="1"/>
    <col min="13" max="13" width="23" style="187" customWidth="1"/>
    <col min="14" max="31" width="11" style="187" customWidth="1"/>
    <col min="32" max="16384" width="9.1796875" style="187"/>
  </cols>
  <sheetData>
    <row r="1" spans="1:3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Q1" s="188"/>
      <c r="R1" s="188"/>
      <c r="S1" s="188"/>
      <c r="T1" s="188"/>
      <c r="U1" s="188"/>
      <c r="AB1" s="329"/>
      <c r="AC1" s="329"/>
      <c r="AD1" s="329"/>
      <c r="AE1" s="329"/>
    </row>
    <row r="2" spans="1:31">
      <c r="B2" s="189" t="s">
        <v>248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1:31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31">
      <c r="A4" s="330" t="s">
        <v>53</v>
      </c>
      <c r="B4" s="330" t="s">
        <v>192</v>
      </c>
      <c r="C4" s="325" t="s">
        <v>193</v>
      </c>
      <c r="D4" s="325" t="s">
        <v>335</v>
      </c>
      <c r="E4" s="325" t="s">
        <v>194</v>
      </c>
      <c r="F4" s="323" t="s">
        <v>301</v>
      </c>
      <c r="G4" s="328"/>
      <c r="H4" s="328"/>
      <c r="I4" s="328"/>
      <c r="J4" s="324"/>
    </row>
    <row r="5" spans="1:31" ht="72">
      <c r="A5" s="331"/>
      <c r="B5" s="331"/>
      <c r="C5" s="327"/>
      <c r="D5" s="327"/>
      <c r="E5" s="327"/>
      <c r="F5" s="6" t="s">
        <v>195</v>
      </c>
      <c r="G5" s="6" t="s">
        <v>196</v>
      </c>
      <c r="H5" s="6" t="s">
        <v>41</v>
      </c>
      <c r="I5" s="6" t="s">
        <v>197</v>
      </c>
      <c r="J5" s="6" t="s">
        <v>198</v>
      </c>
    </row>
    <row r="6" spans="1:3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</row>
    <row r="7" spans="1:31" s="193" customFormat="1" ht="20.5">
      <c r="A7" s="192">
        <v>1</v>
      </c>
      <c r="B7" s="192"/>
      <c r="C7" s="71"/>
      <c r="D7" s="71"/>
      <c r="E7" s="71">
        <f>SUM(F7,G7,H7,I7,J7)</f>
        <v>0</v>
      </c>
      <c r="F7" s="71"/>
      <c r="G7" s="71"/>
      <c r="H7" s="71"/>
      <c r="I7" s="71"/>
      <c r="J7" s="71"/>
    </row>
    <row r="8" spans="1:31">
      <c r="A8" s="332" t="s">
        <v>58</v>
      </c>
      <c r="B8" s="333"/>
      <c r="C8" s="71"/>
      <c r="D8" s="71"/>
      <c r="E8" s="71">
        <f>SUM(F8,G8,H8,I8,J8)</f>
        <v>0</v>
      </c>
      <c r="F8" s="71">
        <f>SUM(F7:F7)</f>
        <v>0</v>
      </c>
      <c r="G8" s="71">
        <f>SUM(G7:G7)</f>
        <v>0</v>
      </c>
      <c r="H8" s="71">
        <f>SUM(H7:H7)</f>
        <v>0</v>
      </c>
      <c r="I8" s="71">
        <f>SUM(I7:I7)</f>
        <v>0</v>
      </c>
      <c r="J8" s="71">
        <f>SUM(J7:J7)</f>
        <v>0</v>
      </c>
    </row>
    <row r="9" spans="1:31">
      <c r="A9" s="194"/>
      <c r="B9" s="194"/>
      <c r="C9" s="194"/>
      <c r="D9" s="194"/>
      <c r="E9" s="194"/>
      <c r="F9" s="194"/>
      <c r="G9" s="194"/>
      <c r="H9" s="194"/>
      <c r="I9" s="194"/>
      <c r="J9" s="194"/>
    </row>
    <row r="10" spans="1:31" s="189" customFormat="1" ht="17.5">
      <c r="B10" s="189" t="s">
        <v>249</v>
      </c>
    </row>
    <row r="11" spans="1:31" s="189" customFormat="1" ht="17.5"/>
    <row r="12" spans="1:31">
      <c r="A12" s="330" t="s">
        <v>53</v>
      </c>
      <c r="B12" s="330" t="s">
        <v>199</v>
      </c>
      <c r="C12" s="325" t="s">
        <v>192</v>
      </c>
      <c r="D12" s="325" t="s">
        <v>335</v>
      </c>
      <c r="E12" s="325" t="s">
        <v>200</v>
      </c>
      <c r="F12" s="323" t="s">
        <v>201</v>
      </c>
      <c r="G12" s="328"/>
      <c r="H12" s="328"/>
      <c r="I12" s="328"/>
      <c r="J12" s="324"/>
    </row>
    <row r="13" spans="1:31">
      <c r="A13" s="334"/>
      <c r="B13" s="334"/>
      <c r="C13" s="326"/>
      <c r="D13" s="326"/>
      <c r="E13" s="326"/>
      <c r="F13" s="325" t="s">
        <v>489</v>
      </c>
      <c r="G13" s="323" t="s">
        <v>490</v>
      </c>
      <c r="H13" s="328"/>
      <c r="I13" s="328"/>
      <c r="J13" s="324"/>
    </row>
    <row r="14" spans="1:31">
      <c r="A14" s="331"/>
      <c r="B14" s="331"/>
      <c r="C14" s="327"/>
      <c r="D14" s="327"/>
      <c r="E14" s="327"/>
      <c r="F14" s="327"/>
      <c r="G14" s="6" t="s">
        <v>491</v>
      </c>
      <c r="H14" s="6" t="s">
        <v>492</v>
      </c>
      <c r="I14" s="6" t="s">
        <v>493</v>
      </c>
      <c r="J14" s="6" t="s">
        <v>494</v>
      </c>
    </row>
    <row r="15" spans="1:3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</row>
    <row r="16" spans="1:31" s="193" customFormat="1" ht="20.5">
      <c r="A16" s="6">
        <v>1</v>
      </c>
      <c r="B16" s="6"/>
      <c r="C16" s="6"/>
      <c r="D16" s="6"/>
      <c r="E16" s="6"/>
      <c r="F16" s="6"/>
      <c r="G16" s="6"/>
      <c r="H16" s="6"/>
      <c r="I16" s="6"/>
      <c r="J16" s="6"/>
    </row>
    <row r="17" spans="1:31">
      <c r="A17" s="323" t="s">
        <v>58</v>
      </c>
      <c r="B17" s="324"/>
      <c r="C17" s="6"/>
      <c r="D17" s="6"/>
      <c r="E17" s="6"/>
      <c r="F17" s="6">
        <f>SUM(F16:F16)</f>
        <v>0</v>
      </c>
      <c r="G17" s="6">
        <f>SUM(G16:G16)</f>
        <v>0</v>
      </c>
      <c r="H17" s="6">
        <f>SUM(H16:H16)</f>
        <v>0</v>
      </c>
      <c r="I17" s="6">
        <f>SUM(I16:I16)</f>
        <v>0</v>
      </c>
      <c r="J17" s="6">
        <f>SUM(J16:J16)</f>
        <v>0</v>
      </c>
    </row>
    <row r="18" spans="1:3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Q18" s="188"/>
      <c r="R18" s="188"/>
      <c r="S18" s="188"/>
      <c r="T18" s="188"/>
      <c r="U18" s="188"/>
      <c r="AE18" s="188"/>
    </row>
    <row r="19" spans="1:31">
      <c r="A19" s="186"/>
      <c r="B19" s="19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Q19" s="188"/>
      <c r="R19" s="188"/>
      <c r="S19" s="188"/>
      <c r="T19" s="188"/>
      <c r="U19" s="188"/>
      <c r="AE19" s="188"/>
    </row>
    <row r="20" spans="1:31" s="189" customFormat="1" ht="20">
      <c r="B20" s="189" t="s">
        <v>213</v>
      </c>
      <c r="AB20" s="196"/>
      <c r="AC20" s="196"/>
      <c r="AD20" s="196"/>
    </row>
    <row r="21" spans="1:31" ht="20.5">
      <c r="A21" s="197"/>
      <c r="B21" s="197"/>
      <c r="C21" s="197"/>
      <c r="D21" s="197"/>
      <c r="E21" s="197"/>
      <c r="F21" s="197"/>
      <c r="G21" s="197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U21" s="193"/>
      <c r="V21" s="199" t="s">
        <v>233</v>
      </c>
      <c r="AC21" s="193"/>
      <c r="AD21" s="199"/>
    </row>
    <row r="22" spans="1:31" ht="20.5">
      <c r="A22" s="325" t="s">
        <v>53</v>
      </c>
      <c r="B22" s="325" t="s">
        <v>250</v>
      </c>
      <c r="C22" s="323" t="s">
        <v>57</v>
      </c>
      <c r="D22" s="328"/>
      <c r="E22" s="328"/>
      <c r="F22" s="324"/>
      <c r="G22" s="323" t="s">
        <v>88</v>
      </c>
      <c r="H22" s="328"/>
      <c r="I22" s="328"/>
      <c r="J22" s="324"/>
      <c r="K22" s="323" t="s">
        <v>307</v>
      </c>
      <c r="L22" s="328"/>
      <c r="M22" s="328"/>
      <c r="N22" s="324"/>
      <c r="O22" s="323" t="s">
        <v>127</v>
      </c>
      <c r="P22" s="328"/>
      <c r="Q22" s="328"/>
      <c r="R22" s="324"/>
      <c r="S22" s="323" t="s">
        <v>58</v>
      </c>
      <c r="T22" s="328"/>
      <c r="U22" s="328"/>
      <c r="V22" s="324"/>
      <c r="X22" s="193"/>
      <c r="Y22" s="193"/>
      <c r="Z22" s="193"/>
    </row>
    <row r="23" spans="1:31" ht="20.5">
      <c r="A23" s="326"/>
      <c r="B23" s="326"/>
      <c r="C23" s="323" t="s">
        <v>490</v>
      </c>
      <c r="D23" s="328"/>
      <c r="E23" s="328"/>
      <c r="F23" s="324"/>
      <c r="G23" s="323" t="s">
        <v>490</v>
      </c>
      <c r="H23" s="328"/>
      <c r="I23" s="328"/>
      <c r="J23" s="324"/>
      <c r="K23" s="323" t="s">
        <v>490</v>
      </c>
      <c r="L23" s="328"/>
      <c r="M23" s="328"/>
      <c r="N23" s="324"/>
      <c r="O23" s="323" t="s">
        <v>490</v>
      </c>
      <c r="P23" s="328"/>
      <c r="Q23" s="328"/>
      <c r="R23" s="324"/>
      <c r="S23" s="323" t="s">
        <v>490</v>
      </c>
      <c r="T23" s="328"/>
      <c r="U23" s="328"/>
      <c r="V23" s="324"/>
      <c r="X23" s="193"/>
      <c r="Y23" s="193"/>
      <c r="Z23" s="193"/>
    </row>
    <row r="24" spans="1:31" ht="36">
      <c r="A24" s="327"/>
      <c r="B24" s="327"/>
      <c r="C24" s="200" t="s">
        <v>243</v>
      </c>
      <c r="D24" s="200" t="s">
        <v>244</v>
      </c>
      <c r="E24" s="200" t="s">
        <v>525</v>
      </c>
      <c r="F24" s="200" t="s">
        <v>526</v>
      </c>
      <c r="G24" s="200" t="s">
        <v>243</v>
      </c>
      <c r="H24" s="200" t="s">
        <v>244</v>
      </c>
      <c r="I24" s="200" t="s">
        <v>525</v>
      </c>
      <c r="J24" s="200" t="s">
        <v>526</v>
      </c>
      <c r="K24" s="200" t="s">
        <v>243</v>
      </c>
      <c r="L24" s="200" t="s">
        <v>244</v>
      </c>
      <c r="M24" s="200" t="s">
        <v>525</v>
      </c>
      <c r="N24" s="200" t="s">
        <v>526</v>
      </c>
      <c r="O24" s="200" t="s">
        <v>243</v>
      </c>
      <c r="P24" s="200" t="s">
        <v>244</v>
      </c>
      <c r="Q24" s="200" t="s">
        <v>525</v>
      </c>
      <c r="R24" s="200" t="s">
        <v>526</v>
      </c>
      <c r="S24" s="200" t="s">
        <v>243</v>
      </c>
      <c r="T24" s="200" t="s">
        <v>244</v>
      </c>
      <c r="U24" s="200" t="s">
        <v>525</v>
      </c>
      <c r="V24" s="200" t="s">
        <v>526</v>
      </c>
      <c r="X24" s="193"/>
      <c r="Y24" s="193"/>
      <c r="Z24" s="193"/>
    </row>
    <row r="25" spans="1:31" ht="20.5">
      <c r="A25" s="200">
        <v>1</v>
      </c>
      <c r="B25" s="6">
        <v>2</v>
      </c>
      <c r="C25" s="200">
        <v>3</v>
      </c>
      <c r="D25" s="200">
        <v>4</v>
      </c>
      <c r="E25" s="200">
        <v>5</v>
      </c>
      <c r="F25" s="200">
        <v>6</v>
      </c>
      <c r="G25" s="200">
        <v>7</v>
      </c>
      <c r="H25" s="200">
        <v>8</v>
      </c>
      <c r="I25" s="200">
        <v>9</v>
      </c>
      <c r="J25" s="200">
        <v>10</v>
      </c>
      <c r="K25" s="200">
        <v>11</v>
      </c>
      <c r="L25" s="200">
        <v>12</v>
      </c>
      <c r="M25" s="200">
        <v>13</v>
      </c>
      <c r="N25" s="200">
        <v>14</v>
      </c>
      <c r="O25" s="200">
        <v>15</v>
      </c>
      <c r="P25" s="200">
        <v>16</v>
      </c>
      <c r="Q25" s="200">
        <v>17</v>
      </c>
      <c r="R25" s="200">
        <v>18</v>
      </c>
      <c r="S25" s="200">
        <v>19</v>
      </c>
      <c r="T25" s="200">
        <v>20</v>
      </c>
      <c r="U25" s="200">
        <v>21</v>
      </c>
      <c r="V25" s="200">
        <v>22</v>
      </c>
      <c r="X25" s="193"/>
      <c r="Y25" s="193"/>
      <c r="Z25" s="193"/>
    </row>
    <row r="26" spans="1:31" ht="20.5">
      <c r="A26" s="5">
        <v>1</v>
      </c>
      <c r="B26" s="6" t="s">
        <v>577</v>
      </c>
      <c r="C26" s="7"/>
      <c r="D26" s="8"/>
      <c r="E26" s="7">
        <f>D26-C26</f>
        <v>0</v>
      </c>
      <c r="F26" s="9" t="e">
        <f>D26/C26</f>
        <v>#DIV/0!</v>
      </c>
      <c r="G26" s="8"/>
      <c r="H26" s="8"/>
      <c r="I26" s="7">
        <f>H26-G26</f>
        <v>0</v>
      </c>
      <c r="J26" s="9" t="e">
        <f>H26/G26</f>
        <v>#DIV/0!</v>
      </c>
      <c r="K26" s="10">
        <v>75</v>
      </c>
      <c r="L26" s="10"/>
      <c r="M26" s="7">
        <f>L26-K26</f>
        <v>-75</v>
      </c>
      <c r="N26" s="11">
        <f>L26/K26</f>
        <v>0</v>
      </c>
      <c r="O26" s="200"/>
      <c r="P26" s="200"/>
      <c r="Q26" s="7">
        <f>P26-O26</f>
        <v>0</v>
      </c>
      <c r="R26" s="9" t="e">
        <f>P26/O26</f>
        <v>#DIV/0!</v>
      </c>
      <c r="S26" s="201">
        <f>C26+G26+K26+O26</f>
        <v>75</v>
      </c>
      <c r="T26" s="201">
        <f>D26+H26+L26+P26</f>
        <v>0</v>
      </c>
      <c r="U26" s="7">
        <f>T26-S26</f>
        <v>-75</v>
      </c>
      <c r="V26" s="11">
        <f>T26/S26</f>
        <v>0</v>
      </c>
      <c r="X26" s="193"/>
      <c r="Y26" s="193"/>
      <c r="Z26" s="193"/>
    </row>
    <row r="27" spans="1:31" ht="20.5">
      <c r="A27" s="5">
        <v>2</v>
      </c>
      <c r="B27" s="6" t="s">
        <v>519</v>
      </c>
      <c r="C27" s="7"/>
      <c r="D27" s="8"/>
      <c r="E27" s="7">
        <f t="shared" ref="E27:E37" si="0">D27-C27</f>
        <v>0</v>
      </c>
      <c r="F27" s="9" t="e">
        <f t="shared" ref="F27:F37" si="1">D27/C27</f>
        <v>#DIV/0!</v>
      </c>
      <c r="G27" s="8"/>
      <c r="H27" s="8"/>
      <c r="I27" s="7">
        <f t="shared" ref="I27:I37" si="2">H27-G27</f>
        <v>0</v>
      </c>
      <c r="J27" s="9" t="e">
        <f t="shared" ref="J27:J37" si="3">H27/G27</f>
        <v>#DIV/0!</v>
      </c>
      <c r="K27" s="10">
        <v>30</v>
      </c>
      <c r="L27" s="10">
        <v>21</v>
      </c>
      <c r="M27" s="7">
        <f t="shared" ref="M27:M39" si="4">L27-K27</f>
        <v>-9</v>
      </c>
      <c r="N27" s="9">
        <f t="shared" ref="N27:N37" si="5">L27/K27</f>
        <v>0.7</v>
      </c>
      <c r="O27" s="200"/>
      <c r="P27" s="200"/>
      <c r="Q27" s="7">
        <f t="shared" ref="Q27:Q37" si="6">P27-O27</f>
        <v>0</v>
      </c>
      <c r="R27" s="9" t="e">
        <f t="shared" ref="R27:R37" si="7">P27/O27</f>
        <v>#DIV/0!</v>
      </c>
      <c r="S27" s="201">
        <f t="shared" ref="S27:S37" si="8">C27+G27+K27+O27</f>
        <v>30</v>
      </c>
      <c r="T27" s="201">
        <f t="shared" ref="T27:T37" si="9">D27+H27+L27+P27</f>
        <v>21</v>
      </c>
      <c r="U27" s="7">
        <f t="shared" ref="U27:U37" si="10">T27-S27</f>
        <v>-9</v>
      </c>
      <c r="V27" s="9">
        <f t="shared" ref="V27:V37" si="11">T27/S27</f>
        <v>0.7</v>
      </c>
      <c r="X27" s="193"/>
      <c r="Y27" s="193"/>
      <c r="Z27" s="193"/>
    </row>
    <row r="28" spans="1:31" ht="20.5">
      <c r="A28" s="5">
        <v>3</v>
      </c>
      <c r="B28" s="6" t="s">
        <v>578</v>
      </c>
      <c r="C28" s="7"/>
      <c r="D28" s="8"/>
      <c r="E28" s="7">
        <f t="shared" si="0"/>
        <v>0</v>
      </c>
      <c r="F28" s="9" t="e">
        <f t="shared" si="1"/>
        <v>#DIV/0!</v>
      </c>
      <c r="G28" s="8"/>
      <c r="H28" s="8"/>
      <c r="I28" s="7">
        <f t="shared" si="2"/>
        <v>0</v>
      </c>
      <c r="J28" s="9" t="e">
        <f t="shared" si="3"/>
        <v>#DIV/0!</v>
      </c>
      <c r="K28" s="10">
        <v>9</v>
      </c>
      <c r="L28" s="10"/>
      <c r="M28" s="7">
        <f t="shared" si="4"/>
        <v>-9</v>
      </c>
      <c r="N28" s="9">
        <f t="shared" si="5"/>
        <v>0</v>
      </c>
      <c r="O28" s="200"/>
      <c r="P28" s="200"/>
      <c r="Q28" s="7">
        <f t="shared" si="6"/>
        <v>0</v>
      </c>
      <c r="R28" s="9" t="e">
        <f t="shared" si="7"/>
        <v>#DIV/0!</v>
      </c>
      <c r="S28" s="201">
        <f t="shared" si="8"/>
        <v>9</v>
      </c>
      <c r="T28" s="201">
        <f t="shared" si="9"/>
        <v>0</v>
      </c>
      <c r="U28" s="7">
        <f t="shared" si="10"/>
        <v>-9</v>
      </c>
      <c r="V28" s="9">
        <f t="shared" si="11"/>
        <v>0</v>
      </c>
      <c r="X28" s="193"/>
      <c r="Y28" s="193"/>
      <c r="Z28" s="193"/>
    </row>
    <row r="29" spans="1:31" s="193" customFormat="1" ht="20.5">
      <c r="A29" s="5">
        <v>4</v>
      </c>
      <c r="B29" s="6" t="s">
        <v>537</v>
      </c>
      <c r="C29" s="7"/>
      <c r="D29" s="8"/>
      <c r="E29" s="7">
        <f>D29-C29</f>
        <v>0</v>
      </c>
      <c r="F29" s="9" t="e">
        <f>D29/C29</f>
        <v>#DIV/0!</v>
      </c>
      <c r="G29" s="8"/>
      <c r="H29" s="8"/>
      <c r="I29" s="7">
        <f>H29-G29</f>
        <v>0</v>
      </c>
      <c r="J29" s="9" t="e">
        <f>H29/G29</f>
        <v>#DIV/0!</v>
      </c>
      <c r="K29" s="10">
        <v>57</v>
      </c>
      <c r="L29" s="10">
        <f>70+7</f>
        <v>77</v>
      </c>
      <c r="M29" s="7">
        <f>L29-K29</f>
        <v>20</v>
      </c>
      <c r="N29" s="9">
        <f>L29/K29</f>
        <v>1.3508771929824561</v>
      </c>
      <c r="O29" s="200"/>
      <c r="P29" s="200"/>
      <c r="Q29" s="7">
        <f>P29-O29</f>
        <v>0</v>
      </c>
      <c r="R29" s="9" t="e">
        <f>P29/O29</f>
        <v>#DIV/0!</v>
      </c>
      <c r="S29" s="201">
        <f>C29+G29+K29+O29</f>
        <v>57</v>
      </c>
      <c r="T29" s="201">
        <f>D29+H29+L29+P29</f>
        <v>77</v>
      </c>
      <c r="U29" s="7">
        <f>T29-S29</f>
        <v>20</v>
      </c>
      <c r="V29" s="9">
        <f>T29/S29</f>
        <v>1.3508771929824561</v>
      </c>
    </row>
    <row r="30" spans="1:31" s="193" customFormat="1" ht="20.5">
      <c r="A30" s="5">
        <v>5</v>
      </c>
      <c r="B30" s="6" t="s">
        <v>520</v>
      </c>
      <c r="C30" s="7"/>
      <c r="D30" s="8"/>
      <c r="E30" s="7">
        <f t="shared" si="0"/>
        <v>0</v>
      </c>
      <c r="F30" s="9" t="e">
        <f t="shared" si="1"/>
        <v>#DIV/0!</v>
      </c>
      <c r="G30" s="8"/>
      <c r="H30" s="8"/>
      <c r="I30" s="7">
        <f t="shared" si="2"/>
        <v>0</v>
      </c>
      <c r="J30" s="9" t="e">
        <f t="shared" si="3"/>
        <v>#DIV/0!</v>
      </c>
      <c r="K30" s="10">
        <v>18</v>
      </c>
      <c r="L30" s="10"/>
      <c r="M30" s="7">
        <f t="shared" si="4"/>
        <v>-18</v>
      </c>
      <c r="N30" s="11">
        <f t="shared" si="5"/>
        <v>0</v>
      </c>
      <c r="O30" s="200"/>
      <c r="P30" s="200"/>
      <c r="Q30" s="7">
        <f t="shared" si="6"/>
        <v>0</v>
      </c>
      <c r="R30" s="9" t="e">
        <f t="shared" si="7"/>
        <v>#DIV/0!</v>
      </c>
      <c r="S30" s="201">
        <f t="shared" si="8"/>
        <v>18</v>
      </c>
      <c r="T30" s="201">
        <f t="shared" si="9"/>
        <v>0</v>
      </c>
      <c r="U30" s="7">
        <f t="shared" si="10"/>
        <v>-18</v>
      </c>
      <c r="V30" s="11">
        <f t="shared" si="11"/>
        <v>0</v>
      </c>
    </row>
    <row r="31" spans="1:31" s="193" customFormat="1" ht="20.5">
      <c r="A31" s="5">
        <v>6</v>
      </c>
      <c r="B31" s="6" t="s">
        <v>521</v>
      </c>
      <c r="C31" s="7"/>
      <c r="D31" s="8"/>
      <c r="E31" s="7">
        <f t="shared" si="0"/>
        <v>0</v>
      </c>
      <c r="F31" s="9" t="e">
        <f t="shared" si="1"/>
        <v>#DIV/0!</v>
      </c>
      <c r="G31" s="8"/>
      <c r="H31" s="8"/>
      <c r="I31" s="7">
        <f t="shared" si="2"/>
        <v>0</v>
      </c>
      <c r="J31" s="9" t="e">
        <f t="shared" si="3"/>
        <v>#DIV/0!</v>
      </c>
      <c r="K31" s="10">
        <v>33</v>
      </c>
      <c r="L31" s="10"/>
      <c r="M31" s="7">
        <f t="shared" si="4"/>
        <v>-33</v>
      </c>
      <c r="N31" s="9">
        <f t="shared" si="5"/>
        <v>0</v>
      </c>
      <c r="O31" s="200"/>
      <c r="P31" s="200"/>
      <c r="Q31" s="7">
        <f t="shared" si="6"/>
        <v>0</v>
      </c>
      <c r="R31" s="9" t="e">
        <f t="shared" si="7"/>
        <v>#DIV/0!</v>
      </c>
      <c r="S31" s="201">
        <f t="shared" si="8"/>
        <v>33</v>
      </c>
      <c r="T31" s="201">
        <f t="shared" si="9"/>
        <v>0</v>
      </c>
      <c r="U31" s="7">
        <f t="shared" si="10"/>
        <v>-33</v>
      </c>
      <c r="V31" s="9">
        <f t="shared" si="11"/>
        <v>0</v>
      </c>
    </row>
    <row r="32" spans="1:31" s="193" customFormat="1" ht="20.5">
      <c r="A32" s="5">
        <v>7</v>
      </c>
      <c r="B32" s="6" t="s">
        <v>522</v>
      </c>
      <c r="C32" s="7"/>
      <c r="D32" s="8"/>
      <c r="E32" s="7">
        <f t="shared" si="0"/>
        <v>0</v>
      </c>
      <c r="F32" s="9" t="e">
        <f t="shared" si="1"/>
        <v>#DIV/0!</v>
      </c>
      <c r="G32" s="8"/>
      <c r="H32" s="8"/>
      <c r="I32" s="7">
        <f t="shared" si="2"/>
        <v>0</v>
      </c>
      <c r="J32" s="9" t="e">
        <f t="shared" si="3"/>
        <v>#DIV/0!</v>
      </c>
      <c r="K32" s="10">
        <v>50</v>
      </c>
      <c r="L32" s="10"/>
      <c r="M32" s="7">
        <f t="shared" si="4"/>
        <v>-50</v>
      </c>
      <c r="N32" s="9">
        <f t="shared" si="5"/>
        <v>0</v>
      </c>
      <c r="O32" s="200"/>
      <c r="P32" s="200"/>
      <c r="Q32" s="7">
        <f t="shared" si="6"/>
        <v>0</v>
      </c>
      <c r="R32" s="9" t="e">
        <f t="shared" si="7"/>
        <v>#DIV/0!</v>
      </c>
      <c r="S32" s="201">
        <f t="shared" si="8"/>
        <v>50</v>
      </c>
      <c r="T32" s="201">
        <f t="shared" si="9"/>
        <v>0</v>
      </c>
      <c r="U32" s="7">
        <f t="shared" si="10"/>
        <v>-50</v>
      </c>
      <c r="V32" s="9">
        <f t="shared" si="11"/>
        <v>0</v>
      </c>
    </row>
    <row r="33" spans="1:26" s="193" customFormat="1" ht="20.5">
      <c r="A33" s="5">
        <v>8</v>
      </c>
      <c r="B33" s="6" t="s">
        <v>523</v>
      </c>
      <c r="C33" s="7"/>
      <c r="D33" s="8"/>
      <c r="E33" s="7">
        <f t="shared" si="0"/>
        <v>0</v>
      </c>
      <c r="F33" s="9" t="e">
        <f t="shared" si="1"/>
        <v>#DIV/0!</v>
      </c>
      <c r="G33" s="8"/>
      <c r="H33" s="8"/>
      <c r="I33" s="7">
        <f t="shared" si="2"/>
        <v>0</v>
      </c>
      <c r="J33" s="9" t="e">
        <f t="shared" si="3"/>
        <v>#DIV/0!</v>
      </c>
      <c r="K33" s="10">
        <v>20</v>
      </c>
      <c r="L33" s="10"/>
      <c r="M33" s="7">
        <f t="shared" si="4"/>
        <v>-20</v>
      </c>
      <c r="N33" s="11">
        <f t="shared" si="5"/>
        <v>0</v>
      </c>
      <c r="O33" s="200"/>
      <c r="P33" s="200"/>
      <c r="Q33" s="7">
        <f t="shared" si="6"/>
        <v>0</v>
      </c>
      <c r="R33" s="9" t="e">
        <f t="shared" si="7"/>
        <v>#DIV/0!</v>
      </c>
      <c r="S33" s="201">
        <f t="shared" si="8"/>
        <v>20</v>
      </c>
      <c r="T33" s="201">
        <f t="shared" si="9"/>
        <v>0</v>
      </c>
      <c r="U33" s="7">
        <f t="shared" si="10"/>
        <v>-20</v>
      </c>
      <c r="V33" s="11">
        <f t="shared" si="11"/>
        <v>0</v>
      </c>
    </row>
    <row r="34" spans="1:26" s="193" customFormat="1" ht="20.5">
      <c r="A34" s="5">
        <v>9</v>
      </c>
      <c r="B34" s="6" t="s">
        <v>524</v>
      </c>
      <c r="C34" s="7"/>
      <c r="D34" s="8"/>
      <c r="E34" s="7">
        <f t="shared" si="0"/>
        <v>0</v>
      </c>
      <c r="F34" s="9" t="e">
        <f t="shared" si="1"/>
        <v>#DIV/0!</v>
      </c>
      <c r="G34" s="8"/>
      <c r="H34" s="8"/>
      <c r="I34" s="7">
        <f t="shared" si="2"/>
        <v>0</v>
      </c>
      <c r="J34" s="9" t="e">
        <f t="shared" si="3"/>
        <v>#DIV/0!</v>
      </c>
      <c r="K34" s="10">
        <v>20</v>
      </c>
      <c r="L34" s="10"/>
      <c r="M34" s="7">
        <f t="shared" si="4"/>
        <v>-20</v>
      </c>
      <c r="N34" s="9">
        <f t="shared" si="5"/>
        <v>0</v>
      </c>
      <c r="O34" s="200"/>
      <c r="P34" s="200"/>
      <c r="Q34" s="7">
        <f t="shared" si="6"/>
        <v>0</v>
      </c>
      <c r="R34" s="9" t="e">
        <f t="shared" si="7"/>
        <v>#DIV/0!</v>
      </c>
      <c r="S34" s="201">
        <f t="shared" si="8"/>
        <v>20</v>
      </c>
      <c r="T34" s="201">
        <f t="shared" si="9"/>
        <v>0</v>
      </c>
      <c r="U34" s="7">
        <f t="shared" si="10"/>
        <v>-20</v>
      </c>
      <c r="V34" s="9">
        <f t="shared" si="11"/>
        <v>0</v>
      </c>
    </row>
    <row r="35" spans="1:26" s="193" customFormat="1" ht="20.5">
      <c r="A35" s="5">
        <v>10</v>
      </c>
      <c r="B35" s="6" t="s">
        <v>536</v>
      </c>
      <c r="C35" s="7"/>
      <c r="D35" s="8"/>
      <c r="E35" s="7">
        <f t="shared" si="0"/>
        <v>0</v>
      </c>
      <c r="F35" s="9" t="e">
        <f t="shared" si="1"/>
        <v>#DIV/0!</v>
      </c>
      <c r="G35" s="8"/>
      <c r="H35" s="8"/>
      <c r="I35" s="7">
        <f t="shared" si="2"/>
        <v>0</v>
      </c>
      <c r="J35" s="9" t="e">
        <f t="shared" si="3"/>
        <v>#DIV/0!</v>
      </c>
      <c r="K35" s="10"/>
      <c r="L35" s="10">
        <v>646.4</v>
      </c>
      <c r="M35" s="7">
        <f t="shared" si="4"/>
        <v>646.4</v>
      </c>
      <c r="N35" s="9" t="e">
        <f t="shared" si="5"/>
        <v>#DIV/0!</v>
      </c>
      <c r="O35" s="200"/>
      <c r="P35" s="200"/>
      <c r="Q35" s="7">
        <f t="shared" si="6"/>
        <v>0</v>
      </c>
      <c r="R35" s="9" t="e">
        <f t="shared" si="7"/>
        <v>#DIV/0!</v>
      </c>
      <c r="S35" s="201">
        <f t="shared" si="8"/>
        <v>0</v>
      </c>
      <c r="T35" s="201">
        <f t="shared" si="9"/>
        <v>646.4</v>
      </c>
      <c r="U35" s="7">
        <f t="shared" si="10"/>
        <v>646.4</v>
      </c>
      <c r="V35" s="9" t="e">
        <f t="shared" si="11"/>
        <v>#DIV/0!</v>
      </c>
    </row>
    <row r="36" spans="1:26" s="193" customFormat="1" ht="20.5">
      <c r="A36" s="5">
        <v>11</v>
      </c>
      <c r="B36" s="6" t="s">
        <v>538</v>
      </c>
      <c r="C36" s="7"/>
      <c r="D36" s="8"/>
      <c r="E36" s="7">
        <f t="shared" si="0"/>
        <v>0</v>
      </c>
      <c r="F36" s="9" t="e">
        <f t="shared" si="1"/>
        <v>#DIV/0!</v>
      </c>
      <c r="G36" s="8"/>
      <c r="H36" s="8"/>
      <c r="I36" s="7">
        <f t="shared" si="2"/>
        <v>0</v>
      </c>
      <c r="J36" s="9" t="e">
        <f t="shared" si="3"/>
        <v>#DIV/0!</v>
      </c>
      <c r="K36" s="10"/>
      <c r="L36" s="10">
        <f>3.2+1</f>
        <v>4.2</v>
      </c>
      <c r="M36" s="7">
        <f t="shared" si="4"/>
        <v>4.2</v>
      </c>
      <c r="N36" s="9" t="e">
        <f t="shared" si="5"/>
        <v>#DIV/0!</v>
      </c>
      <c r="O36" s="200"/>
      <c r="P36" s="200"/>
      <c r="Q36" s="7">
        <f t="shared" si="6"/>
        <v>0</v>
      </c>
      <c r="R36" s="9" t="e">
        <f t="shared" si="7"/>
        <v>#DIV/0!</v>
      </c>
      <c r="S36" s="201">
        <f t="shared" si="8"/>
        <v>0</v>
      </c>
      <c r="T36" s="201">
        <f t="shared" si="9"/>
        <v>4.2</v>
      </c>
      <c r="U36" s="7">
        <f t="shared" si="10"/>
        <v>4.2</v>
      </c>
      <c r="V36" s="9" t="e">
        <f t="shared" si="11"/>
        <v>#DIV/0!</v>
      </c>
    </row>
    <row r="37" spans="1:26" s="193" customFormat="1" ht="20.5">
      <c r="A37" s="5">
        <v>12</v>
      </c>
      <c r="B37" s="6" t="s">
        <v>560</v>
      </c>
      <c r="C37" s="7"/>
      <c r="D37" s="8"/>
      <c r="E37" s="7">
        <f t="shared" si="0"/>
        <v>0</v>
      </c>
      <c r="F37" s="9" t="e">
        <f t="shared" si="1"/>
        <v>#DIV/0!</v>
      </c>
      <c r="G37" s="8"/>
      <c r="H37" s="8"/>
      <c r="I37" s="7">
        <f t="shared" si="2"/>
        <v>0</v>
      </c>
      <c r="J37" s="9" t="e">
        <f t="shared" si="3"/>
        <v>#DIV/0!</v>
      </c>
      <c r="K37" s="10"/>
      <c r="L37" s="10">
        <v>9</v>
      </c>
      <c r="M37" s="7">
        <f t="shared" si="4"/>
        <v>9</v>
      </c>
      <c r="N37" s="9" t="e">
        <f t="shared" si="5"/>
        <v>#DIV/0!</v>
      </c>
      <c r="O37" s="200"/>
      <c r="P37" s="200"/>
      <c r="Q37" s="7">
        <f t="shared" si="6"/>
        <v>0</v>
      </c>
      <c r="R37" s="9" t="e">
        <f t="shared" si="7"/>
        <v>#DIV/0!</v>
      </c>
      <c r="S37" s="201">
        <f t="shared" si="8"/>
        <v>0</v>
      </c>
      <c r="T37" s="201">
        <f t="shared" si="9"/>
        <v>9</v>
      </c>
      <c r="U37" s="7">
        <f t="shared" si="10"/>
        <v>9</v>
      </c>
      <c r="V37" s="9" t="e">
        <f t="shared" si="11"/>
        <v>#DIV/0!</v>
      </c>
    </row>
    <row r="38" spans="1:26" s="193" customFormat="1" ht="20.5">
      <c r="A38" s="5">
        <v>13</v>
      </c>
      <c r="B38" s="202" t="s">
        <v>579</v>
      </c>
      <c r="C38" s="7"/>
      <c r="D38" s="8"/>
      <c r="E38" s="7"/>
      <c r="F38" s="9"/>
      <c r="G38" s="8"/>
      <c r="H38" s="8"/>
      <c r="I38" s="7"/>
      <c r="J38" s="9"/>
      <c r="K38" s="10"/>
      <c r="L38" s="10">
        <v>4</v>
      </c>
      <c r="M38" s="7">
        <f t="shared" si="4"/>
        <v>4</v>
      </c>
      <c r="N38" s="9"/>
      <c r="O38" s="200"/>
      <c r="P38" s="200"/>
      <c r="Q38" s="7"/>
      <c r="R38" s="9"/>
      <c r="S38" s="201"/>
      <c r="T38" s="201"/>
      <c r="U38" s="7"/>
      <c r="V38" s="9"/>
    </row>
    <row r="39" spans="1:26" s="193" customFormat="1" ht="20.5">
      <c r="A39" s="5">
        <v>14</v>
      </c>
      <c r="B39" s="202" t="s">
        <v>561</v>
      </c>
      <c r="C39" s="7"/>
      <c r="D39" s="8"/>
      <c r="E39" s="7"/>
      <c r="F39" s="9"/>
      <c r="G39" s="8"/>
      <c r="H39" s="8"/>
      <c r="I39" s="7"/>
      <c r="J39" s="9"/>
      <c r="K39" s="10"/>
      <c r="L39" s="10">
        <v>10</v>
      </c>
      <c r="M39" s="7">
        <f t="shared" si="4"/>
        <v>10</v>
      </c>
      <c r="N39" s="9"/>
      <c r="O39" s="200"/>
      <c r="P39" s="200"/>
      <c r="Q39" s="7"/>
      <c r="R39" s="9"/>
      <c r="S39" s="201"/>
      <c r="T39" s="201"/>
      <c r="U39" s="7"/>
      <c r="V39" s="9"/>
    </row>
    <row r="40" spans="1:26" ht="20.5">
      <c r="A40" s="323" t="s">
        <v>58</v>
      </c>
      <c r="B40" s="324"/>
      <c r="C40" s="203">
        <f>SUM(C26:C37)</f>
        <v>0</v>
      </c>
      <c r="D40" s="203">
        <f>SUM(D26:D37)</f>
        <v>0</v>
      </c>
      <c r="E40" s="203">
        <f>SUM(E26:E37)</f>
        <v>0</v>
      </c>
      <c r="F40" s="204"/>
      <c r="G40" s="203">
        <f>SUM(G26:G37)</f>
        <v>0</v>
      </c>
      <c r="H40" s="203">
        <f>SUM(H26:H37)</f>
        <v>0</v>
      </c>
      <c r="I40" s="203">
        <f>SUM(I26:I37)</f>
        <v>0</v>
      </c>
      <c r="J40" s="204"/>
      <c r="K40" s="203">
        <f>SUM(K26:K39)</f>
        <v>312</v>
      </c>
      <c r="L40" s="203">
        <f>SUM(L26:L39)</f>
        <v>771.6</v>
      </c>
      <c r="M40" s="203">
        <f t="shared" ref="M40:U40" si="12">SUM(M26:M39)</f>
        <v>459.59999999999997</v>
      </c>
      <c r="N40" s="203"/>
      <c r="O40" s="203">
        <f t="shared" si="12"/>
        <v>0</v>
      </c>
      <c r="P40" s="203">
        <f t="shared" si="12"/>
        <v>0</v>
      </c>
      <c r="Q40" s="203">
        <f t="shared" si="12"/>
        <v>0</v>
      </c>
      <c r="R40" s="203"/>
      <c r="S40" s="203">
        <f t="shared" si="12"/>
        <v>312</v>
      </c>
      <c r="T40" s="203">
        <f t="shared" si="12"/>
        <v>757.6</v>
      </c>
      <c r="U40" s="203">
        <f t="shared" si="12"/>
        <v>445.59999999999997</v>
      </c>
      <c r="V40" s="203"/>
      <c r="X40" s="193"/>
      <c r="Y40" s="193"/>
      <c r="Z40" s="193"/>
    </row>
    <row r="41" spans="1:26" ht="20.5">
      <c r="A41" s="323" t="s">
        <v>59</v>
      </c>
      <c r="B41" s="324"/>
      <c r="C41" s="200"/>
      <c r="D41" s="200"/>
      <c r="E41" s="200"/>
      <c r="F41" s="9" t="e">
        <f>D40/C40</f>
        <v>#DIV/0!</v>
      </c>
      <c r="G41" s="205"/>
      <c r="H41" s="200"/>
      <c r="I41" s="200"/>
      <c r="J41" s="9" t="e">
        <f>H40/G40</f>
        <v>#DIV/0!</v>
      </c>
      <c r="K41" s="200"/>
      <c r="L41" s="200"/>
      <c r="M41" s="200"/>
      <c r="N41" s="11">
        <f>L40/K40</f>
        <v>2.4730769230769232</v>
      </c>
      <c r="O41" s="200"/>
      <c r="P41" s="200"/>
      <c r="Q41" s="200"/>
      <c r="R41" s="11"/>
      <c r="S41" s="206"/>
      <c r="T41" s="206"/>
      <c r="U41" s="206"/>
      <c r="V41" s="11">
        <f>T40/S40</f>
        <v>2.4282051282051285</v>
      </c>
      <c r="X41" s="193"/>
      <c r="Y41" s="193"/>
      <c r="Z41" s="193"/>
    </row>
    <row r="42" spans="1:26" ht="20.5">
      <c r="A42" s="207"/>
      <c r="B42" s="207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X42" s="193"/>
      <c r="Y42" s="193"/>
      <c r="Z42" s="193"/>
    </row>
    <row r="43" spans="1:26" s="189" customFormat="1" ht="20">
      <c r="B43" s="189" t="s">
        <v>251</v>
      </c>
      <c r="X43" s="196"/>
      <c r="Y43" s="196"/>
      <c r="Z43" s="196"/>
    </row>
    <row r="44" spans="1:26" s="209" customFormat="1" ht="20.5">
      <c r="A44" s="187"/>
      <c r="B44" s="187"/>
      <c r="C44" s="187"/>
      <c r="D44" s="187"/>
      <c r="E44" s="187"/>
      <c r="F44" s="187"/>
      <c r="G44" s="187"/>
      <c r="H44" s="187"/>
      <c r="I44" s="187"/>
      <c r="K44" s="187"/>
      <c r="N44" s="210"/>
      <c r="O44" s="210"/>
      <c r="P44" s="199" t="s">
        <v>233</v>
      </c>
      <c r="X44" s="210"/>
      <c r="Y44" s="210"/>
      <c r="Z44" s="199"/>
    </row>
    <row r="45" spans="1:26" s="209" customFormat="1">
      <c r="A45" s="341" t="s">
        <v>206</v>
      </c>
      <c r="B45" s="325" t="s">
        <v>495</v>
      </c>
      <c r="C45" s="344" t="s">
        <v>496</v>
      </c>
      <c r="D45" s="345"/>
      <c r="E45" s="325" t="s">
        <v>207</v>
      </c>
      <c r="F45" s="325" t="s">
        <v>208</v>
      </c>
      <c r="G45" s="325" t="s">
        <v>497</v>
      </c>
      <c r="H45" s="323" t="s">
        <v>498</v>
      </c>
      <c r="I45" s="328"/>
      <c r="J45" s="328"/>
      <c r="K45" s="328"/>
      <c r="L45" s="324"/>
      <c r="M45" s="325" t="s">
        <v>499</v>
      </c>
      <c r="N45" s="325" t="s">
        <v>326</v>
      </c>
    </row>
    <row r="46" spans="1:26" s="209" customFormat="1">
      <c r="A46" s="342"/>
      <c r="B46" s="326"/>
      <c r="C46" s="346"/>
      <c r="D46" s="347"/>
      <c r="E46" s="326"/>
      <c r="F46" s="326"/>
      <c r="G46" s="326"/>
      <c r="H46" s="325" t="s">
        <v>302</v>
      </c>
      <c r="I46" s="325" t="s">
        <v>305</v>
      </c>
      <c r="J46" s="323" t="s">
        <v>306</v>
      </c>
      <c r="K46" s="328"/>
      <c r="L46" s="324"/>
      <c r="M46" s="326"/>
      <c r="N46" s="326"/>
    </row>
    <row r="47" spans="1:26" s="211" customFormat="1" ht="108">
      <c r="A47" s="343"/>
      <c r="B47" s="327"/>
      <c r="C47" s="348"/>
      <c r="D47" s="349"/>
      <c r="E47" s="327"/>
      <c r="F47" s="327"/>
      <c r="G47" s="327"/>
      <c r="H47" s="327"/>
      <c r="I47" s="327"/>
      <c r="J47" s="6" t="s">
        <v>303</v>
      </c>
      <c r="K47" s="6" t="s">
        <v>304</v>
      </c>
      <c r="L47" s="6" t="s">
        <v>500</v>
      </c>
      <c r="M47" s="327"/>
      <c r="N47" s="327"/>
    </row>
    <row r="48" spans="1:26" s="209" customFormat="1">
      <c r="A48" s="212">
        <v>1</v>
      </c>
      <c r="B48" s="200">
        <v>2</v>
      </c>
      <c r="C48" s="323">
        <v>3</v>
      </c>
      <c r="D48" s="324"/>
      <c r="E48" s="6">
        <v>4</v>
      </c>
      <c r="F48" s="6">
        <v>5</v>
      </c>
      <c r="G48" s="6">
        <v>6</v>
      </c>
      <c r="H48" s="6">
        <v>7</v>
      </c>
      <c r="I48" s="6">
        <v>8</v>
      </c>
      <c r="J48" s="6">
        <v>9</v>
      </c>
      <c r="K48" s="6">
        <v>10</v>
      </c>
      <c r="L48" s="6">
        <v>11</v>
      </c>
      <c r="M48" s="6">
        <v>12</v>
      </c>
      <c r="N48" s="6">
        <v>13</v>
      </c>
    </row>
    <row r="49" spans="1:21" s="209" customFormat="1">
      <c r="A49" s="338" t="s">
        <v>58</v>
      </c>
      <c r="B49" s="339"/>
      <c r="C49" s="339"/>
      <c r="D49" s="340"/>
      <c r="E49" s="12"/>
      <c r="F49" s="12"/>
      <c r="G49" s="12"/>
      <c r="H49" s="6"/>
      <c r="I49" s="6"/>
      <c r="J49" s="6"/>
      <c r="K49" s="6"/>
      <c r="L49" s="6"/>
      <c r="M49" s="6"/>
      <c r="N49" s="6"/>
    </row>
    <row r="50" spans="1:21">
      <c r="A50" s="207"/>
      <c r="B50" s="207"/>
      <c r="C50" s="208"/>
      <c r="D50" s="208"/>
      <c r="E50" s="208"/>
      <c r="F50" s="213"/>
      <c r="G50" s="208"/>
      <c r="H50" s="214"/>
      <c r="I50" s="214"/>
      <c r="J50" s="214"/>
      <c r="K50" s="214"/>
      <c r="L50" s="214"/>
      <c r="M50" s="214"/>
      <c r="N50" s="214"/>
      <c r="O50" s="214"/>
    </row>
    <row r="51" spans="1:21">
      <c r="A51" s="207"/>
      <c r="B51" s="207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</row>
    <row r="52" spans="1:21" s="186" customFormat="1"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21" ht="20">
      <c r="A53" s="215"/>
      <c r="B53" s="215" t="s">
        <v>517</v>
      </c>
      <c r="C53" s="216"/>
      <c r="D53" s="217"/>
      <c r="E53" s="217"/>
      <c r="F53" s="217"/>
      <c r="G53" s="218"/>
      <c r="H53" s="335" t="s">
        <v>515</v>
      </c>
      <c r="I53" s="335"/>
      <c r="J53" s="335"/>
    </row>
    <row r="54" spans="1:21">
      <c r="B54" s="219" t="s">
        <v>78</v>
      </c>
      <c r="C54" s="336" t="s">
        <v>79</v>
      </c>
      <c r="D54" s="336"/>
      <c r="E54" s="336"/>
      <c r="F54" s="336"/>
      <c r="G54" s="220"/>
      <c r="H54" s="337" t="s">
        <v>103</v>
      </c>
      <c r="I54" s="337"/>
      <c r="J54" s="337"/>
    </row>
    <row r="55" spans="1:21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</row>
    <row r="56" spans="1:21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</row>
    <row r="57" spans="1:21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</row>
    <row r="58" spans="1:21">
      <c r="B58" s="207"/>
    </row>
    <row r="61" spans="1:21">
      <c r="B61" s="222"/>
    </row>
    <row r="62" spans="1:21">
      <c r="B62" s="222"/>
    </row>
    <row r="63" spans="1:21">
      <c r="B63" s="222"/>
    </row>
    <row r="64" spans="1:21">
      <c r="B64" s="222"/>
    </row>
    <row r="65" spans="2:2">
      <c r="B65" s="222"/>
    </row>
    <row r="66" spans="2:2">
      <c r="B66" s="222"/>
    </row>
    <row r="67" spans="2:2">
      <c r="B67" s="222"/>
    </row>
  </sheetData>
  <sheetProtection formatCells="0" formatColumns="0" formatRows="0" insertRows="0" deleteRows="0"/>
  <mergeCells count="48">
    <mergeCell ref="H53:J53"/>
    <mergeCell ref="C54:F54"/>
    <mergeCell ref="H54:J54"/>
    <mergeCell ref="A49:D49"/>
    <mergeCell ref="B22:B24"/>
    <mergeCell ref="A41:B41"/>
    <mergeCell ref="A45:A47"/>
    <mergeCell ref="B45:B47"/>
    <mergeCell ref="C45:D47"/>
    <mergeCell ref="E45:E47"/>
    <mergeCell ref="O22:R22"/>
    <mergeCell ref="S22:V22"/>
    <mergeCell ref="C23:F23"/>
    <mergeCell ref="G23:J23"/>
    <mergeCell ref="K23:N23"/>
    <mergeCell ref="O23:R23"/>
    <mergeCell ref="S23:V23"/>
    <mergeCell ref="A8:B8"/>
    <mergeCell ref="A12:A14"/>
    <mergeCell ref="B12:B14"/>
    <mergeCell ref="C12:C14"/>
    <mergeCell ref="D12:D14"/>
    <mergeCell ref="AB1:AE1"/>
    <mergeCell ref="A4:A5"/>
    <mergeCell ref="B4:B5"/>
    <mergeCell ref="C4:C5"/>
    <mergeCell ref="D4:D5"/>
    <mergeCell ref="E4:E5"/>
    <mergeCell ref="F4:J4"/>
    <mergeCell ref="N45:N47"/>
    <mergeCell ref="C48:D48"/>
    <mergeCell ref="G22:J22"/>
    <mergeCell ref="E12:E14"/>
    <mergeCell ref="F12:J12"/>
    <mergeCell ref="F13:F14"/>
    <mergeCell ref="K22:N22"/>
    <mergeCell ref="F45:F47"/>
    <mergeCell ref="G45:G47"/>
    <mergeCell ref="H45:L45"/>
    <mergeCell ref="M45:M47"/>
    <mergeCell ref="H46:H47"/>
    <mergeCell ref="I46:I47"/>
    <mergeCell ref="J46:L46"/>
    <mergeCell ref="A17:B17"/>
    <mergeCell ref="A22:A24"/>
    <mergeCell ref="C22:F22"/>
    <mergeCell ref="A40:B40"/>
    <mergeCell ref="G13:J13"/>
  </mergeCells>
  <phoneticPr fontId="3" type="noConversion"/>
  <pageMargins left="0.78740157480314965" right="0.78740157480314965" top="1.1811023622047245" bottom="0.39370078740157483" header="0" footer="0"/>
  <pageSetup paperSize="9" scale="35" orientation="landscape" verticalDpi="1200" r:id="rId1"/>
  <headerFooter alignWithMargins="0"/>
  <colBreaks count="1" manualBreakCount="1">
    <brk id="22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Лист1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2023-08-10T06:50:53Z</cp:lastPrinted>
  <dcterms:created xsi:type="dcterms:W3CDTF">2003-03-13T16:00:22Z</dcterms:created>
  <dcterms:modified xsi:type="dcterms:W3CDTF">2023-08-10T07:53:23Z</dcterms:modified>
</cp:coreProperties>
</file>