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525" windowWidth="19815" windowHeight="7365"/>
  </bookViews>
  <sheets>
    <sheet name="Sheet" sheetId="1" r:id="rId1"/>
  </sheets>
  <definedNames>
    <definedName name="_xlnm._FilterDatabase" localSheetId="0" hidden="1">Sheet!$A$5:$BF$476</definedName>
  </definedNames>
  <calcPr calcId="125725"/>
</workbook>
</file>

<file path=xl/calcChain.xml><?xml version="1.0" encoding="utf-8"?>
<calcChain xmlns="http://schemas.openxmlformats.org/spreadsheetml/2006/main">
  <c r="B476" i="1"/>
  <c r="B475"/>
  <c r="B474"/>
  <c r="B473"/>
  <c r="B472"/>
  <c r="B471"/>
  <c r="B470"/>
  <c r="B469"/>
  <c r="B468"/>
  <c r="B467"/>
  <c r="B466"/>
  <c r="AR465"/>
  <c r="B465"/>
  <c r="B464"/>
  <c r="AR463"/>
  <c r="B463"/>
  <c r="B462"/>
  <c r="AR461"/>
  <c r="B461"/>
  <c r="AR460"/>
  <c r="B460"/>
  <c r="B459"/>
  <c r="B458"/>
  <c r="B457"/>
  <c r="B456"/>
  <c r="AR455"/>
  <c r="B455"/>
  <c r="B454"/>
  <c r="B453"/>
  <c r="AR452"/>
  <c r="B452"/>
  <c r="AR451"/>
  <c r="B451"/>
  <c r="AR450"/>
  <c r="B450"/>
  <c r="AR449"/>
  <c r="B449"/>
  <c r="B448"/>
  <c r="AR447"/>
  <c r="B447"/>
  <c r="AR446"/>
  <c r="B446"/>
  <c r="AR445"/>
  <c r="B445"/>
  <c r="B444"/>
  <c r="B443"/>
  <c r="B442"/>
  <c r="B441"/>
  <c r="AR440"/>
  <c r="B440"/>
  <c r="B439"/>
  <c r="AR438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AR419"/>
  <c r="B419"/>
  <c r="B418"/>
  <c r="B417"/>
  <c r="B416"/>
  <c r="B415"/>
  <c r="B414"/>
  <c r="AR413"/>
  <c r="B413"/>
  <c r="B412"/>
  <c r="B411"/>
  <c r="AR410"/>
  <c r="B410"/>
  <c r="B409"/>
  <c r="AR408"/>
  <c r="B408"/>
  <c r="B407"/>
  <c r="AR406"/>
  <c r="B406"/>
  <c r="AR405"/>
  <c r="B405"/>
  <c r="B404"/>
  <c r="AR403"/>
  <c r="B403"/>
  <c r="B402"/>
  <c r="B401"/>
  <c r="B400"/>
  <c r="B399"/>
  <c r="AR398"/>
  <c r="B398"/>
  <c r="AR397"/>
  <c r="B397"/>
  <c r="AR396"/>
  <c r="C396"/>
  <c r="B396"/>
  <c r="AR395"/>
  <c r="C395"/>
  <c r="B395"/>
  <c r="AR394"/>
  <c r="B394"/>
  <c r="B393"/>
  <c r="B392"/>
  <c r="B391"/>
  <c r="B390"/>
  <c r="B389"/>
  <c r="AR388"/>
  <c r="B388"/>
  <c r="B387"/>
  <c r="B386"/>
  <c r="B385"/>
  <c r="AR384"/>
  <c r="B384"/>
  <c r="B383"/>
  <c r="B382"/>
  <c r="AR381"/>
  <c r="B381"/>
  <c r="B380"/>
  <c r="B379"/>
  <c r="B378"/>
  <c r="B377"/>
  <c r="B376"/>
  <c r="B375"/>
  <c r="B374"/>
  <c r="B373"/>
  <c r="AR372"/>
  <c r="B372"/>
  <c r="AR371"/>
  <c r="B371"/>
  <c r="B370"/>
  <c r="AR369"/>
  <c r="B369"/>
  <c r="AR368"/>
  <c r="B368"/>
  <c r="B367"/>
  <c r="B366"/>
  <c r="B365"/>
  <c r="AR364"/>
  <c r="B364"/>
  <c r="B363"/>
  <c r="AR362"/>
  <c r="B362"/>
  <c r="AR361"/>
  <c r="B361"/>
  <c r="B360"/>
  <c r="B359"/>
  <c r="AR358"/>
  <c r="B358"/>
  <c r="B357"/>
  <c r="B356"/>
  <c r="B355"/>
  <c r="AR354"/>
  <c r="B354"/>
  <c r="AR353"/>
  <c r="B353"/>
  <c r="AR352"/>
  <c r="B352"/>
  <c r="B351"/>
  <c r="AR350"/>
  <c r="B350"/>
  <c r="B349"/>
  <c r="B348"/>
  <c r="B347"/>
  <c r="B346"/>
  <c r="AR345"/>
  <c r="B345"/>
  <c r="AR344"/>
  <c r="B344"/>
  <c r="B343"/>
  <c r="AR342"/>
  <c r="B342"/>
  <c r="B341"/>
  <c r="B340"/>
  <c r="B339"/>
  <c r="B338"/>
  <c r="B337"/>
  <c r="B336"/>
  <c r="B335"/>
  <c r="AR334"/>
  <c r="B334"/>
  <c r="AR333"/>
  <c r="B333"/>
  <c r="AR332"/>
  <c r="B332"/>
  <c r="B331"/>
  <c r="B330"/>
  <c r="AR329"/>
  <c r="B329"/>
  <c r="AR328"/>
  <c r="B328"/>
  <c r="B327"/>
  <c r="B326"/>
  <c r="AR325"/>
  <c r="B325"/>
  <c r="AR324"/>
  <c r="B324"/>
  <c r="B323"/>
  <c r="B322"/>
  <c r="B321"/>
  <c r="B320"/>
  <c r="B319"/>
  <c r="B318"/>
  <c r="AR317"/>
  <c r="B317"/>
  <c r="AR316"/>
  <c r="B316"/>
  <c r="B315"/>
  <c r="B314"/>
  <c r="AR313"/>
  <c r="B313"/>
  <c r="B312"/>
  <c r="B311"/>
  <c r="AR310"/>
  <c r="B310"/>
  <c r="B309"/>
  <c r="B308"/>
  <c r="B307"/>
  <c r="B306"/>
  <c r="B305"/>
  <c r="B304"/>
  <c r="B303"/>
  <c r="B302"/>
  <c r="B301"/>
  <c r="B300"/>
  <c r="B299"/>
  <c r="B298"/>
  <c r="B297"/>
  <c r="AR296"/>
  <c r="B296"/>
  <c r="AR295"/>
  <c r="B295"/>
  <c r="AR294"/>
  <c r="B294"/>
  <c r="AR293"/>
  <c r="B293"/>
  <c r="AR292"/>
  <c r="B292"/>
  <c r="B291"/>
  <c r="AR290"/>
  <c r="B290"/>
  <c r="AR289"/>
  <c r="B289"/>
  <c r="B288"/>
  <c r="AR287"/>
  <c r="B287"/>
  <c r="B286"/>
  <c r="AR285"/>
  <c r="B285"/>
  <c r="B284"/>
  <c r="B283"/>
  <c r="B282"/>
  <c r="B281"/>
  <c r="B280"/>
  <c r="B279"/>
  <c r="B278"/>
  <c r="AR277"/>
  <c r="B277"/>
  <c r="B276"/>
  <c r="B275"/>
  <c r="B274"/>
  <c r="AR273"/>
  <c r="B273"/>
  <c r="B272"/>
  <c r="B271"/>
  <c r="B270"/>
  <c r="B269"/>
  <c r="AR268"/>
  <c r="B268"/>
  <c r="B267"/>
  <c r="B266"/>
  <c r="B265"/>
  <c r="B264"/>
  <c r="B263"/>
  <c r="B262"/>
  <c r="B261"/>
  <c r="B260"/>
  <c r="B259"/>
  <c r="B258"/>
  <c r="B257"/>
  <c r="B256"/>
  <c r="B255"/>
  <c r="B254"/>
  <c r="AR253"/>
  <c r="B253"/>
  <c r="B252"/>
  <c r="AR251"/>
  <c r="B251"/>
  <c r="AR250"/>
  <c r="B250"/>
  <c r="B249"/>
  <c r="B248"/>
  <c r="AR247"/>
  <c r="B247"/>
  <c r="B246"/>
  <c r="AR245"/>
  <c r="B245"/>
  <c r="AR244"/>
  <c r="B244"/>
  <c r="B243"/>
  <c r="AR242"/>
  <c r="B242"/>
  <c r="B241"/>
  <c r="B240"/>
  <c r="B239"/>
  <c r="AR238"/>
  <c r="B238"/>
  <c r="B237"/>
  <c r="AR236"/>
  <c r="B236"/>
  <c r="B235"/>
  <c r="B234"/>
  <c r="B233"/>
  <c r="AR232"/>
  <c r="B232"/>
  <c r="B231"/>
  <c r="B230"/>
  <c r="B229"/>
  <c r="C228"/>
  <c r="B228"/>
  <c r="AR227"/>
  <c r="C227"/>
  <c r="B227"/>
  <c r="AR226"/>
  <c r="B226"/>
  <c r="AR225"/>
  <c r="B225"/>
  <c r="AR224"/>
  <c r="B224"/>
  <c r="AR223"/>
  <c r="B223"/>
  <c r="AR222"/>
  <c r="B222"/>
  <c r="AR221"/>
  <c r="B221"/>
  <c r="C220"/>
  <c r="B220"/>
  <c r="C219"/>
  <c r="B219"/>
  <c r="AR218"/>
  <c r="B218"/>
  <c r="AR217"/>
  <c r="B217"/>
  <c r="B216"/>
  <c r="B215"/>
  <c r="B214"/>
  <c r="AR213"/>
  <c r="B213"/>
  <c r="B212"/>
  <c r="AR211"/>
  <c r="B211"/>
  <c r="AR210"/>
  <c r="B210"/>
  <c r="B209"/>
  <c r="B208"/>
  <c r="AR207"/>
  <c r="B207"/>
  <c r="B206"/>
  <c r="B205"/>
  <c r="AR204"/>
  <c r="B204"/>
  <c r="AR203"/>
  <c r="B203"/>
  <c r="AR202"/>
  <c r="B202"/>
  <c r="B201"/>
  <c r="B200"/>
  <c r="B199"/>
  <c r="B198"/>
  <c r="AR197"/>
  <c r="B197"/>
  <c r="AR196"/>
  <c r="B196"/>
  <c r="B195"/>
  <c r="B194"/>
  <c r="B193"/>
  <c r="B192"/>
  <c r="B191"/>
  <c r="B190"/>
  <c r="B189"/>
  <c r="B188"/>
  <c r="B187"/>
  <c r="B186"/>
  <c r="B185"/>
  <c r="B184"/>
  <c r="AR183"/>
  <c r="B183"/>
  <c r="B182"/>
  <c r="B181"/>
  <c r="B180"/>
  <c r="AR179"/>
  <c r="B179"/>
  <c r="B178"/>
  <c r="B177"/>
  <c r="B176"/>
  <c r="B175"/>
  <c r="B174"/>
  <c r="AR173"/>
  <c r="B173"/>
  <c r="B172"/>
  <c r="B171"/>
  <c r="AR170"/>
  <c r="B170"/>
  <c r="B169"/>
  <c r="AR168"/>
  <c r="B168"/>
  <c r="B167"/>
  <c r="B166"/>
  <c r="B165"/>
  <c r="AR164"/>
  <c r="B164"/>
  <c r="AR163"/>
  <c r="B163"/>
  <c r="B162"/>
  <c r="B161"/>
  <c r="B160"/>
  <c r="B159"/>
  <c r="B158"/>
  <c r="B157"/>
  <c r="B156"/>
  <c r="B155"/>
  <c r="B154"/>
  <c r="B153"/>
  <c r="B152"/>
  <c r="B151"/>
  <c r="AR150"/>
  <c r="B150"/>
  <c r="B149"/>
  <c r="B148"/>
  <c r="B147"/>
  <c r="AR146"/>
  <c r="B146"/>
  <c r="B145"/>
  <c r="AR144"/>
  <c r="B144"/>
  <c r="B143"/>
  <c r="B142"/>
  <c r="AR141"/>
  <c r="B141"/>
  <c r="B140"/>
  <c r="B139"/>
  <c r="B138"/>
  <c r="B137"/>
  <c r="B136"/>
  <c r="AR135"/>
  <c r="B135"/>
  <c r="AR134"/>
  <c r="B134"/>
  <c r="B133"/>
  <c r="B132"/>
  <c r="AR131"/>
  <c r="B131"/>
  <c r="AR130"/>
  <c r="B130"/>
  <c r="AR129"/>
  <c r="B129"/>
  <c r="B128"/>
  <c r="AR127"/>
  <c r="B127"/>
  <c r="AR126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AR105"/>
  <c r="B105"/>
  <c r="B104"/>
  <c r="B103"/>
  <c r="AR102"/>
  <c r="B102"/>
  <c r="B101"/>
  <c r="B100"/>
  <c r="B99"/>
  <c r="B98"/>
  <c r="AR97"/>
  <c r="B97"/>
  <c r="B96"/>
  <c r="AR95"/>
  <c r="B95"/>
  <c r="B94"/>
  <c r="AR93"/>
  <c r="B93"/>
  <c r="AR92"/>
  <c r="B92"/>
  <c r="AR91"/>
  <c r="B91"/>
  <c r="AR90"/>
  <c r="B90"/>
  <c r="B89"/>
  <c r="B88"/>
  <c r="B87"/>
  <c r="B86"/>
  <c r="AR85"/>
  <c r="B85"/>
  <c r="AR84"/>
  <c r="B84"/>
  <c r="B83"/>
  <c r="B82"/>
  <c r="B81"/>
  <c r="B80"/>
  <c r="B79"/>
  <c r="B78"/>
  <c r="B77"/>
  <c r="AR76"/>
  <c r="B76"/>
  <c r="B75"/>
  <c r="AR74"/>
  <c r="B74"/>
  <c r="B73"/>
  <c r="B72"/>
  <c r="AR71"/>
  <c r="B71"/>
  <c r="AR70"/>
  <c r="B70"/>
  <c r="B69"/>
  <c r="B68"/>
  <c r="B67"/>
  <c r="B66"/>
  <c r="B65"/>
  <c r="AR64"/>
  <c r="B64"/>
  <c r="B63"/>
  <c r="B62"/>
  <c r="B61"/>
  <c r="B60"/>
  <c r="B59"/>
  <c r="B58"/>
  <c r="B57"/>
  <c r="B56"/>
  <c r="B55"/>
  <c r="B54"/>
  <c r="B53"/>
  <c r="B52"/>
  <c r="B51"/>
  <c r="AR50"/>
  <c r="B50"/>
  <c r="B49"/>
  <c r="AR48"/>
  <c r="B48"/>
  <c r="AR47"/>
  <c r="B47"/>
  <c r="B46"/>
  <c r="B45"/>
  <c r="B44"/>
  <c r="AR43"/>
  <c r="B43"/>
  <c r="B42"/>
  <c r="AR41"/>
  <c r="B41"/>
  <c r="B40"/>
  <c r="B39"/>
  <c r="B38"/>
  <c r="AR37"/>
  <c r="B37"/>
  <c r="B36"/>
  <c r="B35"/>
  <c r="B34"/>
  <c r="B33"/>
  <c r="B32"/>
  <c r="B31"/>
  <c r="B30"/>
  <c r="B29"/>
  <c r="B28"/>
  <c r="AR27"/>
  <c r="B27"/>
  <c r="B26"/>
  <c r="B25"/>
  <c r="B24"/>
  <c r="B23"/>
  <c r="B22"/>
  <c r="AR21"/>
  <c r="B21"/>
  <c r="AR20"/>
  <c r="B20"/>
  <c r="B19"/>
  <c r="B18"/>
  <c r="B17"/>
  <c r="B16"/>
  <c r="AR15"/>
  <c r="B15"/>
  <c r="AR14"/>
  <c r="B14"/>
  <c r="AR13"/>
  <c r="B13"/>
  <c r="AR12"/>
  <c r="B12"/>
  <c r="B11"/>
  <c r="B10"/>
  <c r="B9"/>
  <c r="AR8"/>
  <c r="B8"/>
  <c r="B7"/>
  <c r="B6"/>
</calcChain>
</file>

<file path=xl/sharedStrings.xml><?xml version="1.0" encoding="utf-8"?>
<sst xmlns="http://schemas.openxmlformats.org/spreadsheetml/2006/main" count="13010" uniqueCount="2030">
  <si>
    <t xml:space="preserve">
Послуги з професійної підготовки спеціалістів </t>
  </si>
  <si>
    <t xml:space="preserve">
Послуги пов'язані з метрологічною повіркою лічильника води з механічним відліковим пристроєм на місці експлуатації</t>
  </si>
  <si>
    <t xml:space="preserve">
Постачання компонентів комп`ютерної програми "M.E.Doс"</t>
  </si>
  <si>
    <t xml:space="preserve"> 0563743000</t>
  </si>
  <si>
    <t xml:space="preserve"> 0800300466</t>
  </si>
  <si>
    <t xml:space="preserve"> 33600000-6 Фармацевтична продукція (336965000-0 Лабораторні реактиви)</t>
  </si>
  <si>
    <t xml:space="preserve"> 39110000-6 — Сидіння, стільці та супутні вироби і частини до них (стільці офісні)</t>
  </si>
  <si>
    <t xml:space="preserve"> Відповідно до нової редакції ЗУ «Про публічні закупівлі» від 19.04.2020 року, тип процедури на зазачену очікувану вартість - "спрощена закупівля".</t>
  </si>
  <si>
    <t xml:space="preserve"> Замки, ключі та петлі (замок навісний, замок врізний, замок накладний)
Джерело фінансування НСЗУ</t>
  </si>
  <si>
    <t xml:space="preserve"> Контроль працездатності Блоку оповіщення БО-FM-05</t>
  </si>
  <si>
    <t xml:space="preserve"> Офісні крісла</t>
  </si>
  <si>
    <t xml:space="preserve"> Природний газ на 2020 рік</t>
  </si>
  <si>
    <t xml:space="preserve"> Підгузники для дорослих за кодом НК 024:2019 –11239;  підгузники для дітей за кодом НК 024:2019–35008; мішки уростомні (сечоприймачі) за кодом НК 024:2019–31068 ; калоприймачі за кодом НК 024:2019–31066</t>
  </si>
  <si>
    <t xml:space="preserve"> Підгузники для дорослих розмір L; Підгузники для дорослих розмір М ; Підгузник для дітей (16+)  54  шт/уп; Мішок уростомний № 1758 діаметр50 мм №20; Калоприймач однокомпонентний, 17500 №30; Підгузники для дорослих розмір S; Калоприймач двокомпонентний – пластина</t>
  </si>
  <si>
    <t xml:space="preserve"> Холодильник</t>
  </si>
  <si>
    <t>"33696000-5 - Реактиви та контрастні речовини"</t>
  </si>
  <si>
    <t>"РЕКЛАМО-ВИДАВНИЧЕ АГЕНСТВО "АУКУБА" ПРИВАТНЕ ПІДПРИЄМСТВО</t>
  </si>
  <si>
    <t>% зниження</t>
  </si>
  <si>
    <t>(067) 326-08-23</t>
  </si>
  <si>
    <t>(видалене); (видалене); (видалене); (видалене); (видалене); (видалене); (видалене); (видалене); (видалене); (видалене); (видалене); (видалене); (видалене); (видалене); (видалене); (видалене); (видалене); (видалене); Розчин для промивання, фасування: 1л HTI Enzymatic Cleaner, packaging: 1L; Розчин для очистки, фасування: 50мл; Розчин ізотонічний 20л,  HTI Diluent, packaging:  20L ; Діагностичний моноклональний реагент анти-А для визначення групи крові людини за системою АВ0(10мл); Діагностичний моноклональний реагент анти-В для визначення групи крові людини за системою АВ0(10мл); Діагностичний моноклональний реагент анти-D для визначення групи крові людини за системою Rhesus(10мл); Діагностичний моноклональний реагент анти-АВ для визначення групи крові людини за системою АВ0(10мл); Набір №1 Стандартні еритроцити  для визначення груп крові людини за системами ABO, Rhesus (4 х 5 мл) 20 % завіс еритроцитів   0    Rh - нег. ccdee 20 % завіс еритроцитів   0    Rh + поз. CcDEe  20 % завіс еритроцитів   А1 Rh + поз. 20 % завіс еритроцитів   В   Rh + поз.; Аланінамінотрансфераза (АЛТ); Аспартатамінотрансфераза (АСТ); Креатинін набір реагентів; Холестерол набір реагентів; Білірубін загальний(напів-авто); Глікогемоглобін набір реагентів; Глікогемоглобін набір контролей ; Азопірамова проба-200; Матеріал контролю гематологічний атестований багато параметричний Para 12 Extend: 1 x 2.5 мл (1 Норма)</t>
  </si>
  <si>
    <t>+380445865606</t>
  </si>
  <si>
    <t>+380502507677</t>
  </si>
  <si>
    <t>+380502853159</t>
  </si>
  <si>
    <t>+380503106239</t>
  </si>
  <si>
    <t>+380503846389</t>
  </si>
  <si>
    <t>+380504803344</t>
  </si>
  <si>
    <t>+380505801475</t>
  </si>
  <si>
    <t>+380506055696</t>
  </si>
  <si>
    <t>+380562335699,+380562335698,+380504501680,+380986475727</t>
  </si>
  <si>
    <t>+380563703500</t>
  </si>
  <si>
    <t>+380563722000</t>
  </si>
  <si>
    <t>+380563735779</t>
  </si>
  <si>
    <t>+380563744721</t>
  </si>
  <si>
    <t>+380563756077</t>
  </si>
  <si>
    <t>+380567319583</t>
  </si>
  <si>
    <t>+380567324170</t>
  </si>
  <si>
    <t>+380567704601</t>
  </si>
  <si>
    <t>+380567780670</t>
  </si>
  <si>
    <t>+380567904601</t>
  </si>
  <si>
    <t>+380612226666</t>
  </si>
  <si>
    <t>+380637893252</t>
  </si>
  <si>
    <t>+380661096665</t>
  </si>
  <si>
    <t>+380661260708</t>
  </si>
  <si>
    <t>+380661709623</t>
  </si>
  <si>
    <t>+380663346674</t>
  </si>
  <si>
    <t>+380667199543</t>
  </si>
  <si>
    <t>+380672135969</t>
  </si>
  <si>
    <t>+380672302821</t>
  </si>
  <si>
    <t>+380672336577</t>
  </si>
  <si>
    <t>+380672336577,+380975275357</t>
  </si>
  <si>
    <t>+380672708815</t>
  </si>
  <si>
    <t>+380672795843</t>
  </si>
  <si>
    <t>+380673412172</t>
  </si>
  <si>
    <t>+380673703575</t>
  </si>
  <si>
    <t>+380674228300</t>
  </si>
  <si>
    <t>+380675051584</t>
  </si>
  <si>
    <t>+380675079409,+380567343398</t>
  </si>
  <si>
    <t>+380675265812</t>
  </si>
  <si>
    <t>+380675455086</t>
  </si>
  <si>
    <t>+380675465316</t>
  </si>
  <si>
    <t>+380675661789</t>
  </si>
  <si>
    <t>+380675924312</t>
  </si>
  <si>
    <t>+380676103375</t>
  </si>
  <si>
    <t>+380676161959</t>
  </si>
  <si>
    <t>+380676300452</t>
  </si>
  <si>
    <t>+380676311217</t>
  </si>
  <si>
    <t>+380676311297</t>
  </si>
  <si>
    <t>+380676314712</t>
  </si>
  <si>
    <t>+380676757807</t>
  </si>
  <si>
    <t>+380676944392</t>
  </si>
  <si>
    <t>+380679097976</t>
  </si>
  <si>
    <t>+380679507205</t>
  </si>
  <si>
    <t>+380682066854</t>
  </si>
  <si>
    <t>+380682579981</t>
  </si>
  <si>
    <t>+380684249617</t>
  </si>
  <si>
    <t>+380685171123</t>
  </si>
  <si>
    <t>+380686826086</t>
  </si>
  <si>
    <t>+380688560707</t>
  </si>
  <si>
    <t>+380734746751</t>
  </si>
  <si>
    <t>+380933032979</t>
  </si>
  <si>
    <t>+380954026248</t>
  </si>
  <si>
    <t>+380958648979</t>
  </si>
  <si>
    <t>+380961018717</t>
  </si>
  <si>
    <t>+380961501453</t>
  </si>
  <si>
    <t>+380963641635</t>
  </si>
  <si>
    <t>+380963687506</t>
  </si>
  <si>
    <t>+380964414602</t>
  </si>
  <si>
    <t>+380967078309</t>
  </si>
  <si>
    <t>+380968330614</t>
  </si>
  <si>
    <t>+380972172541</t>
  </si>
  <si>
    <t>+380972663333</t>
  </si>
  <si>
    <t>+380972663333,+380938345474</t>
  </si>
  <si>
    <t>+380975936437</t>
  </si>
  <si>
    <t>+380976808903,+380991789023</t>
  </si>
  <si>
    <t>+380977020838</t>
  </si>
  <si>
    <t>+380977669489</t>
  </si>
  <si>
    <t>+380978080311</t>
  </si>
  <si>
    <t>+380978193818,+380969944245</t>
  </si>
  <si>
    <t>+380978435703</t>
  </si>
  <si>
    <t>+380978440052</t>
  </si>
  <si>
    <t>+380978440798</t>
  </si>
  <si>
    <t>+380980000093</t>
  </si>
  <si>
    <t>+380980197488</t>
  </si>
  <si>
    <t>+380980421006</t>
  </si>
  <si>
    <t>+380983611292</t>
  </si>
  <si>
    <t>+380984196003</t>
  </si>
  <si>
    <t>+380984306162</t>
  </si>
  <si>
    <t>+380984397821</t>
  </si>
  <si>
    <t>+380985285758</t>
  </si>
  <si>
    <t>+380985879064</t>
  </si>
  <si>
    <t>+380986365084</t>
  </si>
  <si>
    <t>+380987636318</t>
  </si>
  <si>
    <t>+380987727794</t>
  </si>
  <si>
    <t>+380992312648</t>
  </si>
  <si>
    <t>+380992630044</t>
  </si>
  <si>
    <t>+380994567332</t>
  </si>
  <si>
    <t>+380995575505</t>
  </si>
  <si>
    <t>+380999113010</t>
  </si>
  <si>
    <t>,,</t>
  </si>
  <si>
    <t>0 (0)</t>
  </si>
  <si>
    <t>0 (0) / 0 (0)</t>
  </si>
  <si>
    <t>0 800 300 466</t>
  </si>
  <si>
    <t>0 800 503 707</t>
  </si>
  <si>
    <t>00013</t>
  </si>
  <si>
    <t>0003485</t>
  </si>
  <si>
    <t>0003486</t>
  </si>
  <si>
    <t>0003488</t>
  </si>
  <si>
    <t>000683</t>
  </si>
  <si>
    <t>0050234129</t>
  </si>
  <si>
    <t>0050244654-ДР</t>
  </si>
  <si>
    <t>00827-00</t>
  </si>
  <si>
    <t>01</t>
  </si>
  <si>
    <t>01-22</t>
  </si>
  <si>
    <t>01/03</t>
  </si>
  <si>
    <t>01/03-2</t>
  </si>
  <si>
    <t>01/07</t>
  </si>
  <si>
    <t>01/08-12</t>
  </si>
  <si>
    <t>01/20-01</t>
  </si>
  <si>
    <t>010200200</t>
  </si>
  <si>
    <t>01976358</t>
  </si>
  <si>
    <t>01985110</t>
  </si>
  <si>
    <t>01985110,КП " "ОЦГЗ" ДОР",Україна</t>
  </si>
  <si>
    <t>01985185</t>
  </si>
  <si>
    <t>01995663</t>
  </si>
  <si>
    <t>02-4</t>
  </si>
  <si>
    <t>02/12</t>
  </si>
  <si>
    <t>02010681</t>
  </si>
  <si>
    <t>02128158</t>
  </si>
  <si>
    <t>03</t>
  </si>
  <si>
    <t>03/03</t>
  </si>
  <si>
    <t>03/03-1</t>
  </si>
  <si>
    <t>03/11</t>
  </si>
  <si>
    <t>03/11-2</t>
  </si>
  <si>
    <t>03/19</t>
  </si>
  <si>
    <t>03/20</t>
  </si>
  <si>
    <t>03/2020</t>
  </si>
  <si>
    <t>03341305</t>
  </si>
  <si>
    <t>03363192</t>
  </si>
  <si>
    <t>04-11</t>
  </si>
  <si>
    <t>04-12</t>
  </si>
  <si>
    <t>04/12</t>
  </si>
  <si>
    <t>04/21</t>
  </si>
  <si>
    <t>0442067210</t>
  </si>
  <si>
    <t>0442294839</t>
  </si>
  <si>
    <t>0443039623</t>
  </si>
  <si>
    <t>0443386438</t>
  </si>
  <si>
    <t>0445012172</t>
  </si>
  <si>
    <t>0472506051</t>
  </si>
  <si>
    <t>04725941</t>
  </si>
  <si>
    <t>04725941,ДП Дніпропетровський регіональний державний науково-технічний центр стандартизації, метрології та сертифікації,Україна</t>
  </si>
  <si>
    <t>0487431111</t>
  </si>
  <si>
    <t>05</t>
  </si>
  <si>
    <t>05/03</t>
  </si>
  <si>
    <t>05/10</t>
  </si>
  <si>
    <t>0500264515</t>
  </si>
  <si>
    <t>0503/2</t>
  </si>
  <si>
    <t>0503208987</t>
  </si>
  <si>
    <t>0503336806</t>
  </si>
  <si>
    <t>0503618108</t>
  </si>
  <si>
    <t>0504241535</t>
  </si>
  <si>
    <t>0504807459</t>
  </si>
  <si>
    <t>0504890717</t>
  </si>
  <si>
    <t>0505712069</t>
  </si>
  <si>
    <t>0508002646</t>
  </si>
  <si>
    <t>0509892525</t>
  </si>
  <si>
    <t>056 736 2988</t>
  </si>
  <si>
    <t>056 794 6035</t>
  </si>
  <si>
    <t>0562310290</t>
  </si>
  <si>
    <t>0562310384</t>
  </si>
  <si>
    <t>0562318852</t>
  </si>
  <si>
    <t>0562681092</t>
  </si>
  <si>
    <t>056310384</t>
  </si>
  <si>
    <t>056312480</t>
  </si>
  <si>
    <t>056368542</t>
  </si>
  <si>
    <t>0563702472</t>
  </si>
  <si>
    <t>0563702824</t>
  </si>
  <si>
    <t>0563705472</t>
  </si>
  <si>
    <t>0563721786</t>
  </si>
  <si>
    <t>0563735059</t>
  </si>
  <si>
    <t>0563740760</t>
  </si>
  <si>
    <t>0563743008</t>
  </si>
  <si>
    <t>0563744721</t>
  </si>
  <si>
    <t>0563769090</t>
  </si>
  <si>
    <t>0567170717</t>
  </si>
  <si>
    <t>0567209180</t>
  </si>
  <si>
    <t>0567212456</t>
  </si>
  <si>
    <t>0567324555</t>
  </si>
  <si>
    <t>0567366801</t>
  </si>
  <si>
    <t>0567446448</t>
  </si>
  <si>
    <t>0567470110</t>
  </si>
  <si>
    <t>0567470171</t>
  </si>
  <si>
    <t>0567674192</t>
  </si>
  <si>
    <t>0567850890</t>
  </si>
  <si>
    <t>0567858253</t>
  </si>
  <si>
    <t>0567881200</t>
  </si>
  <si>
    <t>0567882246</t>
  </si>
  <si>
    <t>0567885888</t>
  </si>
  <si>
    <t>0567886172</t>
  </si>
  <si>
    <t>0567900579</t>
  </si>
  <si>
    <t>0567905050</t>
  </si>
  <si>
    <t xml:space="preserve">0567905050  </t>
  </si>
  <si>
    <t>0567908704</t>
  </si>
  <si>
    <t>0567909298</t>
  </si>
  <si>
    <t>0567909900</t>
  </si>
  <si>
    <t>0567940254</t>
  </si>
  <si>
    <t>0567946035</t>
  </si>
  <si>
    <t>06</t>
  </si>
  <si>
    <t>06-0/10544П</t>
  </si>
  <si>
    <t>06-0/11488П</t>
  </si>
  <si>
    <t>06-0/12491</t>
  </si>
  <si>
    <t>06-11</t>
  </si>
  <si>
    <t>06-12</t>
  </si>
  <si>
    <t>06/11</t>
  </si>
  <si>
    <t>060985/2021</t>
  </si>
  <si>
    <t>06105</t>
  </si>
  <si>
    <t>0630633515</t>
  </si>
  <si>
    <t>06317983252</t>
  </si>
  <si>
    <t>0632331672</t>
  </si>
  <si>
    <t>0637983252</t>
  </si>
  <si>
    <t>0660604445</t>
  </si>
  <si>
    <t>0661096665</t>
  </si>
  <si>
    <t>06612103030</t>
  </si>
  <si>
    <t>0661709623</t>
  </si>
  <si>
    <t>0665754250</t>
  </si>
  <si>
    <t>0667201818</t>
  </si>
  <si>
    <t>0668100015</t>
  </si>
  <si>
    <t>0673340101</t>
  </si>
  <si>
    <t>0673823193</t>
  </si>
  <si>
    <t>0675628753</t>
  </si>
  <si>
    <t>0676314712</t>
  </si>
  <si>
    <t>0676318771</t>
  </si>
  <si>
    <t>0676323287</t>
  </si>
  <si>
    <t>0676324603</t>
  </si>
  <si>
    <t>0676335292</t>
  </si>
  <si>
    <t>0676944392</t>
  </si>
  <si>
    <t>0677260379</t>
  </si>
  <si>
    <t xml:space="preserve">0677701155 </t>
  </si>
  <si>
    <t>0677909900</t>
  </si>
  <si>
    <t>0678570005</t>
  </si>
  <si>
    <t>0678981444</t>
  </si>
  <si>
    <t>0679155349</t>
  </si>
  <si>
    <t>0684062480</t>
  </si>
  <si>
    <t>0684249617</t>
  </si>
  <si>
    <t>0685318143</t>
  </si>
  <si>
    <t>0687732332</t>
  </si>
  <si>
    <t>07-07</t>
  </si>
  <si>
    <t>07-10</t>
  </si>
  <si>
    <t>07-10/2</t>
  </si>
  <si>
    <t>07-10/3</t>
  </si>
  <si>
    <t>07-10/4</t>
  </si>
  <si>
    <t>07/02</t>
  </si>
  <si>
    <t>070135</t>
  </si>
  <si>
    <t>0739119090</t>
  </si>
  <si>
    <t>08</t>
  </si>
  <si>
    <t>08-4</t>
  </si>
  <si>
    <t>08-4/2</t>
  </si>
  <si>
    <t>08-5/2</t>
  </si>
  <si>
    <t>08/09</t>
  </si>
  <si>
    <t>08/12</t>
  </si>
  <si>
    <t>08/5</t>
  </si>
  <si>
    <t>082/20НВ-Б</t>
  </si>
  <si>
    <t>09-06</t>
  </si>
  <si>
    <t>09-10</t>
  </si>
  <si>
    <t>09-19/1</t>
  </si>
  <si>
    <t>09/03</t>
  </si>
  <si>
    <t>09/04</t>
  </si>
  <si>
    <t>09/10</t>
  </si>
  <si>
    <t>09/10-2</t>
  </si>
  <si>
    <t>09/11</t>
  </si>
  <si>
    <t>09/12</t>
  </si>
  <si>
    <t>0903ЕЛ</t>
  </si>
  <si>
    <t>09120000-6 Газове паливо</t>
  </si>
  <si>
    <t>09123000-7 Природний газ</t>
  </si>
  <si>
    <t>09310000-5 Електрична енергія</t>
  </si>
  <si>
    <t>09320000-8 Пара, гаряча вода та пов’язана продукція</t>
  </si>
  <si>
    <t>09320000-8 Пара, гаряча вода та пов’язана продукція (Теплова енергія)</t>
  </si>
  <si>
    <t>0957322222</t>
  </si>
  <si>
    <t>0957782944</t>
  </si>
  <si>
    <t>09610108717</t>
  </si>
  <si>
    <t>0965424902</t>
  </si>
  <si>
    <t>0968352611</t>
  </si>
  <si>
    <t>0969226324</t>
  </si>
  <si>
    <t>0972985597</t>
  </si>
  <si>
    <t>0974444333</t>
  </si>
  <si>
    <t>0976272300</t>
  </si>
  <si>
    <t>0977861584</t>
  </si>
  <si>
    <t>0978080311</t>
  </si>
  <si>
    <t>0978779056</t>
  </si>
  <si>
    <t>097879056</t>
  </si>
  <si>
    <t>0979115746</t>
  </si>
  <si>
    <t>0979319933</t>
  </si>
  <si>
    <t>09822784</t>
  </si>
  <si>
    <t>0984746751</t>
  </si>
  <si>
    <t>0993198527</t>
  </si>
  <si>
    <t>0993685145</t>
  </si>
  <si>
    <t>1</t>
  </si>
  <si>
    <t>1 (0)</t>
  </si>
  <si>
    <t>1 (1)</t>
  </si>
  <si>
    <t>1-20</t>
  </si>
  <si>
    <t>10</t>
  </si>
  <si>
    <t>10-08-2/2020</t>
  </si>
  <si>
    <t>10/02</t>
  </si>
  <si>
    <t>10/02-1</t>
  </si>
  <si>
    <t>10/08</t>
  </si>
  <si>
    <t>10/09</t>
  </si>
  <si>
    <t>10/11</t>
  </si>
  <si>
    <t>10/11-2</t>
  </si>
  <si>
    <t>10/11-3</t>
  </si>
  <si>
    <t>10/11-4</t>
  </si>
  <si>
    <t>10/12</t>
  </si>
  <si>
    <t>100</t>
  </si>
  <si>
    <t>101</t>
  </si>
  <si>
    <t>101/2020</t>
  </si>
  <si>
    <t>105</t>
  </si>
  <si>
    <t>11</t>
  </si>
  <si>
    <t>11/1</t>
  </si>
  <si>
    <t>11/11-19</t>
  </si>
  <si>
    <t>110</t>
  </si>
  <si>
    <t>1173</t>
  </si>
  <si>
    <t>11782</t>
  </si>
  <si>
    <t>12</t>
  </si>
  <si>
    <t>12/02</t>
  </si>
  <si>
    <t>12/03</t>
  </si>
  <si>
    <t>12/07</t>
  </si>
  <si>
    <t>12/07-2</t>
  </si>
  <si>
    <t>126</t>
  </si>
  <si>
    <t>13</t>
  </si>
  <si>
    <t>13-04</t>
  </si>
  <si>
    <t>13/04</t>
  </si>
  <si>
    <t>13490997</t>
  </si>
  <si>
    <t>13715373,ТОВАРИСТВО З ОБМЕЖЕНОЮ ВІДПОВІДАЛЬНІСТЮ ФІРМА "НОРД",Україна;40263997,ТОВАРИСТВО З ОБМЕЖЕНОЮ ВІДПОВІДАЛЬНІСТЮ "ВІМБ УКРАЇНА",УКРАЇНА;3228318056,ФОП "ЧИСТЯКОВ ОЛЕКСІЙ ОЛЕКСІЙОВИЧ",Україна;24421775,ТОВАРИСТВО З ОБМЕЖЕНОЮ ВІДПОВІДАЛЬНІСТЮ "СІ-ІНТЕГРА",УКРАЇНА;42204315,ТОВ "АС ТЕХНОЛОГІЯ",Україна;42915052,ТОВ "АВ-ПРОМ",Україна;3173610857,ФОП "ПЕРУНОВ ОЛЕКСАНДР ВАЛЕРІЙОВИЧ",Україна;38432874,ТОВАРИСТВО З ОБМЕЖЕНОЮ ВІДПОВІДАЛЬНІСТЮ "АВТОВОРОТА",Україна</t>
  </si>
  <si>
    <t>14</t>
  </si>
  <si>
    <t>14/09</t>
  </si>
  <si>
    <t>14/12</t>
  </si>
  <si>
    <t>140</t>
  </si>
  <si>
    <t>14210000-6 Гравій, пісок, щебінь і наповнювачі</t>
  </si>
  <si>
    <t>14311749</t>
  </si>
  <si>
    <t>14311749,ПрАТ "УХЛ-МАШ",Україна;32134535,ТОВ "Літпол-Україна",Україна;2953524895,ФОП Курачевський П.О.,Україна</t>
  </si>
  <si>
    <t>15</t>
  </si>
  <si>
    <t>15-12/2020</t>
  </si>
  <si>
    <t>15/05</t>
  </si>
  <si>
    <t>15/12</t>
  </si>
  <si>
    <t>156556</t>
  </si>
  <si>
    <t>15656</t>
  </si>
  <si>
    <t>15880000-0 Спеціальні продукти харчування, збагачені поживними речовинами</t>
  </si>
  <si>
    <t>15880000-0 Спеціальні продукти харчування, збагачені поживними речовинами
(MD Мил ФКУ-3 400 г з фруктовим смаком, COMIDA-PKU-B)</t>
  </si>
  <si>
    <t>15880000-0 Спеціальні продукти харчування, збагачені поживними речовинами (Cуміш молочна Малютка Premium 1 (350 гр. в упаковці))</t>
  </si>
  <si>
    <t>15880000-0 Спеціальні продукти харчування, збагачені поживними речовинами (дитяче харчування)</t>
  </si>
  <si>
    <t>15880000-0 Спеціальні продукти харчування, збагачені поживними речовинами (дитяче харчування).</t>
  </si>
  <si>
    <t>15880000-0 Спеціалізований продукт дитячого дієтичного лікувального  харчування COMIDA-PKU-B</t>
  </si>
  <si>
    <t>15880000-0Спеціалізовані продукти харчування, збагачені поживними речовинами (суміш для спеціалізованого харчування хворих на фенілкетонурію MD Міл ФКУ-3 з фруктовим смаком)</t>
  </si>
  <si>
    <t>16</t>
  </si>
  <si>
    <t>16-03</t>
  </si>
  <si>
    <t>16-03/2</t>
  </si>
  <si>
    <t>16-09</t>
  </si>
  <si>
    <t>16-12</t>
  </si>
  <si>
    <t>16/12</t>
  </si>
  <si>
    <t>16/20</t>
  </si>
  <si>
    <t>17</t>
  </si>
  <si>
    <t>17-03</t>
  </si>
  <si>
    <t>17-09</t>
  </si>
  <si>
    <t>17/02</t>
  </si>
  <si>
    <t>17/05</t>
  </si>
  <si>
    <t>17/05-2</t>
  </si>
  <si>
    <t>17/05-3</t>
  </si>
  <si>
    <t>17/07</t>
  </si>
  <si>
    <t>1701/21</t>
  </si>
  <si>
    <t>18</t>
  </si>
  <si>
    <t>18-09</t>
  </si>
  <si>
    <t>18-10</t>
  </si>
  <si>
    <t>18/02-2</t>
  </si>
  <si>
    <t>18/03</t>
  </si>
  <si>
    <t>18/09</t>
  </si>
  <si>
    <t>18/11</t>
  </si>
  <si>
    <t>18/2</t>
  </si>
  <si>
    <t>19</t>
  </si>
  <si>
    <t>19-03</t>
  </si>
  <si>
    <t>19/11</t>
  </si>
  <si>
    <t>1908802940</t>
  </si>
  <si>
    <t>19157023</t>
  </si>
  <si>
    <t>19157023,КОМУНАЛЬНИЙ ЗАКЛАД "ЦЕНТР ПІСЛЯДИПЛОМНОЇ ОСВІТИ МОЛОДШИХ СПЕЦІАЛІСТІВ З МЕДИЧНОЮ ТА ФАРМАЦЕВТИЧНОЮ ОСВІТОЮ" ДНІПРОПЕТРОВСЬКОЇ ОБЛАСНОЇ РАДИ",Україна</t>
  </si>
  <si>
    <t>19303884</t>
  </si>
  <si>
    <t>19510000-4 Гумові вироби</t>
  </si>
  <si>
    <t>19520000-7 Пластмасові вироби</t>
  </si>
  <si>
    <t>19520000-7 Пластмасові вироби (інформаційний стенд, таблички Брайля, таблички на кабінет)</t>
  </si>
  <si>
    <t>1971611975</t>
  </si>
  <si>
    <t>2</t>
  </si>
  <si>
    <t>2 (0)</t>
  </si>
  <si>
    <t>2-20</t>
  </si>
  <si>
    <t>2/02</t>
  </si>
  <si>
    <t>2/03</t>
  </si>
  <si>
    <t>2/03-2021</t>
  </si>
  <si>
    <t>20</t>
  </si>
  <si>
    <t>20-09</t>
  </si>
  <si>
    <t>20/01</t>
  </si>
  <si>
    <t>20/05</t>
  </si>
  <si>
    <t>20/07</t>
  </si>
  <si>
    <t>20/07-2</t>
  </si>
  <si>
    <t>20/08</t>
  </si>
  <si>
    <t>201//02/027</t>
  </si>
  <si>
    <t>2018/10/073</t>
  </si>
  <si>
    <t>2020</t>
  </si>
  <si>
    <t>2020/06/139</t>
  </si>
  <si>
    <t>20200379</t>
  </si>
  <si>
    <t>20262860</t>
  </si>
  <si>
    <t>20267461</t>
  </si>
  <si>
    <t>2049600642</t>
  </si>
  <si>
    <t>2049600642,ФОП Гребенюк Ірина Тимофіївна,Україна</t>
  </si>
  <si>
    <t>2049600642,ФОП Гребенюк Ірина Тимофіївна,Україна;3621001063,ФОП "ПАВЕЛКО НАТАЛІЯ МИКОЛАЇВНА",Україна</t>
  </si>
  <si>
    <t>2067231</t>
  </si>
  <si>
    <t>2067232</t>
  </si>
  <si>
    <t>20ДН</t>
  </si>
  <si>
    <t>21</t>
  </si>
  <si>
    <t>21-01</t>
  </si>
  <si>
    <t>21/03</t>
  </si>
  <si>
    <t>21/11</t>
  </si>
  <si>
    <t>21/11-2</t>
  </si>
  <si>
    <t>2116800360</t>
  </si>
  <si>
    <t>2118826097</t>
  </si>
  <si>
    <t>2144122167,ФОП "МАУРІНА ГАЛИНА ВОЛОДИМИРІВНА",Україна;36295719,ТОВ "Дезцентр плюс",Україна</t>
  </si>
  <si>
    <t>21642228</t>
  </si>
  <si>
    <t>21642228,СПІЛЬНЕ УКРАЇНСЬКО-ЕСТОНСЬКЕ ПІДПРИЄМСТВО У ФОРМІ ТОВАРИСТВА З ОБМЕЖЕНОЮ ВІДПОВІДАЛЬНІСТЮ "ОПТІМА-ФАРМ, ЛТД",Україна;31816235,ТОВ "БаДМ",Україна;30177378,ТОВ "Бізнес Центр Фармація",Україна</t>
  </si>
  <si>
    <t>21642228,СПІЛЬНЕ УКРАЇНСЬКО-ЕСТОНСЬКЕ ПІДПРИЄМСТВО У ФОРМІ ТОВАРИСТВА З ОБМЕЖЕНОЮ ВІДПОВІДАЛЬНІСТЮ "ОПТІМА-ФАРМ, ЛТД",Україна;37090770,ТОВ "Валанж-Фарм",Україна;33239630,ПрАТ "МЕДФАРКОМ-ЦЕНТР",Україна</t>
  </si>
  <si>
    <t>21642228,СПІЛЬНЕ УКРАЇНСЬКО-ЕСТОНСЬКЕ ПІДПРИЄМСТВО У ФОРМІ ТОВАРИСТВА З ОБМЕЖЕНОЮ ВІДПОВІДАЛЬНІСТЮ "ОПТІМА-ФАРМ, ЛТД",Україна;39273420,ТОВ "БАДМ-Б",Україна</t>
  </si>
  <si>
    <t>21673832</t>
  </si>
  <si>
    <t>2173800696</t>
  </si>
  <si>
    <t>21869802</t>
  </si>
  <si>
    <t>21869802,ТОВ "ЛЕДУМ",Україна;42840705,ТОВ "ЕВРОФАРМ ГРУП",Україна;36253988,ТОВ ПРИВАТЕНЕРГО,Україна</t>
  </si>
  <si>
    <t>21947206</t>
  </si>
  <si>
    <t>21947206,ТОВ "ВЕНТА. ЛТД",Україна;21642228,СПІЛЬНЕ УКРАЇНСЬКО-ЕСТОНСЬКЕ ПІДПРИЄМСТВО У ФОРМІ ТОВАРИСТВА З ОБМЕЖЕНОЮ ВІДПОВІДАЛЬНІСТЮ "ОПТІМА-ФАРМ, ЛТД",Україна;39273420,ТОВ "БАДМ-Б",Україна</t>
  </si>
  <si>
    <t>22</t>
  </si>
  <si>
    <t>22/04</t>
  </si>
  <si>
    <t>22/06</t>
  </si>
  <si>
    <t>22/10</t>
  </si>
  <si>
    <t>22/2020</t>
  </si>
  <si>
    <t>22210000-5  Газети (Передплата періодичних видань на 2020 рік)</t>
  </si>
  <si>
    <t>22210000-5 Газети</t>
  </si>
  <si>
    <t xml:space="preserve">22210000-5 Газети (Передплата періодичних видань на 2021 рік) </t>
  </si>
  <si>
    <t>2222417245,ФОП "ОВЧИННИКОВА ІРИНА ЮРІЇВНА",Україна;41753727,ТОВ "АКСІО",Україна;2120802956,Фізична особа підприємець Желтобрюхов Юрій Володимирович,Україна;3257303712,ФОП Стукалов О.В.,Україна;2715809096,ФОП "ОНИЩЕНКО ВЯЧЕСЛАВ ВІКТОРОВИЧ",Україна</t>
  </si>
  <si>
    <t>22450000-9 Друкована продукція з елементами захисту</t>
  </si>
  <si>
    <t>22599262</t>
  </si>
  <si>
    <t>22820000-4 Бланки</t>
  </si>
  <si>
    <t>22850000-3 - Швидкозшивачі та супутнє приладдя</t>
  </si>
  <si>
    <t>22850000-3 Швидкозшивачі та супутнє приладдя</t>
  </si>
  <si>
    <t>22900000-9 Друкована продукція різна</t>
  </si>
  <si>
    <t>2296400471</t>
  </si>
  <si>
    <t>23</t>
  </si>
  <si>
    <t>23-03</t>
  </si>
  <si>
    <t>23-03/2</t>
  </si>
  <si>
    <t>23/03</t>
  </si>
  <si>
    <t>23/04</t>
  </si>
  <si>
    <t>23/07</t>
  </si>
  <si>
    <t>23/10</t>
  </si>
  <si>
    <t>23/2020</t>
  </si>
  <si>
    <t>23/332-Б</t>
  </si>
  <si>
    <t>2308617325</t>
  </si>
  <si>
    <t>2308617325,ФОП "КОВИЛОВА ІРИНА МИКОЛАЇВНА",Україна;3001719870,ФОП Кондарєв Олександр Анатолійович,Україна</t>
  </si>
  <si>
    <t>2322117402</t>
  </si>
  <si>
    <t>2322117402,ФОП Романова Світлана Володимирівна,Україна;30982230,ТОВ "АДАМАС",Україна;2658800481,ФОП Орьол Олена Вікторівна,Україна</t>
  </si>
  <si>
    <t>23291827,ПРИВАТНЕ ВИРОБНИЧО-КОМЕРЦІЙНЕ ПІДПРИЄМСТВО " ВАЛЛЕНТА ",Україна;33869650,ТОВ "ТД ІМПЕРІЯ РА",Україна;42840705,ТОВ "ЕВРОФАРМ ГРУП",Україна</t>
  </si>
  <si>
    <t>23359034</t>
  </si>
  <si>
    <t>2346814487</t>
  </si>
  <si>
    <t>2346814487,ФІЗИЧНА ОСОБА-ПІДПРИЄМЕЦЬ ЄРМАК ГАЛИНА РОМАНІВНА,Україна;2932508819,ФІЗИЧНА ОСОБА-ПІДПРИЄМЕЦЬ БУГЕРА МИКОЛА МИКОЛАЙОВИЧ,Україна;3436801762,ФІЗИЧНА ОСОБА-ПІДПРИЄМЕЦЬ СПЕКТОРЕНКО СВІТЛАНА СЕРГІЇВНА,Україна</t>
  </si>
  <si>
    <t>2357915788</t>
  </si>
  <si>
    <t>2357915788,ФОП Чернова Елона  Олександрівна,Україна</t>
  </si>
  <si>
    <t>2357915788,ФОП Чернова Елона  Олександрівна,Україна;42840705,ТОВ "ЕВРОФАРМ ГРУП",Україна</t>
  </si>
  <si>
    <t>2358503550,ФОП Дудін Євген Альбертович,Україна;23522853,ТОВАРИСТВО З ОБМЕЖЕНОЮ ВІДПОВІДАЛЬНІСТЮ "ХІМЛАБОРРЕАКТИВ",Україна;3550502015,ФОП ЛУПИКОВ ВЛАДИСЛАВ СЕРГІЙОВИЧ,Україна</t>
  </si>
  <si>
    <t>2371709/2020</t>
  </si>
  <si>
    <t>2371709/2021</t>
  </si>
  <si>
    <t>2385516616</t>
  </si>
  <si>
    <t>24</t>
  </si>
  <si>
    <t>24-02/2</t>
  </si>
  <si>
    <t>24-09</t>
  </si>
  <si>
    <t>24-09/1</t>
  </si>
  <si>
    <t>24/01-20</t>
  </si>
  <si>
    <t>24/02</t>
  </si>
  <si>
    <t>24/03</t>
  </si>
  <si>
    <t>24/05</t>
  </si>
  <si>
    <t>24/05-2</t>
  </si>
  <si>
    <t>24/09</t>
  </si>
  <si>
    <t>24/11</t>
  </si>
  <si>
    <t>2401-3/20</t>
  </si>
  <si>
    <t>2414702156</t>
  </si>
  <si>
    <t>2419910367,ФОП "МАКСИМЕНКО ВАЛЕНТИНА ОЛЕКСАНДРІВНА",Україна;3085618620,ФОП Біляєва Алла Володимирівна,Україна;42283376,ТОВ "ФІРМА "ТАЙМИР",Україна</t>
  </si>
  <si>
    <t>24236012</t>
  </si>
  <si>
    <t>24236012,ТОВ "Пак Пласт Украина",Україна;2674300210,ФОП ЖИХ ВЛАДИСЛАВ ВОЛОДИМИРОВИЧ,Україна;41753727,ТОВАРИСТВО З ОБМЕЖЕНОЮ ВІДПОВІДАЛЬНІСТЮ "АКСІО",Україна;39417349,ТОВ "АВЕРС КАНЦЕЛЯРІЯ",Україна;37167117,Общество с ограниченной ответственностью "Свиком",Україна;30982230,ТОВ "АДАМАС",Україна;40788112,ТОВАРИСТВО З ОБМЕЖЕНОЮ ВІДПОВІДАЛЬНІСТЮ "ЛЕДІКА",Україна</t>
  </si>
  <si>
    <t>24249388</t>
  </si>
  <si>
    <t>24450000-3 Агрохімічна продукція</t>
  </si>
  <si>
    <t>24450000-3 Агрохімічна продукція (24455000-8- Дезинфекційні засоби)</t>
  </si>
  <si>
    <t>24450000-3 Агрохімічна продукція (24455000-8- Дезінфекційні засоби)</t>
  </si>
  <si>
    <t>2450017154</t>
  </si>
  <si>
    <t>2450017154,ФОП ІВАХНО ІГОР ВАЛЕНТИНОВИЧ,Україна;35779669,Товариство з обмеженою відповідальністю "Постач Роз Буд",Україна</t>
  </si>
  <si>
    <t>2450017154,ФОП ІВАХНО ІГОР ВАЛЕНТИНОВИЧ,Україна;36113629,ТОВ "ЕН ВІ ТЕК",Україна</t>
  </si>
  <si>
    <t>24635074</t>
  </si>
  <si>
    <t>24635074,ТОВАРИСТВО З ОБМЕЖЕНОЮ ВІДПОВІДАЛЬНІСТЮ "ТЕРНО-ГРАФ",Україна</t>
  </si>
  <si>
    <t>24635074,ТОВАРИСТВО З ОБМЕЖЕНОЮ ВІДПОВІДАЛЬНІСТЮ "ТЕРНО-ГРАФ",Україна;2919312898,ФОП Шлюпенков Олександр Анатолійович,Україна</t>
  </si>
  <si>
    <t>2463618841</t>
  </si>
  <si>
    <t>2463618841,ФОП "ТРЕМБАЧ МАРИНА ІВАНІВНА",Україна</t>
  </si>
  <si>
    <t>2488216333</t>
  </si>
  <si>
    <t>2488216333,ФОП "СИСУЄВ ІГОР МИКОЛАЙОВИЧ",Україна</t>
  </si>
  <si>
    <t>25</t>
  </si>
  <si>
    <t>25/01</t>
  </si>
  <si>
    <t>25/02</t>
  </si>
  <si>
    <t>25/07</t>
  </si>
  <si>
    <t>25/11-2020</t>
  </si>
  <si>
    <t>25176958,"РЕКЛАМО-ВИДАВНИЧЕ АГЕНСТВО "АУКУБА" ПРИВАТНЕ ПІДПРИЄМСТВО,Україна</t>
  </si>
  <si>
    <t>2549900587</t>
  </si>
  <si>
    <t>2549900587,ФОП "ЯХІМЕЦЬ РИММА ВІКТОРІВНА",Україна</t>
  </si>
  <si>
    <t>2549900587,ФОП "ЯХІМЕЦЬ РИММА ВІКТОРІВНА",Україна;2908112534,ФОП Богатир Д.Є.,Україна</t>
  </si>
  <si>
    <t>2549900587,ФОП "ЯХІМЕЦЬ РИММА ВІКТОРІВНА",Україна;3001719870,ФОП Кондарєв Олександр Анатолійович,Україна</t>
  </si>
  <si>
    <t>255011796</t>
  </si>
  <si>
    <t>2550117965</t>
  </si>
  <si>
    <t>2556608206</t>
  </si>
  <si>
    <t>2556608206,ФОП ПОЛОНСЬКА ОЛЬГА ВІТАЛІЇВНА,УКРАЇНА;3088418773,ФОП "ТЕРТИШНИЙ ОЛЕКСАНДР СЕРГІЙОВИЧ",Україна</t>
  </si>
  <si>
    <t>26</t>
  </si>
  <si>
    <t>26-03</t>
  </si>
  <si>
    <t>26-11</t>
  </si>
  <si>
    <t>26/02</t>
  </si>
  <si>
    <t>26/04</t>
  </si>
  <si>
    <t>260520</t>
  </si>
  <si>
    <t>2630400636</t>
  </si>
  <si>
    <t>2630400636,ФІЗИЧНА ОСОБА-ПІДПРИЄМЕЦЬ КОТЕНКОВ СЕРГІЙ СЕРГІЙОВИЧ,Україна</t>
  </si>
  <si>
    <t>2630400636,ФІЗИЧНА ОСОБА-ПІДПРИЄМЕЦЬ КОТЕНКОВ СЕРГІЙ СЕРГІЙОВИЧ,Україна;3021211918,ФОП "ТУНІК ДМИТРО ЮРІЙОВИЧ
",Україна;43504395,ТОВ ТОРГОВИЙ ДІМ «ПРОМТРЕЙД»,Україна;3621001063,ФОП "ПАВЕЛКО НАТАЛІЯ МИКОЛАЇВНА",Україна</t>
  </si>
  <si>
    <t>2633300327</t>
  </si>
  <si>
    <t>2649315878</t>
  </si>
  <si>
    <t>2649315878,ФОП "СУХОНОС ДМИТРО ОЛЕКСАНДРОВИЧ",Україна;33564552,ПП "Новий Сервіс",Україна;1865600199,ХАМАЗА АНАТОЛІЙ МИКОЛАЙОВИЧ,Україна</t>
  </si>
  <si>
    <t>2651305498</t>
  </si>
  <si>
    <t>27</t>
  </si>
  <si>
    <t>27-08/2020</t>
  </si>
  <si>
    <t>27/01</t>
  </si>
  <si>
    <t>27/04</t>
  </si>
  <si>
    <t>27/11</t>
  </si>
  <si>
    <t>27/11-2</t>
  </si>
  <si>
    <t>2706304679</t>
  </si>
  <si>
    <t>2715809096,ФОП "ОНИЩЕНКО ВЯЧЕСЛАВ ВІКТОРОВИЧ",Україна;32318370,ТОВ "ВП "ПОЛІСАН",Україна;2806911850,ФОП БЕГДЖАНЯН МАНУЕЛЬ СУРИКОВИЧ,україна</t>
  </si>
  <si>
    <t>2723502660</t>
  </si>
  <si>
    <t>2734409717</t>
  </si>
  <si>
    <t>2734409717,ФОП Куц Сергій Анатолійович,Україна;2780106332,ФОП Кучугурний В.І.,Україна;3551502832,ФОП "Шкода Олексій Євгенійович",Україна</t>
  </si>
  <si>
    <t>276</t>
  </si>
  <si>
    <t>276620526</t>
  </si>
  <si>
    <t>2784904424</t>
  </si>
  <si>
    <t>2786718490</t>
  </si>
  <si>
    <t>28-05</t>
  </si>
  <si>
    <t>28-2/5</t>
  </si>
  <si>
    <t>28/04</t>
  </si>
  <si>
    <t>28/10-1</t>
  </si>
  <si>
    <t>28/10-2</t>
  </si>
  <si>
    <t>28/10-3</t>
  </si>
  <si>
    <t>2845104621</t>
  </si>
  <si>
    <t>2845104621,ФОП Носенко І.О.,Україна;3158520110,ФОП Кулак   Євген  Анатолійович,Україна</t>
  </si>
  <si>
    <t>2845104621,ФОП Носенко І.О.,Україна;3416112436,ФОП "БОРОДІН ВАДИМ ІГОРОВИЧ
",Україна</t>
  </si>
  <si>
    <t>2846707377,ФОП "ОБОЛОНКОВ ІГОР МИКОЛАЙОВИЧ",Україна;3097711511,ФОП Филонич Андрій Сергійович,Україна</t>
  </si>
  <si>
    <t>2869102471</t>
  </si>
  <si>
    <t>2874103962</t>
  </si>
  <si>
    <t>2876904634</t>
  </si>
  <si>
    <t>288/2,4,6,7,12</t>
  </si>
  <si>
    <t>2888002782</t>
  </si>
  <si>
    <t>28А491-183-21</t>
  </si>
  <si>
    <t>29</t>
  </si>
  <si>
    <t>29-11</t>
  </si>
  <si>
    <t>29/01</t>
  </si>
  <si>
    <t>2908112534</t>
  </si>
  <si>
    <t>2908112534,ФОП Богатир Д.Є.,Україна;2049600642,ФОП Гребенюк Ірина Тимофіївна,Україна</t>
  </si>
  <si>
    <t>2908112534,ФОП Богатир Д.Є.,Україна;3162220619,ФОП Гребенюк Богдан Валерійович,Україна</t>
  </si>
  <si>
    <t>2908112534,ФОП Богатир Д.Є.,Україна;3513003302,ФОП Козаренко Марія Сергіївна,Україна</t>
  </si>
  <si>
    <t>2908112534,ФОП Богатир Д.Є.,Україна;3550502015,ФОП ЛУПИКОВ ВЛАДИСЛАВ СЕРГІЙОВИЧ,Україна</t>
  </si>
  <si>
    <t>2908112534,ФОП Богатир Д.Є.,Україна;43197388,ТОВ "ХЕЛСІМЕД",Україна</t>
  </si>
  <si>
    <t>2919312898</t>
  </si>
  <si>
    <t>2919312898,ФОП Шлюпенков Олександр Анатолійович,Україна;24635074,Товариство з обмеженою відповідальністю "Терно-граф",Україна;16295262,ПП Мале приватне багатопрофільне підприємство "ГОРДОН",Україна</t>
  </si>
  <si>
    <t>2919312898,Фізична особа - підприємець  ШЛЮПЕНКОВ ОЛЕКСАНДР АНАТОЛІЙОВИЧ,Україна;24635074,ТОВАРИСТВО З ОБМЕЖЕНОЮ ВІДПОВІДАЛЬНІСТЮ "ТЕРНО-ГРАФ",Україна;16295262,ПП Мале приватне багатопрофільне підприємство "ГОРДОН",Україна;41048061,ТОВ "МАКРО ТЕК",Україна;20252943,Приватне багатопрофільне підприємство "Економіка",Україна</t>
  </si>
  <si>
    <t>293/19-НВ</t>
  </si>
  <si>
    <t>2936014724</t>
  </si>
  <si>
    <t>2936014724,ФОП Кучугурна Оксана Анатоліївна,Україна;39393590,ТОВ "АСТ-СВІТЛОТЕХНІКА",Україна;3575508516,СКІДА МАКСИМ СЕРГІЙОВИЧ,Україна;2769300290,ФОП "ГРЕКОВ ДМИТРО ОЛЕКСАНДРОВИЧ",Україна;40357592,ТОВАРИСТВО З ОБМЕЖЕНОЮ ВІДПОВІДАЛЬНІСТЮ "СОФІЛАЙТ-ЦЕНТР",Україна</t>
  </si>
  <si>
    <t>2953524895</t>
  </si>
  <si>
    <t>2953524895,ФОП Курачевський П.О.,Україна</t>
  </si>
  <si>
    <t>2953524895,ФОП Курачевський П.О.,Україна;3158520110,ФОП Кулак   Євген  Анатолійович,Україна</t>
  </si>
  <si>
    <t>2953802816</t>
  </si>
  <si>
    <t>2953802816,ФОП "Черненко Дмитро Анатолійович",Україна</t>
  </si>
  <si>
    <t>2953802816,ФОП Черненко Дмитро Анатолійович,Україна</t>
  </si>
  <si>
    <t>2959011296</t>
  </si>
  <si>
    <t>2959011296,ФОП "Печений Володимир Борисович",Україна;14236166,ТОВ "ВКФ "ВВ",Україна</t>
  </si>
  <si>
    <t>2959011296,ФОП "Печений Володимир Борисович",Україна;3513003302,ФОП Козаренко Марія Сергіївна,Україна</t>
  </si>
  <si>
    <t>2974300628</t>
  </si>
  <si>
    <t>2974300628,ФОП Кутенкова О.О.,Україна</t>
  </si>
  <si>
    <t>2974300628,ФОП Кутенкова О.О.,Україна;41239499,ТОВАРИСТВО З ОБМЕЖЕНОЮ ВІДПОВІДАЛЬНІСТЮ "ТЕКСТИЛЬ ДЕКОР",Україна</t>
  </si>
  <si>
    <t>2992010518</t>
  </si>
  <si>
    <t>2992010518,ФОП ЄРОХІН ОЛЕКСАНДР ПЕТРОВИЧ,Україна;2277215324,ФОП "МИХАЙЛЕНКО ЛЮДМИЛА ІВАНІВНА",Україна</t>
  </si>
  <si>
    <t>3</t>
  </si>
  <si>
    <t>3 (0)</t>
  </si>
  <si>
    <t>3 (1)</t>
  </si>
  <si>
    <t>3 (3)</t>
  </si>
  <si>
    <t>3-20</t>
  </si>
  <si>
    <t>3/12</t>
  </si>
  <si>
    <t>30</t>
  </si>
  <si>
    <t>30-03</t>
  </si>
  <si>
    <t>30-09</t>
  </si>
  <si>
    <t>30/07</t>
  </si>
  <si>
    <t>30/10</t>
  </si>
  <si>
    <t>30/11</t>
  </si>
  <si>
    <t>30/11-2</t>
  </si>
  <si>
    <t>30/2</t>
  </si>
  <si>
    <t>30/3</t>
  </si>
  <si>
    <t>3001719870</t>
  </si>
  <si>
    <t>30109015</t>
  </si>
  <si>
    <t>30120000-6 Фотокопіювальне та поліграфічне обладнання для офсетного друку</t>
  </si>
  <si>
    <t>3016805131,ФОП Грізоглазов С. В.,Україна;3114904438,ФОП Щепоткін Антон Вікторович,Україна;3390302183,ФОП "ЛЕМЕШЕНКО ОЛЬГА СЕРГІЇВНА",Україна;2313408532,ФОП "ТУНІК ЮРІЙ ІВАНОВИЧ",Україна;42283376,ТОВ "ФІРМА "ТАЙМИР",Україна</t>
  </si>
  <si>
    <t>30190000-7 Офісне устаткування та приладдя різне</t>
  </si>
  <si>
    <t>30194866</t>
  </si>
  <si>
    <t>30194866,ТОВ "ПАПІРТОРГ",Україна;3363203857,ФОП "БЕРДНИК ВОЛОДИМИР АНАТОЛІЙОВИЧ",Україна;39417349,ТОВ "АВЕРС КАНЦЕЛЯРІЯ",Україна;37167117,ТОВ "СВІКОМ",Україна;37028812,ТОВ "БРАВО-ПАП",Україна</t>
  </si>
  <si>
    <t>30194866,ТОВ "ПАПІРТОРГ",Україна;39417349,ТОВ "АВЕРС КАНЦЕЛЯРІЯ",Україна</t>
  </si>
  <si>
    <t>30194866,ТОВ "ПАПІРТОРГ",Україна;39417349,ТОВ "АВЕРС КАНЦЕЛЯРІЯ",Україна;2258900944,ФОП "ГРИШКО НАТАЛІЯ ОЛЕКСАНДРІВНА",Україна</t>
  </si>
  <si>
    <t>3021211918</t>
  </si>
  <si>
    <t>30230000-0 Комп’ютерне обладнання</t>
  </si>
  <si>
    <t>30230000-0 Комп’ютерне обладнання (Блок живлення 400W)</t>
  </si>
  <si>
    <t>3030884</t>
  </si>
  <si>
    <t>3033490</t>
  </si>
  <si>
    <t>3041116315</t>
  </si>
  <si>
    <t>30540001,ТОВ ТАВОЛГА,Україна;39882504,ПП "Гермесфарм",Україна;2049600642,ФОП Гребенюк Ірина Тимофіївна,Україна;2953524895,ФОП Курачевський П.О.,Україна</t>
  </si>
  <si>
    <t>3061410957,ФІЗИЧНА ОСОБА-ПІДПРИЄМЕЦЬ КОНШИН ДЕНИС СЕРГІЙОВИЧ,Україна;3392507826,ФОП "ПАЙОНКЕВИЧ ІРИНА ВОЛОДИМИРІВНА",Україна;3022104317,ФОП Солощенко К.К.,Україна;43268537,ТОВ "ТРІОН АЛЬФА",Україна;3283405201,ФОП ФЕДОТОВА КАТЕРИНА ВАЛЕРІЇВНА,Україна</t>
  </si>
  <si>
    <t>30617241,ПРИВАТНЕ НАУКОВО-ВИРОБНИЧЕ ПІДПРИЄМСТВО "МАГНІТА",Україна;33384198,ПП НИКС-П,Україна;39238501,ТОВ Алюмтрейд,Україна</t>
  </si>
  <si>
    <t>3064906626,ФОП "ПЛАХУТІНА АЛЬОНА СЕРГІЇВНА",Україна;2953524895,ФОП Курачевський П.О.,Україна;3513003302,ФОП Козаренко Марія Сергіївна,Україна</t>
  </si>
  <si>
    <t>3072900585,ФОП "БАБКО ВІКТОРІЯ ВІКТОРІВНА",Україна</t>
  </si>
  <si>
    <t>3079306638</t>
  </si>
  <si>
    <t>3079306638,ФОП "ВЯЗОВИЙ ВОЛОДИМИР МИХАЙЛОВИЧ",Україна</t>
  </si>
  <si>
    <t>3085618620,ФОП Біляєва Алла Володимирівна,Україна;2419910367,ФОП "МАКСИМЕНКО ВАЛЕНТИНА ОЛЕКСАНДРІВНА",Україна;42283376,ТОВ "ФІРМА "ТАЙМИР",Україна</t>
  </si>
  <si>
    <t>309/2,4,6,7</t>
  </si>
  <si>
    <t>30982230</t>
  </si>
  <si>
    <t>30982230,ТОВ "АДАМАС",Україна;2592616995,ФІЗИЧНА ОСОБА-ПІДПРИЄМЕЦЬ КОНЄВ ЄВГЕН ВІКТОРОВИЧ,Україна</t>
  </si>
  <si>
    <t>31</t>
  </si>
  <si>
    <t>31/08</t>
  </si>
  <si>
    <t>31210000-1 Електрична апаратура для комутування та захисту електричних кіл</t>
  </si>
  <si>
    <t>313/20</t>
  </si>
  <si>
    <t>31348357</t>
  </si>
  <si>
    <t>31348357,ТОВ ЮР-ТВІН,Україна</t>
  </si>
  <si>
    <t>31348357,ТОВ ЮР-ТВІН,Україна;2725705964,ФОП "Шевер Лариса Павлівна",Україна</t>
  </si>
  <si>
    <t>31348357,ТОВ ЮР-ТВІН,Україна;30394678,ТОВ Асоціація дитячого харчування,Україна</t>
  </si>
  <si>
    <t>31440000-2 Акумуляторні батареї</t>
  </si>
  <si>
    <t>31504677</t>
  </si>
  <si>
    <t>31530000-0 Частини до світильників та освітлювального обладнання</t>
  </si>
  <si>
    <t>3158520110</t>
  </si>
  <si>
    <t>3158520110,ФОП Кулак   Євген  Анатолійович,Україна;2953524895,ФОП Курачевський П.О.,Україна</t>
  </si>
  <si>
    <t>3158520110,ФОП Кулак   Євген  Анатолійович,Україна;38576300,ТОВ "ЛОГІКЛАБГРУПА",Україна</t>
  </si>
  <si>
    <t>3162220619</t>
  </si>
  <si>
    <t>3162220619,ФОП Гребенюк Богдан Валерійович,Україна;3001719870,ФОП Кондарєв Олександр Анатолійович,Україна</t>
  </si>
  <si>
    <t>31680000-6 Електричне приладдя та супутні товари до електричного обладнання</t>
  </si>
  <si>
    <t>31793056</t>
  </si>
  <si>
    <t>31816235</t>
  </si>
  <si>
    <t>31816235,ТОВ "БаДМ",Україна</t>
  </si>
  <si>
    <t>31816235,ТОВ "БаДМ",Україна;33239630,ПрАТ "МЕДФАРКОМ-ЦЕНТР",Україна</t>
  </si>
  <si>
    <t>31816235,ТОВ "БаДМ",Україна;33239630,Приватне акціонерне товариство "Медфарком-Центр",Україна</t>
  </si>
  <si>
    <t>31816235,ТОВ "БаДМ",Україна;37090770,ТОВ "Валанж-Фарм",Україна</t>
  </si>
  <si>
    <t>31816235,ТОВ "БаДМ",Україна;38272248,ТОВ "АПТЕКИ "ФАРМАСІТІ",Україна</t>
  </si>
  <si>
    <t>31816235,ТОВ "БаДМ",Україна;43506696,ТОВАРИСТВО З ОБМЕЖЕНОЮ ВІДПОВІДАЛЬНІСТЮ "ФАРМАКЛУБ",Україна</t>
  </si>
  <si>
    <t>318430</t>
  </si>
  <si>
    <t>318442</t>
  </si>
  <si>
    <t>3187707384</t>
  </si>
  <si>
    <t>3187707384,ФОП Гребенюк  Тетяна Іванівна,Україна;2953524895,ФОП Курачевський П.О.,Україна</t>
  </si>
  <si>
    <t>32</t>
  </si>
  <si>
    <t>3208603621</t>
  </si>
  <si>
    <t>3208603621,ФОП "ДЯТЛЕНКО ОЛЬГА СЕРГІЇВНА",Україна;2015300381,ФОП ХАМАЗА ЛЮДМИЛА ГРИГОРІВНА,Україна;3148208078,ФОП Тарасенко Сергій Сергійович,Україна;33564552,ПП "Новий Сервіс",Україна;21862763,ТОВАРИСТВО З ОБМЕЖЕНОЮ ВІДПОВІДАЛЬНІСТЮ ВИРОБНИЧО-КОМЕРЦІЙНА ФІРМА "БІЗНЕС-ЛІГА",Україна;2649315878,ФОП "СУХОНОС ДМИТРО ОЛЕКСАНДРОВИЧ",Україна</t>
  </si>
  <si>
    <t>3208603621,ФОП "ДЯТЛЕНКО ОЛЬГА СЕРГІЇВНА",Україна;2649315878,ФОП "СУХОНОС ДМИТРО ОЛЕКСАНДРОВИЧ",Україна</t>
  </si>
  <si>
    <t>3208603621,ФОП "ДЯТЛЕНКО ОЛЬГА СЕРГІЇВНА",Україна;33564552,ПП "Новий Сервіс",Україна;2015300381,ХАМАЗА ЛЮДМИЛА ГРИГОРІВНА,Україна;2649315878,ФОП "СУХОНОС ДМИТРО ОЛЕКСАНДРОВИЧ",Україна;21862763,ТОВАРИСТВО З ОБМЕЖЕНОЮ ВІДПОВІДАЛЬНІСТЮ ВИРОБНИЧО-КОМЕРЦІЙНА ФІРМА "БІЗНЕС-ЛІГА",УКРАЇНА;3148208078,ФОП Тарасенко Сергій Сергійович,Україна;1837300195,ФОП Маркін Олексій Павлович,Україна</t>
  </si>
  <si>
    <t>32241041</t>
  </si>
  <si>
    <t>323/20</t>
  </si>
  <si>
    <t>32318370</t>
  </si>
  <si>
    <t>32340000-8 Мікрофони та гучномовці</t>
  </si>
  <si>
    <t>3237419690</t>
  </si>
  <si>
    <t>3237419690,ФОП Скоробогатко Д.А.,Україна;3222000374,ФІЗИЧНА ОСОБА-ПІДПРИЄМЕЦЬ САВЧЕНКО ДМИТРО ВОЛОДИМИРОВИЧ,Україна;3551502832,ФОП "Шкода Олексій Євгенійович",Україна</t>
  </si>
  <si>
    <t>3237419690,ФОП Скоробогатко Д.А.,Україна;35961869,ТОВ "СОЮЗ-СВІТЛО УКРАЇНА",Україна;41644003,ТОВАРИСТВО З ОБМЕЖЕНОЮ ВІДПОВІДАЛЬНІСТЮ "ТОТАЛ КОРПОРЕЙШН",Україна</t>
  </si>
  <si>
    <t>32420000-3 Мережеве обладнання</t>
  </si>
  <si>
    <t>32550000-3 Телефонне обладнання</t>
  </si>
  <si>
    <t>3257303712</t>
  </si>
  <si>
    <t>32580000-2 Інформаційне обладнання</t>
  </si>
  <si>
    <t>3259215186</t>
  </si>
  <si>
    <t>32653295</t>
  </si>
  <si>
    <t>32653295,ТОВ ВЕТО,Україна</t>
  </si>
  <si>
    <t>32688148</t>
  </si>
  <si>
    <t>32723765</t>
  </si>
  <si>
    <t>329Кр</t>
  </si>
  <si>
    <t>329рКр</t>
  </si>
  <si>
    <t>33</t>
  </si>
  <si>
    <t>33/20</t>
  </si>
  <si>
    <t>33006821</t>
  </si>
  <si>
    <t xml:space="preserve">33120000-7	Системи реєстрації медичної інформації та дослідне обладнання  (33124131-2 Індикаторні смужки) </t>
  </si>
  <si>
    <t>33120000-7 Системи реєстрації медичної інформації та дослідне обладнання</t>
  </si>
  <si>
    <t>33120000-7 Системи реєстрації медичної інформації та дослідне обладнання (33124131-2 Індикаторні смужки)</t>
  </si>
  <si>
    <t>33120000-7 Системи реєстрації медичної інформації та дослідне обладнання (Індикаторні смужки)</t>
  </si>
  <si>
    <t>33140000-3 - Медичні матеріали</t>
  </si>
  <si>
    <t>33140000-3 Медичні матеріали</t>
  </si>
  <si>
    <t>33140000-3 Медичні матеріали (Маска  медична одноразова  хірургічна, комплект одягу «Анти - СНІД» № 3, шапочки  одноразові спанбонд, набір маніпуляційний перев`язувальний №2 стерильний, шприц ін'єкційний одноразового використання стерильний,  2 мл (трьохкомпонентний), респіратор 3кл.FFP з клапаном, бахіли  подовжені на зав’язках, рукавички одноразові нітрилові  розмір S,М, халат медичний(захисний) комбінований на зав’язках (типА) довжиною 130см (СМС+ ламінований спанбонд -35+45г\м2)   розмір 50,52,54), захисний екран, шприц ін'єкційний одноразового використання стерильний,  5мл (трьохкомпонентний))</t>
  </si>
  <si>
    <t>33140000-3 Медичні матеріали (Маска медична, комплект одягу «Анти - СНІД» № 3, шапочка медична, набір маніпуляційний перев`язувальний №2, шприц одноразовий, 2 мл, протиаерозольна фільтруюча напівмаска (респіратор), бахіли подовжені на зав’язках, рукавички оглядові розмір S,М, халат медичний(захисний) комбінований, захисний екран, шприц одноразовий, 5мл.)</t>
  </si>
  <si>
    <t>33140000-3 Медичні матеріали (Серветка спиртова  (100 шт/уп);  Рукавички оглядові нітрилові,  розміри: М; Ланцет (скарифікатор) для крові стальний з центральною голкою, 200 шт/уп; Рукавички оглядові , розмір S,М; Шпатель  прозорий; Пластир медичний 2см х 500см; Маска  одноразова  медична; Набір для маніпуляцій і перевязок №2; Канюля в/венна 20G; Канюля в/венна 24G; Одноразова система для вливання інфузійних розчинів ; Пластир для фіксації канюль внутрішньовенних; Вата медична , 100 г.)</t>
  </si>
  <si>
    <t>33140000-3 Медичні матеріали (калоприймачі стомічні, сечоприймачі)</t>
  </si>
  <si>
    <t xml:space="preserve">33140000-3 Медичні матеріали (скарифікатори, вата, рукавички оглядові, шприці, серветки спиртові, шпателі отоларингологічні)
</t>
  </si>
  <si>
    <t>33140000-3 Медичні матеріали (скарифікатори, вата, рукавички оглядові, шприці, серветки спиртові, шпателі отоларингологічні)
Джерело фінансування- місцевий бюджет, кошти НСЗУ</t>
  </si>
  <si>
    <t>33180000-5 Апаратура для підтримування фізіологічних функцій організму</t>
  </si>
  <si>
    <t>33180000-5 Апаратура для підтримування фізіологічних функцій організму (НК 024:2019-30082 слухові апарати)</t>
  </si>
  <si>
    <t>33180000-5 Апаратура для підтримування фізіологічних функцій організму (слухові апарати)</t>
  </si>
  <si>
    <t>33190000-8 - Медичне обладнання та вироби медичного призначення різні</t>
  </si>
  <si>
    <t>33190000-8 -Медичне обладнання та вироби медичного призначення різні 
Джерело фінансування- місцевий бюджет; кошти НСЗУ.</t>
  </si>
  <si>
    <t>33190000-8 -Медичне обладнання та вироби медичного призначення різні (пробірки, наконечники для піпеток, рушники паперові, диспенсери, опромінювачі, гігрометри, дозатори, стрічки діаграмні)</t>
  </si>
  <si>
    <t>33190000-8 Медичне обладнання та вироби медичного призначення різні</t>
  </si>
  <si>
    <t>33190000-8 Медичне обладнання та вироби медичного призначення різні (код НК 024:2019 35150 опромінювачі бактерицидні; код НК 024:2019 15827 ліктьові дозатори для мила (1000 мл))</t>
  </si>
  <si>
    <t>3323603353</t>
  </si>
  <si>
    <t>3323603353,ФОП Осташевський Я.I.,Україна</t>
  </si>
  <si>
    <t>3323603353,ФОП Осташевський Я.I.,Україна;30982230,ТОВ "АДАМАС",Україна</t>
  </si>
  <si>
    <t>3323603353,ФОП Осташевський Я.I.,Україна;30982230,ТОВ "АДАМАС",Україна;2322117402,ФОП Романова Світлана Володимирівна,Україна</t>
  </si>
  <si>
    <t>33324977</t>
  </si>
  <si>
    <t>33384198,ПП НИКС-П,Україна;3656104831,ФОП "ОНИЩЕНКО ВЛАДИСЛАВ ВЯЧЕСЛАВОВИЧ",Україна</t>
  </si>
  <si>
    <t>33542497</t>
  </si>
  <si>
    <t>33542497,ТОВ "МЦФЕР - Україна",Україна</t>
  </si>
  <si>
    <t>33600000-6 - Фармацевтична продукція (креон 25000, вальпроком 300 хроно, калімін 60Н, мінірин МЕЛТ)</t>
  </si>
  <si>
    <t>33600000-6 - Фармацевтична продукція (ліки для невідкладної допомоги)</t>
  </si>
  <si>
    <t>33600000-6 Фармацевтична продукція</t>
  </si>
  <si>
    <t>33600000-6 Фармацевтична продукція (336965000-0 Лабораторні реактиви)
Джерело фінансування- місцевий бюджет, кошти НСЗУ</t>
  </si>
  <si>
    <t>33600000-6 Фармацевтична продукція (БІОЛІК Туберкулін ППД-Л  - розчин для ін'єкцій комплект: 1 ампула по 0,6 мл. (6доз) з активністю 2ТО/доза, 3 шприца з голками для витягання,3 голки для введення).</t>
  </si>
  <si>
    <t>33600000-6 Фармацевтична продукція (Вакцина проти грипу «Ваксігрип» суспензія для ін’єкцій по 0.5 мл (1 доза) в кількості 182 шт./дози)</t>
  </si>
  <si>
    <t>33600000-6 Фармацевтична продукція (Мирцера)</t>
  </si>
  <si>
    <t>33600000-6 Фармацевтична продукція (Мирцера, Аранесп)</t>
  </si>
  <si>
    <t>33600000-6 Фармацевтична продукція (Симбікорт Турбохалер)</t>
  </si>
  <si>
    <t>33600000-6 Фармацевтична продукція (вакцини проти грипу)</t>
  </si>
  <si>
    <t>33600000-6 Фармацевтична продукція (туберкулін)</t>
  </si>
  <si>
    <t>33600000-6 Фармацевтична продукція;33690000-3 Лікарські засоби різні</t>
  </si>
  <si>
    <t>3363203857</t>
  </si>
  <si>
    <t>3364008690</t>
  </si>
  <si>
    <t>33642724</t>
  </si>
  <si>
    <t>33642724,ТОВ 'Укрмедіатренд',Україна;3232908575,ФОП "ДІДУК СЕРГІЙ ОЛЕКСАНДРОВИЧ",Україна</t>
  </si>
  <si>
    <t>33651660-2 - Вакцина проти грипу (Ваксігрип) 
Джерело фінансування- місцевий бюджет</t>
  </si>
  <si>
    <t>33651660-2 - Вакцина проти грипу (Ваксігрип) суспензія для ін’єкцій по 0.5 мл (1 доза)</t>
  </si>
  <si>
    <t>33651660-2 Вакцини проти грипу</t>
  </si>
  <si>
    <t>33690000-3 Лікарські засоби різні</t>
  </si>
  <si>
    <t>33690000-3 Лікарські засоби різні (Глікогемоглобін (Набір реагентів), Глікогемоглобін (Набір контролей))</t>
  </si>
  <si>
    <t>33690000-3 Лікарські засоби різні (код НК 024:2019 42651 Розчин лізуючий, фасування 1л; код НК 024:2019 59058 Розчин для промивання, фасування 1л; код НК 024:2019 59058 Розчин для очистки, фасування 50мл; код НК 024:2019 53316 Глікогемоглобін (Набір реагентів); код НК 024:2019 53316 Глікогемоглобін (Набір контролей))</t>
  </si>
  <si>
    <t>33690000-3 Лікарські засоби різні (лабораторні реактиви)</t>
  </si>
  <si>
    <t>33696000-5 Реактиви та контрастні речовини</t>
  </si>
  <si>
    <t>33700000-7  особистої гігієни (підгузники для дорослих, підгузники для дітей)
Джерело фінансування-місцевий бюджет</t>
  </si>
  <si>
    <t>33700000-7 Засоби особистої гігієни</t>
  </si>
  <si>
    <t>33700000-7 Засоби особистої гігієни (підгузники для дорослих, підгузники для дітей)</t>
  </si>
  <si>
    <t>33710000-0 Парфуми, засоби гігієни та презервативи</t>
  </si>
  <si>
    <t>33710000-0 Парфуми, засоби гігієни та презервативи (НК 024:2019 –11239 - підгузники для дорослих;  НК 024:2019–35008-підгузники для дітей; НК 024:2019–31068-мішки уростомні (сечоприймачі); НК 024:2019–31066–калоприймачі)</t>
  </si>
  <si>
    <t>33710000-0 Парфуми, засоби гігієни та презервативи (код НК 024:2019 – 11239 - підгузники для дорослих; код НК 024:2019 – 35008 - підгузники для дітей; код НК 024:2019 – 31068 - мішки уростомні)</t>
  </si>
  <si>
    <t>33710000-0 Парфуми, засоби гігієни та презервативи (підгузники для дорослих, калоприймачі, сечоприймачі)</t>
  </si>
  <si>
    <t>3371305836</t>
  </si>
  <si>
    <t>3371305836,ЯКИМЧУК ВАДИМ БОРИСОВИЧ,Україна</t>
  </si>
  <si>
    <t>3371305836,ЯКИМЧУК ВАДИМ БОРИСОВИЧ,Україна;2919312898,ФОП Шлюпенков Олександр Анатолійович,Україна;2638510226,ШЕМЧУК ОЛЕНА ГРИГОРІВНА,Україна;2974300628,ФОП Кутенкова О.О.,Україна</t>
  </si>
  <si>
    <t>33717443</t>
  </si>
  <si>
    <t>33717443,ТОВАРИСТВО З ОБМЕЖЕНОЮ ВІДПОВІДАЛЬНІСТЮ "БІОХІМ",Україна</t>
  </si>
  <si>
    <t>33717569</t>
  </si>
  <si>
    <t>33750000-2 Засоби для догляду за малюками</t>
  </si>
  <si>
    <t>33770000-8 Папір санітарно-гігієнічного призначення</t>
  </si>
  <si>
    <t>3379111856</t>
  </si>
  <si>
    <t>33863245,ПРИВАТНЕ ВИРОБНИЧЕ ПІДПРИЄМСТВО "ДВН",Україна;2845104621,ФОП Носенко І.О.,Україна;3158520110,ФОП Кулак   Євген  Анатолійович,Україна</t>
  </si>
  <si>
    <t>33885934</t>
  </si>
  <si>
    <t>33885934,ТОВАРИСТВО З ОБМЕЖЕНОЮ ВІДПОВІДАЛЬНІСТЮ "ГРАНД ТЕХНОЛОДЖІС",Україна</t>
  </si>
  <si>
    <t>3392507826</t>
  </si>
  <si>
    <t>3392507826,ФОП "ПАЙОНКЕВИЧ ІРИНА ВОЛОДИМИРІВНА",Україна</t>
  </si>
  <si>
    <t>3392507826,ФОП "ПАЙОНКЕВИЧ ІРИНА ВОЛОДИМИРІВНА",Україна;43268537,ТОВ "ТРІОН АЛЬФА",Україна</t>
  </si>
  <si>
    <t>34</t>
  </si>
  <si>
    <t>34358745</t>
  </si>
  <si>
    <t>34364696</t>
  </si>
  <si>
    <t>34513074</t>
  </si>
  <si>
    <t>35</t>
  </si>
  <si>
    <t>3506804</t>
  </si>
  <si>
    <t>3506806</t>
  </si>
  <si>
    <t>3513003302</t>
  </si>
  <si>
    <t>3513003302,ФОП Козаренко Марія Сергіївна,Україна;1971611975,ФОП Гребенюк Валерій Миколайович,Україна</t>
  </si>
  <si>
    <t>3513003302,ФОП Козаренко Марія Сергіївна,Україна;2908112534,ФОП Богатир Д.Є.,Україна</t>
  </si>
  <si>
    <t>3513003302,ФОП Козаренко Марія Сергіївна,Україна;3158520110,ФОП Кулак   Євген  Анатолійович,Україна</t>
  </si>
  <si>
    <t>35323603</t>
  </si>
  <si>
    <t>3550502015</t>
  </si>
  <si>
    <t>3551502832</t>
  </si>
  <si>
    <t>3551502832,ФОП "Шкода Олексій Євгенійович",Україна</t>
  </si>
  <si>
    <t>35673335</t>
  </si>
  <si>
    <t>35810000-5 Індивідуальне обмундирування</t>
  </si>
  <si>
    <t>35834441</t>
  </si>
  <si>
    <t>35834441,ТОВ "ЗІРКА АЛЕКСАНДРІЇ",Україна;03359316,ТОВ "Дендро",Україна;41946446,ТОВ "ЕКОПЛІТ",Україна;43182570,ПП "МАЙСТЕР ОМ",Україна</t>
  </si>
  <si>
    <t>3595212156</t>
  </si>
  <si>
    <t>3595212156,ФОП "ЛИТВИНОВ МИКИТА ВЯЧЕСЛАВОВИЧ",Україна</t>
  </si>
  <si>
    <t>35986905</t>
  </si>
  <si>
    <t>36053434</t>
  </si>
  <si>
    <t>36157713</t>
  </si>
  <si>
    <t>36163114</t>
  </si>
  <si>
    <t>36216548</t>
  </si>
  <si>
    <t>36257034</t>
  </si>
  <si>
    <t>362864</t>
  </si>
  <si>
    <t>36295719</t>
  </si>
  <si>
    <t>36295719,ТОВ "Дезцентр плюс",Україна</t>
  </si>
  <si>
    <t>36295719,ТОВ "Дезцентр плюс",Україна;2562320628,ФОП "Лісунова Наталія Олександрівна",Україна</t>
  </si>
  <si>
    <t>36365843</t>
  </si>
  <si>
    <t>36865753</t>
  </si>
  <si>
    <t>37</t>
  </si>
  <si>
    <t>37054093,ГО "ІНСТИТУТ ПРИКЛАДНИХ ДОСЛІДЖЕНЬ ТЕНДЕРНИХ ЗАКУПІВЕЛЬ",Україна;2651305498,ФОП "ПРИХОДЬКО ВОЛОДИМИР ВОЛОДИМИРОВИЧ",Україна;24095427,Товариство з обмеженою відповідальністю "В.М.",Україна;40989803,ТОВАРИСТВО З ОБМЕЖЕНОЮ ВІДПОВІДАЛЬНІСТЮ "МАГАЗИН ПОЗИТИВ",Україна;3457706631,ФОП "БАЛАГУРА БОГДАН ОЛЕГОВИЧ",Україна;3436413298,СИНЮЧЕНКО АРТЕМ МИХАЙЛОВИЧ,Україна</t>
  </si>
  <si>
    <t>37149106</t>
  </si>
  <si>
    <t>37308833,ТОВ "Фартунат",Україна;43504395,ТОВ ТОРГОВИЙ ДІМ «ПРОМТРЕЙД»,Україна</t>
  </si>
  <si>
    <t>37539687</t>
  </si>
  <si>
    <t>376/2,4,6,7,12</t>
  </si>
  <si>
    <t>37797799</t>
  </si>
  <si>
    <t>37797799,ТОВАРИСТВО З ОБМЕЖЕНОЮ ВІДПОВІДАЛЬНІСТЮ "ЕКОЛОГІЧНІ ПЕРЕРОБНІ ТЕХНОЛОГІЇ",Україна</t>
  </si>
  <si>
    <t>37797799,ТОВАРИСТВО З ОБМЕЖЕНОЮ ВІДПОВІДАЛЬНІСТЮ "ЕКОЛОГІЧНІ ПЕРЕРОБНІ ТЕХНОЛОГІЇ",Україна;40277858,ТОВ "А-ЕНЕРГО",Україна;39624900,ТОВ "НВК "УКРЕКОПРОМ",Україна</t>
  </si>
  <si>
    <t>37899888</t>
  </si>
  <si>
    <t>37988142</t>
  </si>
  <si>
    <t>380442399606, 380952889808</t>
  </si>
  <si>
    <t>380567904276, 380676107071</t>
  </si>
  <si>
    <t>380567904276, 380676911265</t>
  </si>
  <si>
    <t>380577563603, 380676905796,</t>
  </si>
  <si>
    <t>380673873633</t>
  </si>
  <si>
    <t>380674646069, 380674646069</t>
  </si>
  <si>
    <t>380675645885</t>
  </si>
  <si>
    <t>380682066854, 380682066854</t>
  </si>
  <si>
    <t>380934777724, 380934777724</t>
  </si>
  <si>
    <t>380936262463</t>
  </si>
  <si>
    <t>38218086</t>
  </si>
  <si>
    <t>38218086,ТОВ "Аметрін ФК",Україна;39273420,ТОВ "БАДМ-Б",Україна</t>
  </si>
  <si>
    <t>38310000-1 Високоточні терези</t>
  </si>
  <si>
    <t>38311000-8 електронні ваги та приладдя до них (ваги дитячі); 38311000-8 електронні ваги та приладдя до них (ваги для дорослих)</t>
  </si>
  <si>
    <t>38360040,ТОВАРИСТВО З ОБМЕЖЕНОЮ ВІДПОВІДАЛЬНІСТЮ "ЮГХОЛОДТОРГ",Україна;2308617325,ФОП "КОВИЛОВА ІРИНА МИКОЛАЇВНА",Україна;42874268,ТОВ "ГЕМОМЕД",Україна</t>
  </si>
  <si>
    <t>38410000-2 Лічильні прилади</t>
  </si>
  <si>
    <t>38430000-8 Детектори та аналізатори</t>
  </si>
  <si>
    <t xml:space="preserve">38430000-8 Детектори та аналізатори (Аналізатор сечі; Гематологічний аналізатор)
</t>
  </si>
  <si>
    <t>38431598</t>
  </si>
  <si>
    <t>38431598,ДУ "Дніпропетровський обласний лабораторний центр МОЗ України,Україна</t>
  </si>
  <si>
    <t>38432874</t>
  </si>
  <si>
    <t>38576300</t>
  </si>
  <si>
    <t>38576300,ТОВАРИСТВО З ОБМЕЖЕНОЮ ВІДПОВІДАЛЬНІСТЮ "ЛОГІКЛАБГРУПА",Україна</t>
  </si>
  <si>
    <t>38576300,ТОВАРИСТВО З ОБМЕЖЕНОЮ ВІДПОВІДАЛЬНІСТЮ "ЛОГІКЛАБГРУПА",Україна;41776037,ТОВАРИСТВО З ОБМЕЖЕНОЮ ВІДПОВІДАЛЬНІСТЮ "ПІНОЛ УКРАЇНА",Україна</t>
  </si>
  <si>
    <t>38677809</t>
  </si>
  <si>
    <t>38677809,ТОВ БИО-ТЕХНОЛОГИИ,Україна;3162220619,ФОП Гребенюк,Україна</t>
  </si>
  <si>
    <t>38703629,ТОВ "ІМЕД",Україна;3001719870,ФОП Кондарєв Олександр Анатолійович,Україна</t>
  </si>
  <si>
    <t>38703629,ТОВ "ІМЕД",Україна;3162220619,ФОП Гребенюк,Україна</t>
  </si>
  <si>
    <t>38716182</t>
  </si>
  <si>
    <t>38716182,ТОВ Інтермедика-Україна,Україна</t>
  </si>
  <si>
    <t>38А491-389-20</t>
  </si>
  <si>
    <t>38А491-418-20</t>
  </si>
  <si>
    <t>38А491-503-21</t>
  </si>
  <si>
    <t>39080628</t>
  </si>
  <si>
    <t>39086221</t>
  </si>
  <si>
    <t>39086221,ТОВ Торговий дім МЕДСВІТ,Україна;40439947,ТОВ ДІМС,Україна</t>
  </si>
  <si>
    <t>39110000-6 Сидіння, стільці та супутні вироби і частини до них</t>
  </si>
  <si>
    <t xml:space="preserve">39110000-6 Сидіння, стільці та супутні вироби і частини до них (дивани для очікування відвідувачів, крісла офісні)
</t>
  </si>
  <si>
    <t>39110000-6 – Сидіння, стільці та супутні вироби і частини до них</t>
  </si>
  <si>
    <t>39110000-6 — Сидіння, стільці та супутні вироби і частини до них (стільці, лави, дивани для очікування)</t>
  </si>
  <si>
    <t>39120000-9 Столи, серванти, письмові столи та книжкові шафи</t>
  </si>
  <si>
    <t>39120000-9 – Столи, серванти, письмові столи та книжкові шафи</t>
  </si>
  <si>
    <t>39130000-2 Офісні меблі</t>
  </si>
  <si>
    <t>39130000-2 – Офісні меблі</t>
  </si>
  <si>
    <t>39130000-2 — Офісні меблі (столи, приставка до столу,  шафи, тумби офісні)</t>
  </si>
  <si>
    <t>39130000-2 — Офісні меблі (столи, шафи, тумби офісні)</t>
  </si>
  <si>
    <t>39130000-2 — Офісні меблі (стіл комп’ютерний, стіл письмовий з тумбою, шафа для паперів, шафа для одягу, крісло офісне, дитячий дерев'яний столик з 2-ма стільчиками, вішак для одягу)</t>
  </si>
  <si>
    <t>39130000-2 — Офісні меблі (шафи, столи, тумби офісні)</t>
  </si>
  <si>
    <t>39150000-8 Меблі та приспособи різні</t>
  </si>
  <si>
    <t>39150000-8 – Меблі та приспособи різні</t>
  </si>
  <si>
    <t>39170000-4 Магазинні меблі</t>
  </si>
  <si>
    <t>39180000-7 Лабораторні меблі</t>
  </si>
  <si>
    <t>39190161,ТОВ "ВІДЖИ МЕДІКАЛ",Україна;1971611975,ФОП Гребенюк Валерій Миколайович,Україна</t>
  </si>
  <si>
    <t>39197392</t>
  </si>
  <si>
    <t>39204954</t>
  </si>
  <si>
    <t>39204954,ТОВ "ЗДОРОВЕ МАЙБУТНЄ",Україна</t>
  </si>
  <si>
    <t>39204954,ТОВ "ЗДОРОВЕ МАЙБУТНЄ",Україна;39086221,ТОВ Торговий дім МЕДСВІТ,Україна</t>
  </si>
  <si>
    <t>39204954,ТОВ "ЗДОРОВЕ МАЙБУТНЄ",Україна;39273420,ТОВ "БАДМ-Б",Україна</t>
  </si>
  <si>
    <t>39220000-0 Кухонне приладдя, товари для дому та господарства і приладдя для закладів громадського харчування</t>
  </si>
  <si>
    <t>39238501</t>
  </si>
  <si>
    <t>39245042,ТОВ Єврогарант-2014,Україна;41436140,ТОВ "УКРСТРОЙДНІПРО",Україна;2786718490,ФОП "ЄГОРОВ ДМИТРО МИХАЙЛОВИЧ",Україна;3595212156,ФОП "ЛИТВИНОВ МИКИТА ВЯЧЕСЛАВОВИЧ",Україна;31944730,ПП "ТЕХПРОМІНВЕСТ ПЛЮС",Україна</t>
  </si>
  <si>
    <t>39273420</t>
  </si>
  <si>
    <t>39273420,ТОВ "БАДМ-Б",Україна;21642228,СПІЛЬНЕ УКРАЇНСЬКО-ЕСТОНСЬКЕ ПІДПРИЄМСТВО У ФОРМІ ТОВАРИСТВА З ОБМЕЖЕНОЮ ВІДПОВІДАЛЬНІСТЮ "ОПТІМА-ФАРМ, ЛТД",Україна;37090770,ТОВ "Валанж-Фарм",Україна</t>
  </si>
  <si>
    <t>39273420,ТОВ "БАДМ-Б",Україна;33239630,ПрАТ "МЕДФАРКОМ-ЦЕНТР",Україна</t>
  </si>
  <si>
    <t>39273420,ТОВ "БАДМ-Б",Україна;40866700,ТОВ "Амікум Фарма",Україна</t>
  </si>
  <si>
    <t>39306466</t>
  </si>
  <si>
    <t>39306466,ТОВ КРОК-ДНІПРО,Україна;21936609,ТОВ "ВІОН",Україна;2900014099,ФОП "ГУР'ЄВ ОЛЕКСАНДР ВАСИЛЬОВИЧ",Україна;39894991,ТОВАРИСТВО З ОБМЕЖЕНОЮ ВІДПОВІДАЛЬНІСТЮ «112.ДП.УА»,Україна;40109168,УПРАВЛІННЯ ПОЛІЦІЇ ОХОРОНИ В ДНІПРОПЕТРОВСЬКІЙ ОБЛАСТІ,Україна</t>
  </si>
  <si>
    <t>39417349</t>
  </si>
  <si>
    <t>39417349,ТОВ "АВЕРС КАНЦЕЛЯРІЯ",Україна</t>
  </si>
  <si>
    <t>39417349,ТОВ "АВЕРС КАНЦЕЛЯРІЯ",Україна;24236012,ТОВ "Пак Пласт Украина",Україна;41753727,ТОВ "АКСІО",Україна</t>
  </si>
  <si>
    <t>39417349,ТОВ "АВЕРС КАНЦЕЛЯРІЯ",Україна;25394112,ТОВ "УКРАЇНСЬКИЙ ПАПІР",Україна</t>
  </si>
  <si>
    <t>39417349,ТОВ "АВЕРС КАНЦЕЛЯРІЯ",Україна;25394112,Товариство з обмеженою відповідальністю "Український папір",Україна;3363203857,ФОП БЕРДНИК ВОЛОДИМИР АНАТОЛІЙОВИЧ,Україна</t>
  </si>
  <si>
    <t>39417349,ТОВ "АВЕРС КАНЦЕЛЯРІЯ",Україна;3153403953,ФОП "БЕРДНИК ВІТАЛІЙ АНАТОЛІЙОВИЧ",Україна;37167117,ТОВ "СВІКОМ",Україна;24389020,ТОВ Торговельна компанія "ЮЛіС",Україна</t>
  </si>
  <si>
    <t>39417349,ТОВ "АВЕРС КАНЦЕЛЯРІЯ",Україна;31939411,ТОВАРИСТВО З ОБМЕЖЕНОЮ ВІДПОВІДАЛЬНІСТЮ "ДМД-СЕРВІС",Україна;37167117,ТОВАРИСТВО З ОБМЕЖЕНОЮ ВІДПОВІДАЛЬНІСТЮ "СВІКОМ",Україна;25394112,Товариство з обмеженою відповідальністю "Український папір",Україна</t>
  </si>
  <si>
    <t>39417349,ТОВ "АВЕРС КАНЦЕЛЯРІЯ",Україна;38229737,ПРИВАТНЕ ПІДПРИЄМСТВО "СТРОБІЛ" ( ПП "СТРОБІЛ" ),Україна;2658800481,ФОП Орьол Олена Вікторівна,Україна;30982230,ТОВ "АДАМАС",Україна;3487810612,ФОП Захарунь Артем Олексійович,Україна</t>
  </si>
  <si>
    <t>39417349,ТОВ "АВЕРС КАНЦЕЛЯРІЯ",Україна;41753727,ТОВ "АКСІО",Україна;2120802956,Фізична особа підприємець Желтобрюхов Юрій Володимирович,Україна</t>
  </si>
  <si>
    <t>39417349,ТОВ "АВЕРС КАНЦЕЛЯРІЯ",Україна;41753727,ТОВ "АКСІО",Україна;24389020,ТОВ Торговельна компанія "ЮЛіС",Україна</t>
  </si>
  <si>
    <t>39510000-0 - Вироби домашнього текстилю (жалюзі для вікон з монтажем)</t>
  </si>
  <si>
    <t>39510000-0 Вироби домашнього текстилю</t>
  </si>
  <si>
    <t>39510000-0 Вироби домашнього текстилю  (жалюзі вертикальні, жалюзі горизонтальні)</t>
  </si>
  <si>
    <t>39510000-0 Вироби домашнього текстилю (Жалюзі вертикальні)</t>
  </si>
  <si>
    <t>39510000-0 Вироби домашнього текстилю (жалюзі вертикальні)</t>
  </si>
  <si>
    <t>39510000-0 Вироби домашнього текстилю (жалюзі горизонтальні)</t>
  </si>
  <si>
    <t>39572642</t>
  </si>
  <si>
    <t>39572642,Товариство з обмеженою відповідальністю "Дніпропетровськгаз збут",Україна</t>
  </si>
  <si>
    <t>39572642,Товариство з обмеженою відповідальністю "Дніпропетровськгаз збут",Україна;38315218,ТОВ "ТОРГОВИЙ ДІМ "СКФ",Україна</t>
  </si>
  <si>
    <t>39710000-2 Електричні побутові прилади</t>
  </si>
  <si>
    <t>39830000-9 Продукція для чищення</t>
  </si>
  <si>
    <t xml:space="preserve">39830000-9 продукція для чищення (засоби для прибирання) </t>
  </si>
  <si>
    <t>39942877</t>
  </si>
  <si>
    <t>39942877,ТОВАРИСТВО З ОБМЕЖЕНОЮ ВІДПОВІДАЛЬНІСТЮ "НАДІЯ СТРОЙ",Україна</t>
  </si>
  <si>
    <t>4</t>
  </si>
  <si>
    <t>4 (0)</t>
  </si>
  <si>
    <t>40</t>
  </si>
  <si>
    <t>400</t>
  </si>
  <si>
    <t>40091017</t>
  </si>
  <si>
    <t>40091017,ТОВ "БУДВЕСТ-М",Україна;2757612765,ФОП Литвиненко Наталія Миколаївна,Україна;39086221,ТОВ Торговий дім МЕДСВІТ,Україна</t>
  </si>
  <si>
    <t>40091017,ТОВ "БУДВЕСТ-М",Україна;3181312913,ФОП "ДЖЕЖОРА МИХАЙЛО СЕРГІЙОВИЧ",Україна</t>
  </si>
  <si>
    <t>40263997</t>
  </si>
  <si>
    <t>40263997,ТОВАРИСТВО З ОБМЕЖЕНОЮ ВІДПОВІДАЛЬНІСТЮ "ВІМБ УКРАЇНА",УКРАЇНА;38432874,ТОВАРИСТВО З ОБМЕЖЕНОЮ ВІДПОВІДАЛЬНІСТЮ "АВТОВОРОТА",Україна;2744015045,КАНІБОЛОЦЬКА ІРИНА ВАЛЕРІЇВНА,Україна;2700600136,ФОП Костенко Е.В.,Україна;2939522179,ФОП "САФОНОВ ОЛЕКСАНДР ПАВЛОВИЧ",Україна</t>
  </si>
  <si>
    <t>40277858</t>
  </si>
  <si>
    <t>40277858,ТОВ "А-ЕНЕРГО",Україна;37797799,ТОВАРИСТВО З ОБМЕЖЕНОЮ ВІДПОВІДАЛЬНІСТЮ "ЕКОЛОГІЧНІ ПЕРЕРОБНІ ТЕХНОЛОГІЇ",Україна</t>
  </si>
  <si>
    <t>40313546</t>
  </si>
  <si>
    <t>4060</t>
  </si>
  <si>
    <t>40627170</t>
  </si>
  <si>
    <t>40907909</t>
  </si>
  <si>
    <t>40907909,ТОВ "РІАЛ ДОРС",Україна;39238501,ТОВ Алюмтрейд,Україна;42712173,ТОВАРИСТВО З ОБМЕЖЕНОЮ ВІДПОВІДАЛЬНІСТЮ "БУДІВЕЛЬНО-КОМЕРЦІЙНА ФІРМА "КУБ",Україна</t>
  </si>
  <si>
    <t>40930126</t>
  </si>
  <si>
    <t>40930126,ПП АРХПРОЕКТГРУП,Україна;39558476,ПП "'МОРСБІ'",Україна;35360336,ПП "МАГНЕТТО",Україна;3400115134,ФОП "ТКАЧЕНКО ІЛЛЯ ДМИТРОВИЧ",Україна;2686213093,Фізична особа-підприємець Мельниченко Роман Петрович,Україна</t>
  </si>
  <si>
    <t>41048061</t>
  </si>
  <si>
    <t>41065510</t>
  </si>
  <si>
    <t>41133469</t>
  </si>
  <si>
    <t>41272101</t>
  </si>
  <si>
    <t>41419883</t>
  </si>
  <si>
    <t>41419883,ПП "ДУОМЕД УКРАЇНА",Україна;2049600642,ФОП Гребенюк Ірина Тимофіївна,Україна</t>
  </si>
  <si>
    <t>41436140,ТОВ "УКРСТРОЙДНІПРО",Україна;3595212156,ФОП "ЛИТВИНОВ МИКИТА ВЯЧЕСЛАВОВИЧ",Україна;2845104621,ФОП Носенко І.О.,Україна;31944730,ПП "ТЕХПРОМІНВЕСТ ПЛЮС",Україна</t>
  </si>
  <si>
    <t>41516058,ТОВАРИСТВО З ОБМЕЖЕНОЮ ВІДПОВІДАЛЬНІСТЮ "МАСТЕР:СТРІМ",Україна;2776912356,ФОП "ШАТОХІН ВЛАДИСЛАВ ВІКТОРОВИЧ",Україна</t>
  </si>
  <si>
    <t>41522098</t>
  </si>
  <si>
    <t>41522098,ТОВ "КОМПОНЕНТИ ТІ",Україна;43120535,ТОВАРИСТВО З ОБМЕЖЕНОЮ ВІДПОВІДАЛЬНІСТЮ "МАКМАРИС",Україна;38949735,ТОВ Український Капітал Груп,Україна;36449430,ПП "БРОМ",Україна</t>
  </si>
  <si>
    <t>41753727</t>
  </si>
  <si>
    <t>41755462</t>
  </si>
  <si>
    <t>41755462,ТОВ "АСХОР ТРЕЙД",Україна;2953524895,ФОП Курачевський П.О.,Україна</t>
  </si>
  <si>
    <t>41853802</t>
  </si>
  <si>
    <t>41853802,ТОВАРИСТВО З ОБМЕЖЕНОЮ ВІДПОВІДАЛЬНІСТЮ "БРІЗЗО",Україна</t>
  </si>
  <si>
    <t>41860013</t>
  </si>
  <si>
    <t>41860013,ТОВАРИСТВО З ОБМЕЖЕНОЮ ВІДПОВІДАЛЬНІСТЮ "МУРАЛ",Україна;3386306118,ФОП "КІСТАЄВ ТИМОФІЙ АНДРІЙОВИЧ",Україна;2630400636,ФІЗИЧНА ОСОБА-ПІДПРИЄМЕЦЬ КОТЕНКОВ СЕРГІЙ СЕРГІЙОВИЧ,Україна;2311000832,ФОП "ЯНЧЕНКО ОЛЕКСАНДР ІВАНОВИЧ",Україна;35659221,ТОВ "Меблі-Техностиль",Україна</t>
  </si>
  <si>
    <t>419-20</t>
  </si>
  <si>
    <t>41SB497-1111-19</t>
  </si>
  <si>
    <t>41SB497-1257-20</t>
  </si>
  <si>
    <t>41SB497-565-19</t>
  </si>
  <si>
    <t>42082379</t>
  </si>
  <si>
    <t>42082379,ТОВ "ДНІПРОВСЬКІ ЕНЕРГЕТИЧНІ ПОСЛУГИ",Україна</t>
  </si>
  <si>
    <t>42130000-9 Арматура трубопровідна: крани, вентилі, клапани та подібні пристрої</t>
  </si>
  <si>
    <t>42283376</t>
  </si>
  <si>
    <t>42283376,ТОВ "ФІРМА "ТАЙМИР",Україна;2049600642,ФОП Гребенюк Ірина Тимофіївна,Україна</t>
  </si>
  <si>
    <t>42283376,ТОВ "ФІРМА "ТАЙМИР",Україна;2908112534,ФОП Богатир Д.Є.,Україна</t>
  </si>
  <si>
    <t>42286068</t>
  </si>
  <si>
    <t>42353652</t>
  </si>
  <si>
    <t>42396607,ТОВАРИСТВО З ОБМЕЖЕНОЮ ВІДПОВІДАЛЬНІСТЮ "МЕБЛІ24",Україна;41272101,ТОВ "ОСВ ТРЕЙДИНГ",Україна;2930405436,ФОП Кутенков М.В.,Україна</t>
  </si>
  <si>
    <t>42455431</t>
  </si>
  <si>
    <t>42510000-4 Теплообмінники, кондиціонери повітря, холодильне обладнання та фільтрувальні пристрої</t>
  </si>
  <si>
    <t>42510000-4 Теплообмінники, кондиціонери повітря, холодильне обладнання та фільтрувальні пристрої (Термобокси)</t>
  </si>
  <si>
    <t>42840705</t>
  </si>
  <si>
    <t>42840705,ТОВ "ЕВРОФАРМ ГРУП",Україна</t>
  </si>
  <si>
    <t>42840705,ТОВ "ЕВРОФАРМ ГРУП",Україна;2204925665,ФОП Диханова  Світлана Вікторівна,Україна</t>
  </si>
  <si>
    <t>42840705,ТОВ "ЕВРОФАРМ ГРУП",Україна;2908112534,ФОП Богатир Д.Є.,Україна</t>
  </si>
  <si>
    <t>42840705,ТОВ "ЕВРОФАРМ ГРУП",Україна;3158520110,ФОП Кулак   Євген  Анатолійович,Україна</t>
  </si>
  <si>
    <t>42840705,ТОВ "ЕВРОФАРМ ГРУП",Україна;3162220619,ФОП Гребенюк Богдан Валерійович,Україна</t>
  </si>
  <si>
    <t>42840705,ТОВ "ЕВРОФАРМ ГРУП",Україна;3513003302,ФОП Козаренко Марія Сергіївна,Україна</t>
  </si>
  <si>
    <t>42840705,ТОВ ТОВ "ЕВРОФАРМ ГРУП",Україна</t>
  </si>
  <si>
    <t>42987965</t>
  </si>
  <si>
    <t>42999483</t>
  </si>
  <si>
    <t>42999483,ТОВ "СМФ "ПРЕСТИЖ",Україна;14236166,ТОВ "ВКФ "ВВ",Україна;3115812159,ФОП "СОЛОД АНДРІЙ ГРИГОРОВИЧ",Україна;2974300628,ФОП Кутенкова О.О.,Україна</t>
  </si>
  <si>
    <t xml:space="preserve">42АВ491-6385-20 </t>
  </si>
  <si>
    <t>43</t>
  </si>
  <si>
    <t>43143767</t>
  </si>
  <si>
    <t>43192919</t>
  </si>
  <si>
    <t>43197388</t>
  </si>
  <si>
    <t>43244118</t>
  </si>
  <si>
    <t>434/20</t>
  </si>
  <si>
    <t>43504395</t>
  </si>
  <si>
    <t>43504395,ТОВ ТОРГОВИЙ ДІМ «ПРОМТРЕЙД»,Україна;2549900587,ФОП "ЯХІМЕЦЬ РИММА ВІКТОРІВНА",Україна</t>
  </si>
  <si>
    <t>43808856</t>
  </si>
  <si>
    <t>43808856,ТОВ "СТМ-Фарм",Україна;37090770,ТОВ "Валанж-Фарм",Україна</t>
  </si>
  <si>
    <t>43849028</t>
  </si>
  <si>
    <t>43977041</t>
  </si>
  <si>
    <t>43977041,ТОВАРИСТВО З ОБМЕЖЕНОЮ ВІДПОВІДАЛЬНІСТЮ "Торгово-Виробнича Група Український папір",Україна;3310718468,ФІЗИЧНА ОСОБА-ПІДПРИЄМЕЦЬ ПАВЛОВА ІРИНА ЮРІЇВНА,Україна</t>
  </si>
  <si>
    <t>44</t>
  </si>
  <si>
    <t>44110000-4 Конструкційні матеріали</t>
  </si>
  <si>
    <t>44110000-4 — Конструкційні матеріали (захисні металеві ролети для дверей, захисні металеві ролети для вікон з монтажем)</t>
  </si>
  <si>
    <t>44170000-2 Плити, листи, стрічки та фольга, пов’язані з конструкційними матеріалами</t>
  </si>
  <si>
    <t>44210000-5 Конструкції та їх частини</t>
  </si>
  <si>
    <t>44310000-6 Вироби з дроту</t>
  </si>
  <si>
    <t>44310000-6 Вироби з дроту (решітки на кондиціонери (з установкою))</t>
  </si>
  <si>
    <t>44320000-9 Кабелі та супутня продукція</t>
  </si>
  <si>
    <t>44320000-9 Кабелі та супутня продукція (силовий кабель)</t>
  </si>
  <si>
    <t>44410000-7 Вироби для ванної кімнати та кухні</t>
  </si>
  <si>
    <t>44420000-0 Будівельні товари</t>
  </si>
  <si>
    <t>44480000-8 Протипожежне обладнання різне</t>
  </si>
  <si>
    <t>44520000-1 Замки, ключі та петлі</t>
  </si>
  <si>
    <t>44610000-9 Цистерни, резервуари, контейнери та посудини високого тиску</t>
  </si>
  <si>
    <t>44810000-1 Фарби</t>
  </si>
  <si>
    <t>45</t>
  </si>
  <si>
    <t>45220000-5 Інженерні та будівельні роботи</t>
  </si>
  <si>
    <t>45260000-7 Покрівельні роботи та інші спеціалізовані будівельні роботи</t>
  </si>
  <si>
    <t>45310000-3 Електромонтажні роботи</t>
  </si>
  <si>
    <t>45330000-9 Водопровідні та санітарно-технічні роботи</t>
  </si>
  <si>
    <t>45340000-2 Зведення огорож, монтаж поручнів і захисних засобів</t>
  </si>
  <si>
    <t>45450000-6 Інші завершальні будівельні роботи</t>
  </si>
  <si>
    <t>47</t>
  </si>
  <si>
    <t>48</t>
  </si>
  <si>
    <t>48440000-4 Пакети програмного забезпечення для фінансового аналізу та бухгалтерського обліку</t>
  </si>
  <si>
    <t>49</t>
  </si>
  <si>
    <t>5 (0)</t>
  </si>
  <si>
    <t>50</t>
  </si>
  <si>
    <t>50277631</t>
  </si>
  <si>
    <t>50290062</t>
  </si>
  <si>
    <t>50310000-1 Технічне обслуговування і ремонт офісної техники (заправка та регенерація картриджів до принтерів та багатофунційних пристроїв)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</si>
  <si>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</si>
  <si>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</si>
  <si>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50410000-2 Послуги з ремонту і технічного обслуговування вимірювальних, випробувальних і контрольних приладів (контроль працездатності Блоку оповіщення БО-FM-05)</t>
  </si>
  <si>
    <t xml:space="preserve">50420000-5 "Послуги з ремонту і технічного обслуговування медичного та хірургічного обладнання" (послуги з поточого ремонту медичного обладнання).    </t>
  </si>
  <si>
    <t>50420000-5 Послуги з ремонту і технічного обслуговування медичного та хірургічного обладнання</t>
  </si>
  <si>
    <t>50530000-9 Послуги з ремонту і технічного обслуговування техніки</t>
  </si>
  <si>
    <t>50720000-8 Послуги з ремонту і технічного обслуговування систем центрального опалення</t>
  </si>
  <si>
    <t>50730000-1 Послуги з ремонту і технічного обслуговування охолоджувальних установок</t>
  </si>
  <si>
    <t>50750000-7 Послуги з технічного обслуговування ліфтів</t>
  </si>
  <si>
    <t>51</t>
  </si>
  <si>
    <t>512/19</t>
  </si>
  <si>
    <t>51210000-7 Послуги зі встановлення вимірювального обладнання</t>
  </si>
  <si>
    <t>5141474</t>
  </si>
  <si>
    <t>52/2-П</t>
  </si>
  <si>
    <t>53</t>
  </si>
  <si>
    <t>54</t>
  </si>
  <si>
    <t>55</t>
  </si>
  <si>
    <t>57</t>
  </si>
  <si>
    <t>57/332-Б</t>
  </si>
  <si>
    <t>6</t>
  </si>
  <si>
    <t>6.1.1@ukr.net</t>
  </si>
  <si>
    <t>60-985/11</t>
  </si>
  <si>
    <t>60-985/11/10</t>
  </si>
  <si>
    <t>60180000-3 Прокат вантажних засобів із водієм для перевезення товарів</t>
  </si>
  <si>
    <t>60180000-3 Прокат вантажних транспортних засобів із водієм для перевезення товарів</t>
  </si>
  <si>
    <t>61</t>
  </si>
  <si>
    <t>622/20</t>
  </si>
  <si>
    <t>6255</t>
  </si>
  <si>
    <t>63110000-3 Послуги з обробки вантажів</t>
  </si>
  <si>
    <t>6311217@i.ua</t>
  </si>
  <si>
    <t>64210000-1 Послуги телефонного зв’язку та передачі даних</t>
  </si>
  <si>
    <t>65110000-7 Розподіл води</t>
  </si>
  <si>
    <t>65210000-8 Розподіл газу</t>
  </si>
  <si>
    <t>65300000-6 Розподіл електричної енергії та супутні послуги</t>
  </si>
  <si>
    <t>65310000-9 Розподіл електричної енергії</t>
  </si>
  <si>
    <t>66510000-8 Страхові послуги</t>
  </si>
  <si>
    <t>68/06</t>
  </si>
  <si>
    <t>7</t>
  </si>
  <si>
    <t>7 (0)</t>
  </si>
  <si>
    <t>71240000-2 Архітектурні, інженерні та планувальні послуги</t>
  </si>
  <si>
    <t>71320000-7 Послуги з інженерного проектування</t>
  </si>
  <si>
    <t>71630000-3 Послуги з технічного огляду та випробовувань</t>
  </si>
  <si>
    <t>71630000-3 Послуги з технічного огляду та випробувань (послуги з метрології)</t>
  </si>
  <si>
    <t>7212456</t>
  </si>
  <si>
    <t>72250000-2 Послуги, пов’язані із системами та підтримкою</t>
  </si>
  <si>
    <t>72250000-2 Послуги, пов’язані із системами та підтримкою (тестування програмного забезпечення, послуги з підтримки користувачів)</t>
  </si>
  <si>
    <t>72260000-5 Послуги, пов’язані з програмним забезпеченням</t>
  </si>
  <si>
    <t>72310000-1 Послуги з обробки даних</t>
  </si>
  <si>
    <t>72400000-4 Інтернет-послуги</t>
  </si>
  <si>
    <t>72400000-4 Інтернет-послуги, щодо передавання даних та повідомлень</t>
  </si>
  <si>
    <t>72410000-7 Послуги провайдерів</t>
  </si>
  <si>
    <t>727/19 М</t>
  </si>
  <si>
    <t>7446448</t>
  </si>
  <si>
    <t>7660805</t>
  </si>
  <si>
    <t>7765763</t>
  </si>
  <si>
    <t>7780670</t>
  </si>
  <si>
    <t>78</t>
  </si>
  <si>
    <t>79</t>
  </si>
  <si>
    <t>7900579</t>
  </si>
  <si>
    <t>79310000-0 Послуги з проведення ринкових досліджень</t>
  </si>
  <si>
    <t>79410000-1 Консультаційні послуги з питань підприємницької діяльності та управління</t>
  </si>
  <si>
    <t>79710000-4 Охоронні послуги</t>
  </si>
  <si>
    <t>79810000-5 Друкарські послуги</t>
  </si>
  <si>
    <t>8</t>
  </si>
  <si>
    <t>8/11-1</t>
  </si>
  <si>
    <t>8/11-2</t>
  </si>
  <si>
    <t>8/11-3</t>
  </si>
  <si>
    <t>80510000-2 Послуги з професійної підготовки спеціалістів</t>
  </si>
  <si>
    <t>80520000-5 Навчальні засоби</t>
  </si>
  <si>
    <t>80560000-7 Послуги з професійної підготовки у сфері охорони здоров’я та надання першої медичної допомоги</t>
  </si>
  <si>
    <t>80570000-0 Послуги з професійної підготовки у сфері підвищення кваліфікації</t>
  </si>
  <si>
    <t>82</t>
  </si>
  <si>
    <t>8383824</t>
  </si>
  <si>
    <t>85</t>
  </si>
  <si>
    <t>85140000-2 Послуги у сфері охорони здоров’я різні</t>
  </si>
  <si>
    <t>87/332-М</t>
  </si>
  <si>
    <t>871</t>
  </si>
  <si>
    <t>9</t>
  </si>
  <si>
    <t>90470000-2 Послуги з чищення каналізаційних колекторів</t>
  </si>
  <si>
    <t>90510000-5 Утилізація/видалення сміття та поводження зі сміттям</t>
  </si>
  <si>
    <t>90520000-8 Послуги у сфері поводження з радіоактивними, токсичними, медичними та небезпечними відходами</t>
  </si>
  <si>
    <t>90520000-8 Послуги у сфері поводження з радіоактивними, токсичними, медичними та небезпечними відходами (послуги зі збирання з подальшою утилізацією відходів категорій В, С)</t>
  </si>
  <si>
    <t>90920000-2 Послуги із санітарно-гігієнічної обробки приміщень</t>
  </si>
  <si>
    <t>90920000-2 Послуги із санітарно-гігієнічної обробки приміщень (Послуги з дератизації)</t>
  </si>
  <si>
    <t>923504</t>
  </si>
  <si>
    <t>92510000-9 Послуги бібліотек і архівів</t>
  </si>
  <si>
    <t>93</t>
  </si>
  <si>
    <t>94</t>
  </si>
  <si>
    <t>947</t>
  </si>
  <si>
    <t>962</t>
  </si>
  <si>
    <t>98/332-Б</t>
  </si>
  <si>
    <t>98130000-3 Послуги різних членських організацій</t>
  </si>
  <si>
    <t>AXI-O@UKR.NET</t>
  </si>
  <si>
    <t>Alina.Olhovikova@dpgaszbut.104.ua</t>
  </si>
  <si>
    <t>BIOHIM2009@META.UA</t>
  </si>
  <si>
    <t>CITO TEST Troponin I - експрес - тест для визначення тропоніну І (цільна кров, сироватка, плазма); Тест CITO TEST HBsAg для визначення HBsAg гепатиту В; Тест CITO TEST HCV для визначення вірусу гепатиту С; Тест-смужки для визначення вагітності Sekret № 1; Тест-набір IXA-ВІЛ 1/2 фактор</t>
  </si>
  <si>
    <t>COMIDA-PKU-B, банка 500 г</t>
  </si>
  <si>
    <t>Cуміш молочна Малютка Premium 1 (350 гр. в упаковці)</t>
  </si>
  <si>
    <t>GALYNAYERMAK@GMAIL.COM</t>
  </si>
  <si>
    <t>MD Мил ФКУ-3  з фруктовим смаком - банка 400 гр.; COMIDA-PKU-B - банка 500 гр.</t>
  </si>
  <si>
    <t>MD Мил ФКУ-3  з фруктовим смаком, банка 400 г</t>
  </si>
  <si>
    <t>MD Мил ФКУ-3  з фруктовим смаком, банка 400 г; COMIDA-PKU-B, банка 500 г</t>
  </si>
  <si>
    <t>Margaryta.Mashtakova@dpgaszbut.104.ua</t>
  </si>
  <si>
    <t>N.VALKO@LLG-UKRAINE.COM</t>
  </si>
  <si>
    <t>Oksana_Kuchugurna@ukr.net</t>
  </si>
  <si>
    <t>UAH</t>
  </si>
  <si>
    <t>adamas64@ukr.net</t>
  </si>
  <si>
    <t>aleksandrkondarev@gmail.com</t>
  </si>
  <si>
    <t>ametrinfk@ukr.net</t>
  </si>
  <si>
    <t>andreev.aenergo@gmail.com</t>
  </si>
  <si>
    <t>aprint7@ukr.net</t>
  </si>
  <si>
    <t>arhproektgrup@ukr.net</t>
  </si>
  <si>
    <t>ashor@ukr.net</t>
  </si>
  <si>
    <t>autovorota.ag@gmail.com</t>
  </si>
  <si>
    <t>b_grebenuk@mail.ru</t>
  </si>
  <si>
    <t>berdnikvlad92@gmail.com</t>
  </si>
  <si>
    <t>boe@ak.ua</t>
  </si>
  <si>
    <t>bogatur_dima@ukr.net</t>
  </si>
  <si>
    <t>burtsevad@intermedica.com.ua</t>
  </si>
  <si>
    <t>cooltovary@gmail.com</t>
  </si>
  <si>
    <t>dmitriytunik19@gmail.com</t>
  </si>
  <si>
    <t>dnepr@uhl-mash.com.ua</t>
  </si>
  <si>
    <t>dniproposud@ukr.net</t>
  </si>
  <si>
    <t>dolc.post@ses.dp.ua</t>
  </si>
  <si>
    <t>dpbiotehnology@mail.ru</t>
  </si>
  <si>
    <t>drhcentr@gmail.com</t>
  </si>
  <si>
    <t>eap2108@gmail.com</t>
  </si>
  <si>
    <t>egorov-ua@my.com</t>
  </si>
  <si>
    <t>elo99@yandex.ru</t>
  </si>
  <si>
    <t>eugene.groisman@gmail.com</t>
  </si>
  <si>
    <t>evrofarmgryp@ukr.net</t>
  </si>
  <si>
    <t>fabrika-prestige@ukr.net</t>
  </si>
  <si>
    <t>fop-prixodko@i.ua</t>
  </si>
  <si>
    <t>fopsidletskiy1@gmail.com</t>
  </si>
  <si>
    <t>grebenukit@i.ua</t>
  </si>
  <si>
    <t>grebenykti@gmail.com</t>
  </si>
  <si>
    <t>gtanya_poltava@ukr.net</t>
  </si>
  <si>
    <t>gvn1953@ukr.net</t>
  </si>
  <si>
    <t>imetishev@badm-b.biz</t>
  </si>
  <si>
    <t>info@dezmed.com.ua</t>
  </si>
  <si>
    <t>karnoza@unigran.ua</t>
  </si>
  <si>
    <t>kisileva@UKR.NET</t>
  </si>
  <si>
    <t>kisileva@ukr.net</t>
  </si>
  <si>
    <t>krok-dnepr@ukr.net</t>
  </si>
  <si>
    <t>kssmebel@ukr.net</t>
  </si>
  <si>
    <t>kulakjenia315@gmail.com</t>
  </si>
  <si>
    <t>kursy-med@ukr.net</t>
  </si>
  <si>
    <t>kutmary@ukr.net</t>
  </si>
  <si>
    <t>kutss@i.ua</t>
  </si>
  <si>
    <t>lpavljuchkova@optimapharm.ua</t>
  </si>
  <si>
    <t>mashakozarenko18@gmail.com</t>
  </si>
  <si>
    <t>mbudwest@gmail.com</t>
  </si>
  <si>
    <t>muraltender@gmail.com</t>
  </si>
  <si>
    <t>nblindyuk@zm.kiev.ua</t>
  </si>
  <si>
    <t>nikalitvinov@gmail.com</t>
  </si>
  <si>
    <t>nos.fop23@gmail.com</t>
  </si>
  <si>
    <t>olga.kucherenko@componentsti.com</t>
  </si>
  <si>
    <t>olgaungarova@ukr.net</t>
  </si>
  <si>
    <t>osv.tenders@gmail.com</t>
  </si>
  <si>
    <t>pack_plast@ukr.net</t>
  </si>
  <si>
    <t>paionkevych.iryna@gmail.com</t>
  </si>
  <si>
    <t>pkuracevskij@gmail.com</t>
  </si>
  <si>
    <t>polonskaya.ov@ukr.net</t>
  </si>
  <si>
    <t>report.zakupki@prom.ua</t>
  </si>
  <si>
    <t>rimmayahimec@gmail.com</t>
  </si>
  <si>
    <t>rjvilovaira@gmail.com</t>
  </si>
  <si>
    <t>s.gavrilovskaya@zm.kiev.ua</t>
  </si>
  <si>
    <t>san-tek@ukr.net</t>
  </si>
  <si>
    <t>secretarveto@ukr.net</t>
  </si>
  <si>
    <t>shkoda.zp@ukr.net</t>
  </si>
  <si>
    <t>sirokvasha@optimapharm.ua</t>
  </si>
  <si>
    <t>sisuevdp@gmail.com</t>
  </si>
  <si>
    <t>stukalov2014@ukr.net</t>
  </si>
  <si>
    <t>svetlana.i@alumtrade.net</t>
  </si>
  <si>
    <t>svetlovodsk_mebel@meta.ua</t>
  </si>
  <si>
    <t>tamemir18@gmail.com</t>
  </si>
  <si>
    <t>taranirina@ventaltd.com.ua</t>
  </si>
  <si>
    <t>tdmedsvit@gmail.com</t>
  </si>
  <si>
    <t>tdpromtrade@gmail.com</t>
  </si>
  <si>
    <t>tender@er-tec.com.ua</t>
  </si>
  <si>
    <t>tender@farbex.com.ua</t>
  </si>
  <si>
    <t>tender@ukrpap.com.ua</t>
  </si>
  <si>
    <t>tender@ultra-svet.com</t>
  </si>
  <si>
    <t>terno-graf@ukr.net</t>
  </si>
  <si>
    <t>trembach147@gmail.com</t>
  </si>
  <si>
    <t>tva@grandelectronic.com</t>
  </si>
  <si>
    <t>vimb@i.ua</t>
  </si>
  <si>
    <t>vova.vyazovoi@i.ua</t>
  </si>
  <si>
    <t>yaostash@ukr.net</t>
  </si>
  <si>
    <t>ylopata@mcfr.ua</t>
  </si>
  <si>
    <t>yur_twin@ukr.net</t>
  </si>
  <si>
    <t>zirka_tender@mkl.biz</t>
  </si>
  <si>
    <t>«Малиш» швидкого приготування з гречаним борошном, 350г</t>
  </si>
  <si>
    <t xml:space="preserve">«Малиш» швидкого приготування з гречаним борошном, 350г
</t>
  </si>
  <si>
    <t>«Малиш» швидкого приготування з гречаним борошном, 350г; Суха молочна суміш «Малютка»  Premium3 – 350г
; Суміш «Малютка» швидкого приготування 1 -350г</t>
  </si>
  <si>
    <t>ЄДРПОУ організатора</t>
  </si>
  <si>
    <t>ЄДРПОУ переможця</t>
  </si>
  <si>
    <t>Євгенія  Буштрук</t>
  </si>
  <si>
    <t>Ємкість для мокроти, 30 мл; Контейнер для сечі,120 мл ; Пінцет отоларингологічний, 200 мм ; Простирадло одноразове, 0,8 х 100 м; Вата медична, 100 г; Ланцет (скарифікатор), №200; Серветка, 30х60 мм, №100; Рукавички оглядові, розмір S ; Рукавички оглядові, розмір M ; Маски медичні з гумовими петлями ; Халат медичний захисний комбінований, розмір 54-56 ; Канюля внутрішньовенна, розмір 20G; Канюля внутрішньовенна Вазофікс Saefty PUR G 24; Пластир для фіксації канюль (8см х 6см) ; Шпатель отоларингологічний ; Пластир медичний, 2см х 500см; Набір маніпуляційний перев`язувальний №2  ; Шапочки з нетканого матеріалу (гофровані) ;  Комплект одягу та покриттів операційних акушерський №42 ; Стерильний хірург. шовник, що не розсмоктується розмір 3/0, 2мм ПОЛІАМІД; Стерильний хірург. шовник, що не розсмоктується розмір 2/0, 3мм ПОЛІАМІД; Стерильний хірург. шовник, що не розсмоктується розмір 1/0, ПОЛІАМІД; Комплект одягу акушерський №13 ; Скальпель одноразовий хірургічний; Шприц одноразовий  2 мл з голкою 0,6 х 25 мм (23Gх1'') ; Шприц одноразовий  5 мл з голкою 0,7 х 38 мм (22Gх1 1/4''); Шприц одноразовий  10 мл з голкою; Захисний комбінезон 52-54 ; Захисний комбінезон 56-58 ; Системи для в/в інфузій</t>
  </si>
  <si>
    <t>Ідентифікатор закупівлі</t>
  </si>
  <si>
    <t>Ідентифікатор лота</t>
  </si>
  <si>
    <t>Індивідуальні засоби захисту (протигази, респіратори)</t>
  </si>
  <si>
    <t>Індикаторні смужки</t>
  </si>
  <si>
    <t>Інформаційний стенд</t>
  </si>
  <si>
    <t>Інформаційно-консультативні послуги</t>
  </si>
  <si>
    <t>Ірина Азарова</t>
  </si>
  <si>
    <t>АКЦІОНЕРНЕ ТОВАРИСТВО "ДТЕК ДНІПРОВСЬКІ ЕЛЕКТРОМЕРЕЖІ"</t>
  </si>
  <si>
    <t>АКЦІОНЕРНЕ ТОВАРИСТВО "ОПЕРАТОР ГАЗОРОЗПОДІЛЬНОЇ СИСТЕМИ "ДНІПРОГАЗ"</t>
  </si>
  <si>
    <t>АМІАК . Розчин для зовнішнього застосування 10% по 40 мл у флаконах; АНАЛЬГІН Розчин для ін’єкцій, 500 мг/мл по 2 мл в ампулах № 10 у пачках з перегородками; № 10 (5х2) в однобічних блістерах у пачці; ГЕПАРИН-ІНДАР. Розчин для ін`єкцій, 5000 МО/мл по 5 мл (25000 МО) у флаконах № 5 у пачці; ІБУПРОФЕН суспензія№1 100мг/5мл; КАПТОПРИЛ. Таблетки по 25 мг № 10х2 у блістерах в пачці; ЛОРАТАДИН-ДАРНИЦЯ Таблетки по 10 мг № 10 (10х1) у контурних чарункових упаковках; МЕТОКЛОПРАМІДУ ГІДРОХЛОРИД Розчин для ін`єкцій, 5 мг/мл по 2 мл в ампулах № 10; МЕТОКЛОПРАМІДУ таблетки10мг,№50; МЕЗАТОН Розчин для ін`єкцій, 10 мг/мл по 1 мл в ампулах №10 (10х1), у блістерах у пачці; НО-Х-ША® Розчин для ін`єкцій, 20 мг/мл по 2 мл в ампулі; по 5 ампул у пачці з картону; по 2 мл в ампулі; по 5 ампул у блістері; по 1 блістеру в пачці з картону; ОНДАНСЕНТРОН. Розчин для ін`єкцій, 2 мг/мл по 2 мл (4 мг) в ампулах № 5; ПАРАЦЕТАМОЛ Капсули по 500 мг № 10 (10х1); ПРЕДНІЗОЛОН-ДАРНИЦЯ. Розчин для ін`єкцій, 30 мг/мл по 1 мл в ампулах № 3; Ципрофлоксацин р-н (очні краплі)0,3%№1 № 3; ЦЕФТРІАКСОН 0.5 №10; Папаверин розчин д/ін. 2%-2,0 №10; Аміодарону гідрохлорид 50 мг/мл по 3 мл в амп. № 5 Amiodarone; Ацетилсаліцилова кислота 0,5 №10 Acetylsalicylic acid; Клопідогрелю гідросульфат 75 мг  табл. №10 Clopidogrel; Метопролол 50 мг, таблетки; Пилокарпин краплі очні 10 мг/мл 10 мл; НАТРІЮ ГІДРОКАРБОНАТ розчин для інфузії4%200мл№1; Изосорбида динитрат таб.; ТРОПІКАМІД краплі очні; Фармадипін краплі 25мл; Тавегіл1мг/мл2,0№5 таблетки; Натрію хлориду 0,9% №10 (амп. 10мл)</t>
  </si>
  <si>
    <t>Акумулятор ORION AGM 12B 7.0 A/r</t>
  </si>
  <si>
    <t>Акустична система</t>
  </si>
  <si>
    <t>Алексей Руцький</t>
  </si>
  <si>
    <t xml:space="preserve">Аналізатор   сечі   ; Автоматичний гематологічний аналізатор </t>
  </si>
  <si>
    <t xml:space="preserve">Аналізатор гематологічний автоматичний ВС-20s </t>
  </si>
  <si>
    <t>Апаратура для підтримування фізіологічних функцій організму (слухові апарати)
Джерело фінансування- місцевий бюджет</t>
  </si>
  <si>
    <t>Аплікатор  на пластиковій паличці, інд.упак., стерильний</t>
  </si>
  <si>
    <t>Арматура трубопровідна</t>
  </si>
  <si>
    <t>БІОЛІК Туберкулін ППД-Л  - розчин для ін'єкцій</t>
  </si>
  <si>
    <t>БІОЛІК Туберкулін ППД-Л  - розчин для ін'єкцій комплект: 1 ампула по 0,6 мл. (6доз) з активністю 2ТО/доза, 3 шприца з голками для витягання,3 голки для введення</t>
  </si>
  <si>
    <t>БІОЛІК Туберкулін ППД-Л  - розчин для ін'єкцій комплект: 1 ампула по 0,6 мл. (6доз) з активністю 2ТО/доза, 3 шприца з голками для витягання,3 голки для введення
Джерело фінансування- місцевий бюджет</t>
  </si>
  <si>
    <t>БАБЕНКОВА СВІТЛАНА АФРИКАНІВНА</t>
  </si>
  <si>
    <t>Безконтактні інфрачервоні термометри</t>
  </si>
  <si>
    <t>Безконтактні інфрачервоні термометри.</t>
  </si>
  <si>
    <t>Бланідас Софт, 1000 мл; Бланідас Софт, 5 л</t>
  </si>
  <si>
    <t>Бочка 40 л.</t>
  </si>
  <si>
    <t>Біолік Туберкулін ППД-Л - розчин для ін'єкцій</t>
  </si>
  <si>
    <t>В-05/21</t>
  </si>
  <si>
    <t>В-102/21</t>
  </si>
  <si>
    <t>В-126/21</t>
  </si>
  <si>
    <t>В-136/20</t>
  </si>
  <si>
    <t>В-158/20</t>
  </si>
  <si>
    <t>В-185/20</t>
  </si>
  <si>
    <t>В-213/20</t>
  </si>
  <si>
    <t>В-214/20</t>
  </si>
  <si>
    <t>В-267/20</t>
  </si>
  <si>
    <t>В-302/20</t>
  </si>
  <si>
    <t>В-307/20</t>
  </si>
  <si>
    <t>В-324/20</t>
  </si>
  <si>
    <t>В-326/20</t>
  </si>
  <si>
    <t>В-327/20</t>
  </si>
  <si>
    <t>В-99/21</t>
  </si>
  <si>
    <t>ВЛАСЕНКО ВОЛОДИМИР ЮРІЙОВИЧ</t>
  </si>
  <si>
    <t>ВЯЗОВИЙ ВОЛОДИМИР МИХАЙЛОВИЧ</t>
  </si>
  <si>
    <t xml:space="preserve">Вакцина проти грипу  Джісі Флю  </t>
  </si>
  <si>
    <t xml:space="preserve">Вакцина проти грипу «Ваксігрип» суспензія для ін’єкцій по 0.5 мл (1 доза) </t>
  </si>
  <si>
    <t>Валюта</t>
  </si>
  <si>
    <t xml:space="preserve">Виготовлення і встановлення інформаційних вивісок </t>
  </si>
  <si>
    <t>Визнати процедуру допорогової закупівлі такою, що не відбулася у зв'язку з підстави, що передбачена згідно ч. 1 ст. 31 Закону, а саме:  «відсутності подальшої потреби в закупівлі товарів, робіт і послуг»</t>
  </si>
  <si>
    <t>Виконання обов'язку фактичного виконання забов'язань за договором про нестандартне приєднання до електричних мереж системи розподілу</t>
  </si>
  <si>
    <t>Вимикач внутрішній; Вимикач зовнішній; Розетка двойна внутрішня; Розетка двойна зовнішня; Кабель короб пластиковий 2см*2см; Провід ППВ-1.5</t>
  </si>
  <si>
    <t>Вироби для ванної кімнати (змішувачі, арматура для зливних бачків).</t>
  </si>
  <si>
    <t>Вироби для ванної кімнати (змішувачі, арматура для зливних бачків).
Джерело фінансування- НСЗУ.</t>
  </si>
  <si>
    <t>Вироби медичного призначення різні</t>
  </si>
  <si>
    <t>Вогнегасник</t>
  </si>
  <si>
    <t>Вогнегасник ВП-5 (з)</t>
  </si>
  <si>
    <t>Встановлення охоронної системи сигналізації</t>
  </si>
  <si>
    <t>Встановлення системи пожежної сигналізації (проектно-монтажні роботи пожежної сигналізації)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</si>
  <si>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</si>
  <si>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</si>
  <si>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</si>
  <si>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</si>
  <si>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</t>
  </si>
  <si>
    <t>Відміна процедури відкритих торгів на підставі ч. 3 ст. 31 Закону України «Про публічні закупівлі», а саме: неможливості усунення порушень, що виникли через виявлені порушення законодавства з питань публічних закупівель.</t>
  </si>
  <si>
    <t>Відміна процедури закупівлі на підставі ч. 3 ст. 31 Закону України «Про публічні закупівлі», а саме: неможливості усунення порушень, що виникли через виявлені порушення законодавства з питань публічних закупівель.</t>
  </si>
  <si>
    <t>Відро педальне для  відходів групи А</t>
  </si>
  <si>
    <t>Відро педальне для відходів  групи А</t>
  </si>
  <si>
    <t>Відро педальне для відходів групи А</t>
  </si>
  <si>
    <t>Відсутнє</t>
  </si>
  <si>
    <t>Вікторія Іванущик</t>
  </si>
  <si>
    <t>ГЛЮКОЗА. Розчин для ін`єкцій 40% по 20 мл в ампулах № 10; ДЕКСАМЕТАЗОН. Розчин для ін`єкцій , 4 мг/мл по 1 мл в ампулах № 5; САЛЬБУТАМОЛ-ІНТЕЛІ. Інгаляція під тиском, суспензія, 100 мкг/доза, по 200 доз (10 мл) в алюмінієвому балоні; по 1 балону з пластиковим адаптером та кришкою у картонній коробці; МАГНІЮ СУЛЬФАТ Розчин для ін`єкцій, 250 мг/мл по 5 мл в ампулах № 10 (5х2); НАТРІЮ ХЛОРИД Розчин для інфузій, 9 мг/мл по 200 мл у пляшках № 1; НІТРОГЛІЦЕРИН-ЗДОРОВ`Я. Таблетки сублінгвальні по 0,5 мг № 40 у банках; ФУРОСЕМІД. Розчин для ін`єкцій 10 мг/мл по 2 мл в ампулах № 10; ПАПАВЕРИН-ДАРНИЦЯ. Розчин для ін`єкцій, 20 мг/мл по 2 мл в ампулі, по 5 ампул у контурній чарунковій упаковці, по 2 контурні чарункові упаковки в пачці; АНАЛЬГІН. Розчин для ін`єкцій, 500 мг/мл по 2 мл в ампулах № 10; ДИМЕДРОЛ. розчин для ін`єкцій 1 % по 1 мл в ампулі; по 10 ампул у коробці з картону; КАПТОПРЕС-ДАРНИЦЯ. Таблетки № 10х2 у контурних чарункових упаковках; ДРОТАВЕРИН-ДАРНИЦЯ Розчин для ін`єкцій, 20 мг/мл по 2 мл в ампулах № 5; КАПТОПРИЛ. Таблетки по 25 мг, по 10 таблеток у блістері; по 2 блістери в пачці; ПІРАЦЕТАМ-ЗДОРОВ`Я. Розчин для ін`єкцій 200 мг/мл по 10 мл в ампулах № 10 у картонній коробці; РЕНАЛГАН® Розчин для ін`єкцій по 2 мл, № 5х2 у блістерах в пачці; АЦЕТИЛСАЛІЦИЛОВА КИСЛОТА-ДАРНИЦЯ. таблетки по 500 мг по 10 таблеток у контурних чарункових упаковках; по 10 таблеток у контурній чарунковій упаковці; по 1 контурній чарунковій упаковці в пачці; КОРДАРОН®. Розчин для ін`єкцій, 50 мг/мл по 3 мл в ампулах № 6; ІБУПРОФЕН-ДАРНИЦЯ. Таблетки по 0,2 г № 50 (10х5) у контурних чарункових упаковках; ЛІДОКАЇН-ЗДОРОВ`Я ,розчин для ін`єкцій100 мг/мл по 2 мл в ампулі № 10 у картонній коробці з перегородками; НІФЕДИПІН. Таблетки, вкриті оболонкою, по 20 мг № 50 (10х5); ПАРАЦЕТАМОЛ Таблетки по 0,2 г № 10 (10х1)у блістерах; ГІДРОКОРТИЗОНУ АЦЕТАТ . Суспензія для ін`єкцій 2,5% по 2 мл в ампулах № 10; ДИКЛОФЕНАК-ДАРНИЦЯ . розчин для ін’єкцій, 25 мг/мл по 3 мл в ампулі, по 5 ампул у контурній чарунковій упаковці; по 2 контурні чарункові упаковки в пачці; РІНГЕРА РОЗЧИН. Розчин для інфузій по 200 мл по 1 контейнері у плівковій упаковці; ПЛАТОГРІЛ®.Таблетки, вкриті оболонкою, по 75 мг № 84 (14х6) у блістерах; АСПАРКАМ, розчин для ін’єкцій, по 5 мл в ампулі, по 5 ампул у блістері; по 2 блістери у пачці; АТРОПІН-ДАРНИЦЯ®. розчин для ін`єкцій, 1 мг/мл; по 1 мл в ампулі; по 5 ампул у контурній чарунковій упаковці; по 2 контурні чарункові упаковки в пачці; ПАРАЦЕТАМОЛ БЕБІ. Суспензія оральна, 120 мг/5 мл по 100 мл з дозуючим пристр.; СУПРАСТИН®. Розчин для ін`єкцій, 20 мг/мл, по 1 мл в ампулі; по 5 ампул у картонній коробці; ХЛОРГЕКСИДИН. Розчин для зовнішнього застосування, 0,05 % по 100 мл у полімерних флаконах з насадкою для спрямованого введення лікарського засобу; ГЕПАРИН-ФАРМЕКС. Розчин для ін`єкцій, 5000 МО/мл по 5 мл у флаконах № 5; АДРЕНАЛІН-ЗДОРОВ`Я. Розчин для ін`єкцій 1,82 мг/мл по 1 мл в ампулі, по 10 ампул у блістері; по 1 блістеру в картонній коробці</t>
  </si>
  <si>
    <t>ГО "ІНСТИТУТ ПРИКЛАДНИХ ДОСЛІДЖЕНЬ ТЕНДЕРНИХ ЗАКУПІВЕЛЬ"</t>
  </si>
  <si>
    <t>ГОКУНЬ МИКОЛА ВІКТОРОВИЧ</t>
  </si>
  <si>
    <t>ГРЕБЕНЮК ВАЛЕРІЙ МИКОЛАЙОВИЧ</t>
  </si>
  <si>
    <t>Глюкоза розчин д/ін. 40 % амп. 20мл №10; Дексаметазон р-н 4мг амп. 1 мл №5; Натрію хлорид р-н 0,9% амп. 5мл №10; Сальбутамол, 100 мкг/доза. 200 доз  ; Клопідогрель 75 мг №30 табл.; Магнію сульфат р-н 25% амп. 5мл №10; Натрію хлорид р-н д/інф. 0,9 % конт.200мл; Нітрогліцерин-Здоровя табл. 0,0005г №40; Фуросемід-Д р-н 1% амп. 2мл №10; Папаверін 2%-2,0 №10 амп.; Аналгін 50% -2.0 №10 амп; Дімедрол 1%-1.0 №10 амп; Каптопрес-Д табл. №20; Фармадепін р-н фл.капл. 25 мл; Но-х-ша  р-н д\ін.2,0 №5; Еуфіллін  р-н для ін. 2,4%-5,0  №10; Каптоприл 25 мг №20; Адреналін р-н  д / ін. 1.8 мг / мл по 1 мл №10 в амп; Кордарон  р-н д\ін. 150мг  3,0  №6; Пірацетам 20% 10 мл №10 розчин д/ін; Реналган р-н д/ін. амп. 2мл №10; Ацетилсаліцилова кислота таб.0,5 №10</t>
  </si>
  <si>
    <t>Глюкоза розчин д/ін. 40 % амп. 20мл №10; Дексаметазон р-н 4мг амп. 1 мл №5; Сальбутамол, 100 мкг/доза. 200 доз  ; Магнію сульфат р-н 25% амп. 5мл №10; Натрію хлорид р-н д/інф. 0,9 % конт.200мл; Нітрогліцерин-Здоров’я табл. 0,0005г №40; Фуросемід-Д р-н 1% амп. 2мл №10; Папаверін 2%-2,0 №10 амп.; Аналгін 50% -2.0 №10 амп; Дімедрол 1%-1.0 №10 амп; Каптопрес-Д табл. №20; Но-х-ша  р-н д\ін.2,0 №5; Каптоприл 25 мг №20; Пірацетам 20% 10 мл №10 розчин д/ін; Реналган р-н д/ін. амп. 2мл №10; Ацетилсаліцилова кислота таб.0,5 №10; Кордарон 150 мг/3мл№6; Ібупрофен. 200 мг. №20, табл; Лідокаїн г/хл р-н 10 % амп. 2мл №10; Ніфідіпін 20мг №50 табл.; Парацетамол Дарниця  200мг№ 10; Гідрокортизона ацетат 2,5% амп 2 мл №10; Диклофенак р-н д/ін 25 мг/мл в ампулах по 3 мл №10; Рінгер р-н 200мл; Лопірел таб 75мг №90; Аспаркам 5 мл амп. №10; АТРОПІНУ сульфат 1млг/1 мл№10; Парацетамол дитячий 120мг/5мл суспензія д/діт 100мл.; Супрастин 20мг 1мл №5; Хлоргексидину біглюконат  0,05% -100,0; Гепарин 5000МО/мл – 5,0</t>
  </si>
  <si>
    <t>Глюкоза розчин д/ін. 40 % амп. 20мл №10; Дексаметазон р-н 4мг амп. 1 мл №5; Сальбутамол, 100 мкг/доза. 200 доз  ; Магнію сульфат р-н 25% амп. 5мл №10; Натрію хлорид р-н д/інф. 0,9 % конт.200мл; Нітрогліцерин-Здоров’я табл. 0,0005г №40; Фуросемід-Д р-н 1% амп. 2мл №10; Папаверін 2%-2,0 №10 амп.; Аналгін 50% -2.0 №10 амп; Дімедрол 1%-1.0 №10 амп; Каптопрес-Д табл. №20; Но-х-ша  р-н д\ін.2,0 №5; Каптоприл 25 мг №20; Пірацетам 20% 10 мл №10 розчин д/ін; Реналган р-н д/ін. амп. 2мл №10; Ацетилсаліцилова кислота таб.0,5 №10; Кордарон 150 мг/3мл№6; Ібупрофен. 200 мг. №50, табл; Лідокаїн г/хл р-н 10 % амп. 2мл №10; Ніфідіпін 20мг №50 табл.; Парацетамол Дарниця  200мг№ 10; Гідрокортизона ацетат 2,5% амп 2 мл №10; Диклофенак р-н д/ін 25 мг/мл в ампулах по 3 мл №10; Рінгер р-н 200мл; Лопірел таб 75мг №90; Аспаркам 5 мл амп. №10; АТРОПІНУ сульфат 1млг/1 мл№10; Парацетамол дитячий 120мг/5мл суспензія д/діт 100мл.; Супрастин 20мг 1мл №5; Хлоргексидину біглюконат  0,05% -100,0; Гепарин 5000МО/мл – 5,0; Адреналін Дарниця 0,18%-1,0 мл №10</t>
  </si>
  <si>
    <t xml:space="preserve">Глікогемоглобін (Набір контролей)
; Глікогемоглобін (Набір реагентів)
</t>
  </si>
  <si>
    <t>Глікогемоглобін (Набір контролей); Глікогемоглобін (Набір реагентів)</t>
  </si>
  <si>
    <t>Глікогемоглобін (Набір реагентів), Глікогемоглобін (Набір контролей)</t>
  </si>
  <si>
    <t xml:space="preserve">Глікогемоглобін (Набір реагентів), Глікогемоглобін (Набір контролей) </t>
  </si>
  <si>
    <t>Глікогемоглобін Набір контролей: Рівень1, 1х1мл + Рівень2, 1х1мл; Глікогемоглобін Набір реагентів: Реагент1, 1х120мл + Реагент2, 1х30мл + Стандарт, 1х1мл + Сивороточні сепаратори, 80; Розчин лізуючий, фасування 1л HTI Lytic Reagent, packaging: 1L; Розчин для очистки, фасування 50 мл</t>
  </si>
  <si>
    <t>Глікогемоглобін Набір контролей; Глікогемоглобін Набір реагентів</t>
  </si>
  <si>
    <t>Господарчі товари</t>
  </si>
  <si>
    <t>Гумові коврики</t>
  </si>
  <si>
    <t>ДЕРЖАВНИЙ ЗАКЛАД "ДНІПРОПЕТРОВСЬКА  МЕДИЧНА АКАДЕМІЯ МІНІСТЕРСТВА ОХОРОНИ ЗДОРОВ’Я УКРАЇНИ"</t>
  </si>
  <si>
    <t>ДЖІСІ ФЛЮ / GC FLU ВАКЦИНА ДЛЯ ПРОФІЛАКТИКИ ГРИПУ (РОЗЩЕПЛЕНИЙ ВІРІОН, ІНАКТИВОВАНИЙ)  суспензія  для ін’єкцій по 0.5 мл  суспензія (в попередньо наповнених шприцах); Енджерікс/ ENGERIX-B 20 мкг (1,0) вакцина для профілактики вірусного гепатиту В</t>
  </si>
  <si>
    <t>ДЖІСІ ФЛЮ / GC FLU ВАКЦИНА ДЛЯ ПРОФІЛАКТИКИ ГРИПУ (РОЗЩЕПЛЕНИЙ ВІРІОН, ІНАКТИВОВАНИЙ) суспензія для ін’єкцій по 0.5 мл суспензія (в попередньо наповнених шприцах); Енджерікс/ ENGERIX-B 20 мкг (1,0) вакцина для профілактики вірусного гепатиту В</t>
  </si>
  <si>
    <t>ДЖІСІ ФЛЮ / GC FLU ВАКЦИНА ДЛЯ ПРОФІЛАКТИКИ ГРИПУ (РОЗЩЕПЛЕНИЙ ВІРІОН, ІНАКТИВОВАНИЙ). Суспензія для ін’єкцій по 0,5 мл  у попередньо наповнених шприцах № 10; Енджерікс/ ENGERIX-B  ВАКЦИНА ДЛЯ ПРОФІЛАКТИКИ ВІРУСНОГО ГЕПАТИТУ В, РЕКОМБІНАНТНА. Суспензія для ін’єкцій, 20 мкг/1мл, по 1 мл (20 мкг) (1 доза для дорослих) у флаконі; по 10 скляних монодозних флаконів у картонній коробці</t>
  </si>
  <si>
    <t>ДК 021:2015 - 09310000-5: Електрична енергія (постачання електричної енергії)</t>
  </si>
  <si>
    <t>ДК 021:2015 - 90524200-8 "Послуги з утилізації медичних відходів"</t>
  </si>
  <si>
    <t>ДК 021:2015 – 48440000-4 — Пакети програмного забезпечення для фінансового аналізу та бухгалтерського обліку.</t>
  </si>
  <si>
    <t>ДК 021:2015-38310000-1 Високоточні терези (38311000-8 електронні ваги та приладдя до них)</t>
  </si>
  <si>
    <t>ДК 021:2015-39170000-4 Магазинні меблі  (39174000-2 вивіски)</t>
  </si>
  <si>
    <t>ДК 021:2015: 39110000-6 — Сидіння, стільці та супутні вироби і частини до них (стільці офісні)</t>
  </si>
  <si>
    <t>ДК 021:2015: 39220000-0 Кухонне приладдя, товари для дому та господарства і приладдя для закладів громадського харчування 
Джерело фінансування-кошти НСЗУ</t>
  </si>
  <si>
    <t xml:space="preserve">ДК 021:2015: 39220000-0 Кухонне приладдя, товари для дому та господарства і приладдя для закладів громадського харчування (швабра для миття підлоги, набір щітка з совком, віник, лопата для прибирання снігу, пензлі, валики)
</t>
  </si>
  <si>
    <t>ДК 021:2015: 44810000-1 - Фарби
Джерело фінансування- кошти НСЗУ</t>
  </si>
  <si>
    <t>ДК 021:2015: 44810000-1 - Фарби ( фарба емаль акрілова, розчинник для фарби "Сольвент")</t>
  </si>
  <si>
    <t>ДК 021:2015:42130000-9 Арматура трубопровідна: крани, вентилі, клапани та подібні пристрої 
Джерело фінансування- кошти НСЗУ</t>
  </si>
  <si>
    <t xml:space="preserve">ДК 021:2015:42130000-9 Арматура трубопровідна: крани, вентилі, клапани та подібні пристрої (ревізія пластикова трійник на 100 d на різбі з кришкою, кран 1/2 d:шаровий внутрішня різьба,шаровий наружна різьба, труба металопластикова 1/2 d холодної води, фумлента,
силікон прозорий, ізолента ПВХ)
</t>
  </si>
  <si>
    <t>ДК 021:2015:45330000-9 Водопровідні та санітарно-технічні роботи</t>
  </si>
  <si>
    <t>ДК 21:2015- 39830000-9 Продукція для чищення
(Джерело фінансування- кошти НСЗУ)</t>
  </si>
  <si>
    <t>ДК 21:2015- 39830000-9 Продукція для чищення  ( Мило господарське, мило рідке, порошок, серветки для прибирання, пакети для сміття, миючі засоби інші)</t>
  </si>
  <si>
    <t>ДК – 021:2015 – 33690000-3  -  Лікарські засоби різні» (33696500-0 Лабораторні реактиви)</t>
  </si>
  <si>
    <t>ДП Дніпропетровський регіональний державний науково-технічний центр стандартизації, метрології та сертифікації</t>
  </si>
  <si>
    <t>ДУ "Дніпропетровський обласний лабораторний центр МОЗ України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</si>
  <si>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</si>
  <si>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</si>
  <si>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</si>
  <si>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</si>
  <si>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</si>
  <si>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</si>
  <si>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Дезинфекційні засоби</t>
  </si>
  <si>
    <t xml:space="preserve">Дезинфекційні засоби </t>
  </si>
  <si>
    <t>Дезінфекційні засоби</t>
  </si>
  <si>
    <t>Дезінфікуючі засоби (Бланідас Софт, 1000 мл; Бланідас Софт, 5 л)</t>
  </si>
  <si>
    <t>Детектори та аналізатори (автоматичний гематологічний аналізатор, аналізатор сечі)</t>
  </si>
  <si>
    <t xml:space="preserve">Дефібрилятор-монітор </t>
  </si>
  <si>
    <t>Дефібрилятор-монітор «PRIMEDIC» Defi-Monitor XD1xe</t>
  </si>
  <si>
    <t>Диван для очікування відвідувачів; Крісло офісне</t>
  </si>
  <si>
    <t>Диван для очікування; Лавка зі спинкою; Стілець ІЗО; Стілець ІЗО; Крісло офісне</t>
  </si>
  <si>
    <t>Дитяче харчування</t>
  </si>
  <si>
    <t>Дн02_00012610</t>
  </si>
  <si>
    <t>Дн03_00011432</t>
  </si>
  <si>
    <t>Дн10_00011433</t>
  </si>
  <si>
    <t>Доводчик дверний Geze 2000</t>
  </si>
  <si>
    <t>Договір діє до:</t>
  </si>
  <si>
    <t>Допорогова закупівля</t>
  </si>
  <si>
    <t>Друкована продукція (бланки, журнали)</t>
  </si>
  <si>
    <t>Електрична енергія</t>
  </si>
  <si>
    <t xml:space="preserve">Електричне приладдя </t>
  </si>
  <si>
    <t>Електричне приладдя та супутні товари до електричного приладдя</t>
  </si>
  <si>
    <t>Електрод ЕКГ хлорсрібний притискний для кінцівок ЕКХ-01,
Електрод ЕКГ хлорсрібний присмоктувальний грудний ЕКХ-03</t>
  </si>
  <si>
    <t>Електрод ЕКГ хлорсрібний притискний для кінцівок ЕКХ-01,Електрод ЕКГ хлорсрібний присмоктувальний грудний ЕКХ-03</t>
  </si>
  <si>
    <t>Електромонтажні роботи ( встановлення охоронної системи сигналізації).</t>
  </si>
  <si>
    <t>Електронна пошта переможця тендеру</t>
  </si>
  <si>
    <t>Жалюзі вертикальні</t>
  </si>
  <si>
    <t>Жалюзі вертикальні тканеві; Жалюзі горизонтальні металопластикові</t>
  </si>
  <si>
    <t xml:space="preserve">Жалюзі вертикальні тканеві; Жалюзі горизонтальні металопластикові   </t>
  </si>
  <si>
    <t>Жалюзі горизонтальні</t>
  </si>
  <si>
    <t xml:space="preserve">Жалюзі горизонтальні </t>
  </si>
  <si>
    <t>З ПДВ</t>
  </si>
  <si>
    <t>ЗАВ'ЯЛОВ ЮРІЙ ГЕННАДІЙОВИЧ</t>
  </si>
  <si>
    <t>ЗАХАРЧЕНКО ЛЕСЯ ВОЛОДИМИРІВНА</t>
  </si>
  <si>
    <t>За відсутністю пропозицій</t>
  </si>
  <si>
    <t>Закупівля без використання електронної системи</t>
  </si>
  <si>
    <t xml:space="preserve">Замки навісні, замки врізні, замки накладні
</t>
  </si>
  <si>
    <t>Заправка та регенерація картриджей до принтерів та багатофункційних пристроїв.</t>
  </si>
  <si>
    <t>Заправка та регенерація картриджів до принтерів та багатофунційних пристроїв</t>
  </si>
  <si>
    <t>Заправка та регенерація картриджів до принтерів-принтер лаз. CANON LBP 6000, 6020, 6030; Заправка та регенерація картриджів до принтерів лаз. HP LJ Р 1105,1102; Заправка та регенерація картриджів до багатофункційного пристрою Samsung SCX 3200; Заправка та регенерація картриджів до багатофункційного пристрою СANON MF 3010; Заправка та регенерація картриджів до багатофункційного пристрою CANON MF 4410; Заправка та регенерація картриджів до багатофункційного пристрою CANON MF 229 DW; Заправка та регенерація картриджів до багатофункційного пристрою CANON MF 231; Заправка та регенерація картриджів до багатофункційного пристрою Brother DCP-L2540DNR; Заправка та регенерація картриджів до багатофункційного пристрою Brother HL-1112R</t>
  </si>
  <si>
    <t>Заправка та регенерація картриджів до принтерів-принтер лаз. CANON LBP 6000, 6020, 6030; Заправка та регенерація картриджів до принтерів лаз. HP LJ Р 1105,1102; Заправка та регенерація картриджів до багатофункційного пристрою Samsung SCX 3200; Заправка та регенерація картриджів до багатофункційного пристрою СANON MF 3010; Заправка та регенерація картриджів до багатофункційного пристрою CANON MF 4410; Заправка та регенерація картриджів до багатофункційного пристрою CANON MF 229 DW; Заправка та регенерація картриджів до багатофункційного пристрою CANON MF 231; Заправка та регенерація картриджів до багатофункційного пристрою Brother DCP-L2540DNR; Заправка та регенерація картриджів до принтер лаз. Brother HL-1112R</t>
  </si>
  <si>
    <t>Засоби для прибирання</t>
  </si>
  <si>
    <t xml:space="preserve">Засоби для прибирання </t>
  </si>
  <si>
    <t>Засоби догляду за малюками (підгузки для дітей)</t>
  </si>
  <si>
    <t>Засоби особистої гігієни</t>
  </si>
  <si>
    <t>Засіб КЗІ "SecureToken-337M"</t>
  </si>
  <si>
    <t>Засіб для антисептичної обробки рук, шкірних покривів; Засіб для гігієнічної та антисептичної обробки рук, шкірних покривів, поверхонь; Засіб для швидкої дезінфекції поверхонь та ВМП  ; Засіб для дезінфекції поверхонь, санітарно-технічного устаткування; знезаражування виробів медичного призначення одноразового використання, медичних  біологічних відходів</t>
  </si>
  <si>
    <t>Звіт створено 15 липня о 12:21 з використанням http://zakupki.prom.ua</t>
  </si>
  <si>
    <t>КД-026/19</t>
  </si>
  <si>
    <t>КЕП</t>
  </si>
  <si>
    <t>КОМУНАЛЬНЕ НЕКОМЕРЦІЙНЕ ПІДПРИЄМСТВО  "ДНІПРОВСЬКИЙ ЦЕНТР ПЕРВИННОЇ МЕДИКО-САНІТАРНОЇ ДОПОМОГИ №7" ДНІПРОВСЬКОЇ МІСЬКОЇ РАДИ</t>
  </si>
  <si>
    <t>КОМУНАЛЬНЕ НЕКОМЕРЦІЙНЕ ПІДПРИЄМСТВО "ДНІПРОВСЬКИЙ ЦЕНТР ПЕРВИННОЇ МЕДИКО-САНІТАРНОЇ ДОПОМОГИ №7" ДНІПРОВСЬКОЇ МІСЬКОЇ РАДИ</t>
  </si>
  <si>
    <t>КОМУНАЛЬНЕ ПІДПРИЄМСТВО  "НАВЧАЛЬНО-КУРСОВИЙ КОМБІНАТ" ДНІПРОПЕТРОВСЬКОЇ ОБЛАСНОЇ РАДИ"</t>
  </si>
  <si>
    <t>КОМУНАЛЬНЕ ПІДПРИЄМСТВО "АВТОПІДПРИЄМСТВО САНІТАРНОГО ТРАНСПОРТУ" ДНІПРОВСЬКОЇ МІСЬКОЇ РАДИ</t>
  </si>
  <si>
    <t>КОМУНАЛЬНЕ ПІДПРИЄМСТВО "ДНІПРОВОДОКАНАЛ" ДНІПРОВСЬКОЇ МІСЬКОЇ РАДИ</t>
  </si>
  <si>
    <t>КОМУНАЛЬНЕ ПІДПРИЄМСТВО "ДНІПРОПЕТРОВСЬКЕ ОБЛАСНЕ КЛІНІЧНЕ ЛІКУВАЛЬНО-ПРОФІЛАКТИЧНЕ ОБ'ЄДНАННЯ "ФТИЗІАТРІЯ" ДНІПРОПЕТРОВСЬКОЇ ОБЛАСНОЇ РАДИ"</t>
  </si>
  <si>
    <t>КОМУНАЛЬНЕ ПІДПРИЄМСТВО "ТЕПЛОЕНЕРГО" ДНІПРОВСЬКОЇ МІСЬКОЇ РАДИ</t>
  </si>
  <si>
    <t>КОМУНАЛЬНИЙ ЗАКЛАД "ЦЕНТР ПІСЛЯДИПЛОМНОЇ ОСВІТИ МОЛОДШИХ СПЕЦІАЛІСТІВ З МЕДИЧНОЮ ТА ФАРМАЦЕВТИЧНОЮ ОСВІТОЮ" ДНІПРОПЕТРОВСЬКОЇ ОБЛАСНОЇ РАДИ"</t>
  </si>
  <si>
    <t>КП " "ОЦГЗ" ДОР"</t>
  </si>
  <si>
    <t>КР-2 1264/21</t>
  </si>
  <si>
    <t>КР-2 823/20</t>
  </si>
  <si>
    <t>КРАСУЛЯ ЮРІЙ СЕРГІЙОВИЧ</t>
  </si>
  <si>
    <t>Калоприймачі стомічні; Сечоприймачі</t>
  </si>
  <si>
    <t>Канцелярське приладдя</t>
  </si>
  <si>
    <t>Картридж Canon 725, Картридж Brother TN2375</t>
  </si>
  <si>
    <t>Картридж Canon 725; Картридж Brother TN2375</t>
  </si>
  <si>
    <t>Класифікатор</t>
  </si>
  <si>
    <t>Клейка стрічка tesa 60760 жовта</t>
  </si>
  <si>
    <t>Клейка стрічка tesa 60760 жовта (33м*100мм)</t>
  </si>
  <si>
    <t>Код НК 024:2019 – 11239- підгузники для дорослих розмір L; Код НК 024:2019 – 11239- підгузники для дорослих розмір М; Код НК 024:2019 – 11239- підгузники для дорослих розмір S; Код НК 024:2019 – 35008- підгузники для дітей (16+) 54 шт/уп; Код НК 024:2019 – 31068- мішок УРО,мішок уростомний № 1758 діаметр 50 мм №20</t>
  </si>
  <si>
    <t>Комп'ютерне обладнання</t>
  </si>
  <si>
    <t>Кондиціонер (з монтажем)</t>
  </si>
  <si>
    <t>Кондиціонери з монтажем</t>
  </si>
  <si>
    <t>Контактний телефон переможця тендеру</t>
  </si>
  <si>
    <t xml:space="preserve">Креон 25000; Вальпроком  300 хроно; Калімін 60Н  ; Мінірин МЕЛТ </t>
  </si>
  <si>
    <t>Крок зниження</t>
  </si>
  <si>
    <t>Кулькова ручка Split з логотипом, Папір для нотаток (кубарик) з логотипом</t>
  </si>
  <si>
    <t>Курси «Медсестринство в сімейній медицині (спеціалізація сестер медичних загальної практики-сімейної медицини)»</t>
  </si>
  <si>
    <t>Кушетка оглядова; Ростомір дитячий; Стіл сповивальний</t>
  </si>
  <si>
    <t>Кількість одиниць</t>
  </si>
  <si>
    <t>Кількість учасників аукціону</t>
  </si>
  <si>
    <t>ЛОГУШ ЮРІЙ ОЛЕКСІЙОВИЧ</t>
  </si>
  <si>
    <t>ЛУПИКОВ ВЛАДИСЛАВ СЕРГІЙОВИЧ</t>
  </si>
  <si>
    <t>Лабораторний холодильник</t>
  </si>
  <si>
    <t>Лабораторні  дослідження</t>
  </si>
  <si>
    <t>Лабораторні дослідження</t>
  </si>
  <si>
    <t>Лабораторні дослідження
Джерело фінансування- кошти НСЗУ</t>
  </si>
  <si>
    <t>Лабораторні реактиви</t>
  </si>
  <si>
    <t>Лампи</t>
  </si>
  <si>
    <t>Лампочки ЛОН 75Е27; Лампа денного світла L-18W; Лампа галогенна 100-150 J-TYPE 78</t>
  </si>
  <si>
    <t>Лот 1, лот 2 Медичні матеріали для невідкладної допомоги :Медичні матеріали</t>
  </si>
  <si>
    <t>МАСЛОВА ОЛЬГА ЕРЕНЖЕНІВНА</t>
  </si>
  <si>
    <t>МЦА-GSM Модуль цифрового GSM- автодозвону (SIM900)</t>
  </si>
  <si>
    <t>Маска  медична одноразова  хірургічна; Комплект одягу «Анти - СНІД» № 3; Шапочки  одноразові спанбонд; Набір маніпуляційний перев`язувальний №2 стерильний  ; Шприц ін'єкційний одноразового використання стерильний,  2 мл (трьохкомпонентний); Респіратор 3кл.FFP з клапаном ; Бахіли  подовжені на зав’язках; Рукавички одноразові нітрилові  розмір S,М  ; Халат медичний(захисний) комбінований на зав’язках (типА) довжиною 130см (СМС+ ламінований спанбонд -35+45г\м2)   розмір 50,52,54);  Захисний екран  ; Шприц ін'єкційний одноразового використання стерильний,  5мл (трьохкомпонентний)</t>
  </si>
  <si>
    <t>Маска  медична; Комплект одягу «Анти - СНІД» №3; Шапочка медична  ; Набір маніпуляційний перев`язувальний №2 ; Шприц одноразовий, 2мл; Протиаерозольна фільтруюча напівмаска (респіратор)  FFP2NR; Бахіли  подовжені на завязках; Рукавички оглядові   розмір S,M; Халат медичний (захисний); Захисний екран; Шприц одноразовий ,  5 мл</t>
  </si>
  <si>
    <t>Материнська плата</t>
  </si>
  <si>
    <t>Медичне обладнання та вироби медичного призначення різні</t>
  </si>
  <si>
    <t>Медичні бланки та журнали</t>
  </si>
  <si>
    <t>Медичні бланки та журнали (код ДК 021:2015- 22820000-4 Бланки)</t>
  </si>
  <si>
    <t>Медичні матеріали</t>
  </si>
  <si>
    <t xml:space="preserve">Медичні матеріали </t>
  </si>
  <si>
    <t>Медичні матеріали та вироби медичного призначення різні:Вироби медичного призначення</t>
  </si>
  <si>
    <t>Медичні матеріали та вироби медичного призначення різні:Пробірки</t>
  </si>
  <si>
    <t>Метало - пластикові конструкції з монтажем</t>
  </si>
  <si>
    <t xml:space="preserve">Метало - пластикові конструкції з монтажем </t>
  </si>
  <si>
    <t>Металопластиковий виріб зі скляним відчинаючимся вікном та Сендвіч панеллю</t>
  </si>
  <si>
    <t>Метилпреднизолон табл. 4мг №30</t>
  </si>
  <si>
    <t>Метрологічні послуги</t>
  </si>
  <si>
    <t>Мирцера 50 мкг/0,3 мл, Аранесп 30 мкг/0,3 мл.</t>
  </si>
  <si>
    <t>Мирцера 50 мкг/0,3 мл., Аранесп 30 мкг/0,3 мл.</t>
  </si>
  <si>
    <t>Мирцера 50 мкг/0,3 мл.; Аранесп 30 мкг/0,3 мл</t>
  </si>
  <si>
    <t>Мирцера 50 мкг/0,3 мл.; Аранесп 30 мкг/0.3 мл</t>
  </si>
  <si>
    <t>Мирцера 50 мкг\0,3 мл
; Аранесп 30 мкг/0,3 мл</t>
  </si>
  <si>
    <t>Миючі засоби та господарські товари</t>
  </si>
  <si>
    <t xml:space="preserve">Миючі засоби та господарські товари </t>
  </si>
  <si>
    <t>Монтаж і наладка засобів системи охоронної сигналізації та підключення засобів системи ОС на Пульт Централізованої Охорони</t>
  </si>
  <si>
    <t>Морфін</t>
  </si>
  <si>
    <t>Мої дії</t>
  </si>
  <si>
    <t xml:space="preserve">Мірцера 50 мкг\0,3 мл
</t>
  </si>
  <si>
    <t>Мірцера 50 мкг\0,3 мл
Джерело фінансування - місцевий бюджет</t>
  </si>
  <si>
    <t>Мірцера 50 мкг\0,3 мл
; Аранесп 30 мкг/0.3 мл(100 мкг\мл)</t>
  </si>
  <si>
    <t>НАВЧАЛЬНО-МЕТОДИЧНИЙ ЦЕНТР ЦИВІЛЬНОГО ЗАХИСТУ ТА БЕЗПЕКИ ЖИТТЄДІЯЛЬНОСТІ ДНІПРОПЕТРОВСЬКОЇ ОБЛАСТІ</t>
  </si>
  <si>
    <t>НК 024:2019 –11239 - підгузники для дорослих;  НК 024:2019–35008-підгузники для дітей; НК 024:2019–31068-мішки уростомні (сечоприймачі); НК 024:2019–31066–калоприймачі</t>
  </si>
  <si>
    <t>НОВІКОВ АНАТОЛІЙ ЛЕОНІДОВИЧ</t>
  </si>
  <si>
    <t xml:space="preserve">На підставі механічної помилки </t>
  </si>
  <si>
    <t xml:space="preserve">Набір для маніпуляцій і перевязок №2 ; Пузир гумовий,  250 мм </t>
  </si>
  <si>
    <t>Навантажувально-розвантажувальні роботи</t>
  </si>
  <si>
    <t>Навчання посадових осіб</t>
  </si>
  <si>
    <t>Надання послуг у сфері інформатизації</t>
  </si>
  <si>
    <t>Назва потенційного переможця (з найменшою ціною)</t>
  </si>
  <si>
    <t>Немає лотів</t>
  </si>
  <si>
    <t>Нецінові критерії</t>
  </si>
  <si>
    <t>Новіков Анатолій Леонідович</t>
  </si>
  <si>
    <t>Номер договору</t>
  </si>
  <si>
    <t>Ні</t>
  </si>
  <si>
    <t>ОБ'ЄДНАННЯ СПІВВЛАСНИКІВ БАГАТОКВАРТИРНОГО БУДИНКУ "НАДІЇ АЛЕКСЄЄНКО 106"</t>
  </si>
  <si>
    <t>ОБЛАСНЕ КОМУНАЛЬНЕ ПІДПРИЄМСТВО "ФАРМАЦІЯ"</t>
  </si>
  <si>
    <t>ОСТАШЕВСЬКИЙ ЯРОСЛАВ ІГОРОВИЧ</t>
  </si>
  <si>
    <t>Одиниця виміру</t>
  </si>
  <si>
    <t>Одноразова система для вливання інфузійних розчинів ; Шприц ін’єкційний, 2,0 мл ; Канюля внутрішньовенна, 20G; Пінцет отоларингологічний ; Жгут  кровоспинний (турнікет); Стерильний  набір одягу медичного для новонародженого  з бірками ; Затискач для пуповини ; Комплект покриттів Акушерський №2, стерильний, одноразового використання  ; Комплект  одягу, для породіллі №1, стерильний, одноразового використання</t>
  </si>
  <si>
    <t>Олена Зелінська</t>
  </si>
  <si>
    <t>Організатор</t>
  </si>
  <si>
    <t>Організатор закупівлі</t>
  </si>
  <si>
    <t>Освітлювальне обладнання та електричні лампи (лампи денного світла, стартера)</t>
  </si>
  <si>
    <t>Освітлювальне обладнання та електричні лампи (лампи денного світла, стартера)
Джерело фінансування- кошти НСЗУ</t>
  </si>
  <si>
    <t>Основний контакт</t>
  </si>
  <si>
    <t xml:space="preserve">Офісне устаткування та приладдя різне </t>
  </si>
  <si>
    <t>Офісне устаткування та приладдя різне (код ДК 021:2015- 30190000-7)</t>
  </si>
  <si>
    <t>Офісне устаткування та приладдя різне (печатки, штампи)</t>
  </si>
  <si>
    <t>Офісні крісла 
Джерело фінансування- кошти НСЗУ</t>
  </si>
  <si>
    <t>Офісні меблі</t>
  </si>
  <si>
    <t>Охоронні послуги</t>
  </si>
  <si>
    <t>Очікувана вартість закупівлі</t>
  </si>
  <si>
    <t>Очікувана вартість лота</t>
  </si>
  <si>
    <t>Очікувана вартість, одиниця</t>
  </si>
  <si>
    <t>ПАВЛОВА ТЕТЯНА ДМИТРІВНА</t>
  </si>
  <si>
    <t>ПАВЛОВА ЮЛІЯ ОЛЕКСАНДРІВНА</t>
  </si>
  <si>
    <t>ПАРА ТА ГАРЯЧА ВОДА; ПОСТАЧАННЯ ПАРИ ТА ГАРЯЧОЇ ВОДИ (ЗА КОДОМ ДК 021:2015 – 09320000-8 ПАРА,ГАРЯЧА ВОДА ТА ПОВЯЗАНА ПРОДУКЦІЯ (ТЕПЛОВА ЕНЕРГІЯ)</t>
  </si>
  <si>
    <t>ПАРА ТА ГАРЯЧА ВОДА; ПОСТАЧАННЯ ПАРИ ТА ГАРЯЧОЇ ВОДИ (ТЕПЛОВА ЕНЕРГІЯ)</t>
  </si>
  <si>
    <t>ПОЛОНСЬКА ОЛЬГА ВІТАЛІЇВНА</t>
  </si>
  <si>
    <t>ПП "ДУОМЕД УКРАЇНА"</t>
  </si>
  <si>
    <t>ПП АРХПРОЕКТГРУП</t>
  </si>
  <si>
    <t>ПП НИКС-П</t>
  </si>
  <si>
    <t>ПРИВАТНЕ АКЦІОНЕРНЕ ТОВАРИСТВО "КИЇВСТАР"</t>
  </si>
  <si>
    <t>ПРИВАТНЕ АКЦІОНЕРНЕ ТОВАРИСТВО "ПІДПРИЄМСТВО З ЕКСПЛУАТАЦІЇ ЕЛЕКТРИЧНИХ МЕРЕЖ "ЦЕНТРАЛЬНА ЕНЕРГЕТИЧНА КОМПАНІЯ"</t>
  </si>
  <si>
    <t>ПРИВАТНЕ АКЦІОНЕРНЕ ТОВАРИСТВО "ТЕЛЕСИСТЕМИ УКРАЇНИ"</t>
  </si>
  <si>
    <t>ПРИВАТНЕ АКЦІОНЕРНЕ ТОВАРИСТВО "УКРАЇНСЬКА АКЦІОНЕРНА СТРАХОВА КОМПАНІЯ АСКА"</t>
  </si>
  <si>
    <t>ПРИВАТНЕ АКЦІОНЕРНЕ ТОВАРИСТВО "УКРАЇНСЬКА ПРЕС-ГРУПА"</t>
  </si>
  <si>
    <t>ПРИВАТНЕ ВИРОБНИЧЕ ПІДПРИЄМСТВО "ДВН"</t>
  </si>
  <si>
    <t>ПРИВАТНЕ ВИРОБНИЧО-КОМЕРЦІЙНЕ ПІДПРИЄМСТВО " ВАЛЛЕНТА "</t>
  </si>
  <si>
    <t>ПРИВАТНЕ НАУКОВО-ВИРОБНИЧЕ ПІДПРИЄМСТВО "МАГНІТА"</t>
  </si>
  <si>
    <t>ПРИВАТНЕ ПІДПРИЄМСТВО "ДУОМЕД УКРАЇНА"</t>
  </si>
  <si>
    <t>ПРИВАТНЕ ПІДПРИЄМСТВО "ЕКСПЕРТ ПРИДНІПРОВ'Я"</t>
  </si>
  <si>
    <t>ПРИВАТНЕ ПІДПРИЄМСТВО "МЕДІНФОСЕРВІС"</t>
  </si>
  <si>
    <t>ПРИВАТНЕ ПІДПРИЄМСТВО "ОРГТЕХЦЕНТР"</t>
  </si>
  <si>
    <t>ПРИВАТНЕ ПІДПРИЄМСТВО "ТЕХНОІНФОМЕД-2"</t>
  </si>
  <si>
    <t>ПРИВАТНЕ ПІДПРИЄМСТВО ТОРГОВА КОМПАНІЯ "ВІТЧИЗНЯНИЙ ПРОДУКТ"</t>
  </si>
  <si>
    <t>Пакети програмного забезпечення для фінансового аналізу та бухгалтерського обліку (Бізнес-версія ПЗ з конфігурацією "Комплексний облік для центрів первинної медичної (медико-санітарної) допомоги" ліцензія на 6 робочих місць).
Джерело фінансування- кошти НСЗУ.</t>
  </si>
  <si>
    <t>Папір офісний  А4</t>
  </si>
  <si>
    <t>Папір офісний А4</t>
  </si>
  <si>
    <t xml:space="preserve">Папір офісний А4
</t>
  </si>
  <si>
    <t>Папір офісний формату А4</t>
  </si>
  <si>
    <t>Папір офісний формату А4 (джерело фінансування - кошти місцевого бюджету)</t>
  </si>
  <si>
    <t xml:space="preserve">Папір санітарно-гігієнічного призначення (підгузники для дорослих) </t>
  </si>
  <si>
    <t>Переговорна процедура</t>
  </si>
  <si>
    <t>Переговорна процедура, скорочена</t>
  </si>
  <si>
    <t>Періодичне видання- Газета "День"</t>
  </si>
  <si>
    <t>Печатка</t>
  </si>
  <si>
    <t>Планове технічне обслуговування, цілодобове спостерігання за системою пожежної сигналізації об`єкту за адресою: вул. Надії Алексєєнко, 106</t>
  </si>
  <si>
    <t>Портативний спірограф</t>
  </si>
  <si>
    <t>Портативний спірограф SP10</t>
  </si>
  <si>
    <t>Посилання на редукціон</t>
  </si>
  <si>
    <t>Послуга з видачі сертифікатів ( послуги КЕП)</t>
  </si>
  <si>
    <t>Послуга з перезарядки вогнегасників</t>
  </si>
  <si>
    <t>Послуга з постачання теплової енергії</t>
  </si>
  <si>
    <t>Послуга у сфері інформатизації</t>
  </si>
  <si>
    <t>Послуги з аварійного прочищення та ремонту каналізаційної мережі</t>
  </si>
  <si>
    <t>Послуги з виготовлення та встановлення  пандусу у приміщенні амбулаторії №12 КНП «ДЦПМСД №7» ДМР в будівлі за адресою  вул. Титова,29, м. Дніпро.</t>
  </si>
  <si>
    <t>Послуги з виготовлення та встановлення металевого поручня за адресою: м. Дніпро, вул. Краснопільська, 6б та вул. Філософська, 62 (адмін.будівля)</t>
  </si>
  <si>
    <t>Послуги з виготовлення та встановлення металевого поручня за адресою: м.Дніпро, вул.Новошкільна, 92</t>
  </si>
  <si>
    <t>Послуги з гідропневматичного очищення системи опалення</t>
  </si>
  <si>
    <t>Послуги з дератизації</t>
  </si>
  <si>
    <t>Послуги з дистанційного контролю працездатності Блоку оповіщення БО-FM-05</t>
  </si>
  <si>
    <t>Послуги з компенсації перетікань реактивної електричної енергії</t>
  </si>
  <si>
    <t>Послуги з метрології</t>
  </si>
  <si>
    <t>Послуги з навчання посадових осіб і спеціалістів з питань пожежної безпеки</t>
  </si>
  <si>
    <t>Послуги з навчання робітників з правил ОП</t>
  </si>
  <si>
    <t>Послуги з обробки даних, видачі сертифікатів та їх обслуговування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</si>
  <si>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</si>
  <si>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 xml:space="preserve">Послуги з обробки даних, постачання, видачі та обслуговування кваліфікованих сертифікатів відкритих ключів кваліфікованого електронного підпису
</t>
  </si>
  <si>
    <t xml:space="preserve">Послуги з охорони Об'єкту  </t>
  </si>
  <si>
    <t xml:space="preserve">Послуги з поводження з побутовими відходами </t>
  </si>
  <si>
    <t>Послуги з поточого ремонту медичного обладнання</t>
  </si>
  <si>
    <t xml:space="preserve">Послуги з поточого ремонту медичного обладнання
</t>
  </si>
  <si>
    <t xml:space="preserve">Послуги з поточого ремонту медичного обладнання    </t>
  </si>
  <si>
    <t>Послуги з професійної підготовки спеціалістів</t>
  </si>
  <si>
    <t>Послуги з професійної підготовки спеціалістів ( електробезпека, пожежна безпека)</t>
  </si>
  <si>
    <t>Послуги з професійної підготовки спеціалістів (Навчання з Правил технічної експлуатації електроустановок споживачів)</t>
  </si>
  <si>
    <t>Послуги з професійної підготовки спеціалістів з Законодавства та нормативно-правових актів з охороги праці</t>
  </si>
  <si>
    <t>Послуги з професійної підготовки у сфері охорони здоров'я та надання першої медичної допомоги</t>
  </si>
  <si>
    <t>Послуги з професійної підготовки у сфері підвищення кваліфікації</t>
  </si>
  <si>
    <t>Послуги з прочищення каналізаційної мережі</t>
  </si>
  <si>
    <t>Послуги з підготовки медичного персоналу з проводення туберкулінових проб</t>
  </si>
  <si>
    <t>Послуги з розподілу електричної енергії</t>
  </si>
  <si>
    <t xml:space="preserve">Послуги з розподілу електричної енергії </t>
  </si>
  <si>
    <t>Послуги з спостереження за допомогою ПЦС за станом сигналізації Об'єктів за адресами: м. Дніпро, вул. Орловська, 41; вул.Новошкільна, 92; вул.Амбулаторна,1; вул.Філософська, 62.</t>
  </si>
  <si>
    <t>Послуги з технічного нагляду по об'єкту Поточний ремонт ганку та цоколю будівлі КНП "Дніпровський центр первинної медико-санітарної допомоги №7" ДМР за адресою: м. Дніпро, вул. Краснопільська,6Б (за кодом ДК 021:2015: 71240000-2 Архітектурні, інженерні та планувальні послуги)</t>
  </si>
  <si>
    <t xml:space="preserve">Послуги з технічного нагляду по об'єкту Поточний ремонт ганку та цоколю будівлі КНП "Дніпровський центр первинної медико-санітарної допомоги №7" ДМР за адресою: м. Дніпро, вул. Краснопільська,6Б (за кодом ДК 021:2015: 71240000-2 Архітектурні, інженерні та планувальні послуги)
</t>
  </si>
  <si>
    <t>Послуги з технічного нагляду по об'єкту Поточний ремонт прибудови головного входу КНП "Дніпровський центр первинної медико-санітарної допомоги № 7» ДМР, за адресою: м. Дніпро, вулиця Краснопільська, 6Б (за кодом ДК 021:2015: 71240000-2 Архітектурні, інженерні та планувальні послуги)</t>
  </si>
  <si>
    <t>Послуги з технічного нагляду по об'єкту Поточний ремонт, облаштування та благоустрій сходинок прибудинкової території КНП "Дніпровський центр первинної медико-санітарної допомоги № 7» ДМР за адресою: м. Дніпро, вулиця Краснопільська, 6Б (за кодом ДК 021:2015: 71240000-2 Архітектурні, інженерні та планувальні послуги)</t>
  </si>
  <si>
    <t>Послуги з технічного нагляду по об’єкту Поточний ремонт санвузла для осіб з інвалідністю та маломобільного населення за адресою: м. Дніпро, вул. Краснопільська,6-б</t>
  </si>
  <si>
    <t>Послуги з технічного нагляду по об’єкту Поточний ремонт холу в приміщенні за адресою: м. Дніпро, вул.Краснопільська 6-б.</t>
  </si>
  <si>
    <t>Послуги з технічного нагляду по об’єкту Поточний ремонт із заміни вікон на металопластикові в приміщенні за адресою м. Дніпро, вул. Краснопільська 6-б та заміни двері за адресою м.Дніпро, вул. Титова 29</t>
  </si>
  <si>
    <t>Послуги з технічного обслуговування системи газопостачання та газового обладнання</t>
  </si>
  <si>
    <t xml:space="preserve">Послуги з технічного обслуговування і поточногоремонту шафи холодильної </t>
  </si>
  <si>
    <t>Послуги з технічного огляду та випробувань (електротехнічної лабораторії)</t>
  </si>
  <si>
    <t xml:space="preserve">Послуги з централізованого водопостачання та централізованого  водовідведення </t>
  </si>
  <si>
    <t>Послуги з централізованого питного водопостачання та водовідведення</t>
  </si>
  <si>
    <t>Послуги з централізованого питного водопостачання та водовідведення (65110000-7 Розподіл води; 90430000-0 Послуги з відведення стічних вод).</t>
  </si>
  <si>
    <t>Послуги зі збирання з подальшою утилізацією відходів категорій В, С.</t>
  </si>
  <si>
    <t>Послуги зі збирання з подальшою утилізацією відходів категорії В.</t>
  </si>
  <si>
    <t>Послуги мобільного зв’язку</t>
  </si>
  <si>
    <t>Послуги на супроводження програмного забезпечення</t>
  </si>
  <si>
    <t xml:space="preserve">Послуги пломбування вузла обліку </t>
  </si>
  <si>
    <t>Послуги по опломбуванню приладів обліку</t>
  </si>
  <si>
    <t>Послуги по опломбуванню приладів обліку за адресою: м. Дніпро, вул. Н.Алексєєнко 106</t>
  </si>
  <si>
    <t>Послуги по опломбуванню приладів обліку за адресою: м. Дніпро, вул. Н.Алексєєнко 30</t>
  </si>
  <si>
    <t>Послуги по роботі з програмним забезпеченням "М.Е.Doc"</t>
  </si>
  <si>
    <t>Послуги по супроводу програмного забезпечення "Медична статистика"</t>
  </si>
  <si>
    <t>Послуги по супроводу програмного забезпечення "Облік медичних кадрів України"</t>
  </si>
  <si>
    <t>Послуги постачання примірника та пакетів оновлень (компонент) комп'ютерної програми "M.E.Doc" Модуль "M.E.Doc Звітність" та "M.E.Doc" Модуль "Облік ПДВ"</t>
  </si>
  <si>
    <t>Послуги постачання примірника та пакетів оновлень (компонент) комп'ютерної програми "M.E.Doc" Модуль "Електроний документообіг"</t>
  </si>
  <si>
    <t>Послуги профілактичної дезінфекції</t>
  </si>
  <si>
    <t>Послуги рухомого (мобільного) зв'язку</t>
  </si>
  <si>
    <t>Послуги різних членських організацій ( внески на утримання будинку та прибудинкової території)</t>
  </si>
  <si>
    <t>Послуги страхування працівників</t>
  </si>
  <si>
    <t>Послуги телефонного зв’язку та передачі даних</t>
  </si>
  <si>
    <t>Послуги транспортування</t>
  </si>
  <si>
    <t xml:space="preserve">Послуги у сфері інформатизації </t>
  </si>
  <si>
    <t>Послуги фіксованого місцевого телефонного зв'язку</t>
  </si>
  <si>
    <t>Послуги щодо перевезення (переміщення) вантажу</t>
  </si>
  <si>
    <t>Послуги із забезпечення перетікань реактивної електричної енергії</t>
  </si>
  <si>
    <t>Послуги із санітарно-гігієнічної обробки приміщень</t>
  </si>
  <si>
    <t>Поточний ремонт ганку та цоколю будівлі КНП "ДЦПМСД №7" ДМР за адресою: м. Дніпро, вул. Краснопільська,6б</t>
  </si>
  <si>
    <t>Поточний ремонт ганку та цоколю будівлі КНП "Дніпровський центр первинної медико-санітарної допомоги №7" ДМР за адресою: м. Дніпро, вул. Краснопільська,6б</t>
  </si>
  <si>
    <t>Поточний ремонт прибудови головного твходу КНП "Дніпровський центр первинної медико-санітарної допомоги № 7" ДМР, за адресою: м. Дніпро, вул. Краснопільська, 6б</t>
  </si>
  <si>
    <t>Поточний ремонт прибудови головоного входу КНП "ДЦПМСД № 7" ДМР за адресою: м. Дніпро, вул. Краснопільська, 6б</t>
  </si>
  <si>
    <t>Поточний ремонт санвузла для осіб з інвалідністю та маломобільного населення за адресою м.Дніпро вул. Краснопільська 6-б</t>
  </si>
  <si>
    <t>Поточний ремонт санвузла для осіб з інвалідністю та маломобільного населення за адресою:  м. Дніпро, вул. Титова, 29.</t>
  </si>
  <si>
    <t>Поточний ремонт холодильної шафи</t>
  </si>
  <si>
    <t xml:space="preserve">Поточний ремонт холодильної шафи </t>
  </si>
  <si>
    <t>Поточний ремонт холу в приміщенні за адресою м. Дніпро, вул. Краснопільська 6-б</t>
  </si>
  <si>
    <t>Поточний ремонт центрального входу будівлі КНП "ДЦПМСД №7" ДМР вул.Краснопільська, 6б</t>
  </si>
  <si>
    <t xml:space="preserve">Поточний ремонт із заміни вікон на металопластикові  в приміщенні за адресою м. Дніпро, вул. Краснопільська 6-б та заміни двері за адресою м.Дніпро, вул. Титова 29 </t>
  </si>
  <si>
    <t>Поточний ремонт, облаштування  та благоустрій сходинок прибудинкової території КНП "ДЦПМСД № 7» ДМР за адресою: м. Дніпро, вулиця Краснопільська, 6б</t>
  </si>
  <si>
    <t>Поточний ремонт, облаштування  та благоустрій сходинок прибудинкової території КНП "Дніпровський центр первинної медико-санітарної допомоги № 7» ДМР за адресою: м. Дніпро, вулиця Краснопільська, 6Б</t>
  </si>
  <si>
    <t>ПрАТ "УХЛ-МАШ"</t>
  </si>
  <si>
    <t>Предмет закупівлі</t>
  </si>
  <si>
    <t>Прийом пропозицій до:</t>
  </si>
  <si>
    <t>Прийом пропозицій з</t>
  </si>
  <si>
    <t>Природний газ</t>
  </si>
  <si>
    <t>Причина скасування закупівлі</t>
  </si>
  <si>
    <t>Приєднання електроустановок  об’єкта</t>
  </si>
  <si>
    <t>Пробірка  250 мкл (50  штук/уп); Рушники листові  (150 аркушів/уп); Серветка спиртова  (100 шт/уп); Рукавички оглядові латексні  S,  М</t>
  </si>
  <si>
    <t>Пробірка  250 мкл; Ємкість для мокроти ,  30 мл  ; Контейнер для сечі 120 мл; Пінцет отоларингологічний  ; Стрічки діаграмні для реєструючих приладів,  57х26мм; Стрічки діаграмні для реєструючих приладів,  80х30 мм; Простирадло одноразове  в рулоні; Опромінювач бактеріцидний ОБН – 150М ; Гігрометр ВІТ 1; Гігрометр ВІТ 2; Респіратор з   FFPЗ марка ЗМ 9332 (або аналог); Плоский рулон  для стерилізації 75ммх200м; Комплект одягу «Анти - СНІД» №3  ; Шапочки з нетканого матеріалу ; Мікропробірка типа «Еппендорф» 1,5 мл №1000; Пробірка циліндрична 5 мл  13*75 №1000</t>
  </si>
  <si>
    <t>Пробірка , 250 мкл; Мікропробірка типу Еппендорф 1,5 мл</t>
  </si>
  <si>
    <t>Пробірка для взяття капілярної крові з К3EDTA, без капіляру 0,25 №50; Стрічки діаграмні для реєструючих приладів 57*25 мм; Стрічки діаграмні для реєструючих приладів 80*30 мм; Гель для УЗД високої в'язкості 1000 г; Рушники паперові 150шт/уп; Пробірка з активатором згортання 6мл 13*100 червона кришка, 100шт; Щиток захисний ; Мікропробірка типа «Еппендорф» 1,5 мл №1000; Пробірка циліндрична 5 мл  13*75 №1000</t>
  </si>
  <si>
    <t>Пробірка з К3 EDTA, 0,25 мл  №50; Стрічки діаграмні для реєструючих приладів 57*25 мм; Стрічки діаграмні для реєструючих приладів 80*30 мм; Гель для УЗД ; Рушники паперові ; Пробірка, 6мл ; (видалене); Щиток захисний ; Мікропробірка 1,5 мл ; Пробірка циліндрична 5 мл  ; Гігрометр психрометричний ВИТ-1 ; Гігрометр психрометричний ВИТ-2; Півмаска фільтрувальна для захисту від аерозолів ; Плоский рулон R 75x200 ; Електрод ЕКГ д/дорослих ; Електрод ЕКГ прищепка д/дорослих; Електрод прищепка д/дітей ; Кабель до електрокардіографа; Турбінний датчик одноразовий з мундштуком ; Термометр медичний максимальний скляний ; Диспенсер для паперових рушників Z-типу</t>
  </si>
  <si>
    <t xml:space="preserve">Пробірки </t>
  </si>
  <si>
    <t xml:space="preserve">Пробірки вакуумні для взяття венозної крові з активатором згортання (кремнезем), об`єм 6,0 мл, розмір 13 х 100 мм з червоним ковпачком </t>
  </si>
  <si>
    <t>Проведення послуги дезінесекції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</si>
  <si>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</si>
  <si>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</si>
  <si>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Птампи,печатки</t>
  </si>
  <si>
    <t>Підвищення кваліфікації молодших медичних спеціалістів на циклах спеціалізації та удосконалення</t>
  </si>
  <si>
    <t xml:space="preserve">Підвищення кваліфікації цільового призначення </t>
  </si>
  <si>
    <t>Підвищення кваліфікації цільового призначення з питань цивільного захисту</t>
  </si>
  <si>
    <t xml:space="preserve">Підгузники для для дітей (16+) ; Підгузники для для дітей розмір 5 </t>
  </si>
  <si>
    <t>Підгузники для дорослих розмір L (30 шт/уп); Підгузники для дорослих розмір М (30 шт/уп); Калоприймачі стомічні; Сечоприймачі</t>
  </si>
  <si>
    <t xml:space="preserve">Підгузники для дорослих розмір L ; Підгузники для дорослих розмір М </t>
  </si>
  <si>
    <t xml:space="preserve">Підгузники для дорослих розмір L ; Підгузники для дорослих розмір М; Калоприймач однокомпонентний, кат № 17500 ; Підгузники для дорослих розмір S ; Підгузник для дітей (16+)  ; Сечоприймач  2000 мл; Підгузник для дітей (вага 12-25 кг)  </t>
  </si>
  <si>
    <t xml:space="preserve">Підгузники для дорослих розмір L; Підгузники для дорослих розмір М; Калоприймач однокомпонентний, кат № 17500 ; Підгузники для дорослих розмір S ; Підгузник для дітей (16+)  ; Сечоприймач  2000 мл; Підгузник для дітей (вага 12-25 кг)  </t>
  </si>
  <si>
    <t>Підключення електроустановки споживача до електричної мережі</t>
  </si>
  <si>
    <t>Пісок</t>
  </si>
  <si>
    <t>РАДІОНОВ ЮРІЙ ВІТАЛІЙОВИЧ</t>
  </si>
  <si>
    <t>РАДІОНОВ ЮРІЙ ВІТАЛІЙОВИЧФОП</t>
  </si>
  <si>
    <t>РОМАНОВА СВІТЛАНА ВОЛОДИМИРІВНА</t>
  </si>
  <si>
    <t>РУДЧЕНКО ОЛЕКСАНДР ВОЛОДИМИРОВИЧ</t>
  </si>
  <si>
    <t>Реагент «М-30D Diluent» 20 л; Реагент «М-30CFL Lyse» 500 мл; Реагент «Probe Cleanser» 17 мл * 12 фл.  М-30Р  ; Поліфункціональні тест-смужки «Urinalysis Reagent Strips - 11 параметрів» №100</t>
  </si>
  <si>
    <t>Реставрація табличок</t>
  </si>
  <si>
    <t>Решітки на кондиціонери (з установкою)</t>
  </si>
  <si>
    <t>Розпломбування вузла обліку; Опломбування вузла обліку</t>
  </si>
  <si>
    <t>Розподіл природного газу</t>
  </si>
  <si>
    <t>Розробка проектно-кошторисної документації</t>
  </si>
  <si>
    <t>Розчин лізуючий, фасування 1л; Розчин для промивання, фасування: 1л; Розчин для очистки, фасування: 50мл; Глікогемоглобін (Набір реагентів); Глікогемоглобін (Набір контролей)</t>
  </si>
  <si>
    <t>Розчин ізотонічний фасування: 20л; Матеріал контролю гематологічний атестований багато параметричний Para 12 Extend</t>
  </si>
  <si>
    <t>Розчин ізотонічний фасування: 20л; Матеріал контролю гематологічний атестований багато параметричний Para 12 Extend; Розчин лізуючий, фасування 1л; Розчин для очистки, фасування: 50мл; Розчин для промивання, фасування: 1л</t>
  </si>
  <si>
    <t>Розчин ізотонічний, фасування: 20л; Розчин для промивання, фасування: 1л; Лізуючий розчин, фасування: 1л; Реагент  «M-30CFL Lyse» 500мл; Реагент «M-30P Probe Сleanser» 17мл х 12флаконів/упаковка; Реагент «M-30D Diluent» 20л;  Розчин для очистки, фасування: 50мл; Матеріал контролю гематологічний атестований багато параметричний Para 12 Extend: 1 x 2.5 мл (1 Норма)</t>
  </si>
  <si>
    <t>Ростомір  дитячий,  горизонтальний; Шафа  медична ШМ-2; Столик інструментальний СІ-3; Столик маніпуляційний СМ-1 ; Шафа  ШМ-1; Глюкометр  згідно  медико-технічних вимог; Вимірювач артеріального  тиску  цифровий згідно  медико-технічних вимог; Лоток медичний металевий ниркоподібний ; Респіратор 3 клас захисту FFP             ; Ємності для дезінфекції ЕДПО-5 л  ; Ємності для дезінфекції ЕДПО-1 л (або аналог); Ємності для дезінфекції ЕДПО-10 л  (або аналог); Смуги  індикаторні  «Стерилан 132/20» для контролю парової стерилізації  (1000 шт/уп); Плоский рулон  для стерилізації, 200ммх200м ; Плоский рулон  для стерилізації, 150ммх200м ; Плоский рулон  для стерилізації, 100ммх200м ; Плоский рулон  для стерилізації, 75ммх200м ; Наконечники типу Eppendorf, прозорі, 2-20 мкл (1000 шт/уп); Накінечники тип Еппендорф, жовті 0,5-200 мкл ; Пробірка, 5 мл ; Пробірка , 250 -500 мкл; Мікропробірка типу Еппендорф 1,5 мл; Пробірка,  6мл ; Капіляри Панченкова ; Накінечники тип Гілсон, сині, 100-1000 мкл ; Диван коридорний</t>
  </si>
  <si>
    <t>Роутер MIKROTIK RouterBoard 951Uі-2HnD</t>
  </si>
  <si>
    <t>СП065620</t>
  </si>
  <si>
    <t>СПІЛЬНЕ УКРАЇНСЬКО-ЕСТОНСЬКЕ ПІДПРИЄМСТВО У ФОРМІ ТОВАРИСТВА З ОБМЕЖЕНОЮ ВІДПОВІДАЛЬНІСТЮ "ОПТІМА-ФАРМ, ЛТД"</t>
  </si>
  <si>
    <t>СТЕПАНЧУК  ІВАН ВАСИЛЬОВИЧ</t>
  </si>
  <si>
    <t>СФ-000265</t>
  </si>
  <si>
    <t>СФ-000363</t>
  </si>
  <si>
    <t>СФ-0004040</t>
  </si>
  <si>
    <t>СФ-000513</t>
  </si>
  <si>
    <t>СФ-000533</t>
  </si>
  <si>
    <t>Сантехнічні товари</t>
  </si>
  <si>
    <t>Світлана Молчанова</t>
  </si>
  <si>
    <t>Серветка спиртова  (100 шт/уп);  Рукавички оглядові нітрилові,  розміри: М; Ланцет (скарифікатор) для крові стальний з центральною голкою, 200 шт/уп; Рукавички оглядові , розмір S,М; Шпатель  прозорий; Пластир медичний 2см х 500см; Маска  одноразова  медична; Набір для маніпуляцій і перевязок №2; Канюля в/венна 20G; Канюля в/венна 24G; Одноразова система для вливання інфузійних розчинів ; Пластир для фіксації канюль внутрішньовенних; Вата медична , 100 г.</t>
  </si>
  <si>
    <t>Серветки спиртові одноразові № 100; Рукавички оглядові нітрилові нестерильні, розмір S; Рукавички оглядові нитрилові нестерильні, розмір М; Рукавички оглядові нітрилові стерильні, розмір М</t>
  </si>
  <si>
    <t>Симбікорт Турбохалер 160/4,5 60 доз</t>
  </si>
  <si>
    <t xml:space="preserve">Системи реєстрації медичної інформації та дослідне обладнання ( Індикаторні смужки) </t>
  </si>
  <si>
    <t>Системи реєстрації медичної інформації та дослідне обладнання ( Індикаторні смужки) 
Джерело фінансування - кошти НСЗУ, місцевий бюджет.</t>
  </si>
  <si>
    <t>Слухові апарати</t>
  </si>
  <si>
    <t xml:space="preserve">Слухові апарати  </t>
  </si>
  <si>
    <t>Спеціальні продукти харчування, збагачені поживними речовинами (спеціалізований продукт дієтичного лікувального харчування для дітей від 1 року до 14 років, хворих на фенілкетонурію).</t>
  </si>
  <si>
    <t>Спеціальні рецептурні бланки</t>
  </si>
  <si>
    <t>Спеціальні рецептурні бланки Ф-3</t>
  </si>
  <si>
    <t>Спеціалізований продукт дитячого дієтичного лікувального  харчування для дітей від 1 року до 14 років, хворих на фенілкетонурію COMIDA-PKU-B</t>
  </si>
  <si>
    <t>Спеціалізований продукт дієтичного лікувального харчування для дітей від 1 року до 14 років, хворих на фенілкетонурію</t>
  </si>
  <si>
    <t>Спеціалізовані продукти  лікувального  харчування для дітей хворих на фенілкетонурію (MD Мил ФКУ-3 ,COMIDA-PKU-B)</t>
  </si>
  <si>
    <t>Спеціалізовані продукти  лікувального  харчування для дітей хворих на фенілкетонурію (MD Мил ФКУ-3 ,COMIDA-PKU-B):COMIDA-PKU-B</t>
  </si>
  <si>
    <t xml:space="preserve">Спеціалізовані продукти  лікувального  харчування для дітей хворих на фенілкетонурію (MD Мил ФКУ-3 ,COMIDA-PKU-B):MD Мил ФКУ-3  </t>
  </si>
  <si>
    <t>Список державних закупівель</t>
  </si>
  <si>
    <t>Спрощена закупівля</t>
  </si>
  <si>
    <t>Статус</t>
  </si>
  <si>
    <t>Статус договору</t>
  </si>
  <si>
    <t>Стаціонарний кисневий концентратор</t>
  </si>
  <si>
    <t>Стаціонарний кисневий концентратор, модель СР101 1/10л/хв</t>
  </si>
  <si>
    <t>Стенд 1000*700 мм</t>
  </si>
  <si>
    <t>Столик інструментальний мод.СІ-5 (пересувний, 2 полиці - скло); Столик маніпуляційний мод СМ-1   ; Шафа медична з сейфом ШМ-1С  ; Ємність-контейнер  для очищення і дезінфекції інструментів і медичних виробів 10 л; Ємність-контейнер  для очищення і дезінфекції інструментів і медичних виробів 5 л; Штатив для тривалих  вливань мод. ШДВ-2; Термобокс 26 л; Бактерицидний опромінювач BactoSfera OBB 30P або аналог; Ліктьовий дозатор; Відсмоктувач медичний електричний, модель 7А-23D або аналог; Спалювач голок NULIFE DOTS (або аналог); Ємкість для зберігання термометрів об’ємом  0,8 л; Ширма трьохсекційна мод. Ш-3Т; Крісло-каталка Комбінована КК; Ноші медичні "БІОМЕД" А12 або  аналог; Опромінювач бактерицидний ОБП 1-30 або  аналог; Диспенсер для паперових рушників Z-типу; Стіл сповивальний  СПА</t>
  </si>
  <si>
    <t>Страхування медичних і фармацевтичних працівників від випадків інфікуваннявірусом імунодефіциту</t>
  </si>
  <si>
    <t>Страхування працівників відомчої та місцевої пожежної охорони і членів добровільних пожежних дружин (команд)</t>
  </si>
  <si>
    <t>Строк поставки до:</t>
  </si>
  <si>
    <t>Строк поставки з:</t>
  </si>
  <si>
    <t>Стрічки діаграмні для реєструючих приладів,  80х30 мм; Стрічки діаграмні для реєструючих приладів,  57х26мм; Рідкий гель для ультразвукових досліджень ; Шпатель, дерево; Рушники листові, Z-укладання 200 шт/уп; Глюкометр ; Вимірювач артеріального  тиску  цифровий</t>
  </si>
  <si>
    <t>Стрічки діаграмні для реєструючих приладів, 57х25мм</t>
  </si>
  <si>
    <t>Стіл комп’ютерний; Шафа для одягу; Шафа</t>
  </si>
  <si>
    <t>Стіл лабораторний</t>
  </si>
  <si>
    <t>Стіл письмовий ; Стіл письмовий з 3-ма шухлядами</t>
  </si>
  <si>
    <t xml:space="preserve">Стілець ISO </t>
  </si>
  <si>
    <t>Сума гарантії</t>
  </si>
  <si>
    <t>Сума зниження, грн</t>
  </si>
  <si>
    <t>Сума укладеного договору</t>
  </si>
  <si>
    <t>ТОВ "ІМЕД"</t>
  </si>
  <si>
    <t>ТОВ "А-ЕНЕРГО"</t>
  </si>
  <si>
    <t>ТОВ "АВЕРС КАНЦЕЛЯРІЯ"</t>
  </si>
  <si>
    <t>ТОВ "АДАМАС"</t>
  </si>
  <si>
    <t>ТОВ "АКСІО"</t>
  </si>
  <si>
    <t>ТОВ "АСХОР ТРЕЙД"</t>
  </si>
  <si>
    <t>ТОВ "Аметрін ФК"</t>
  </si>
  <si>
    <t>ТОВ "БАДМ-Б"</t>
  </si>
  <si>
    <t>ТОВ "БУДВЕСТ-М"</t>
  </si>
  <si>
    <t>ТОВ "БаДМ"</t>
  </si>
  <si>
    <t>ТОВ "ВІДЖИ МЕДІКАЛ"</t>
  </si>
  <si>
    <t>ТОВ "ВЕНТА. ЛТД"</t>
  </si>
  <si>
    <t>ТОВ "ВП "ПОЛІСАН"</t>
  </si>
  <si>
    <t>ТОВ "Дезцентр плюс"</t>
  </si>
  <si>
    <t>ТОВ "ЕВРОФАРМ ГРУП"</t>
  </si>
  <si>
    <t>ТОВ "ЗІРКА АЛЕКСАНДРІЇ"</t>
  </si>
  <si>
    <t>ТОВ "ЗДОРОВЕ МАЙБУТНЄ"</t>
  </si>
  <si>
    <t>ТОВ "КОМПОНЕНТИ ТІ"</t>
  </si>
  <si>
    <t>ТОВ "ЛЕДУМ"</t>
  </si>
  <si>
    <t>ТОВ "МЦФЕР - Україна"</t>
  </si>
  <si>
    <t>ТОВ "ОСВ ТРЕЙДИНГ"</t>
  </si>
  <si>
    <t>ТОВ "ПАПІРТОРГ"</t>
  </si>
  <si>
    <t>ТОВ "Пак Пласт Украина"</t>
  </si>
  <si>
    <t>ТОВ "РІАЛ ДОРС"</t>
  </si>
  <si>
    <t>ТОВ "СМФ "ПРЕСТИЖ"</t>
  </si>
  <si>
    <t>ТОВ "СТМ-Фарм"</t>
  </si>
  <si>
    <t>ТОВ "УКРСТРОЙДНІПРО"</t>
  </si>
  <si>
    <t>ТОВ "ФІРМА "ТАЙМИР"</t>
  </si>
  <si>
    <t>ТОВ "Фартунат"</t>
  </si>
  <si>
    <t>ТОВ "ЦЕНТР СЕРТИФІКАЦІЇ КЛЮЧІВ "УКРАЇНА"</t>
  </si>
  <si>
    <t>ТОВ 'Укрмедіатренд'</t>
  </si>
  <si>
    <t>ТОВ Єврогарант-2014</t>
  </si>
  <si>
    <t>ТОВ Інтермедика-Україна</t>
  </si>
  <si>
    <t>ТОВ Алюмтрейд</t>
  </si>
  <si>
    <t>ТОВ БИО-ТЕХНОЛОГИИ</t>
  </si>
  <si>
    <t>ТОВ ВЕТО</t>
  </si>
  <si>
    <t>ТОВ КРОК-ДНІПРО</t>
  </si>
  <si>
    <t>ТОВ ТАВОЛГА</t>
  </si>
  <si>
    <t>ТОВ ТОВ "ЕВРОФАРМ ГРУП"</t>
  </si>
  <si>
    <t>ТОВ ТОРГОВИЙ ДІМ «ПРОМТРЕЙД»</t>
  </si>
  <si>
    <t>ТОВ Торговий дім МЕДСВІТ</t>
  </si>
  <si>
    <t>ТОВ ЮР-ТВІН</t>
  </si>
  <si>
    <t>ТОВАРИСТВО З ДОДАТКОВОЮ ВІДПОВІДАЛЬНІСТЮ "ДНІПРОКОМУНТРАНС"</t>
  </si>
  <si>
    <t>ТОВАРИСТВО З ОБМЕЖЕНОЮ ВІДПОВІДАЛЬНІСТЮ "ІЛЛІРИК"</t>
  </si>
  <si>
    <t>ТОВАРИСТВО З ОБМЕЖЕНОЮ ВІДПОВІДАЛЬНІСТЮ "ІНТЕРМЕДИКА-УКРАЇНА"</t>
  </si>
  <si>
    <t>ТОВАРИСТВО З ОБМЕЖЕНОЮ ВІДПОВІДАЛЬНІСТЮ "ІНТЕРНАЦІОНАЛЬНІ ТЕЛЕКОМУНІКАЦІЇ"</t>
  </si>
  <si>
    <t>ТОВАРИСТВО З ОБМЕЖЕНОЮ ВІДПОВІДАЛЬНІСТЮ "АВЕРС КАНЦЕЛЯРІЯ"</t>
  </si>
  <si>
    <t>ТОВАРИСТВО З ОБМЕЖЕНОЮ ВІДПОВІДАЛЬНІСТЮ "АВТОВОРОТА"</t>
  </si>
  <si>
    <t>ТОВАРИСТВО З ОБМЕЖЕНОЮ ВІДПОВІДАЛЬНІСТЮ "АРТ-ЛЕНД"</t>
  </si>
  <si>
    <t>ТОВАРИСТВО З ОБМЕЖЕНОЮ ВІДПОВІДАЛЬНІСТЮ "БІОХІМ"</t>
  </si>
  <si>
    <t>ТОВАРИСТВО З ОБМЕЖЕНОЮ ВІДПОВІДАЛЬНІСТЮ "БАДМ-Б"</t>
  </si>
  <si>
    <t>ТОВАРИСТВО З ОБМЕЖЕНОЮ ВІДПОВІДАЛЬНІСТЮ "БИО-ТЕХНОЛОГИИ"</t>
  </si>
  <si>
    <t>ТОВАРИСТВО З ОБМЕЖЕНОЮ ВІДПОВІДАЛЬНІСТЮ "БРІЗЗО"</t>
  </si>
  <si>
    <t>ТОВАРИСТВО З ОБМЕЖЕНОЮ ВІДПОВІДАЛЬНІСТЮ "БУДІВЕЛЬНІ ПРОЕКТНІ ПОСЛУГИ"</t>
  </si>
  <si>
    <t>ТОВАРИСТВО З ОБМЕЖЕНОЮ ВІДПОВІДАЛЬНІСТЮ "БУДКОНТИНЕНТСЕРВІС"</t>
  </si>
  <si>
    <t>ТОВАРИСТВО З ОБМЕЖЕНОЮ ВІДПОВІДАЛЬНІСТЮ "ВІМБ УКРАЇНА"</t>
  </si>
  <si>
    <t>ТОВАРИСТВО З ОБМЕЖЕНОЮ ВІДПОВІДАЛЬНІСТЮ "ВЕНТА. ЛТД"</t>
  </si>
  <si>
    <t>ТОВАРИСТВО З ОБМЕЖЕНОЮ ВІДПОВІДАЛЬНІСТЮ "ВЕТО"</t>
  </si>
  <si>
    <t>ТОВАРИСТВО З ОБМЕЖЕНОЮ ВІДПОВІДАЛЬНІСТЮ "ГРАНД ТЕХНОЛОДЖІС"</t>
  </si>
  <si>
    <t>ТОВАРИСТВО З ОБМЕЖЕНОЮ ВІДПОВІДАЛЬНІСТЮ "ГУДВІНД ЛТД"</t>
  </si>
  <si>
    <t>ТОВАРИСТВО З ОБМЕЖЕНОЮ ВІДПОВІДАЛЬНІСТЮ "ДЕЗІНФЕКЦІЯ ДОМ"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</si>
  <si>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</si>
  <si>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"ЕКОЛОГІЧНІ ПЕРЕРОБНІ ТЕХНОЛОГІЇ"</t>
  </si>
  <si>
    <t>ТОВАРИСТВО З ОБМЕЖЕНОЮ ВІДПОВІДАЛЬНІСТЮ "ЕКОЛОГІЯ-Д"</t>
  </si>
  <si>
    <t>ТОВАРИСТВО З ОБМЕЖЕНОЮ ВІДПОВІДАЛЬНІСТЮ "ЕКСПЕРТ-ГРУП"</t>
  </si>
  <si>
    <t>ТОВАРИСТВО З ОБМЕЖЕНОЮ ВІДПОВІДАЛЬНІСТЮ "КЭН"</t>
  </si>
  <si>
    <t>ТОВАРИСТВО З ОБМЕЖЕНОЮ ВІДПОВІДАЛЬНІСТЮ "ЛІЗОФОРМ МЕДІКАЛ"</t>
  </si>
  <si>
    <t>ТОВАРИСТВО З ОБМЕЖЕНОЮ ВІДПОВІДАЛЬНІСТЮ "ЛІТОБУД-Д"</t>
  </si>
  <si>
    <t>ТОВАРИСТВО З ОБМЕЖЕНОЮ ВІДПОВІДАЛЬНІСТЮ "ЛЕДУМ"</t>
  </si>
  <si>
    <t>ТОВАРИСТВО З ОБМЕЖЕНОЮ ВІДПОВІДАЛЬНІСТЮ "ЛОГІКЛАБГРУПА"</t>
  </si>
  <si>
    <t>ТОВАРИСТВО З ОБМЕЖЕНОЮ ВІДПОВІДАЛЬНІСТЮ "ЛОЗА ЛТД"</t>
  </si>
  <si>
    <t>ТОВАРИСТВО З ОБМЕЖЕНОЮ ВІДПОВІДАЛЬНІСТЮ "МАЙСТЕР ЛІФТ"</t>
  </si>
  <si>
    <t>ТОВАРИСТВО З ОБМЕЖЕНОЮ ВІДПОВІДАЛЬНІСТЮ "МАКРО ТЕК"</t>
  </si>
  <si>
    <t>ТОВАРИСТВО З ОБМЕЖЕНОЮ ВІДПОВІДАЛЬНІСТЮ "МАСТЕР:СТРІМ"</t>
  </si>
  <si>
    <t>ТОВАРИСТВО З ОБМЕЖЕНОЮ ВІДПОВІДАЛЬНІСТЮ "МЕБЛІ24"</t>
  </si>
  <si>
    <t>ТОВАРИСТВО З ОБМЕЖЕНОЮ ВІДПОВІДАЛЬНІСТЮ "МЕТРОКОМ"</t>
  </si>
  <si>
    <t>ТОВАРИСТВО З ОБМЕЖЕНОЮ ВІДПОВІДАЛЬНІСТЮ "МЕТРОНОМ 2009"</t>
  </si>
  <si>
    <t>ТОВАРИСТВО З ОБМЕЖЕНОЮ ВІДПОВІДАЛЬНІСТЮ "МУРАЛ"</t>
  </si>
  <si>
    <t>ТОВАРИСТВО З ОБМЕЖЕНОЮ ВІДПОВІДАЛЬНІСТЮ "НАДІЯ СТРОЙ"</t>
  </si>
  <si>
    <t>ТОВАРИСТВО З ОБМЕЖЕНОЮ ВІДПОВІДАЛЬНІСТЮ "НАУКОВО-ВИРОБНИЧЕ ПІДПРИЄМСТВО "ОЗОН С"</t>
  </si>
  <si>
    <t>ТОВАРИСТВО З ОБМЕЖЕНОЮ ВІДПОВІДАЛЬНІСТЮ "ОКІРА"</t>
  </si>
  <si>
    <t>ТОВАРИСТВО З ОБМЕЖЕНОЮ ВІДПОВІДАЛЬНІСТЮ "ПОЖЕЖНО-ОХОРОННЕ АГЕНСТВО КУПІНА"</t>
  </si>
  <si>
    <t>ТОВАРИСТВО З ОБМЕЖЕНОЮ ВІДПОВІДАЛЬНІСТЮ "ПОЖТЕХНОЛОГІЯ"</t>
  </si>
  <si>
    <t>ТОВАРИСТВО З ОБМЕЖЕНОЮ ВІДПОВІДАЛЬНІСТЮ "ПРИВАТ-ЦЕНТР ОХОРОНИ ТА БЕЗПЕКИ "КРОК-2"</t>
  </si>
  <si>
    <t>ТОВАРИСТВО З ОБМЕЖЕНОЮ ВІДПОВІДАЛЬНІСТЮ "ПТБ ЕКСПЕРТ"</t>
  </si>
  <si>
    <t>ТОВАРИСТВО З ОБМЕЖЕНОЮ ВІДПОВІДАЛЬНІСТЮ "СІЕТ ХОЛДІНГ"</t>
  </si>
  <si>
    <t>ТОВАРИСТВО З ОБМЕЖЕНОЮ ВІДПОВІДАЛЬНІСТЮ "СЕР ЇЖАЧОК"</t>
  </si>
  <si>
    <t>ТОВАРИСТВО З ОБМЕЖЕНОЮ ВІДПОВІДАЛЬНІСТЮ "СОНЯЧНИЙ ЦЕНТР"</t>
  </si>
  <si>
    <t>ТОВАРИСТВО З ОБМЕЖЕНОЮ ВІДПОВІДАЛЬНІСТЮ "СТМ-Фарм"</t>
  </si>
  <si>
    <t>ТОВАРИСТВО З ОБМЕЖЕНОЮ ВІДПОВІДАЛЬНІСТЮ "СТРОЙТЕК ГРУП"</t>
  </si>
  <si>
    <t>ТОВАРИСТВО З ОБМЕЖЕНОЮ ВІДПОВІДАЛЬНІСТЮ "СФЕРА БЛАГОУСТРОЮ"</t>
  </si>
  <si>
    <t>ТОВАРИСТВО З ОБМЕЖЕНОЮ ВІДПОВІДАЛЬНІСТЮ "ТЕЛЕМІСТ 2012"</t>
  </si>
  <si>
    <t>ТОВАРИСТВО З ОБМЕЖЕНОЮ ВІДПОВІДАЛЬНІСТЮ "ТЕРНО-ГРАФ"</t>
  </si>
  <si>
    <t>ТОВАРИСТВО З ОБМЕЖЕНОЮ ВІДПОВІДАЛЬНІСТЮ "ТРАНССЕЙЛ"</t>
  </si>
  <si>
    <t>ТОВАРИСТВО З ОБМЕЖЕНОЮ ВІДПОВІДАЛЬНІСТЮ "ТРЕЙД-СЕРВІС ГК"</t>
  </si>
  <si>
    <t>ТОВАРИСТВО З ОБМЕЖЕНОЮ ВІДПОВІДАЛЬНІСТЮ "Торгово-Виробнича Група Український папір"</t>
  </si>
  <si>
    <t>ТОВАРИСТВО З ОБМЕЖЕНОЮ ВІДПОВІДАЛЬНІСТЮ "УЧБОВИЙ КОМБІНАТ "ДНІПРОБУД"</t>
  </si>
  <si>
    <t>ТОВАРИСТВО З ОБМЕЖЕНОЮ ВІДПОВІДАЛЬНІСТЮ "ХЕЛСІМЕД"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</si>
  <si>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</si>
  <si>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</si>
  <si>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"ЮГХОЛОДТОРГ"</t>
  </si>
  <si>
    <t>ТОВАРИСТВО З ОБМЕЖЕНОЮ ВІДПОВІДАЛЬНІСТЮ "ЮР-ТВІН"</t>
  </si>
  <si>
    <t>ТОВАРИСТВО З ОБМЕЖЕНОЮ ВІДПОВІДАЛЬНІСТЮ ВИРОБНИЧО-КОМЕРЦІЙНА ФІРМА "РАДІУС" ЛТД</t>
  </si>
  <si>
    <t>ТОВАРИСТВО З ОБМЕЖЕНОЮ ВІДПОВІДАЛЬНІСТЮ ФІРМА "НОРД"</t>
  </si>
  <si>
    <t>ТОДОРОВА АЛЛА ВАСИЛІВНА</t>
  </si>
  <si>
    <t>Так</t>
  </si>
  <si>
    <t>Телекомунікаційні послуги</t>
  </si>
  <si>
    <t xml:space="preserve">Телекомунікаційні послуги </t>
  </si>
  <si>
    <t>Телекомунікаційні послуги (доступ до мережі Інтернет)</t>
  </si>
  <si>
    <t xml:space="preserve">Телекомунікаційні послуги (доступ до мережі Інтернет)
</t>
  </si>
  <si>
    <t>Телефоне обладнання</t>
  </si>
  <si>
    <t>Теплова енергія</t>
  </si>
  <si>
    <t xml:space="preserve">Термобокс </t>
  </si>
  <si>
    <t>Термобокс Giostyle Bravo 30 л</t>
  </si>
  <si>
    <t>Термометри, Анти Спид №6</t>
  </si>
  <si>
    <t>Тест- смужки GluNeo Lite (50шт/уп); Тест- смужки  One Touch Select (50шт/уп); Тест-система  для визначення тропоніну (цільна кров, сироватка, плазма) CITO TEST®  Troponin I  (1шт/уп); CITO TEST Гепатит В. Тест для діагностики вірусного гепатиту В (1 шт/уп); CITO TEST Гепатит С. Тест для діагностики вірусного гепатиту C (1 шт/уп); SECRET - тест-смужка для визначення вагітності (20 мМО/мл) (1 шт/уп); Швидкий імунохроматографічний тест для визначення антитіл до ВІЛ 1, 2 типу (1 шт/уп) (скринінговий); СITO TEST PSA - швидкий тест для визначення простато-специфічного антигену (цільна кров, сироватка, плазма) (1 шт/уп); Тест для виявлення прихованої крові у фекаліях CITO TEST FOB (1 шт/уп); Тест смужки EasyTouch для вимірювання рівня холестерину в крові (25 шт/уп)</t>
  </si>
  <si>
    <t>Тест-смужки  One Touch Select  (50 шт/уп); Тест-смужки для загального аналізу сечі UrineRS  для  аналізаторів Dirui (100 шт/уп); Тест-система  для визначення тропоніну (цільна кров, сироватка, плазма) CITO TEST®  Troponin I  (1шт/уп); Тест-система  для визначення  для визначення  HBsAg  гепатиту В (1 шт/уп); Тест-система  для визначення  антитіл до гепатиту С (1 шт/уп); Швидкий імунохроматографічний тест для визначення антитіл до ВІЛ 1, 2 типу (1 шт/уп) (скринінговий); Швидкий імунохроматографічний тест для визначення антитіл до ВІЛ 1, 2 типу  (1 шт/уп) (підтверджуючі, іншого виробника); Тест-система  для виявлення простатоспецифічного антигену (цільна кров/сироватка/плазма) СITO TEST®  PSA (1шт/уп) ; Швидкий тест для визначення прихованої крові у калі CITO TEST®  FOB; Тест смужки EasyTouch для вимірювання рівня холестерину в крові (25 шт/уп); Тест-смужки Glu Neo Lite (50 шт/уп); Тест-смужка для визначення вагітності SECRET®  (1 шт/уп); (видалене)</t>
  </si>
  <si>
    <t>Тестування програмного забезпечення, послуги з підтримки користувачів</t>
  </si>
  <si>
    <t>Технічне обслуговування ліфту</t>
  </si>
  <si>
    <t>Технічне обслуговування систем газопостачання</t>
  </si>
  <si>
    <t xml:space="preserve">Технічне обслуговування системи газопостачання та газового обладнання </t>
  </si>
  <si>
    <t>Технічне обслуговування, цілодобове спостерігання за системою пожежної сигналізації об'єкту</t>
  </si>
  <si>
    <t xml:space="preserve">Технічне обслуговування, цілодобове спостерігання за системою пожежної сигналізації об'єкту </t>
  </si>
  <si>
    <t>Технічне обслуговування, цілодобове спостерігання за системою пожежної сигналізації об'єкту за адресою: м. Дніпро, вул. Надії Алексєєнко,30</t>
  </si>
  <si>
    <t>Технічне обслуговування, цілодобове спостерігання за системою пожежної сигналізації об'єкту за адресою: м. Дніпро, вул. Філософська, 62</t>
  </si>
  <si>
    <t>Технічне обслуговування, цілодобове спостерігання за системою пожежної сигналізації об'єкту за адресою: м. Дніпро, вул.Амбулаторна,1</t>
  </si>
  <si>
    <t>Технічне обслуговування, цілодобове спостерігання за системою пожежної сигналізації об'єкту за адресою: м. Дніпро, вул.Краснопільська, 6Б</t>
  </si>
  <si>
    <t>Технічне обслуговування, цілодобове спостерігання за системою пожежної сигналізації об'єкту за адресою: м. Дніпро, вул.Орловська, 41</t>
  </si>
  <si>
    <t>Технічне обслуговування, цілодобове спостерігання за системою пожежної сигналізації об'єкту за адресою: м.Дніпро, вул.Філософська, 62</t>
  </si>
  <si>
    <t>Технічне обстеження амбулаторій щодо доступності будівель та приміщень для осіб з інвалідністю та інших маломобільних груп населення</t>
  </si>
  <si>
    <t>Технічне обстеження амбулаторій щодо доступності будівель та приміщень для осіб з інвалідністю та інших маломобільних груп населення будівель КНП "ДЦПМСД №7" ДМР в м. Дніпро з виготовленням технічного звіту</t>
  </si>
  <si>
    <t>Технічне обстеження амбулаторій щодо доступності будівель та приміщень для осіб з інвалідністю та інших маломобільних груп населення будівель КНП "ДЦПМСД №7" ДМР в м. Дніпро, за адресами: вул. Краснопільська 6б;вул.Амбулаторна 1; вул. Філософська 62 (Адміністративна будівля); вул. Орловська 41;  вул. Новошкільна 92; , вул. Н.Алексєєнко 30, вул. Н.Алексєєнко 106; вул. Титова, 29 з виготовленням технічного звіту</t>
  </si>
  <si>
    <t>Технічне обстеження будівлі майстерні</t>
  </si>
  <si>
    <t>Тип процедури</t>
  </si>
  <si>
    <t>Товари для господарства</t>
  </si>
  <si>
    <t>Товариство з обмеженою відповідальністю "Дніпропетровськгаз збут"</t>
  </si>
  <si>
    <t>Тумба ; Шафа для одягу; Шафа</t>
  </si>
  <si>
    <t>Тумба офісна; Тумба офісна; Шафа офісна закрита; Шафа офісна закрита; Шафа офісна відкрита; Шафа офісна відкрита; Шафа офісна для одягу; Шафа офісна для одягу; Шафа офісна ; Шафа офісна ; Стіл комп’ютерний; Стіл комп’ютерний</t>
  </si>
  <si>
    <t>Узагальнена назва закупівлі</t>
  </si>
  <si>
    <t>Укладення договору до:</t>
  </si>
  <si>
    <t>Укладення договору з:</t>
  </si>
  <si>
    <t xml:space="preserve">Уростомний мішок 2-х компонентний  №20; Пластина адгезивна 2-х компонентна  №5; Калоприймач  стомічний 2-х компонентний  відкритий мішок  №30; Сечоприймач ножний об’єм 750мл №10; Сечоприймач приліжковий  об’єм  2 літри  №30           ; Ремінець фіксуючий до ножного сечоприймача; Паста герметизуюча ; Абсорбуючий порошок ; Підгузники для дорослих розмір L </t>
  </si>
  <si>
    <t>ФІЗИЧНА ОСОБА-ПІДПРИЄМЕЦЬ ЄРМАК ГАЛИНА РОМАНІВНА</t>
  </si>
  <si>
    <t>ФІЗИЧНА ОСОБА-ПІДПРИЄМЕЦЬ КОНШИН ДЕНИС СЕРГІЙОВИЧ</t>
  </si>
  <si>
    <t>ФІЗИЧНА ОСОБА-ПІДПРИЄМЕЦЬ КОТЕНКОВ СЕРГІЙ СЕРГІЙОВИЧ</t>
  </si>
  <si>
    <t>ФОП "ЄГОРОВ ДМИТРО МИХАЙЛОВИЧ"</t>
  </si>
  <si>
    <t>ФОП "БАБКО ВІКТОРІЯ ВІКТОРІВНА"</t>
  </si>
  <si>
    <t>ФОП "БЕРДНИК ВОЛОДИМИР АНАТОЛІЙОВИЧ"</t>
  </si>
  <si>
    <t>ФОП "ВЯЗОВИЙ ВОЛОДИМИР МИХАЙЛОВИЧ"</t>
  </si>
  <si>
    <t>ФОП "ДЯТЛЕНКО ОЛЬГА СЕРГІЇВНА"</t>
  </si>
  <si>
    <t>ФОП "КОВИЛОВА ІРИНА МИКОЛАЇВНА"</t>
  </si>
  <si>
    <t>ФОП "ЛИТВИНОВ МИКИТА ВЯЧЕСЛАВОВИЧ"</t>
  </si>
  <si>
    <t>ФОП "МАКСИМЕНКО ВАЛЕНТИНА ОЛЕКСАНДРІВНА"</t>
  </si>
  <si>
    <t>ФОП "МАУРІНА ГАЛИНА ВОЛОДИМИРІВНА"</t>
  </si>
  <si>
    <t>ФОП "ОБОЛОНКОВ ІГОР МИКОЛАЙОВИЧ"</t>
  </si>
  <si>
    <t>ФОП "ОВЧИННИКОВА ІРИНА ЮРІЇВНА"</t>
  </si>
  <si>
    <t>ФОП "ОНИЩЕНКО ВЯЧЕСЛАВ ВІКТОРОВИЧ"</t>
  </si>
  <si>
    <t>ФОП "ПАЙОНКЕВИЧ ІРИНА ВОЛОДИМИРІВНА"</t>
  </si>
  <si>
    <t>ФОП "ПЛАХУТІНА АЛЬОНА СЕРГІЇВНА"</t>
  </si>
  <si>
    <t>ФОП "ПРИХОДЬКО ВОЛОДИМИР ВОЛОДИМИРОВИЧ"</t>
  </si>
  <si>
    <t>ФОП "Печений Володимир Борисович"</t>
  </si>
  <si>
    <t>ФОП "СИСУЄВ ІГОР МИКОЛАЙОВИЧ"</t>
  </si>
  <si>
    <t>ФОП "СУХОНОС ДМИТРО ОЛЕКСАНДРОВИЧ"</t>
  </si>
  <si>
    <t>ФОП "ТРЕМБАЧ МАРИНА ІВАНІВНА"</t>
  </si>
  <si>
    <t>ФОП "ТУНІК ДМИТРО ЮРІЙОВИЧ
"</t>
  </si>
  <si>
    <t>ФОП "Черненко Дмитро Анатолійович"</t>
  </si>
  <si>
    <t>ФОП "Шкода Олексій Євгенійович"</t>
  </si>
  <si>
    <t>ФОП "ЯХІМЕЦЬ РИММА ВІКТОРІВНА"</t>
  </si>
  <si>
    <t>ФОП ЄРОХІН ОЛЕКСАНДР ПЕТРОВИЧ</t>
  </si>
  <si>
    <t>ФОП ІВАХНО ІГОР ВАЛЕНТИНОВИЧ</t>
  </si>
  <si>
    <t>ФОП Богатир Д.Є.</t>
  </si>
  <si>
    <t>ФОП Біляєва Алла Володимирівна</t>
  </si>
  <si>
    <t>ФОП Гребенюк</t>
  </si>
  <si>
    <t>ФОП Гребенюк  Тетяна Іванівна</t>
  </si>
  <si>
    <t>ФОП Гребенюк Ірина Тимофіївна</t>
  </si>
  <si>
    <t>ФОП Гребенюк Богдан Валерійович</t>
  </si>
  <si>
    <t>ФОП Гребенюк Валерій Миколайович</t>
  </si>
  <si>
    <t>ФОП Грізоглазов С. В.</t>
  </si>
  <si>
    <t>ФОП Дудін Євген Альбертович</t>
  </si>
  <si>
    <t>ФОП Каблуцька Зоряна Василівна</t>
  </si>
  <si>
    <t>ФОП Козаренко Марія Сергіївна</t>
  </si>
  <si>
    <t>ФОП Кондарєв Олександр Анатолійович</t>
  </si>
  <si>
    <t>ФОП Кулак   Євген  Анатолійович</t>
  </si>
  <si>
    <t>ФОП Курачевський П.О.</t>
  </si>
  <si>
    <t>ФОП Кутенкова О.О.</t>
  </si>
  <si>
    <t>ФОП Куц Сергій Анатолійович</t>
  </si>
  <si>
    <t>ФОП Кучугурна Оксана Анатоліївна</t>
  </si>
  <si>
    <t>ФОП Носенко І.О.</t>
  </si>
  <si>
    <t>ФОП Осташевський Я.I.</t>
  </si>
  <si>
    <t>ФОП ПОЛОНСЬКА ОЛЬГА ВІТАЛІЇВНА</t>
  </si>
  <si>
    <t>ФОП Романова Світлана Володимирівна</t>
  </si>
  <si>
    <t>ФОП Скоробогатко Д.А.</t>
  </si>
  <si>
    <t>ФОП Стукалов О.В.</t>
  </si>
  <si>
    <t>ФОП Черненко Дмитро Анатолійович</t>
  </si>
  <si>
    <t>ФОП Чернова Елона  Олександрівна</t>
  </si>
  <si>
    <t>ФОП ШУХ ЯРОСЛАВ ВОЛОДИМИРОВИЧ</t>
  </si>
  <si>
    <t>ФОП Шлюпенков Олександр Анатолійович</t>
  </si>
  <si>
    <t>ФОП Шпак Вікторія Вікторівна</t>
  </si>
  <si>
    <t>Фактичний переможець</t>
  </si>
  <si>
    <t>Фарба в аерозольної упаковці</t>
  </si>
  <si>
    <t>Фарби</t>
  </si>
  <si>
    <t>Фізична особа - підприємець  ШЛЮПЕНКОВ ОЛЕКСАНДР АНАТОЛІЙОВИЧ</t>
  </si>
  <si>
    <t>ХАНДОЖКО СЕРГІЙ ОЛЕГОВИЧ</t>
  </si>
  <si>
    <t xml:space="preserve">Холодильна шафа </t>
  </si>
  <si>
    <t>Холодильна шафа (39710000-2 Електричні побутові прилади (39711100-0 – Холодильники та морозильні камери))</t>
  </si>
  <si>
    <t>Холодильник</t>
  </si>
  <si>
    <t xml:space="preserve">Холодильник </t>
  </si>
  <si>
    <t>Холодильник  фармацевтичний (код ДК 021:2015 - 39711100-0 Холодильники та морозильні камери)</t>
  </si>
  <si>
    <t>Ч-30/НА/ДЦПМСД7-м</t>
  </si>
  <si>
    <t>Чекайте рішення АМКУ</t>
  </si>
  <si>
    <t>ШПАК ВІКТОРІЯ ВІКТОРІВНА</t>
  </si>
  <si>
    <t>Шафа для зберігання документів</t>
  </si>
  <si>
    <t>Шафа для зберігання притирального інвентарю ; Вішалка для одягу</t>
  </si>
  <si>
    <t xml:space="preserve">Швидкий тест на антиген СОVID-19 </t>
  </si>
  <si>
    <t>Швидкий імунохроматографічний тест для визначення антитіл до ВІЛ 1, 2 типу (1 шт/уп) (скринінговий); Швидкий імунохроматографічний тест для визначення антитіл до ВІЛ 1, 2 типу  (1 шт/уп) (підтверджуючі, іншого виробника); Тест-система  для визначення  для визначення  HBsAg  гепатиту В (1 шт/уп); Тест-система  для визначення  антитіл до гепатиту С (1 шт/уп); Тест-система  для визначення тропоніну (цільна кров, сироватка, плазма) CITO TEST®  Troponin I  (1шт/уп); Тест-смужка для визначення вагітності SECRET®  (1 шт/уп); Тест-смужки для загального аналізу сечі UrineRS для аналізаторів  Dirui H – 100 (100 шт/уп)</t>
  </si>
  <si>
    <t>Швидкозшивач картонний</t>
  </si>
  <si>
    <t>Шприц  50,0 мл ; Одноразова система для вливання інфузійних розчинів, крові та кровозамінників ; Стрічки діаграмні для реєструючих приладів з тепловим записом,  розмір 57х25; Стрічки діаграмні для реєструючих приладів з тепловим записом,  розмір 80х30; Рідкий гель для всіх видів ультразвукових обстежень; Набір гінекологічний оглядовий ; Шприц 2,0; Шприц 5,0; Шприц 10,0; Шприц 20,0; Пластир медичний, 2х500см; Пінцет отоларингологічний; Шпатель ларингологічний (шпатель ЛОР пластиковий); Набір маніпуляційний перев`язувальний №2; Ємкість  для біологічних рідин  60 мл ; Ємність для сечі 120мл; Ланцет (скарифікатор) для крові стальний з центральною голкою одноразового використання стерильний; Ланцет автоматичний 28 G; Рукавички оглядові нестерильні нитрилові, розміри: S, М; Рукавички оглядові нестерильні латексні, розміри: S, М; Катетер G 20 ; Відріз марлевий медичний нестерильний 1м х 90 см ; Бинт  марлевий  медичний   5 м × 10 см ; Бинт  марлевий  медичний  7м × 14 см; Вата медична нестерильна,  100г; Вата медична стерильна,  50г; Шпатель ларингологічний (шпатель ЛОР дерев'яний)</t>
  </si>
  <si>
    <t>Штампи, печатки</t>
  </si>
  <si>
    <t xml:space="preserve">Штемпельна подушка </t>
  </si>
  <si>
    <t>ЮРЧЕНКО ІРИНА ГРИГОРІВНА</t>
  </si>
  <si>
    <t>Юлія Куценко</t>
  </si>
  <si>
    <t>ЯКИМЕЦЬ ВІРА ПЕТРІВНА</t>
  </si>
  <si>
    <t>ЯКИМЧУК ВАДИМ БОРИСОВИЧ</t>
  </si>
  <si>
    <t>ЯХІМЕЦЬ РИММА ВІКТОРІВНА</t>
  </si>
  <si>
    <t>Якщо ви маєте пропозицію чи побажання щодо покращення цього звіту, напишіть нам, будь ласка:</t>
  </si>
  <si>
    <t>автоматичний гематологічний аналізатор; аналізатор сечі</t>
  </si>
  <si>
    <t>ампула</t>
  </si>
  <si>
    <t>аукціон не передбачено</t>
  </si>
  <si>
    <t>аукціон не проводився</t>
  </si>
  <si>
    <t>б/н</t>
  </si>
  <si>
    <t xml:space="preserve">безконтактні інфрачервоні термометри </t>
  </si>
  <si>
    <t>бланки, журнали</t>
  </si>
  <si>
    <t xml:space="preserve">брошурувально-палітурні послуги, проведення експертизи цінності, упорядкування та описування справ постійного зберігання, справ з кадрових питань (особового складу) та складання Акту списання первинної документації за 2012-2014 роки
</t>
  </si>
  <si>
    <t>буде відома у момент початку прийому пропозицій</t>
  </si>
  <si>
    <t xml:space="preserve">вакцина для профілактики грипу ДЖІСІ ФЛЮ/ GC FLU,
вакцина для профілактики вірусного гепатиту В Енджерікс/ ENGERIX-B
</t>
  </si>
  <si>
    <t>вакцина для профілактики грипу ДЖІСІ ФЛЮ/ GC FLU, вакцина для профілактики вірусного гепатиту В Енджерікс/ ENGERIX-B</t>
  </si>
  <si>
    <t>господарчі товари</t>
  </si>
  <si>
    <t xml:space="preserve">господарчі товари </t>
  </si>
  <si>
    <t>гігакалорія</t>
  </si>
  <si>
    <t>експлуатація складових газорозподільної системи</t>
  </si>
  <si>
    <t>електротехнічні матеріали</t>
  </si>
  <si>
    <t>електротовари</t>
  </si>
  <si>
    <t>жалюзі вертикальні</t>
  </si>
  <si>
    <t>жалюзі вертикальні, жалюзі горизонтальні</t>
  </si>
  <si>
    <t>жалюзі для вікон з монтажем</t>
  </si>
  <si>
    <t>завершений</t>
  </si>
  <si>
    <t>завершено</t>
  </si>
  <si>
    <t>закупівля не відбулась</t>
  </si>
  <si>
    <t>заправка та регенерація картриджів до принтерів та багатофунційних пристроїв</t>
  </si>
  <si>
    <t>засіб дезінфікуючий «АХД 2000 експрес (AXD 2000 express)», 1000 мл з дозуючим пристроєм; засіб дезінфікуючий Аеродизин 1000 мл з дозуючим тригером</t>
  </si>
  <si>
    <t>захисні металеві ролети для дверей, захисні металеві ролети для вікон з монтажем</t>
  </si>
  <si>
    <t>канцелярське приладдя</t>
  </si>
  <si>
    <t>картриджі для лазерного принтеру</t>
  </si>
  <si>
    <t>кваліфікація</t>
  </si>
  <si>
    <t>комп'ютерне обладнання</t>
  </si>
  <si>
    <t>комплект</t>
  </si>
  <si>
    <t>кулькова ручка Split (або еквівалент) з логотипом, папір для нотаток (кубарик)(або еквівалент) з логотипом</t>
  </si>
  <si>
    <t>кіловар-година</t>
  </si>
  <si>
    <t>кіловат</t>
  </si>
  <si>
    <t>кіловат-година</t>
  </si>
  <si>
    <t>кілограми</t>
  </si>
  <si>
    <t>кілька позицій</t>
  </si>
  <si>
    <t>лабораторні реагенти для аналізаторів, тест-смужки</t>
  </si>
  <si>
    <t>ліки для невідкладної допомоги</t>
  </si>
  <si>
    <t>маска медична тришарова, халат медичний (захисний) з непромокальною робочою поверхнею, розмір ХХL, СММС 35г/м2+ламінований спанбонд 45г/м2 ,стерильний, одноразового використання, халат медичний (захисний) з непромокальною робочою поверхнею, розмір XL, СММС 35г/м2+ламінований спанбонд 45г/м2, стерильний, одноразового використання, захисний комбінезон багаторазовий</t>
  </si>
  <si>
    <t>метр</t>
  </si>
  <si>
    <t>метр квадратний</t>
  </si>
  <si>
    <t>метр кубічний</t>
  </si>
  <si>
    <t>місяць</t>
  </si>
  <si>
    <t>не указано</t>
  </si>
  <si>
    <t>неможливість усунення виявлених порушень законодавства у сфері публічних закупівель</t>
  </si>
  <si>
    <t>нестандартне приєднання до електромережі</t>
  </si>
  <si>
    <t xml:space="preserve">огляд обладнання споживача на предмет технічної готовності електромонтажних робіт </t>
  </si>
  <si>
    <t>очікує підпису</t>
  </si>
  <si>
    <t>папір офісний формату А4</t>
  </si>
  <si>
    <t>пачка</t>
  </si>
  <si>
    <t>пачок</t>
  </si>
  <si>
    <t>період уточнень</t>
  </si>
  <si>
    <t>планове технічне обслуговування, цілодобове спостерігання за системою пожежної сигналізації об`єкту адресою: вул. Надії Алексєєнко, 106, своєчасну передачу тривожних сповіщень (у тому числі хибних) та оперативне реагування на них</t>
  </si>
  <si>
    <t>позачергова технічна перевірка правильності роботи однофазних  та трифазних приладів обліку електричної енергії</t>
  </si>
  <si>
    <t>поліуретанова(лінійні конуси) тактильна плитка попереджуюча ПТ14, та ПТ-К1-0.47 клей
однокомпонентний для поліуретанової тактильної плитки</t>
  </si>
  <si>
    <t>послуга</t>
  </si>
  <si>
    <t xml:space="preserve">послуги з встановлення вузла обліку теплової енергії </t>
  </si>
  <si>
    <t>послуги з встановлення вузла обліку теплової енергії в адмін.корпусі за адресою: м.Дніпро, вул.Філософська 62</t>
  </si>
  <si>
    <t>послуги з кастомізації, модернізації (оновлення) програмних компонентів Медичної інформаційної системи «Каштан», зокрема її веб-версії</t>
  </si>
  <si>
    <t>послуги з поводженням з побутовими відходами</t>
  </si>
  <si>
    <t xml:space="preserve">послуги з поточного (аварійного) ремонту внутрішніх інженерних мереж </t>
  </si>
  <si>
    <t>послуги з поточного (аварійного) ремонту внутрішніх інженерних мереж з заміною ділянок трубопроводів  каналізації та сантехнічного обладнання за адресою : вул. Краснопільська, 6 б.</t>
  </si>
  <si>
    <t>послуги з поточного ремонту і технічного обслуговування автоматичних гематологічних аналізаторів RT-7600
джерело фінансування - кошти НСЗУ</t>
  </si>
  <si>
    <t>послуги з проведення оцінювання орендованих приміщень</t>
  </si>
  <si>
    <t>послуги з підготовки, перепідготовки посадових осіб і спеціалістів з Законодавства та нормативно-правових актів охорони праці</t>
  </si>
  <si>
    <t>послуги з розподілу електричної енергії</t>
  </si>
  <si>
    <t>послуги з спостереження за допомогою пульту централізованого спостереження та з виїзду груп реагування</t>
  </si>
  <si>
    <t xml:space="preserve">послуги з спостереження за допомогою пульту централізованого спостереження та з виїзду груп реагування </t>
  </si>
  <si>
    <t>послуги з технічного обслуговування вогнегасників</t>
  </si>
  <si>
    <t>послуги з технічного обслуговування і поточного ремонту шафи холодильної</t>
  </si>
  <si>
    <t xml:space="preserve">послуги з централізованого водопостачання та централізованого водовідведення </t>
  </si>
  <si>
    <t>послуги з централізованого водопостачання та централізованого водовідведення (без обслуговування внутрішньобудинкових систем)</t>
  </si>
  <si>
    <t>послуги спеціалізованого санітарного транспорту</t>
  </si>
  <si>
    <t>проведення незалежної оцінки майна</t>
  </si>
  <si>
    <t>проведення робіт системи зовнішнього електропостачання</t>
  </si>
  <si>
    <t>пропозиції розглянуті</t>
  </si>
  <si>
    <t>підписано</t>
  </si>
  <si>
    <t>рецептурні бланки Ф-3</t>
  </si>
  <si>
    <t>роботи</t>
  </si>
  <si>
    <t>розробка проектної документації на: «Проведення робіт системи зовнішнього електропостачання приміщення Амбулаторії загальної практики сімейної медицини КНП «ДЦПМСД №7» ДМР за адресою: м. Дніпро, вул. Надії Алексєєнко, 30</t>
  </si>
  <si>
    <t>рулон</t>
  </si>
  <si>
    <t>скасована</t>
  </si>
  <si>
    <t>скасування у зв'язку з задвоєнням</t>
  </si>
  <si>
    <t>скасування у зв'язку зі змінами</t>
  </si>
  <si>
    <t>скасування у зв'язку зі зміною процедури закупівлі</t>
  </si>
  <si>
    <t>стіл комп’ютерний, стіл письмовий з тумбою, шафа для паперів, шафа для одягу, крісло офісне, дитячий дерев'яний столик з 2-ма стільчиками, вішак для одягу</t>
  </si>
  <si>
    <t>суміш для спеціалізованого харчування хворих на фенілкетонурію MD Міл ФКУ-3 з фруктовим смаком</t>
  </si>
  <si>
    <t>суміші для дитячого харчування</t>
  </si>
  <si>
    <t>технічне обслуговування побутових сигналізаторів газу</t>
  </si>
  <si>
    <t>технічне обслуговування, цілодобове спростерігання за системою СПС</t>
  </si>
  <si>
    <t>у зв'язку з відсутністю потреби</t>
  </si>
  <si>
    <t>у зв'язку з відсутністю учасників</t>
  </si>
  <si>
    <t>у зв'язку з коригуванням параметрів закупівлі</t>
  </si>
  <si>
    <t>у зв'язку з порушеннями, які неможливо усунути</t>
  </si>
  <si>
    <t>у зв'язку зі змінами згідно протоколу 30/19 від 18.02.2019</t>
  </si>
  <si>
    <t>у зв’язку  з допущенною механічною помилкою при заповнені електронних форм</t>
  </si>
  <si>
    <t>упаковка</t>
  </si>
  <si>
    <t>фарба в аерозольній упаковці</t>
  </si>
  <si>
    <t>чоловік</t>
  </si>
  <si>
    <t>шафи, столи, тумби офісні</t>
  </si>
  <si>
    <t>штампи, печатки</t>
  </si>
  <si>
    <t>штампи,печатки</t>
  </si>
  <si>
    <t>штука</t>
  </si>
  <si>
    <t>штуки</t>
  </si>
  <si>
    <t>інформаційний стенд, таблички Брайля, таблички на кабінет</t>
  </si>
  <si>
    <t>інфрачервоний термометр</t>
  </si>
  <si>
    <t>№</t>
  </si>
  <si>
    <t>№26-09</t>
  </si>
  <si>
    <t>№519-19</t>
  </si>
</sst>
</file>

<file path=xl/styles.xml><?xml version="1.0" encoding="utf-8"?>
<styleSheet xmlns="http://schemas.openxmlformats.org/spreadsheetml/2006/main">
  <numFmts count="2">
    <numFmt numFmtId="165" formatCode="dd\.mm\.yyyy"/>
    <numFmt numFmtId="166" formatCode="dd\.mm\.yyyy\ hh:mm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uction.openprocurement.org/tenders/55ddad7299d9407eaa19a665596f6cba" TargetMode="External"/><Relationship Id="rId299" Type="http://schemas.openxmlformats.org/officeDocument/2006/relationships/hyperlink" Target="https://my.zakupki.prom.ua/remote/dispatcher/state_purchase_view/25639979" TargetMode="External"/><Relationship Id="rId21" Type="http://schemas.openxmlformats.org/officeDocument/2006/relationships/hyperlink" Target="https://my.zakupki.prom.ua/remote/dispatcher/state_purchase_view/15296832" TargetMode="External"/><Relationship Id="rId63" Type="http://schemas.openxmlformats.org/officeDocument/2006/relationships/hyperlink" Target="https://my.zakupki.prom.ua/remote/dispatcher/state_purchase_view/19406864" TargetMode="External"/><Relationship Id="rId159" Type="http://schemas.openxmlformats.org/officeDocument/2006/relationships/hyperlink" Target="https://auction.openprocurement.org/tenders/a221f19d155c4386b952bbb53007d271" TargetMode="External"/><Relationship Id="rId324" Type="http://schemas.openxmlformats.org/officeDocument/2006/relationships/hyperlink" Target="https://my.zakupki.prom.ua/remote/dispatcher/state_purchase_view/8405683" TargetMode="External"/><Relationship Id="rId366" Type="http://schemas.openxmlformats.org/officeDocument/2006/relationships/hyperlink" Target="https://my.zakupki.prom.ua/remote/dispatcher/state_purchase_view/11775759" TargetMode="External"/><Relationship Id="rId531" Type="http://schemas.openxmlformats.org/officeDocument/2006/relationships/hyperlink" Target="https://my.zakupki.prom.ua/remote/dispatcher/state_purchase_view/12793650" TargetMode="External"/><Relationship Id="rId573" Type="http://schemas.openxmlformats.org/officeDocument/2006/relationships/hyperlink" Target="https://my.zakupki.prom.ua/remote/dispatcher/state_purchase_view/26590909" TargetMode="External"/><Relationship Id="rId170" Type="http://schemas.openxmlformats.org/officeDocument/2006/relationships/hyperlink" Target="https://my.zakupki.prom.ua/remote/dispatcher/state_purchase_view/10512041" TargetMode="External"/><Relationship Id="rId226" Type="http://schemas.openxmlformats.org/officeDocument/2006/relationships/hyperlink" Target="https://auction.openprocurement.org/tenders/cea9deb46a514740bd584c28efecc018" TargetMode="External"/><Relationship Id="rId433" Type="http://schemas.openxmlformats.org/officeDocument/2006/relationships/hyperlink" Target="https://my.zakupki.prom.ua/remote/dispatcher/state_purchase_view/20015930" TargetMode="External"/><Relationship Id="rId268" Type="http://schemas.openxmlformats.org/officeDocument/2006/relationships/hyperlink" Target="https://my.zakupki.prom.ua/remote/dispatcher/state_purchase_view/21726792" TargetMode="External"/><Relationship Id="rId475" Type="http://schemas.openxmlformats.org/officeDocument/2006/relationships/hyperlink" Target="https://my.zakupki.prom.ua/remote/dispatcher/state_purchase_view/10754409" TargetMode="External"/><Relationship Id="rId32" Type="http://schemas.openxmlformats.org/officeDocument/2006/relationships/hyperlink" Target="https://my.zakupki.prom.ua/remote/dispatcher/state_purchase_view/14790603" TargetMode="External"/><Relationship Id="rId74" Type="http://schemas.openxmlformats.org/officeDocument/2006/relationships/hyperlink" Target="https://my.zakupki.prom.ua/remote/dispatcher/state_purchase_view/16866993" TargetMode="External"/><Relationship Id="rId128" Type="http://schemas.openxmlformats.org/officeDocument/2006/relationships/hyperlink" Target="https://my.zakupki.prom.ua/remote/dispatcher/state_purchase_view/16239453" TargetMode="External"/><Relationship Id="rId335" Type="http://schemas.openxmlformats.org/officeDocument/2006/relationships/hyperlink" Target="https://my.zakupki.prom.ua/remote/dispatcher/state_purchase_view/21979901" TargetMode="External"/><Relationship Id="rId377" Type="http://schemas.openxmlformats.org/officeDocument/2006/relationships/hyperlink" Target="https://auction.openprocurement.org/tenders/1f4dfd1de0ff42f99321af8af672a787" TargetMode="External"/><Relationship Id="rId500" Type="http://schemas.openxmlformats.org/officeDocument/2006/relationships/hyperlink" Target="https://my.zakupki.prom.ua/remote/dispatcher/state_purchase_view/15040983" TargetMode="External"/><Relationship Id="rId542" Type="http://schemas.openxmlformats.org/officeDocument/2006/relationships/hyperlink" Target="https://auction.openprocurement.org/tenders/b6866b2c730e44f0946698811aef95e2" TargetMode="External"/><Relationship Id="rId584" Type="http://schemas.openxmlformats.org/officeDocument/2006/relationships/hyperlink" Target="https://my.zakupki.prom.ua/remote/dispatcher/state_purchase_view/8387094" TargetMode="External"/><Relationship Id="rId5" Type="http://schemas.openxmlformats.org/officeDocument/2006/relationships/hyperlink" Target="https://auction.openprocurement.org/tenders/964ffc6d98a841bca823cb034276dde3" TargetMode="External"/><Relationship Id="rId181" Type="http://schemas.openxmlformats.org/officeDocument/2006/relationships/hyperlink" Target="https://auction.openprocurement.org/tenders/a24cd1e6ed354c8c84e05c06cc338344" TargetMode="External"/><Relationship Id="rId237" Type="http://schemas.openxmlformats.org/officeDocument/2006/relationships/hyperlink" Target="https://my.zakupki.prom.ua/remote/dispatcher/state_purchase_view/14196610" TargetMode="External"/><Relationship Id="rId402" Type="http://schemas.openxmlformats.org/officeDocument/2006/relationships/hyperlink" Target="https://auction.openprocurement.org/tenders/b63f590b4aaa41579e45c8ec39d820f3" TargetMode="External"/><Relationship Id="rId279" Type="http://schemas.openxmlformats.org/officeDocument/2006/relationships/hyperlink" Target="https://my.zakupki.prom.ua/remote/dispatcher/state_purchase_view/12044891" TargetMode="External"/><Relationship Id="rId444" Type="http://schemas.openxmlformats.org/officeDocument/2006/relationships/hyperlink" Target="https://auction.openprocurement.org/tenders/f4d3d2ec17884f99a87e5491722c233f" TargetMode="External"/><Relationship Id="rId486" Type="http://schemas.openxmlformats.org/officeDocument/2006/relationships/hyperlink" Target="https://my.zakupki.prom.ua/remote/dispatcher/state_purchase_view/15853253" TargetMode="External"/><Relationship Id="rId43" Type="http://schemas.openxmlformats.org/officeDocument/2006/relationships/hyperlink" Target="https://my.zakupki.prom.ua/remote/dispatcher/state_purchase_view/27145562" TargetMode="External"/><Relationship Id="rId139" Type="http://schemas.openxmlformats.org/officeDocument/2006/relationships/hyperlink" Target="https://my.zakupki.prom.ua/remote/dispatcher/state_purchase_view/23340786" TargetMode="External"/><Relationship Id="rId290" Type="http://schemas.openxmlformats.org/officeDocument/2006/relationships/hyperlink" Target="https://my.zakupki.prom.ua/remote/dispatcher/state_purchase_lot_view/452330" TargetMode="External"/><Relationship Id="rId304" Type="http://schemas.openxmlformats.org/officeDocument/2006/relationships/hyperlink" Target="https://my.zakupki.prom.ua/remote/dispatcher/state_purchase_view/26170130" TargetMode="External"/><Relationship Id="rId346" Type="http://schemas.openxmlformats.org/officeDocument/2006/relationships/hyperlink" Target="https://my.zakupki.prom.ua/remote/dispatcher/state_purchase_view/22285775" TargetMode="External"/><Relationship Id="rId388" Type="http://schemas.openxmlformats.org/officeDocument/2006/relationships/hyperlink" Target="https://my.zakupki.prom.ua/remote/dispatcher/state_purchase_view/14374199" TargetMode="External"/><Relationship Id="rId511" Type="http://schemas.openxmlformats.org/officeDocument/2006/relationships/hyperlink" Target="https://auction.openprocurement.org/tenders/e81b35038f8d495a96544d52422809d5" TargetMode="External"/><Relationship Id="rId553" Type="http://schemas.openxmlformats.org/officeDocument/2006/relationships/hyperlink" Target="https://my.zakupki.prom.ua/remote/dispatcher/state_purchase_view/21216324" TargetMode="External"/><Relationship Id="rId609" Type="http://schemas.openxmlformats.org/officeDocument/2006/relationships/hyperlink" Target="https://auction.openprocurement.org/tenders/bb084c195db64d35b8af4c525c2046aa" TargetMode="External"/><Relationship Id="rId85" Type="http://schemas.openxmlformats.org/officeDocument/2006/relationships/hyperlink" Target="https://my.zakupki.prom.ua/remote/dispatcher/state_purchase_view/19846251" TargetMode="External"/><Relationship Id="rId150" Type="http://schemas.openxmlformats.org/officeDocument/2006/relationships/hyperlink" Target="https://my.zakupki.prom.ua/remote/dispatcher/state_purchase_view/23500666" TargetMode="External"/><Relationship Id="rId192" Type="http://schemas.openxmlformats.org/officeDocument/2006/relationships/hyperlink" Target="https://my.zakupki.prom.ua/remote/dispatcher/state_purchase_view/22874450" TargetMode="External"/><Relationship Id="rId206" Type="http://schemas.openxmlformats.org/officeDocument/2006/relationships/hyperlink" Target="https://my.zakupki.prom.ua/remote/dispatcher/state_purchase_view/8484655" TargetMode="External"/><Relationship Id="rId413" Type="http://schemas.openxmlformats.org/officeDocument/2006/relationships/hyperlink" Target="https://my.zakupki.prom.ua/remote/dispatcher/state_purchase_view/14189803" TargetMode="External"/><Relationship Id="rId595" Type="http://schemas.openxmlformats.org/officeDocument/2006/relationships/hyperlink" Target="https://auction.openprocurement.org/tenders/d0d6b107131f4e40b87c667e561c76bd" TargetMode="External"/><Relationship Id="rId248" Type="http://schemas.openxmlformats.org/officeDocument/2006/relationships/hyperlink" Target="https://auction.openprocurement.org/tenders/491058dfcea545509a671428992d98e4" TargetMode="External"/><Relationship Id="rId455" Type="http://schemas.openxmlformats.org/officeDocument/2006/relationships/hyperlink" Target="https://auction.openprocurement.org/tenders/2d15cd3ab894484098e407478ac9b7c5" TargetMode="External"/><Relationship Id="rId497" Type="http://schemas.openxmlformats.org/officeDocument/2006/relationships/hyperlink" Target="https://my.zakupki.prom.ua/remote/dispatcher/state_purchase_view/18964901" TargetMode="External"/><Relationship Id="rId620" Type="http://schemas.openxmlformats.org/officeDocument/2006/relationships/hyperlink" Target="https://my.zakupki.prom.ua/remote/dispatcher/state_purchase_view/24841396" TargetMode="External"/><Relationship Id="rId12" Type="http://schemas.openxmlformats.org/officeDocument/2006/relationships/hyperlink" Target="https://auction.openprocurement.org/tenders/e5b05a6a6bfa47f28de270a9aff80d58" TargetMode="External"/><Relationship Id="rId108" Type="http://schemas.openxmlformats.org/officeDocument/2006/relationships/hyperlink" Target="https://auction.openprocurement.org/tenders/ed1b4c70eb174ce6bb070cc7f278503c" TargetMode="External"/><Relationship Id="rId315" Type="http://schemas.openxmlformats.org/officeDocument/2006/relationships/hyperlink" Target="https://my.zakupki.prom.ua/remote/dispatcher/state_purchase_view/12465661" TargetMode="External"/><Relationship Id="rId357" Type="http://schemas.openxmlformats.org/officeDocument/2006/relationships/hyperlink" Target="https://my.zakupki.prom.ua/remote/dispatcher/state_purchase_view/26805481" TargetMode="External"/><Relationship Id="rId522" Type="http://schemas.openxmlformats.org/officeDocument/2006/relationships/hyperlink" Target="https://my.zakupki.prom.ua/remote/dispatcher/state_purchase_view/12704305" TargetMode="External"/><Relationship Id="rId54" Type="http://schemas.openxmlformats.org/officeDocument/2006/relationships/hyperlink" Target="https://my.zakupki.prom.ua/remote/dispatcher/state_purchase_view/12021728" TargetMode="External"/><Relationship Id="rId96" Type="http://schemas.openxmlformats.org/officeDocument/2006/relationships/hyperlink" Target="https://my.zakupki.prom.ua/remote/dispatcher/state_purchase_view/27138046" TargetMode="External"/><Relationship Id="rId161" Type="http://schemas.openxmlformats.org/officeDocument/2006/relationships/hyperlink" Target="https://auction.openprocurement.org/tenders/16fa4ac55bd34913bb61968e0c352d07" TargetMode="External"/><Relationship Id="rId217" Type="http://schemas.openxmlformats.org/officeDocument/2006/relationships/hyperlink" Target="https://my.zakupki.prom.ua/remote/dispatcher/state_purchase_view/20312985" TargetMode="External"/><Relationship Id="rId399" Type="http://schemas.openxmlformats.org/officeDocument/2006/relationships/hyperlink" Target="https://my.zakupki.prom.ua/remote/dispatcher/state_purchase_view/20919372" TargetMode="External"/><Relationship Id="rId564" Type="http://schemas.openxmlformats.org/officeDocument/2006/relationships/hyperlink" Target="https://my.zakupki.prom.ua/remote/dispatcher/state_purchase_view/22874743" TargetMode="External"/><Relationship Id="rId259" Type="http://schemas.openxmlformats.org/officeDocument/2006/relationships/hyperlink" Target="https://my.zakupki.prom.ua/remote/dispatcher/state_purchase_view/16534678" TargetMode="External"/><Relationship Id="rId424" Type="http://schemas.openxmlformats.org/officeDocument/2006/relationships/hyperlink" Target="https://auction.openprocurement.org/tenders/2707497619dd49d9b787d391c8e5e934" TargetMode="External"/><Relationship Id="rId466" Type="http://schemas.openxmlformats.org/officeDocument/2006/relationships/hyperlink" Target="https://my.zakupki.prom.ua/remote/dispatcher/state_purchase_view/12381092" TargetMode="External"/><Relationship Id="rId23" Type="http://schemas.openxmlformats.org/officeDocument/2006/relationships/hyperlink" Target="https://my.zakupki.prom.ua/remote/dispatcher/state_purchase_view/15396902" TargetMode="External"/><Relationship Id="rId119" Type="http://schemas.openxmlformats.org/officeDocument/2006/relationships/hyperlink" Target="https://my.zakupki.prom.ua/remote/dispatcher/state_purchase_view/11513841" TargetMode="External"/><Relationship Id="rId270" Type="http://schemas.openxmlformats.org/officeDocument/2006/relationships/hyperlink" Target="https://auction.openprocurement.org/tenders/cc016270d1044b9bada98029da03d0ba" TargetMode="External"/><Relationship Id="rId326" Type="http://schemas.openxmlformats.org/officeDocument/2006/relationships/hyperlink" Target="https://my.zakupki.prom.ua/remote/dispatcher/state_purchase_view/10126170" TargetMode="External"/><Relationship Id="rId533" Type="http://schemas.openxmlformats.org/officeDocument/2006/relationships/hyperlink" Target="https://my.zakupki.prom.ua/remote/dispatcher/state_purchase_view/14802529" TargetMode="External"/><Relationship Id="rId65" Type="http://schemas.openxmlformats.org/officeDocument/2006/relationships/hyperlink" Target="https://my.zakupki.prom.ua/remote/dispatcher/state_purchase_view/18785432" TargetMode="External"/><Relationship Id="rId130" Type="http://schemas.openxmlformats.org/officeDocument/2006/relationships/hyperlink" Target="https://auction.openprocurement.org/tenders/fb38759a2b1d4b99b5ea5dc29335712a" TargetMode="External"/><Relationship Id="rId368" Type="http://schemas.openxmlformats.org/officeDocument/2006/relationships/hyperlink" Target="https://my.zakupki.prom.ua/remote/dispatcher/state_purchase_view/12130671" TargetMode="External"/><Relationship Id="rId575" Type="http://schemas.openxmlformats.org/officeDocument/2006/relationships/hyperlink" Target="https://my.zakupki.prom.ua/remote/dispatcher/state_purchase_view/28179669" TargetMode="External"/><Relationship Id="rId172" Type="http://schemas.openxmlformats.org/officeDocument/2006/relationships/hyperlink" Target="https://my.zakupki.prom.ua/remote/dispatcher/state_purchase_view/11935992" TargetMode="External"/><Relationship Id="rId228" Type="http://schemas.openxmlformats.org/officeDocument/2006/relationships/hyperlink" Target="https://my.zakupki.prom.ua/remote/dispatcher/state_purchase_view/14473611" TargetMode="External"/><Relationship Id="rId435" Type="http://schemas.openxmlformats.org/officeDocument/2006/relationships/hyperlink" Target="https://my.zakupki.prom.ua/remote/dispatcher/state_purchase_view/22422948" TargetMode="External"/><Relationship Id="rId477" Type="http://schemas.openxmlformats.org/officeDocument/2006/relationships/hyperlink" Target="https://my.zakupki.prom.ua/remote/dispatcher/state_purchase_view/10303006" TargetMode="External"/><Relationship Id="rId600" Type="http://schemas.openxmlformats.org/officeDocument/2006/relationships/hyperlink" Target="https://my.zakupki.prom.ua/remote/dispatcher/state_purchase_view/14469749" TargetMode="External"/><Relationship Id="rId281" Type="http://schemas.openxmlformats.org/officeDocument/2006/relationships/hyperlink" Target="https://my.zakupki.prom.ua/remote/dispatcher/state_purchase_view/8415557" TargetMode="External"/><Relationship Id="rId337" Type="http://schemas.openxmlformats.org/officeDocument/2006/relationships/hyperlink" Target="https://my.zakupki.prom.ua/remote/dispatcher/state_purchase_view/21316316" TargetMode="External"/><Relationship Id="rId502" Type="http://schemas.openxmlformats.org/officeDocument/2006/relationships/hyperlink" Target="https://my.zakupki.prom.ua/remote/dispatcher/state_purchase_view/22017159" TargetMode="External"/><Relationship Id="rId34" Type="http://schemas.openxmlformats.org/officeDocument/2006/relationships/hyperlink" Target="https://my.zakupki.prom.ua/remote/dispatcher/state_purchase_view/25348542" TargetMode="External"/><Relationship Id="rId76" Type="http://schemas.openxmlformats.org/officeDocument/2006/relationships/hyperlink" Target="https://my.zakupki.prom.ua/remote/dispatcher/state_purchase_view/17705742" TargetMode="External"/><Relationship Id="rId141" Type="http://schemas.openxmlformats.org/officeDocument/2006/relationships/hyperlink" Target="https://my.zakupki.prom.ua/remote/dispatcher/state_purchase_view/22898901" TargetMode="External"/><Relationship Id="rId379" Type="http://schemas.openxmlformats.org/officeDocument/2006/relationships/hyperlink" Target="https://auction.openprocurement.org/tenders/d852318993374bda995bc52cfae4b70f" TargetMode="External"/><Relationship Id="rId544" Type="http://schemas.openxmlformats.org/officeDocument/2006/relationships/hyperlink" Target="https://my.zakupki.prom.ua/remote/dispatcher/state_purchase_view/21251613" TargetMode="External"/><Relationship Id="rId586" Type="http://schemas.openxmlformats.org/officeDocument/2006/relationships/hyperlink" Target="https://my.zakupki.prom.ua/remote/dispatcher/state_purchase_view/8429803" TargetMode="External"/><Relationship Id="rId7" Type="http://schemas.openxmlformats.org/officeDocument/2006/relationships/hyperlink" Target="https://my.zakupki.prom.ua/remote/dispatcher/state_purchase_view/15701153" TargetMode="External"/><Relationship Id="rId183" Type="http://schemas.openxmlformats.org/officeDocument/2006/relationships/hyperlink" Target="https://my.zakupki.prom.ua/remote/dispatcher/state_purchase_view/15785895" TargetMode="External"/><Relationship Id="rId239" Type="http://schemas.openxmlformats.org/officeDocument/2006/relationships/hyperlink" Target="https://my.zakupki.prom.ua/remote/dispatcher/state_purchase_view/22527713" TargetMode="External"/><Relationship Id="rId390" Type="http://schemas.openxmlformats.org/officeDocument/2006/relationships/hyperlink" Target="https://my.zakupki.prom.ua/remote/dispatcher/state_purchase_view/15269350" TargetMode="External"/><Relationship Id="rId404" Type="http://schemas.openxmlformats.org/officeDocument/2006/relationships/hyperlink" Target="https://my.zakupki.prom.ua/remote/dispatcher/state_purchase_view/26804327" TargetMode="External"/><Relationship Id="rId446" Type="http://schemas.openxmlformats.org/officeDocument/2006/relationships/hyperlink" Target="https://auction.openprocurement.org/tenders/fb957df1f00f41da8135dea76db2f9db" TargetMode="External"/><Relationship Id="rId611" Type="http://schemas.openxmlformats.org/officeDocument/2006/relationships/hyperlink" Target="https://my.zakupki.prom.ua/remote/dispatcher/state_purchase_view/20423104" TargetMode="External"/><Relationship Id="rId250" Type="http://schemas.openxmlformats.org/officeDocument/2006/relationships/hyperlink" Target="https://auction.openprocurement.org/tenders/d46defff14d74e37b8a4be23aa4b77c8" TargetMode="External"/><Relationship Id="rId292" Type="http://schemas.openxmlformats.org/officeDocument/2006/relationships/hyperlink" Target="https://my.zakupki.prom.ua/remote/dispatcher/state_purchase_view/11705066" TargetMode="External"/><Relationship Id="rId306" Type="http://schemas.openxmlformats.org/officeDocument/2006/relationships/hyperlink" Target="https://auction.openprocurement.org/tenders/d636d8d6dcba42ab89f8ef224f3bc710" TargetMode="External"/><Relationship Id="rId488" Type="http://schemas.openxmlformats.org/officeDocument/2006/relationships/hyperlink" Target="https://my.zakupki.prom.ua/remote/dispatcher/state_purchase_view/13761934" TargetMode="External"/><Relationship Id="rId45" Type="http://schemas.openxmlformats.org/officeDocument/2006/relationships/hyperlink" Target="https://my.zakupki.prom.ua/remote/dispatcher/state_purchase_view/9235413" TargetMode="External"/><Relationship Id="rId87" Type="http://schemas.openxmlformats.org/officeDocument/2006/relationships/hyperlink" Target="https://my.zakupki.prom.ua/remote/dispatcher/state_purchase_view/14607042" TargetMode="External"/><Relationship Id="rId110" Type="http://schemas.openxmlformats.org/officeDocument/2006/relationships/hyperlink" Target="https://auction.openprocurement.org/tenders/9d71336956bb44a4b5f88a24fd34b947" TargetMode="External"/><Relationship Id="rId348" Type="http://schemas.openxmlformats.org/officeDocument/2006/relationships/hyperlink" Target="https://my.zakupki.prom.ua/remote/dispatcher/state_purchase_view/23303029" TargetMode="External"/><Relationship Id="rId513" Type="http://schemas.openxmlformats.org/officeDocument/2006/relationships/hyperlink" Target="https://my.zakupki.prom.ua/remote/dispatcher/state_purchase_lot_view/665675" TargetMode="External"/><Relationship Id="rId555" Type="http://schemas.openxmlformats.org/officeDocument/2006/relationships/hyperlink" Target="https://my.zakupki.prom.ua/remote/dispatcher/state_purchase_view/19558723" TargetMode="External"/><Relationship Id="rId597" Type="http://schemas.openxmlformats.org/officeDocument/2006/relationships/hyperlink" Target="https://my.zakupki.prom.ua/remote/dispatcher/state_purchase_view/22909868" TargetMode="External"/><Relationship Id="rId152" Type="http://schemas.openxmlformats.org/officeDocument/2006/relationships/hyperlink" Target="https://auction.openprocurement.org/tenders/3e34b83764ab4f95bed10d50fdae6c1f" TargetMode="External"/><Relationship Id="rId194" Type="http://schemas.openxmlformats.org/officeDocument/2006/relationships/hyperlink" Target="https://my.zakupki.prom.ua/remote/dispatcher/state_purchase_view/15635227" TargetMode="External"/><Relationship Id="rId208" Type="http://schemas.openxmlformats.org/officeDocument/2006/relationships/hyperlink" Target="https://my.zakupki.prom.ua/remote/dispatcher/state_purchase_view/13624615" TargetMode="External"/><Relationship Id="rId415" Type="http://schemas.openxmlformats.org/officeDocument/2006/relationships/hyperlink" Target="https://my.zakupki.prom.ua/remote/dispatcher/state_purchase_view/10756959" TargetMode="External"/><Relationship Id="rId457" Type="http://schemas.openxmlformats.org/officeDocument/2006/relationships/hyperlink" Target="https://auction.openprocurement.org/tenders/4609124b2e8f4b6f95ec17b0cce84727" TargetMode="External"/><Relationship Id="rId261" Type="http://schemas.openxmlformats.org/officeDocument/2006/relationships/hyperlink" Target="https://my.zakupki.prom.ua/remote/dispatcher/state_purchase_view/14108292" TargetMode="External"/><Relationship Id="rId499" Type="http://schemas.openxmlformats.org/officeDocument/2006/relationships/hyperlink" Target="https://auction.openprocurement.org/tenders/96744a2881064b3eb5a7e4d6f8840e7b" TargetMode="External"/><Relationship Id="rId14" Type="http://schemas.openxmlformats.org/officeDocument/2006/relationships/hyperlink" Target="https://auction.openprocurement.org/tenders/fe142e8bf5b143eab70abab2c96e7f6f" TargetMode="External"/><Relationship Id="rId56" Type="http://schemas.openxmlformats.org/officeDocument/2006/relationships/hyperlink" Target="https://my.zakupki.prom.ua/remote/dispatcher/state_purchase_view/12738860" TargetMode="External"/><Relationship Id="rId317" Type="http://schemas.openxmlformats.org/officeDocument/2006/relationships/hyperlink" Target="https://my.zakupki.prom.ua/remote/dispatcher/state_purchase_view/12922705" TargetMode="External"/><Relationship Id="rId359" Type="http://schemas.openxmlformats.org/officeDocument/2006/relationships/hyperlink" Target="https://my.zakupki.prom.ua/remote/dispatcher/state_purchase_view/14191657" TargetMode="External"/><Relationship Id="rId524" Type="http://schemas.openxmlformats.org/officeDocument/2006/relationships/hyperlink" Target="https://my.zakupki.prom.ua/remote/dispatcher/state_purchase_view/11811209" TargetMode="External"/><Relationship Id="rId566" Type="http://schemas.openxmlformats.org/officeDocument/2006/relationships/hyperlink" Target="https://my.zakupki.prom.ua/remote/dispatcher/state_purchase_view/24521122" TargetMode="External"/><Relationship Id="rId98" Type="http://schemas.openxmlformats.org/officeDocument/2006/relationships/hyperlink" Target="https://my.zakupki.prom.ua/remote/dispatcher/state_purchase_view/9703935" TargetMode="External"/><Relationship Id="rId121" Type="http://schemas.openxmlformats.org/officeDocument/2006/relationships/hyperlink" Target="https://my.zakupki.prom.ua/remote/dispatcher/state_purchase_view/20775721" TargetMode="External"/><Relationship Id="rId163" Type="http://schemas.openxmlformats.org/officeDocument/2006/relationships/hyperlink" Target="https://my.zakupki.prom.ua/remote/dispatcher/state_purchase_view/16440661" TargetMode="External"/><Relationship Id="rId219" Type="http://schemas.openxmlformats.org/officeDocument/2006/relationships/hyperlink" Target="https://my.zakupki.prom.ua/remote/dispatcher/state_purchase_view/9595073" TargetMode="External"/><Relationship Id="rId370" Type="http://schemas.openxmlformats.org/officeDocument/2006/relationships/hyperlink" Target="https://auction.openprocurement.org/tenders/e2e3c847fa4942dcb1f55ccb97598f9d" TargetMode="External"/><Relationship Id="rId426" Type="http://schemas.openxmlformats.org/officeDocument/2006/relationships/hyperlink" Target="https://my.zakupki.prom.ua/remote/dispatcher/state_purchase_view/8413586" TargetMode="External"/><Relationship Id="rId230" Type="http://schemas.openxmlformats.org/officeDocument/2006/relationships/hyperlink" Target="https://my.zakupki.prom.ua/remote/dispatcher/state_purchase_view/19252892" TargetMode="External"/><Relationship Id="rId468" Type="http://schemas.openxmlformats.org/officeDocument/2006/relationships/hyperlink" Target="https://auction.openprocurement.org/tenders/4bf96b95b943452f8a9be27884e59666" TargetMode="External"/><Relationship Id="rId25" Type="http://schemas.openxmlformats.org/officeDocument/2006/relationships/hyperlink" Target="https://my.zakupki.prom.ua/remote/dispatcher/state_purchase_view/15044005" TargetMode="External"/><Relationship Id="rId67" Type="http://schemas.openxmlformats.org/officeDocument/2006/relationships/hyperlink" Target="https://my.zakupki.prom.ua/remote/dispatcher/state_purchase_view/21574206" TargetMode="External"/><Relationship Id="rId272" Type="http://schemas.openxmlformats.org/officeDocument/2006/relationships/hyperlink" Target="https://auction.openprocurement.org/tenders/5893a5f22f5b4dc19d759435f9e424cf" TargetMode="External"/><Relationship Id="rId328" Type="http://schemas.openxmlformats.org/officeDocument/2006/relationships/hyperlink" Target="https://auction.openprocurement.org/tenders/2ebdae0de87f4bd7bf10a20f4bf3b5d8" TargetMode="External"/><Relationship Id="rId535" Type="http://schemas.openxmlformats.org/officeDocument/2006/relationships/hyperlink" Target="https://auction.openprocurement.org/tenders/cb3027d5e8ed4b16a8c31f79fb54438e" TargetMode="External"/><Relationship Id="rId577" Type="http://schemas.openxmlformats.org/officeDocument/2006/relationships/hyperlink" Target="https://my.zakupki.prom.ua/remote/dispatcher/state_purchase_view/11206339" TargetMode="External"/><Relationship Id="rId132" Type="http://schemas.openxmlformats.org/officeDocument/2006/relationships/hyperlink" Target="https://my.zakupki.prom.ua/remote/dispatcher/state_purchase_view/17550737" TargetMode="External"/><Relationship Id="rId174" Type="http://schemas.openxmlformats.org/officeDocument/2006/relationships/hyperlink" Target="https://auction.openprocurement.org/tenders/d832dbaf2277409daaad725fe114b781" TargetMode="External"/><Relationship Id="rId381" Type="http://schemas.openxmlformats.org/officeDocument/2006/relationships/hyperlink" Target="https://auction.openprocurement.org/tenders/dc72306dce4b4f1f9530de0dbf645b7b" TargetMode="External"/><Relationship Id="rId602" Type="http://schemas.openxmlformats.org/officeDocument/2006/relationships/hyperlink" Target="https://my.zakupki.prom.ua/remote/dispatcher/state_purchase_view/15605788" TargetMode="External"/><Relationship Id="rId241" Type="http://schemas.openxmlformats.org/officeDocument/2006/relationships/hyperlink" Target="https://my.zakupki.prom.ua/remote/dispatcher/state_purchase_view/23030330" TargetMode="External"/><Relationship Id="rId437" Type="http://schemas.openxmlformats.org/officeDocument/2006/relationships/hyperlink" Target="https://my.zakupki.prom.ua/remote/dispatcher/state_purchase_view/21533054" TargetMode="External"/><Relationship Id="rId479" Type="http://schemas.openxmlformats.org/officeDocument/2006/relationships/hyperlink" Target="https://my.zakupki.prom.ua/remote/dispatcher/state_purchase_view/8521666" TargetMode="External"/><Relationship Id="rId36" Type="http://schemas.openxmlformats.org/officeDocument/2006/relationships/hyperlink" Target="https://my.zakupki.prom.ua/remote/dispatcher/state_purchase_view/25108093" TargetMode="External"/><Relationship Id="rId283" Type="http://schemas.openxmlformats.org/officeDocument/2006/relationships/hyperlink" Target="https://my.zakupki.prom.ua/remote/dispatcher/state_purchase_view/8486858" TargetMode="External"/><Relationship Id="rId339" Type="http://schemas.openxmlformats.org/officeDocument/2006/relationships/hyperlink" Target="https://my.zakupki.prom.ua/remote/dispatcher/state_purchase_view/15040535" TargetMode="External"/><Relationship Id="rId490" Type="http://schemas.openxmlformats.org/officeDocument/2006/relationships/hyperlink" Target="https://my.zakupki.prom.ua/remote/dispatcher/state_purchase_view/18822660" TargetMode="External"/><Relationship Id="rId504" Type="http://schemas.openxmlformats.org/officeDocument/2006/relationships/hyperlink" Target="https://auction.openprocurement.org/tenders/a7c1228aae1c4427af3c6846fefb9ee8" TargetMode="External"/><Relationship Id="rId546" Type="http://schemas.openxmlformats.org/officeDocument/2006/relationships/hyperlink" Target="https://my.zakupki.prom.ua/remote/dispatcher/state_purchase_view/19991363" TargetMode="External"/><Relationship Id="rId78" Type="http://schemas.openxmlformats.org/officeDocument/2006/relationships/hyperlink" Target="https://my.zakupki.prom.ua/remote/dispatcher/state_purchase_view/22966882" TargetMode="External"/><Relationship Id="rId101" Type="http://schemas.openxmlformats.org/officeDocument/2006/relationships/hyperlink" Target="https://my.zakupki.prom.ua/remote/dispatcher/state_purchase_view/8459143" TargetMode="External"/><Relationship Id="rId143" Type="http://schemas.openxmlformats.org/officeDocument/2006/relationships/hyperlink" Target="https://my.zakupki.prom.ua/remote/dispatcher/state_purchase_view/24566040" TargetMode="External"/><Relationship Id="rId185" Type="http://schemas.openxmlformats.org/officeDocument/2006/relationships/hyperlink" Target="https://my.zakupki.prom.ua/remote/dispatcher/state_purchase_view/14696825" TargetMode="External"/><Relationship Id="rId350" Type="http://schemas.openxmlformats.org/officeDocument/2006/relationships/hyperlink" Target="https://auction.openprocurement.org/tenders/8e3cd899507343c9bf708fec25392f2d" TargetMode="External"/><Relationship Id="rId406" Type="http://schemas.openxmlformats.org/officeDocument/2006/relationships/hyperlink" Target="https://auction.openprocurement.org/tenders/e5979f447cc04855ad3d65f4bb4fa63b" TargetMode="External"/><Relationship Id="rId588" Type="http://schemas.openxmlformats.org/officeDocument/2006/relationships/hyperlink" Target="https://my.zakupki.prom.ua/remote/dispatcher/state_purchase_view/10448781" TargetMode="External"/><Relationship Id="rId9" Type="http://schemas.openxmlformats.org/officeDocument/2006/relationships/hyperlink" Target="https://my.zakupki.prom.ua/remote/dispatcher/state_purchase_view/13248782" TargetMode="External"/><Relationship Id="rId210" Type="http://schemas.openxmlformats.org/officeDocument/2006/relationships/hyperlink" Target="https://auction.openprocurement.org/tenders/b99bb9002e6142fc86a119e8745f2d4f" TargetMode="External"/><Relationship Id="rId392" Type="http://schemas.openxmlformats.org/officeDocument/2006/relationships/hyperlink" Target="https://my.zakupki.prom.ua/remote/dispatcher/state_purchase_view/14812498" TargetMode="External"/><Relationship Id="rId448" Type="http://schemas.openxmlformats.org/officeDocument/2006/relationships/hyperlink" Target="https://my.zakupki.prom.ua/remote/dispatcher/state_purchase_view/15321931" TargetMode="External"/><Relationship Id="rId613" Type="http://schemas.openxmlformats.org/officeDocument/2006/relationships/hyperlink" Target="https://my.zakupki.prom.ua/remote/dispatcher/state_purchase_view/19494743" TargetMode="External"/><Relationship Id="rId252" Type="http://schemas.openxmlformats.org/officeDocument/2006/relationships/hyperlink" Target="https://auction.openprocurement.org/tenders/95edfef19eb044b88ce7f5094865c8ca" TargetMode="External"/><Relationship Id="rId294" Type="http://schemas.openxmlformats.org/officeDocument/2006/relationships/hyperlink" Target="https://my.zakupki.prom.ua/remote/dispatcher/state_purchase_view/11602150" TargetMode="External"/><Relationship Id="rId308" Type="http://schemas.openxmlformats.org/officeDocument/2006/relationships/hyperlink" Target="https://my.zakupki.prom.ua/remote/dispatcher/state_purchase_view/14305417" TargetMode="External"/><Relationship Id="rId515" Type="http://schemas.openxmlformats.org/officeDocument/2006/relationships/hyperlink" Target="https://my.zakupki.prom.ua/remote/dispatcher/state_purchase_view/27361590" TargetMode="External"/><Relationship Id="rId47" Type="http://schemas.openxmlformats.org/officeDocument/2006/relationships/hyperlink" Target="https://auction.openprocurement.org/tenders/22fc64fecfa348a59e44cb0d4d6f6923" TargetMode="External"/><Relationship Id="rId89" Type="http://schemas.openxmlformats.org/officeDocument/2006/relationships/hyperlink" Target="https://my.zakupki.prom.ua/remote/dispatcher/state_purchase_view/14881177" TargetMode="External"/><Relationship Id="rId112" Type="http://schemas.openxmlformats.org/officeDocument/2006/relationships/hyperlink" Target="https://auction.openprocurement.org/tenders/7dadc29a51fe48a9a856e96ec8b38736" TargetMode="External"/><Relationship Id="rId154" Type="http://schemas.openxmlformats.org/officeDocument/2006/relationships/hyperlink" Target="https://auction.openprocurement.org/tenders/23c0053510454f2698042430939d6f25" TargetMode="External"/><Relationship Id="rId361" Type="http://schemas.openxmlformats.org/officeDocument/2006/relationships/hyperlink" Target="https://my.zakupki.prom.ua/remote/dispatcher/state_purchase_view/13491776" TargetMode="External"/><Relationship Id="rId557" Type="http://schemas.openxmlformats.org/officeDocument/2006/relationships/hyperlink" Target="https://my.zakupki.prom.ua/remote/dispatcher/state_purchase_view/16431701" TargetMode="External"/><Relationship Id="rId599" Type="http://schemas.openxmlformats.org/officeDocument/2006/relationships/hyperlink" Target="https://my.zakupki.prom.ua/remote/dispatcher/state_purchase_view/15042102" TargetMode="External"/><Relationship Id="rId196" Type="http://schemas.openxmlformats.org/officeDocument/2006/relationships/hyperlink" Target="https://my.zakupki.prom.ua/remote/dispatcher/state_purchase_view/26005999" TargetMode="External"/><Relationship Id="rId417" Type="http://schemas.openxmlformats.org/officeDocument/2006/relationships/hyperlink" Target="https://my.zakupki.prom.ua/remote/dispatcher/state_purchase_view/11873448" TargetMode="External"/><Relationship Id="rId459" Type="http://schemas.openxmlformats.org/officeDocument/2006/relationships/hyperlink" Target="https://auction.openprocurement.org/tenders/9ca1d73717004cd7a4ac3e88c0b25030" TargetMode="External"/><Relationship Id="rId16" Type="http://schemas.openxmlformats.org/officeDocument/2006/relationships/hyperlink" Target="https://auction.openprocurement.org/tenders/372501c909044622b85c39251c56a551" TargetMode="External"/><Relationship Id="rId221" Type="http://schemas.openxmlformats.org/officeDocument/2006/relationships/hyperlink" Target="https://auction.openprocurement.org/tenders/5958a980ad414d63af7b6406fdd015e5" TargetMode="External"/><Relationship Id="rId263" Type="http://schemas.openxmlformats.org/officeDocument/2006/relationships/hyperlink" Target="https://my.zakupki.prom.ua/remote/dispatcher/state_purchase_view/14373476" TargetMode="External"/><Relationship Id="rId319" Type="http://schemas.openxmlformats.org/officeDocument/2006/relationships/hyperlink" Target="https://auction.openprocurement.org/tenders/332ad9c1a9fe4c238312a77bb0de1189" TargetMode="External"/><Relationship Id="rId470" Type="http://schemas.openxmlformats.org/officeDocument/2006/relationships/hyperlink" Target="https://auction.openprocurement.org/tenders/62b95c08c19742df8cb5299d3dff1913" TargetMode="External"/><Relationship Id="rId526" Type="http://schemas.openxmlformats.org/officeDocument/2006/relationships/hyperlink" Target="https://my.zakupki.prom.ua/remote/dispatcher/state_purchase_view/12707681" TargetMode="External"/><Relationship Id="rId58" Type="http://schemas.openxmlformats.org/officeDocument/2006/relationships/hyperlink" Target="https://my.zakupki.prom.ua/remote/dispatcher/state_purchase_view/9386839" TargetMode="External"/><Relationship Id="rId123" Type="http://schemas.openxmlformats.org/officeDocument/2006/relationships/hyperlink" Target="https://my.zakupki.prom.ua/remote/dispatcher/state_purchase_view/22441783" TargetMode="External"/><Relationship Id="rId330" Type="http://schemas.openxmlformats.org/officeDocument/2006/relationships/hyperlink" Target="https://my.zakupki.prom.ua/remote/dispatcher/state_purchase_view/22967219" TargetMode="External"/><Relationship Id="rId568" Type="http://schemas.openxmlformats.org/officeDocument/2006/relationships/hyperlink" Target="https://my.zakupki.prom.ua/remote/dispatcher/state_purchase_view/25355192" TargetMode="External"/><Relationship Id="rId165" Type="http://schemas.openxmlformats.org/officeDocument/2006/relationships/hyperlink" Target="https://auction.openprocurement.org/tenders/463d43f20d9448ce9e1fbf890db297f5" TargetMode="External"/><Relationship Id="rId372" Type="http://schemas.openxmlformats.org/officeDocument/2006/relationships/hyperlink" Target="https://auction.openprocurement.org/tenders/f0988a67d5eb4e0481f9f78bd8c45106" TargetMode="External"/><Relationship Id="rId428" Type="http://schemas.openxmlformats.org/officeDocument/2006/relationships/hyperlink" Target="https://auction.openprocurement.org/tenders/8fca25f568ef4104961f20a5f5d1c867" TargetMode="External"/><Relationship Id="rId232" Type="http://schemas.openxmlformats.org/officeDocument/2006/relationships/hyperlink" Target="https://my.zakupki.prom.ua/remote/dispatcher/state_purchase_view/22050067" TargetMode="External"/><Relationship Id="rId274" Type="http://schemas.openxmlformats.org/officeDocument/2006/relationships/hyperlink" Target="https://my.zakupki.prom.ua/remote/dispatcher/state_purchase_lot_view/456325" TargetMode="External"/><Relationship Id="rId481" Type="http://schemas.openxmlformats.org/officeDocument/2006/relationships/hyperlink" Target="https://my.zakupki.prom.ua/remote/dispatcher/state_purchase_view/9166750" TargetMode="External"/><Relationship Id="rId27" Type="http://schemas.openxmlformats.org/officeDocument/2006/relationships/hyperlink" Target="https://my.zakupki.prom.ua/remote/dispatcher/state_purchase_view/19821435" TargetMode="External"/><Relationship Id="rId69" Type="http://schemas.openxmlformats.org/officeDocument/2006/relationships/hyperlink" Target="https://my.zakupki.prom.ua/remote/dispatcher/state_purchase_view/21332155" TargetMode="External"/><Relationship Id="rId134" Type="http://schemas.openxmlformats.org/officeDocument/2006/relationships/hyperlink" Target="https://my.zakupki.prom.ua/remote/dispatcher/state_purchase_view/18821998" TargetMode="External"/><Relationship Id="rId537" Type="http://schemas.openxmlformats.org/officeDocument/2006/relationships/hyperlink" Target="https://my.zakupki.prom.ua/remote/dispatcher/state_purchase_view/17696876" TargetMode="External"/><Relationship Id="rId579" Type="http://schemas.openxmlformats.org/officeDocument/2006/relationships/hyperlink" Target="https://my.zakupki.prom.ua/remote/dispatcher/state_purchase_view/10661089" TargetMode="External"/><Relationship Id="rId80" Type="http://schemas.openxmlformats.org/officeDocument/2006/relationships/hyperlink" Target="https://my.zakupki.prom.ua/remote/dispatcher/state_purchase_view/20294463" TargetMode="External"/><Relationship Id="rId155" Type="http://schemas.openxmlformats.org/officeDocument/2006/relationships/hyperlink" Target="https://my.zakupki.prom.ua/remote/dispatcher/state_purchase_view/13934938" TargetMode="External"/><Relationship Id="rId176" Type="http://schemas.openxmlformats.org/officeDocument/2006/relationships/hyperlink" Target="https://my.zakupki.prom.ua/remote/dispatcher/state_purchase_view/18792893" TargetMode="External"/><Relationship Id="rId197" Type="http://schemas.openxmlformats.org/officeDocument/2006/relationships/hyperlink" Target="https://my.zakupki.prom.ua/remote/dispatcher/state_purchase_view/25107503" TargetMode="External"/><Relationship Id="rId341" Type="http://schemas.openxmlformats.org/officeDocument/2006/relationships/hyperlink" Target="https://my.zakupki.prom.ua/remote/dispatcher/state_purchase_view/22013625" TargetMode="External"/><Relationship Id="rId362" Type="http://schemas.openxmlformats.org/officeDocument/2006/relationships/hyperlink" Target="https://my.zakupki.prom.ua/remote/dispatcher/state_purchase_view/11782277" TargetMode="External"/><Relationship Id="rId383" Type="http://schemas.openxmlformats.org/officeDocument/2006/relationships/hyperlink" Target="https://auction.openprocurement.org/tenders/c7208bfa02764c7a9b0a1bd679bb1db1" TargetMode="External"/><Relationship Id="rId418" Type="http://schemas.openxmlformats.org/officeDocument/2006/relationships/hyperlink" Target="https://auction.openprocurement.org/tenders/46cc428b86004949bf5c47873938977a" TargetMode="External"/><Relationship Id="rId439" Type="http://schemas.openxmlformats.org/officeDocument/2006/relationships/hyperlink" Target="https://my.zakupki.prom.ua/remote/dispatcher/state_purchase_view/14885577" TargetMode="External"/><Relationship Id="rId590" Type="http://schemas.openxmlformats.org/officeDocument/2006/relationships/hyperlink" Target="https://my.zakupki.prom.ua/remote/dispatcher/state_purchase_view/10728264" TargetMode="External"/><Relationship Id="rId604" Type="http://schemas.openxmlformats.org/officeDocument/2006/relationships/hyperlink" Target="https://my.zakupki.prom.ua/remote/dispatcher/state_purchase_view/15419414" TargetMode="External"/><Relationship Id="rId201" Type="http://schemas.openxmlformats.org/officeDocument/2006/relationships/hyperlink" Target="https://my.zakupki.prom.ua/remote/dispatcher/state_purchase_view/26754888" TargetMode="External"/><Relationship Id="rId222" Type="http://schemas.openxmlformats.org/officeDocument/2006/relationships/hyperlink" Target="https://my.zakupki.prom.ua/remote/dispatcher/state_purchase_view/18297087" TargetMode="External"/><Relationship Id="rId243" Type="http://schemas.openxmlformats.org/officeDocument/2006/relationships/hyperlink" Target="https://my.zakupki.prom.ua/remote/dispatcher/state_purchase_view/17888984" TargetMode="External"/><Relationship Id="rId264" Type="http://schemas.openxmlformats.org/officeDocument/2006/relationships/hyperlink" Target="https://my.zakupki.prom.ua/remote/dispatcher/state_purchase_view/19985364" TargetMode="External"/><Relationship Id="rId285" Type="http://schemas.openxmlformats.org/officeDocument/2006/relationships/hyperlink" Target="https://my.zakupki.prom.ua/remote/dispatcher/state_purchase_view/12865370" TargetMode="External"/><Relationship Id="rId450" Type="http://schemas.openxmlformats.org/officeDocument/2006/relationships/hyperlink" Target="https://my.zakupki.prom.ua/remote/dispatcher/state_purchase_view/18766380" TargetMode="External"/><Relationship Id="rId471" Type="http://schemas.openxmlformats.org/officeDocument/2006/relationships/hyperlink" Target="https://my.zakupki.prom.ua/remote/dispatcher/state_purchase_view/13354464" TargetMode="External"/><Relationship Id="rId506" Type="http://schemas.openxmlformats.org/officeDocument/2006/relationships/hyperlink" Target="https://my.zakupki.prom.ua/remote/dispatcher/state_purchase_view/22968694" TargetMode="External"/><Relationship Id="rId17" Type="http://schemas.openxmlformats.org/officeDocument/2006/relationships/hyperlink" Target="https://my.zakupki.prom.ua/remote/dispatcher/state_purchase_view/19231218" TargetMode="External"/><Relationship Id="rId38" Type="http://schemas.openxmlformats.org/officeDocument/2006/relationships/hyperlink" Target="https://my.zakupki.prom.ua/remote/dispatcher/state_purchase_view/24285439" TargetMode="External"/><Relationship Id="rId59" Type="http://schemas.openxmlformats.org/officeDocument/2006/relationships/hyperlink" Target="https://my.zakupki.prom.ua/remote/dispatcher/state_purchase_view/10383468" TargetMode="External"/><Relationship Id="rId103" Type="http://schemas.openxmlformats.org/officeDocument/2006/relationships/hyperlink" Target="https://my.zakupki.prom.ua/remote/dispatcher/state_purchase_view/12102212" TargetMode="External"/><Relationship Id="rId124" Type="http://schemas.openxmlformats.org/officeDocument/2006/relationships/hyperlink" Target="https://my.zakupki.prom.ua/remote/dispatcher/state_purchase_view/22165894" TargetMode="External"/><Relationship Id="rId310" Type="http://schemas.openxmlformats.org/officeDocument/2006/relationships/hyperlink" Target="https://my.zakupki.prom.ua/remote/dispatcher/state_purchase_view/13086645" TargetMode="External"/><Relationship Id="rId492" Type="http://schemas.openxmlformats.org/officeDocument/2006/relationships/hyperlink" Target="https://my.zakupki.prom.ua/remote/dispatcher/state_purchase_view/23167917" TargetMode="External"/><Relationship Id="rId527" Type="http://schemas.openxmlformats.org/officeDocument/2006/relationships/hyperlink" Target="https://auction.openprocurement.org/tenders/86a5ccf087c74c3e9cb04af0a8af07e2" TargetMode="External"/><Relationship Id="rId548" Type="http://schemas.openxmlformats.org/officeDocument/2006/relationships/hyperlink" Target="https://my.zakupki.prom.ua/remote/dispatcher/state_purchase_view/18218083" TargetMode="External"/><Relationship Id="rId569" Type="http://schemas.openxmlformats.org/officeDocument/2006/relationships/hyperlink" Target="https://auction.openprocurement.org/tenders/669455eaad03483f98dadf1b2f987fa7" TargetMode="External"/><Relationship Id="rId70" Type="http://schemas.openxmlformats.org/officeDocument/2006/relationships/hyperlink" Target="https://my.zakupki.prom.ua/remote/dispatcher/state_purchase_view/21036959" TargetMode="External"/><Relationship Id="rId91" Type="http://schemas.openxmlformats.org/officeDocument/2006/relationships/hyperlink" Target="https://auction.openprocurement.org/tenders/b063e5925dcb487f8cb46c38a19b8a33" TargetMode="External"/><Relationship Id="rId145" Type="http://schemas.openxmlformats.org/officeDocument/2006/relationships/hyperlink" Target="https://my.zakupki.prom.ua/remote/dispatcher/state_purchase_view/23992917" TargetMode="External"/><Relationship Id="rId166" Type="http://schemas.openxmlformats.org/officeDocument/2006/relationships/hyperlink" Target="https://my.zakupki.prom.ua/remote/dispatcher/state_purchase_view/17181135" TargetMode="External"/><Relationship Id="rId187" Type="http://schemas.openxmlformats.org/officeDocument/2006/relationships/hyperlink" Target="https://my.zakupki.prom.ua/remote/dispatcher/state_purchase_view/22635393" TargetMode="External"/><Relationship Id="rId331" Type="http://schemas.openxmlformats.org/officeDocument/2006/relationships/hyperlink" Target="https://my.zakupki.prom.ua/remote/dispatcher/state_purchase_view/22911887" TargetMode="External"/><Relationship Id="rId352" Type="http://schemas.openxmlformats.org/officeDocument/2006/relationships/hyperlink" Target="https://my.zakupki.prom.ua/remote/dispatcher/state_purchase_view/23221635" TargetMode="External"/><Relationship Id="rId373" Type="http://schemas.openxmlformats.org/officeDocument/2006/relationships/hyperlink" Target="https://my.zakupki.prom.ua/remote/dispatcher/state_purchase_view/11418347" TargetMode="External"/><Relationship Id="rId394" Type="http://schemas.openxmlformats.org/officeDocument/2006/relationships/hyperlink" Target="https://my.zakupki.prom.ua/remote/dispatcher/state_purchase_view/19605189" TargetMode="External"/><Relationship Id="rId408" Type="http://schemas.openxmlformats.org/officeDocument/2006/relationships/hyperlink" Target="https://auction.openprocurement.org/tenders/5c973d74ea39488e9dc25c51832f0618" TargetMode="External"/><Relationship Id="rId429" Type="http://schemas.openxmlformats.org/officeDocument/2006/relationships/hyperlink" Target="https://my.zakupki.prom.ua/remote/dispatcher/state_purchase_view/10389109" TargetMode="External"/><Relationship Id="rId580" Type="http://schemas.openxmlformats.org/officeDocument/2006/relationships/hyperlink" Target="https://auction.openprocurement.org/tenders/f419e1fc5d6d4a0080eeea24b7fb56bc" TargetMode="External"/><Relationship Id="rId615" Type="http://schemas.openxmlformats.org/officeDocument/2006/relationships/hyperlink" Target="https://my.zakupki.prom.ua/remote/dispatcher/state_purchase_view/19520784" TargetMode="External"/><Relationship Id="rId1" Type="http://schemas.openxmlformats.org/officeDocument/2006/relationships/hyperlink" Target="mailto:report.zakupki@prom.ua" TargetMode="External"/><Relationship Id="rId212" Type="http://schemas.openxmlformats.org/officeDocument/2006/relationships/hyperlink" Target="https://my.zakupki.prom.ua/remote/dispatcher/state_purchase_view/11069170" TargetMode="External"/><Relationship Id="rId233" Type="http://schemas.openxmlformats.org/officeDocument/2006/relationships/hyperlink" Target="https://my.zakupki.prom.ua/remote/dispatcher/state_purchase_view/22356035" TargetMode="External"/><Relationship Id="rId254" Type="http://schemas.openxmlformats.org/officeDocument/2006/relationships/hyperlink" Target="https://my.zakupki.prom.ua/remote/dispatcher/state_purchase_view/9614727" TargetMode="External"/><Relationship Id="rId440" Type="http://schemas.openxmlformats.org/officeDocument/2006/relationships/hyperlink" Target="https://my.zakupki.prom.ua/remote/dispatcher/state_purchase_view/19350056" TargetMode="External"/><Relationship Id="rId28" Type="http://schemas.openxmlformats.org/officeDocument/2006/relationships/hyperlink" Target="https://my.zakupki.prom.ua/remote/dispatcher/state_purchase_view/21529924" TargetMode="External"/><Relationship Id="rId49" Type="http://schemas.openxmlformats.org/officeDocument/2006/relationships/hyperlink" Target="https://my.zakupki.prom.ua/remote/dispatcher/state_purchase_view/24010249" TargetMode="External"/><Relationship Id="rId114" Type="http://schemas.openxmlformats.org/officeDocument/2006/relationships/hyperlink" Target="https://auction.openprocurement.org/tenders/07576aa4f35a4eff840a71cafc60a27b" TargetMode="External"/><Relationship Id="rId275" Type="http://schemas.openxmlformats.org/officeDocument/2006/relationships/hyperlink" Target="https://my.zakupki.prom.ua/remote/dispatcher/state_purchase_view/11887001" TargetMode="External"/><Relationship Id="rId296" Type="http://schemas.openxmlformats.org/officeDocument/2006/relationships/hyperlink" Target="https://my.zakupki.prom.ua/remote/dispatcher/state_purchase_view/22452158" TargetMode="External"/><Relationship Id="rId300" Type="http://schemas.openxmlformats.org/officeDocument/2006/relationships/hyperlink" Target="https://my.zakupki.prom.ua/remote/dispatcher/state_purchase_view/24085966" TargetMode="External"/><Relationship Id="rId461" Type="http://schemas.openxmlformats.org/officeDocument/2006/relationships/hyperlink" Target="https://my.zakupki.prom.ua/remote/dispatcher/state_purchase_view/24670729" TargetMode="External"/><Relationship Id="rId482" Type="http://schemas.openxmlformats.org/officeDocument/2006/relationships/hyperlink" Target="https://my.zakupki.prom.ua/remote/dispatcher/state_purchase_view/13605512" TargetMode="External"/><Relationship Id="rId517" Type="http://schemas.openxmlformats.org/officeDocument/2006/relationships/hyperlink" Target="https://auction.openprocurement.org/tenders/7f97cb92f95947cb9c17b28f01768c6c_77d53fb6cc1f491da17fd3c2bf5a2f9e" TargetMode="External"/><Relationship Id="rId538" Type="http://schemas.openxmlformats.org/officeDocument/2006/relationships/hyperlink" Target="https://auction.openprocurement.org/tenders/a6d6f683f8de47e58b044f89c7ebf7c9" TargetMode="External"/><Relationship Id="rId559" Type="http://schemas.openxmlformats.org/officeDocument/2006/relationships/hyperlink" Target="https://my.zakupki.prom.ua/remote/dispatcher/state_purchase_view/14956553" TargetMode="External"/><Relationship Id="rId60" Type="http://schemas.openxmlformats.org/officeDocument/2006/relationships/hyperlink" Target="https://auction.openprocurement.org/tenders/54b93fa8bf7f4141bb19bbbd0b21ce0f" TargetMode="External"/><Relationship Id="rId81" Type="http://schemas.openxmlformats.org/officeDocument/2006/relationships/hyperlink" Target="https://my.zakupki.prom.ua/remote/dispatcher/state_purchase_view/20173326" TargetMode="External"/><Relationship Id="rId135" Type="http://schemas.openxmlformats.org/officeDocument/2006/relationships/hyperlink" Target="https://my.zakupki.prom.ua/remote/dispatcher/state_purchase_view/14375291" TargetMode="External"/><Relationship Id="rId156" Type="http://schemas.openxmlformats.org/officeDocument/2006/relationships/hyperlink" Target="https://my.zakupki.prom.ua/remote/dispatcher/state_purchase_view/13212103" TargetMode="External"/><Relationship Id="rId177" Type="http://schemas.openxmlformats.org/officeDocument/2006/relationships/hyperlink" Target="https://my.zakupki.prom.ua/remote/dispatcher/state_purchase_view/18152161" TargetMode="External"/><Relationship Id="rId198" Type="http://schemas.openxmlformats.org/officeDocument/2006/relationships/hyperlink" Target="https://my.zakupki.prom.ua/remote/dispatcher/state_purchase_view/25217729" TargetMode="External"/><Relationship Id="rId321" Type="http://schemas.openxmlformats.org/officeDocument/2006/relationships/hyperlink" Target="https://my.zakupki.prom.ua/remote/dispatcher/state_purchase_view/10831216" TargetMode="External"/><Relationship Id="rId342" Type="http://schemas.openxmlformats.org/officeDocument/2006/relationships/hyperlink" Target="https://my.zakupki.prom.ua/remote/dispatcher/state_purchase_view/20075784" TargetMode="External"/><Relationship Id="rId363" Type="http://schemas.openxmlformats.org/officeDocument/2006/relationships/hyperlink" Target="https://my.zakupki.prom.ua/remote/dispatcher/state_purchase_view/12032827" TargetMode="External"/><Relationship Id="rId384" Type="http://schemas.openxmlformats.org/officeDocument/2006/relationships/hyperlink" Target="https://my.zakupki.prom.ua/remote/dispatcher/state_purchase_view/16021724" TargetMode="External"/><Relationship Id="rId419" Type="http://schemas.openxmlformats.org/officeDocument/2006/relationships/hyperlink" Target="https://my.zakupki.prom.ua/remote/dispatcher/state_purchase_view/11575518" TargetMode="External"/><Relationship Id="rId570" Type="http://schemas.openxmlformats.org/officeDocument/2006/relationships/hyperlink" Target="https://my.zakupki.prom.ua/remote/dispatcher/state_purchase_view/26153661" TargetMode="External"/><Relationship Id="rId591" Type="http://schemas.openxmlformats.org/officeDocument/2006/relationships/hyperlink" Target="https://auction.openprocurement.org/tenders/31762bd54e1d42189b1f140678016068" TargetMode="External"/><Relationship Id="rId605" Type="http://schemas.openxmlformats.org/officeDocument/2006/relationships/hyperlink" Target="https://my.zakupki.prom.ua/remote/dispatcher/state_purchase_view/17554251" TargetMode="External"/><Relationship Id="rId202" Type="http://schemas.openxmlformats.org/officeDocument/2006/relationships/hyperlink" Target="https://auction.openprocurement.org/tenders/444b24436e1749e797af040f63b62016" TargetMode="External"/><Relationship Id="rId223" Type="http://schemas.openxmlformats.org/officeDocument/2006/relationships/hyperlink" Target="https://my.zakupki.prom.ua/remote/dispatcher/state_purchase_view/21782361" TargetMode="External"/><Relationship Id="rId244" Type="http://schemas.openxmlformats.org/officeDocument/2006/relationships/hyperlink" Target="https://my.zakupki.prom.ua/remote/dispatcher/state_purchase_view/17891516" TargetMode="External"/><Relationship Id="rId430" Type="http://schemas.openxmlformats.org/officeDocument/2006/relationships/hyperlink" Target="https://auction.openprocurement.org/tenders/353fe8e9eeb9457ca9b5a50a4a59290e" TargetMode="External"/><Relationship Id="rId18" Type="http://schemas.openxmlformats.org/officeDocument/2006/relationships/hyperlink" Target="https://my.zakupki.prom.ua/remote/dispatcher/state_purchase_view/13966792" TargetMode="External"/><Relationship Id="rId39" Type="http://schemas.openxmlformats.org/officeDocument/2006/relationships/hyperlink" Target="https://my.zakupki.prom.ua/remote/dispatcher/state_purchase_view/26441018" TargetMode="External"/><Relationship Id="rId265" Type="http://schemas.openxmlformats.org/officeDocument/2006/relationships/hyperlink" Target="https://auction.openprocurement.org/tenders/22236afc6aac4664bd96679f84b462e4" TargetMode="External"/><Relationship Id="rId286" Type="http://schemas.openxmlformats.org/officeDocument/2006/relationships/hyperlink" Target="https://auction.openprocurement.org/tenders/1be7890066da498ab33ef87dd8934523" TargetMode="External"/><Relationship Id="rId451" Type="http://schemas.openxmlformats.org/officeDocument/2006/relationships/hyperlink" Target="https://my.zakupki.prom.ua/remote/dispatcher/state_purchase_view/17851082" TargetMode="External"/><Relationship Id="rId472" Type="http://schemas.openxmlformats.org/officeDocument/2006/relationships/hyperlink" Target="https://my.zakupki.prom.ua/remote/dispatcher/state_purchase_view/11193498" TargetMode="External"/><Relationship Id="rId493" Type="http://schemas.openxmlformats.org/officeDocument/2006/relationships/hyperlink" Target="https://my.zakupki.prom.ua/remote/dispatcher/state_purchase_view/14953883" TargetMode="External"/><Relationship Id="rId507" Type="http://schemas.openxmlformats.org/officeDocument/2006/relationships/hyperlink" Target="https://my.zakupki.prom.ua/remote/dispatcher/state_purchase_view/18933496" TargetMode="External"/><Relationship Id="rId528" Type="http://schemas.openxmlformats.org/officeDocument/2006/relationships/hyperlink" Target="https://my.zakupki.prom.ua/remote/dispatcher/state_purchase_view/12709098" TargetMode="External"/><Relationship Id="rId549" Type="http://schemas.openxmlformats.org/officeDocument/2006/relationships/hyperlink" Target="https://auction.openprocurement.org/tenders/ef28466ce52e425096100f0997ddbd74" TargetMode="External"/><Relationship Id="rId50" Type="http://schemas.openxmlformats.org/officeDocument/2006/relationships/hyperlink" Target="https://auction.openprocurement.org/tenders/219822578cf944e880965f297e5f578f" TargetMode="External"/><Relationship Id="rId104" Type="http://schemas.openxmlformats.org/officeDocument/2006/relationships/hyperlink" Target="https://my.zakupki.prom.ua/remote/dispatcher/state_purchase_view/16930048" TargetMode="External"/><Relationship Id="rId125" Type="http://schemas.openxmlformats.org/officeDocument/2006/relationships/hyperlink" Target="https://my.zakupki.prom.ua/remote/dispatcher/state_purchase_view/20163684" TargetMode="External"/><Relationship Id="rId146" Type="http://schemas.openxmlformats.org/officeDocument/2006/relationships/hyperlink" Target="https://my.zakupki.prom.ua/remote/dispatcher/state_purchase_view/24588929" TargetMode="External"/><Relationship Id="rId167" Type="http://schemas.openxmlformats.org/officeDocument/2006/relationships/hyperlink" Target="https://auction.openprocurement.org/tenders/f0df7ce2cadf455cac15c2f5ed1aab73" TargetMode="External"/><Relationship Id="rId188" Type="http://schemas.openxmlformats.org/officeDocument/2006/relationships/hyperlink" Target="https://my.zakupki.prom.ua/remote/dispatcher/state_purchase_view/22445445" TargetMode="External"/><Relationship Id="rId311" Type="http://schemas.openxmlformats.org/officeDocument/2006/relationships/hyperlink" Target="https://auction.openprocurement.org/tenders/1269eccdb5224e7cb41eac248053e3e0" TargetMode="External"/><Relationship Id="rId332" Type="http://schemas.openxmlformats.org/officeDocument/2006/relationships/hyperlink" Target="https://my.zakupki.prom.ua/remote/dispatcher/state_purchase_view/14437198" TargetMode="External"/><Relationship Id="rId353" Type="http://schemas.openxmlformats.org/officeDocument/2006/relationships/hyperlink" Target="https://my.zakupki.prom.ua/remote/dispatcher/state_purchase_view/22446520" TargetMode="External"/><Relationship Id="rId374" Type="http://schemas.openxmlformats.org/officeDocument/2006/relationships/hyperlink" Target="https://my.zakupki.prom.ua/remote/dispatcher/state_purchase_view/13286595" TargetMode="External"/><Relationship Id="rId395" Type="http://schemas.openxmlformats.org/officeDocument/2006/relationships/hyperlink" Target="https://my.zakupki.prom.ua/remote/dispatcher/state_purchase_view/19495890" TargetMode="External"/><Relationship Id="rId409" Type="http://schemas.openxmlformats.org/officeDocument/2006/relationships/hyperlink" Target="https://my.zakupki.prom.ua/remote/dispatcher/state_purchase_view/26071921" TargetMode="External"/><Relationship Id="rId560" Type="http://schemas.openxmlformats.org/officeDocument/2006/relationships/hyperlink" Target="https://my.zakupki.prom.ua/remote/dispatcher/state_purchase_view/15359813" TargetMode="External"/><Relationship Id="rId581" Type="http://schemas.openxmlformats.org/officeDocument/2006/relationships/hyperlink" Target="https://my.zakupki.prom.ua/remote/dispatcher/state_purchase_view/8458436" TargetMode="External"/><Relationship Id="rId71" Type="http://schemas.openxmlformats.org/officeDocument/2006/relationships/hyperlink" Target="https://my.zakupki.prom.ua/remote/dispatcher/state_purchase_view/20971813" TargetMode="External"/><Relationship Id="rId92" Type="http://schemas.openxmlformats.org/officeDocument/2006/relationships/hyperlink" Target="https://my.zakupki.prom.ua/remote/dispatcher/state_purchase_view/15194891" TargetMode="External"/><Relationship Id="rId213" Type="http://schemas.openxmlformats.org/officeDocument/2006/relationships/hyperlink" Target="https://my.zakupki.prom.ua/remote/dispatcher/state_purchase_view/12447051" TargetMode="External"/><Relationship Id="rId234" Type="http://schemas.openxmlformats.org/officeDocument/2006/relationships/hyperlink" Target="https://my.zakupki.prom.ua/remote/dispatcher/state_purchase_view/23039677" TargetMode="External"/><Relationship Id="rId420" Type="http://schemas.openxmlformats.org/officeDocument/2006/relationships/hyperlink" Target="https://my.zakupki.prom.ua/remote/dispatcher/state_purchase_view/15637229" TargetMode="External"/><Relationship Id="rId616" Type="http://schemas.openxmlformats.org/officeDocument/2006/relationships/hyperlink" Target="https://my.zakupki.prom.ua/remote/dispatcher/state_purchase_view/17976151" TargetMode="External"/><Relationship Id="rId2" Type="http://schemas.openxmlformats.org/officeDocument/2006/relationships/hyperlink" Target="https://my.zakupki.prom.ua/remote/dispatcher/state_purchase_view/8507114" TargetMode="External"/><Relationship Id="rId29" Type="http://schemas.openxmlformats.org/officeDocument/2006/relationships/hyperlink" Target="https://my.zakupki.prom.ua/remote/dispatcher/state_purchase_view/20915687" TargetMode="External"/><Relationship Id="rId255" Type="http://schemas.openxmlformats.org/officeDocument/2006/relationships/hyperlink" Target="https://my.zakupki.prom.ua/remote/dispatcher/state_purchase_view/15030249" TargetMode="External"/><Relationship Id="rId276" Type="http://schemas.openxmlformats.org/officeDocument/2006/relationships/hyperlink" Target="https://my.zakupki.prom.ua/remote/dispatcher/state_purchase_lot_view/456326" TargetMode="External"/><Relationship Id="rId297" Type="http://schemas.openxmlformats.org/officeDocument/2006/relationships/hyperlink" Target="https://my.zakupki.prom.ua/remote/dispatcher/state_purchase_view/20615611" TargetMode="External"/><Relationship Id="rId441" Type="http://schemas.openxmlformats.org/officeDocument/2006/relationships/hyperlink" Target="https://auction.openprocurement.org/tenders/aec918b65e144ce28d3f2fdb59e88f51" TargetMode="External"/><Relationship Id="rId462" Type="http://schemas.openxmlformats.org/officeDocument/2006/relationships/hyperlink" Target="https://my.zakupki.prom.ua/remote/dispatcher/state_purchase_view/23269062" TargetMode="External"/><Relationship Id="rId483" Type="http://schemas.openxmlformats.org/officeDocument/2006/relationships/hyperlink" Target="https://auction.openprocurement.org/tenders/b06394e0bd474395bdceb62ca92f4c45" TargetMode="External"/><Relationship Id="rId518" Type="http://schemas.openxmlformats.org/officeDocument/2006/relationships/hyperlink" Target="https://my.zakupki.prom.ua/remote/dispatcher/state_purchase_view/26600741" TargetMode="External"/><Relationship Id="rId539" Type="http://schemas.openxmlformats.org/officeDocument/2006/relationships/hyperlink" Target="https://my.zakupki.prom.ua/remote/dispatcher/state_purchase_view/19444644" TargetMode="External"/><Relationship Id="rId40" Type="http://schemas.openxmlformats.org/officeDocument/2006/relationships/hyperlink" Target="https://my.zakupki.prom.ua/remote/dispatcher/state_purchase_view/26219387" TargetMode="External"/><Relationship Id="rId115" Type="http://schemas.openxmlformats.org/officeDocument/2006/relationships/hyperlink" Target="https://my.zakupki.prom.ua/remote/dispatcher/state_purchase_view/8501641" TargetMode="External"/><Relationship Id="rId136" Type="http://schemas.openxmlformats.org/officeDocument/2006/relationships/hyperlink" Target="https://my.zakupki.prom.ua/remote/dispatcher/state_purchase_view/14173709" TargetMode="External"/><Relationship Id="rId157" Type="http://schemas.openxmlformats.org/officeDocument/2006/relationships/hyperlink" Target="https://auction.openprocurement.org/tenders/2405cc6003fb49b3b85fa9935be69c28" TargetMode="External"/><Relationship Id="rId178" Type="http://schemas.openxmlformats.org/officeDocument/2006/relationships/hyperlink" Target="https://auction.openprocurement.org/tenders/2f6c7406111d45cf89500e4684e912bb" TargetMode="External"/><Relationship Id="rId301" Type="http://schemas.openxmlformats.org/officeDocument/2006/relationships/hyperlink" Target="https://my.zakupki.prom.ua/remote/dispatcher/state_purchase_view/22942468" TargetMode="External"/><Relationship Id="rId322" Type="http://schemas.openxmlformats.org/officeDocument/2006/relationships/hyperlink" Target="https://my.zakupki.prom.ua/remote/dispatcher/state_purchase_view/10672939" TargetMode="External"/><Relationship Id="rId343" Type="http://schemas.openxmlformats.org/officeDocument/2006/relationships/hyperlink" Target="https://my.zakupki.prom.ua/remote/dispatcher/state_purchase_view/19612593" TargetMode="External"/><Relationship Id="rId364" Type="http://schemas.openxmlformats.org/officeDocument/2006/relationships/hyperlink" Target="https://auction.openprocurement.org/tenders/9b963ee925df444eacd5ccc4ba0d8c35" TargetMode="External"/><Relationship Id="rId550" Type="http://schemas.openxmlformats.org/officeDocument/2006/relationships/hyperlink" Target="https://my.zakupki.prom.ua/remote/dispatcher/state_purchase_view/22052120" TargetMode="External"/><Relationship Id="rId61" Type="http://schemas.openxmlformats.org/officeDocument/2006/relationships/hyperlink" Target="https://my.zakupki.prom.ua/remote/dispatcher/state_purchase_view/9594881" TargetMode="External"/><Relationship Id="rId82" Type="http://schemas.openxmlformats.org/officeDocument/2006/relationships/hyperlink" Target="https://auction.openprocurement.org/tenders/4ec23417de4d4997a14f0e76100e75a7" TargetMode="External"/><Relationship Id="rId199" Type="http://schemas.openxmlformats.org/officeDocument/2006/relationships/hyperlink" Target="https://my.zakupki.prom.ua/remote/dispatcher/state_purchase_view/25752376" TargetMode="External"/><Relationship Id="rId203" Type="http://schemas.openxmlformats.org/officeDocument/2006/relationships/hyperlink" Target="https://my.zakupki.prom.ua/remote/dispatcher/state_purchase_view/8987172" TargetMode="External"/><Relationship Id="rId385" Type="http://schemas.openxmlformats.org/officeDocument/2006/relationships/hyperlink" Target="https://my.zakupki.prom.ua/remote/dispatcher/state_purchase_view/14659741" TargetMode="External"/><Relationship Id="rId571" Type="http://schemas.openxmlformats.org/officeDocument/2006/relationships/hyperlink" Target="https://my.zakupki.prom.ua/remote/dispatcher/state_purchase_view/25165355" TargetMode="External"/><Relationship Id="rId592" Type="http://schemas.openxmlformats.org/officeDocument/2006/relationships/hyperlink" Target="https://my.zakupki.prom.ua/remote/dispatcher/state_purchase_view/9803402" TargetMode="External"/><Relationship Id="rId606" Type="http://schemas.openxmlformats.org/officeDocument/2006/relationships/hyperlink" Target="https://auction.openprocurement.org/tenders/0f26b61cdc304bc483317bbac0814a6c" TargetMode="External"/><Relationship Id="rId19" Type="http://schemas.openxmlformats.org/officeDocument/2006/relationships/hyperlink" Target="https://my.zakupki.prom.ua/remote/dispatcher/state_purchase_view/18270625" TargetMode="External"/><Relationship Id="rId224" Type="http://schemas.openxmlformats.org/officeDocument/2006/relationships/hyperlink" Target="https://my.zakupki.prom.ua/remote/dispatcher/state_purchase_view/14927334" TargetMode="External"/><Relationship Id="rId245" Type="http://schemas.openxmlformats.org/officeDocument/2006/relationships/hyperlink" Target="https://my.zakupki.prom.ua/remote/dispatcher/state_purchase_view/24588649" TargetMode="External"/><Relationship Id="rId266" Type="http://schemas.openxmlformats.org/officeDocument/2006/relationships/hyperlink" Target="https://my.zakupki.prom.ua/remote/dispatcher/state_purchase_view/20915112" TargetMode="External"/><Relationship Id="rId287" Type="http://schemas.openxmlformats.org/officeDocument/2006/relationships/hyperlink" Target="https://my.zakupki.prom.ua/remote/dispatcher/state_purchase_view/12600013" TargetMode="External"/><Relationship Id="rId410" Type="http://schemas.openxmlformats.org/officeDocument/2006/relationships/hyperlink" Target="https://my.zakupki.prom.ua/remote/dispatcher/state_purchase_view/21896543" TargetMode="External"/><Relationship Id="rId431" Type="http://schemas.openxmlformats.org/officeDocument/2006/relationships/hyperlink" Target="https://my.zakupki.prom.ua/remote/dispatcher/state_purchase_view/12233996" TargetMode="External"/><Relationship Id="rId452" Type="http://schemas.openxmlformats.org/officeDocument/2006/relationships/hyperlink" Target="https://auction.openprocurement.org/tenders/0d7edb442f5e447e9ad2ff1eaf55f5c9" TargetMode="External"/><Relationship Id="rId473" Type="http://schemas.openxmlformats.org/officeDocument/2006/relationships/hyperlink" Target="https://auction.openprocurement.org/tenders/1d205d5f57cd40f49db9ee92b6cef1fd" TargetMode="External"/><Relationship Id="rId494" Type="http://schemas.openxmlformats.org/officeDocument/2006/relationships/hyperlink" Target="https://my.zakupki.prom.ua/remote/dispatcher/state_purchase_view/14391152" TargetMode="External"/><Relationship Id="rId508" Type="http://schemas.openxmlformats.org/officeDocument/2006/relationships/hyperlink" Target="https://my.zakupki.prom.ua/remote/dispatcher/state_purchase_view/24040313" TargetMode="External"/><Relationship Id="rId529" Type="http://schemas.openxmlformats.org/officeDocument/2006/relationships/hyperlink" Target="https://my.zakupki.prom.ua/remote/dispatcher/state_purchase_view/12509481" TargetMode="External"/><Relationship Id="rId30" Type="http://schemas.openxmlformats.org/officeDocument/2006/relationships/hyperlink" Target="https://my.zakupki.prom.ua/remote/dispatcher/state_purchase_view/16588904" TargetMode="External"/><Relationship Id="rId105" Type="http://schemas.openxmlformats.org/officeDocument/2006/relationships/hyperlink" Target="https://my.zakupki.prom.ua/remote/dispatcher/state_purchase_view/19057599" TargetMode="External"/><Relationship Id="rId126" Type="http://schemas.openxmlformats.org/officeDocument/2006/relationships/hyperlink" Target="https://auction.openprocurement.org/tenders/2e247759b2c3462b888f0de6d3c3636a" TargetMode="External"/><Relationship Id="rId147" Type="http://schemas.openxmlformats.org/officeDocument/2006/relationships/hyperlink" Target="https://my.zakupki.prom.ua/remote/dispatcher/state_purchase_view/24480246" TargetMode="External"/><Relationship Id="rId168" Type="http://schemas.openxmlformats.org/officeDocument/2006/relationships/hyperlink" Target="https://my.zakupki.prom.ua/remote/dispatcher/state_purchase_view/17278471" TargetMode="External"/><Relationship Id="rId312" Type="http://schemas.openxmlformats.org/officeDocument/2006/relationships/hyperlink" Target="https://my.zakupki.prom.ua/remote/dispatcher/state_purchase_view/11505299" TargetMode="External"/><Relationship Id="rId333" Type="http://schemas.openxmlformats.org/officeDocument/2006/relationships/hyperlink" Target="https://my.zakupki.prom.ua/remote/dispatcher/state_purchase_view/14375960" TargetMode="External"/><Relationship Id="rId354" Type="http://schemas.openxmlformats.org/officeDocument/2006/relationships/hyperlink" Target="https://my.zakupki.prom.ua/remote/dispatcher/state_purchase_view/23327207" TargetMode="External"/><Relationship Id="rId540" Type="http://schemas.openxmlformats.org/officeDocument/2006/relationships/hyperlink" Target="https://my.zakupki.prom.ua/remote/dispatcher/state_purchase_view/9045037" TargetMode="External"/><Relationship Id="rId51" Type="http://schemas.openxmlformats.org/officeDocument/2006/relationships/hyperlink" Target="https://my.zakupki.prom.ua/remote/dispatcher/state_purchase_view/15907673" TargetMode="External"/><Relationship Id="rId72" Type="http://schemas.openxmlformats.org/officeDocument/2006/relationships/hyperlink" Target="https://my.zakupki.prom.ua/remote/dispatcher/state_purchase_view/19113086" TargetMode="External"/><Relationship Id="rId93" Type="http://schemas.openxmlformats.org/officeDocument/2006/relationships/hyperlink" Target="https://my.zakupki.prom.ua/remote/dispatcher/state_purchase_view/24103601" TargetMode="External"/><Relationship Id="rId189" Type="http://schemas.openxmlformats.org/officeDocument/2006/relationships/hyperlink" Target="https://my.zakupki.prom.ua/remote/dispatcher/state_purchase_view/22132404" TargetMode="External"/><Relationship Id="rId375" Type="http://schemas.openxmlformats.org/officeDocument/2006/relationships/hyperlink" Target="https://auction.openprocurement.org/tenders/83c02fff275e4a7ebf70e67714f7a248" TargetMode="External"/><Relationship Id="rId396" Type="http://schemas.openxmlformats.org/officeDocument/2006/relationships/hyperlink" Target="https://my.zakupki.prom.ua/remote/dispatcher/state_purchase_view/22045673" TargetMode="External"/><Relationship Id="rId561" Type="http://schemas.openxmlformats.org/officeDocument/2006/relationships/hyperlink" Target="https://my.zakupki.prom.ua/remote/dispatcher/state_purchase_view/15359416" TargetMode="External"/><Relationship Id="rId582" Type="http://schemas.openxmlformats.org/officeDocument/2006/relationships/hyperlink" Target="https://auction.openprocurement.org/tenders/5cbe3ebda917440e81a4f7cc0a5bf50c" TargetMode="External"/><Relationship Id="rId617" Type="http://schemas.openxmlformats.org/officeDocument/2006/relationships/hyperlink" Target="https://my.zakupki.prom.ua/remote/dispatcher/state_purchase_view/23416941" TargetMode="External"/><Relationship Id="rId3" Type="http://schemas.openxmlformats.org/officeDocument/2006/relationships/hyperlink" Target="https://my.zakupki.prom.ua/remote/dispatcher/state_purchase_view/12998253" TargetMode="External"/><Relationship Id="rId214" Type="http://schemas.openxmlformats.org/officeDocument/2006/relationships/hyperlink" Target="https://auction.openprocurement.org/tenders/956874b3479840ffbe6035b253f1bfdc" TargetMode="External"/><Relationship Id="rId235" Type="http://schemas.openxmlformats.org/officeDocument/2006/relationships/hyperlink" Target="https://my.zakupki.prom.ua/remote/dispatcher/state_purchase_view/21393000" TargetMode="External"/><Relationship Id="rId256" Type="http://schemas.openxmlformats.org/officeDocument/2006/relationships/hyperlink" Target="https://auction.openprocurement.org/tenders/d992d4f5bdee40358e7ee71b4d397845" TargetMode="External"/><Relationship Id="rId277" Type="http://schemas.openxmlformats.org/officeDocument/2006/relationships/hyperlink" Target="https://my.zakupki.prom.ua/remote/dispatcher/state_purchase_view/12234254" TargetMode="External"/><Relationship Id="rId298" Type="http://schemas.openxmlformats.org/officeDocument/2006/relationships/hyperlink" Target="https://auction.openprocurement.org/tenders/d2662b8384374137ad9b015ca0785aec" TargetMode="External"/><Relationship Id="rId400" Type="http://schemas.openxmlformats.org/officeDocument/2006/relationships/hyperlink" Target="https://my.zakupki.prom.ua/remote/dispatcher/state_purchase_view/18517989" TargetMode="External"/><Relationship Id="rId421" Type="http://schemas.openxmlformats.org/officeDocument/2006/relationships/hyperlink" Target="https://my.zakupki.prom.ua/remote/dispatcher/state_purchase_view/12865202" TargetMode="External"/><Relationship Id="rId442" Type="http://schemas.openxmlformats.org/officeDocument/2006/relationships/hyperlink" Target="https://my.zakupki.prom.ua/remote/dispatcher/state_purchase_view/20490874" TargetMode="External"/><Relationship Id="rId463" Type="http://schemas.openxmlformats.org/officeDocument/2006/relationships/hyperlink" Target="https://my.zakupki.prom.ua/remote/dispatcher/state_purchase_view/27392990" TargetMode="External"/><Relationship Id="rId484" Type="http://schemas.openxmlformats.org/officeDocument/2006/relationships/hyperlink" Target="https://my.zakupki.prom.ua/remote/dispatcher/state_purchase_view/17021310" TargetMode="External"/><Relationship Id="rId519" Type="http://schemas.openxmlformats.org/officeDocument/2006/relationships/hyperlink" Target="https://auction.openprocurement.org/tenders/b764c64b97d64cc483f04b39cea23e04" TargetMode="External"/><Relationship Id="rId116" Type="http://schemas.openxmlformats.org/officeDocument/2006/relationships/hyperlink" Target="https://my.zakupki.prom.ua/remote/dispatcher/state_purchase_view/8485714" TargetMode="External"/><Relationship Id="rId137" Type="http://schemas.openxmlformats.org/officeDocument/2006/relationships/hyperlink" Target="https://my.zakupki.prom.ua/remote/dispatcher/state_purchase_view/15164705" TargetMode="External"/><Relationship Id="rId158" Type="http://schemas.openxmlformats.org/officeDocument/2006/relationships/hyperlink" Target="https://my.zakupki.prom.ua/remote/dispatcher/state_purchase_view/13362374" TargetMode="External"/><Relationship Id="rId302" Type="http://schemas.openxmlformats.org/officeDocument/2006/relationships/hyperlink" Target="https://my.zakupki.prom.ua/remote/dispatcher/state_purchase_view/23397016" TargetMode="External"/><Relationship Id="rId323" Type="http://schemas.openxmlformats.org/officeDocument/2006/relationships/hyperlink" Target="https://auction.openprocurement.org/tenders/5d694f28f7b04d3ebee044b988d3d1dc" TargetMode="External"/><Relationship Id="rId344" Type="http://schemas.openxmlformats.org/officeDocument/2006/relationships/hyperlink" Target="https://auction.openprocurement.org/tenders/f0ee15c07769491e94f9790789d36750" TargetMode="External"/><Relationship Id="rId530" Type="http://schemas.openxmlformats.org/officeDocument/2006/relationships/hyperlink" Target="https://auction.openprocurement.org/tenders/c6005ea2956a4dbcbe1580048cf992fe" TargetMode="External"/><Relationship Id="rId20" Type="http://schemas.openxmlformats.org/officeDocument/2006/relationships/hyperlink" Target="https://my.zakupki.prom.ua/remote/dispatcher/state_purchase_view/14375621" TargetMode="External"/><Relationship Id="rId41" Type="http://schemas.openxmlformats.org/officeDocument/2006/relationships/hyperlink" Target="https://my.zakupki.prom.ua/remote/dispatcher/state_purchase_view/24877887" TargetMode="External"/><Relationship Id="rId62" Type="http://schemas.openxmlformats.org/officeDocument/2006/relationships/hyperlink" Target="https://my.zakupki.prom.ua/remote/dispatcher/state_purchase_view/22807214" TargetMode="External"/><Relationship Id="rId83" Type="http://schemas.openxmlformats.org/officeDocument/2006/relationships/hyperlink" Target="https://my.zakupki.prom.ua/remote/dispatcher/state_purchase_view/20161780" TargetMode="External"/><Relationship Id="rId179" Type="http://schemas.openxmlformats.org/officeDocument/2006/relationships/hyperlink" Target="https://my.zakupki.prom.ua/remote/dispatcher/state_purchase_view/18636062" TargetMode="External"/><Relationship Id="rId365" Type="http://schemas.openxmlformats.org/officeDocument/2006/relationships/hyperlink" Target="https://my.zakupki.prom.ua/remote/dispatcher/state_purchase_view/11659165" TargetMode="External"/><Relationship Id="rId386" Type="http://schemas.openxmlformats.org/officeDocument/2006/relationships/hyperlink" Target="https://my.zakupki.prom.ua/remote/dispatcher/state_purchase_view/22891581" TargetMode="External"/><Relationship Id="rId551" Type="http://schemas.openxmlformats.org/officeDocument/2006/relationships/hyperlink" Target="https://my.zakupki.prom.ua/remote/dispatcher/state_purchase_view/22245315" TargetMode="External"/><Relationship Id="rId572" Type="http://schemas.openxmlformats.org/officeDocument/2006/relationships/hyperlink" Target="https://auction.openprocurement.org/tenders/1ffb62f5bb9641c58519ed57ae0a72e3" TargetMode="External"/><Relationship Id="rId593" Type="http://schemas.openxmlformats.org/officeDocument/2006/relationships/hyperlink" Target="https://my.zakupki.prom.ua/remote/dispatcher/state_purchase_view/19119749" TargetMode="External"/><Relationship Id="rId607" Type="http://schemas.openxmlformats.org/officeDocument/2006/relationships/hyperlink" Target="https://my.zakupki.prom.ua/remote/dispatcher/state_purchase_view/16518918" TargetMode="External"/><Relationship Id="rId190" Type="http://schemas.openxmlformats.org/officeDocument/2006/relationships/hyperlink" Target="https://my.zakupki.prom.ua/remote/dispatcher/state_purchase_view/23446284" TargetMode="External"/><Relationship Id="rId204" Type="http://schemas.openxmlformats.org/officeDocument/2006/relationships/hyperlink" Target="https://my.zakupki.prom.ua/remote/dispatcher/state_purchase_view/13491559" TargetMode="External"/><Relationship Id="rId225" Type="http://schemas.openxmlformats.org/officeDocument/2006/relationships/hyperlink" Target="https://my.zakupki.prom.ua/remote/dispatcher/state_purchase_view/15416260" TargetMode="External"/><Relationship Id="rId246" Type="http://schemas.openxmlformats.org/officeDocument/2006/relationships/hyperlink" Target="https://my.zakupki.prom.ua/remote/dispatcher/state_purchase_view/22984449" TargetMode="External"/><Relationship Id="rId267" Type="http://schemas.openxmlformats.org/officeDocument/2006/relationships/hyperlink" Target="https://my.zakupki.prom.ua/remote/dispatcher/state_purchase_view/18270373" TargetMode="External"/><Relationship Id="rId288" Type="http://schemas.openxmlformats.org/officeDocument/2006/relationships/hyperlink" Target="https://auction.openprocurement.org/tenders/81a5f4bf5f04470ea8d7556dd029c1d7" TargetMode="External"/><Relationship Id="rId411" Type="http://schemas.openxmlformats.org/officeDocument/2006/relationships/hyperlink" Target="https://my.zakupki.prom.ua/remote/dispatcher/state_purchase_view/27883168" TargetMode="External"/><Relationship Id="rId432" Type="http://schemas.openxmlformats.org/officeDocument/2006/relationships/hyperlink" Target="https://auction.openprocurement.org/tenders/8b500423fb8449278c24e5ab6417873d" TargetMode="External"/><Relationship Id="rId453" Type="http://schemas.openxmlformats.org/officeDocument/2006/relationships/hyperlink" Target="https://my.zakupki.prom.ua/remote/dispatcher/state_purchase_view/19518330" TargetMode="External"/><Relationship Id="rId474" Type="http://schemas.openxmlformats.org/officeDocument/2006/relationships/hyperlink" Target="https://my.zakupki.prom.ua/remote/dispatcher/state_purchase_view/11034699" TargetMode="External"/><Relationship Id="rId509" Type="http://schemas.openxmlformats.org/officeDocument/2006/relationships/hyperlink" Target="https://my.zakupki.prom.ua/remote/dispatcher/state_purchase_view/24428301" TargetMode="External"/><Relationship Id="rId106" Type="http://schemas.openxmlformats.org/officeDocument/2006/relationships/hyperlink" Target="https://my.zakupki.prom.ua/remote/dispatcher/state_purchase_view/19651296" TargetMode="External"/><Relationship Id="rId127" Type="http://schemas.openxmlformats.org/officeDocument/2006/relationships/hyperlink" Target="https://my.zakupki.prom.ua/remote/dispatcher/state_purchase_view/20627600" TargetMode="External"/><Relationship Id="rId313" Type="http://schemas.openxmlformats.org/officeDocument/2006/relationships/hyperlink" Target="https://my.zakupki.prom.ua/remote/dispatcher/state_purchase_view/11476169" TargetMode="External"/><Relationship Id="rId495" Type="http://schemas.openxmlformats.org/officeDocument/2006/relationships/hyperlink" Target="https://auction.openprocurement.org/tenders/3a84508ad8a648eaa8ea82d76a76eb73" TargetMode="External"/><Relationship Id="rId10" Type="http://schemas.openxmlformats.org/officeDocument/2006/relationships/hyperlink" Target="https://auction.openprocurement.org/tenders/090b51d464514554aa02becf78afcafc" TargetMode="External"/><Relationship Id="rId31" Type="http://schemas.openxmlformats.org/officeDocument/2006/relationships/hyperlink" Target="https://auction.openprocurement.org/tenders/9d8cb0f150084bb1933b7e4a1de434ac" TargetMode="External"/><Relationship Id="rId52" Type="http://schemas.openxmlformats.org/officeDocument/2006/relationships/hyperlink" Target="https://my.zakupki.prom.ua/remote/dispatcher/state_purchase_view/13835943" TargetMode="External"/><Relationship Id="rId73" Type="http://schemas.openxmlformats.org/officeDocument/2006/relationships/hyperlink" Target="https://my.zakupki.prom.ua/remote/dispatcher/state_purchase_view/19037913" TargetMode="External"/><Relationship Id="rId94" Type="http://schemas.openxmlformats.org/officeDocument/2006/relationships/hyperlink" Target="https://my.zakupki.prom.ua/remote/dispatcher/state_purchase_view/24564216" TargetMode="External"/><Relationship Id="rId148" Type="http://schemas.openxmlformats.org/officeDocument/2006/relationships/hyperlink" Target="https://my.zakupki.prom.ua/remote/dispatcher/state_purchase_view/25457711" TargetMode="External"/><Relationship Id="rId169" Type="http://schemas.openxmlformats.org/officeDocument/2006/relationships/hyperlink" Target="https://my.zakupki.prom.ua/remote/dispatcher/state_purchase_view/9777902" TargetMode="External"/><Relationship Id="rId334" Type="http://schemas.openxmlformats.org/officeDocument/2006/relationships/hyperlink" Target="https://my.zakupki.prom.ua/remote/dispatcher/state_purchase_view/14375454" TargetMode="External"/><Relationship Id="rId355" Type="http://schemas.openxmlformats.org/officeDocument/2006/relationships/hyperlink" Target="https://auction.openprocurement.org/tenders/4ea96ccff18c49d185c23f6e3d42387c" TargetMode="External"/><Relationship Id="rId376" Type="http://schemas.openxmlformats.org/officeDocument/2006/relationships/hyperlink" Target="https://my.zakupki.prom.ua/remote/dispatcher/state_purchase_view/10029639" TargetMode="External"/><Relationship Id="rId397" Type="http://schemas.openxmlformats.org/officeDocument/2006/relationships/hyperlink" Target="https://my.zakupki.prom.ua/remote/dispatcher/state_purchase_view/24436186" TargetMode="External"/><Relationship Id="rId520" Type="http://schemas.openxmlformats.org/officeDocument/2006/relationships/hyperlink" Target="https://my.zakupki.prom.ua/remote/dispatcher/state_purchase_view/27625800" TargetMode="External"/><Relationship Id="rId541" Type="http://schemas.openxmlformats.org/officeDocument/2006/relationships/hyperlink" Target="https://my.zakupki.prom.ua/remote/dispatcher/state_purchase_view/8486213" TargetMode="External"/><Relationship Id="rId562" Type="http://schemas.openxmlformats.org/officeDocument/2006/relationships/hyperlink" Target="https://my.zakupki.prom.ua/remote/dispatcher/state_purchase_view/15264118" TargetMode="External"/><Relationship Id="rId583" Type="http://schemas.openxmlformats.org/officeDocument/2006/relationships/hyperlink" Target="https://my.zakupki.prom.ua/remote/dispatcher/state_purchase_view/8459382" TargetMode="External"/><Relationship Id="rId618" Type="http://schemas.openxmlformats.org/officeDocument/2006/relationships/hyperlink" Target="https://my.zakupki.prom.ua/remote/dispatcher/state_purchase_view/25598674" TargetMode="External"/><Relationship Id="rId4" Type="http://schemas.openxmlformats.org/officeDocument/2006/relationships/hyperlink" Target="https://my.zakupki.prom.ua/remote/dispatcher/state_purchase_view/19938924" TargetMode="External"/><Relationship Id="rId180" Type="http://schemas.openxmlformats.org/officeDocument/2006/relationships/hyperlink" Target="https://my.zakupki.prom.ua/remote/dispatcher/state_purchase_view/16597476" TargetMode="External"/><Relationship Id="rId215" Type="http://schemas.openxmlformats.org/officeDocument/2006/relationships/hyperlink" Target="https://my.zakupki.prom.ua/remote/dispatcher/state_purchase_view/19450168" TargetMode="External"/><Relationship Id="rId236" Type="http://schemas.openxmlformats.org/officeDocument/2006/relationships/hyperlink" Target="https://my.zakupki.prom.ua/remote/dispatcher/state_purchase_view/21037754" TargetMode="External"/><Relationship Id="rId257" Type="http://schemas.openxmlformats.org/officeDocument/2006/relationships/hyperlink" Target="https://my.zakupki.prom.ua/remote/dispatcher/state_purchase_view/15634732" TargetMode="External"/><Relationship Id="rId278" Type="http://schemas.openxmlformats.org/officeDocument/2006/relationships/hyperlink" Target="https://auction.openprocurement.org/tenders/2dd87de9383e4c5894c3e72c6c8b6af0" TargetMode="External"/><Relationship Id="rId401" Type="http://schemas.openxmlformats.org/officeDocument/2006/relationships/hyperlink" Target="https://my.zakupki.prom.ua/remote/dispatcher/state_purchase_view/17765041" TargetMode="External"/><Relationship Id="rId422" Type="http://schemas.openxmlformats.org/officeDocument/2006/relationships/hyperlink" Target="https://auction.openprocurement.org/tenders/f53ed4057e53479c9956c300912624d8" TargetMode="External"/><Relationship Id="rId443" Type="http://schemas.openxmlformats.org/officeDocument/2006/relationships/hyperlink" Target="https://my.zakupki.prom.ua/remote/dispatcher/state_purchase_view/15065420" TargetMode="External"/><Relationship Id="rId464" Type="http://schemas.openxmlformats.org/officeDocument/2006/relationships/hyperlink" Target="https://auctions.prozorro.gov.ua/tenders/d215d70855fa4646b230d6c558619e90" TargetMode="External"/><Relationship Id="rId303" Type="http://schemas.openxmlformats.org/officeDocument/2006/relationships/hyperlink" Target="https://auction.openprocurement.org/tenders/c64465d0c1434edf897e4d8bbea4f27c" TargetMode="External"/><Relationship Id="rId485" Type="http://schemas.openxmlformats.org/officeDocument/2006/relationships/hyperlink" Target="https://auction.openprocurement.org/tenders/1b7f920efcc84e208bd0712637056b35" TargetMode="External"/><Relationship Id="rId42" Type="http://schemas.openxmlformats.org/officeDocument/2006/relationships/hyperlink" Target="https://auction.openprocurement.org/tenders/4b9c81ae96f542e2b595f8001f56b638" TargetMode="External"/><Relationship Id="rId84" Type="http://schemas.openxmlformats.org/officeDocument/2006/relationships/hyperlink" Target="https://auction.openprocurement.org/tenders/df0cddb9f16147689c868af469860486" TargetMode="External"/><Relationship Id="rId138" Type="http://schemas.openxmlformats.org/officeDocument/2006/relationships/hyperlink" Target="https://my.zakupki.prom.ua/remote/dispatcher/state_purchase_view/16443186" TargetMode="External"/><Relationship Id="rId345" Type="http://schemas.openxmlformats.org/officeDocument/2006/relationships/hyperlink" Target="https://my.zakupki.prom.ua/remote/dispatcher/state_purchase_view/22829378" TargetMode="External"/><Relationship Id="rId387" Type="http://schemas.openxmlformats.org/officeDocument/2006/relationships/hyperlink" Target="https://my.zakupki.prom.ua/remote/dispatcher/state_purchase_view/14376127" TargetMode="External"/><Relationship Id="rId510" Type="http://schemas.openxmlformats.org/officeDocument/2006/relationships/hyperlink" Target="https://my.zakupki.prom.ua/remote/dispatcher/state_purchase_view/24698248" TargetMode="External"/><Relationship Id="rId552" Type="http://schemas.openxmlformats.org/officeDocument/2006/relationships/hyperlink" Target="https://my.zakupki.prom.ua/remote/dispatcher/state_purchase_view/23254234" TargetMode="External"/><Relationship Id="rId594" Type="http://schemas.openxmlformats.org/officeDocument/2006/relationships/hyperlink" Target="https://my.zakupki.prom.ua/remote/dispatcher/state_purchase_view/15609139" TargetMode="External"/><Relationship Id="rId608" Type="http://schemas.openxmlformats.org/officeDocument/2006/relationships/hyperlink" Target="https://my.zakupki.prom.ua/remote/dispatcher/state_purchase_view/16834205" TargetMode="External"/><Relationship Id="rId191" Type="http://schemas.openxmlformats.org/officeDocument/2006/relationships/hyperlink" Target="https://my.zakupki.prom.ua/remote/dispatcher/state_purchase_view/22910405" TargetMode="External"/><Relationship Id="rId205" Type="http://schemas.openxmlformats.org/officeDocument/2006/relationships/hyperlink" Target="https://my.zakupki.prom.ua/remote/dispatcher/state_purchase_view/9532929" TargetMode="External"/><Relationship Id="rId247" Type="http://schemas.openxmlformats.org/officeDocument/2006/relationships/hyperlink" Target="https://my.zakupki.prom.ua/remote/dispatcher/state_purchase_view/24006186" TargetMode="External"/><Relationship Id="rId412" Type="http://schemas.openxmlformats.org/officeDocument/2006/relationships/hyperlink" Target="https://my.zakupki.prom.ua/remote/dispatcher/state_purchase_view/28226878" TargetMode="External"/><Relationship Id="rId107" Type="http://schemas.openxmlformats.org/officeDocument/2006/relationships/hyperlink" Target="https://my.zakupki.prom.ua/remote/dispatcher/state_purchase_view/12785121" TargetMode="External"/><Relationship Id="rId289" Type="http://schemas.openxmlformats.org/officeDocument/2006/relationships/hyperlink" Target="https://my.zakupki.prom.ua/remote/dispatcher/state_purchase_view/11705066" TargetMode="External"/><Relationship Id="rId454" Type="http://schemas.openxmlformats.org/officeDocument/2006/relationships/hyperlink" Target="https://my.zakupki.prom.ua/remote/dispatcher/state_purchase_view/18979736" TargetMode="External"/><Relationship Id="rId496" Type="http://schemas.openxmlformats.org/officeDocument/2006/relationships/hyperlink" Target="https://my.zakupki.prom.ua/remote/dispatcher/state_purchase_view/19013480" TargetMode="External"/><Relationship Id="rId11" Type="http://schemas.openxmlformats.org/officeDocument/2006/relationships/hyperlink" Target="https://my.zakupki.prom.ua/remote/dispatcher/state_purchase_view/11597263" TargetMode="External"/><Relationship Id="rId53" Type="http://schemas.openxmlformats.org/officeDocument/2006/relationships/hyperlink" Target="https://my.zakupki.prom.ua/remote/dispatcher/state_purchase_view/12864972" TargetMode="External"/><Relationship Id="rId149" Type="http://schemas.openxmlformats.org/officeDocument/2006/relationships/hyperlink" Target="https://my.zakupki.prom.ua/remote/dispatcher/state_purchase_view/23277062" TargetMode="External"/><Relationship Id="rId314" Type="http://schemas.openxmlformats.org/officeDocument/2006/relationships/hyperlink" Target="https://auction.openprocurement.org/tenders/5fee5ca737bd449cbef6607d03b9f161" TargetMode="External"/><Relationship Id="rId356" Type="http://schemas.openxmlformats.org/officeDocument/2006/relationships/hyperlink" Target="https://my.zakupki.prom.ua/remote/dispatcher/state_purchase_view/24671920" TargetMode="External"/><Relationship Id="rId398" Type="http://schemas.openxmlformats.org/officeDocument/2006/relationships/hyperlink" Target="https://auction.openprocurement.org/tenders/c0d09ac1c19d4f11bad616ee5a4544e4" TargetMode="External"/><Relationship Id="rId521" Type="http://schemas.openxmlformats.org/officeDocument/2006/relationships/hyperlink" Target="https://auction.openprocurement.org/tenders/e8965efd75284b6ea29d1dada4551fd8" TargetMode="External"/><Relationship Id="rId563" Type="http://schemas.openxmlformats.org/officeDocument/2006/relationships/hyperlink" Target="https://my.zakupki.prom.ua/remote/dispatcher/state_purchase_view/15191426" TargetMode="External"/><Relationship Id="rId619" Type="http://schemas.openxmlformats.org/officeDocument/2006/relationships/hyperlink" Target="https://my.zakupki.prom.ua/remote/dispatcher/state_purchase_view/26027196" TargetMode="External"/><Relationship Id="rId95" Type="http://schemas.openxmlformats.org/officeDocument/2006/relationships/hyperlink" Target="https://my.zakupki.prom.ua/remote/dispatcher/state_purchase_view/25597716" TargetMode="External"/><Relationship Id="rId160" Type="http://schemas.openxmlformats.org/officeDocument/2006/relationships/hyperlink" Target="https://my.zakupki.prom.ua/remote/dispatcher/state_purchase_view/9997273" TargetMode="External"/><Relationship Id="rId216" Type="http://schemas.openxmlformats.org/officeDocument/2006/relationships/hyperlink" Target="https://my.zakupki.prom.ua/remote/dispatcher/state_purchase_view/12508788" TargetMode="External"/><Relationship Id="rId423" Type="http://schemas.openxmlformats.org/officeDocument/2006/relationships/hyperlink" Target="https://my.zakupki.prom.ua/remote/dispatcher/state_purchase_view/13474560" TargetMode="External"/><Relationship Id="rId258" Type="http://schemas.openxmlformats.org/officeDocument/2006/relationships/hyperlink" Target="https://my.zakupki.prom.ua/remote/dispatcher/state_purchase_view/17689504" TargetMode="External"/><Relationship Id="rId465" Type="http://schemas.openxmlformats.org/officeDocument/2006/relationships/hyperlink" Target="https://my.zakupki.prom.ua/remote/dispatcher/state_purchase_view/11489053" TargetMode="External"/><Relationship Id="rId22" Type="http://schemas.openxmlformats.org/officeDocument/2006/relationships/hyperlink" Target="https://auction.openprocurement.org/tenders/06126c1b6f684c11bb8c106389bede09" TargetMode="External"/><Relationship Id="rId64" Type="http://schemas.openxmlformats.org/officeDocument/2006/relationships/hyperlink" Target="https://my.zakupki.prom.ua/remote/dispatcher/state_purchase_view/18818544" TargetMode="External"/><Relationship Id="rId118" Type="http://schemas.openxmlformats.org/officeDocument/2006/relationships/hyperlink" Target="https://my.zakupki.prom.ua/remote/dispatcher/state_purchase_view/11304666" TargetMode="External"/><Relationship Id="rId325" Type="http://schemas.openxmlformats.org/officeDocument/2006/relationships/hyperlink" Target="https://auction.openprocurement.org/tenders/45b560c79c7e41ba8b3d157d5619098d" TargetMode="External"/><Relationship Id="rId367" Type="http://schemas.openxmlformats.org/officeDocument/2006/relationships/hyperlink" Target="https://auction.openprocurement.org/tenders/11b2de4e0ec54d0988459dec3468b217" TargetMode="External"/><Relationship Id="rId532" Type="http://schemas.openxmlformats.org/officeDocument/2006/relationships/hyperlink" Target="https://auction.openprocurement.org/tenders/a42960c5a31845948f3ab86a72f03f74" TargetMode="External"/><Relationship Id="rId574" Type="http://schemas.openxmlformats.org/officeDocument/2006/relationships/hyperlink" Target="https://my.zakupki.prom.ua/remote/dispatcher/state_purchase_view/24056552" TargetMode="External"/><Relationship Id="rId171" Type="http://schemas.openxmlformats.org/officeDocument/2006/relationships/hyperlink" Target="https://my.zakupki.prom.ua/remote/dispatcher/state_purchase_view/11959920" TargetMode="External"/><Relationship Id="rId227" Type="http://schemas.openxmlformats.org/officeDocument/2006/relationships/hyperlink" Target="https://my.zakupki.prom.ua/remote/dispatcher/state_purchase_view/15729806" TargetMode="External"/><Relationship Id="rId269" Type="http://schemas.openxmlformats.org/officeDocument/2006/relationships/hyperlink" Target="https://my.zakupki.prom.ua/remote/dispatcher/state_purchase_view/19618159" TargetMode="External"/><Relationship Id="rId434" Type="http://schemas.openxmlformats.org/officeDocument/2006/relationships/hyperlink" Target="https://my.zakupki.prom.ua/remote/dispatcher/state_purchase_view/22823300" TargetMode="External"/><Relationship Id="rId476" Type="http://schemas.openxmlformats.org/officeDocument/2006/relationships/hyperlink" Target="https://my.zakupki.prom.ua/remote/dispatcher/state_purchase_view/11283968" TargetMode="External"/><Relationship Id="rId33" Type="http://schemas.openxmlformats.org/officeDocument/2006/relationships/hyperlink" Target="https://my.zakupki.prom.ua/remote/dispatcher/state_purchase_view/23138816" TargetMode="External"/><Relationship Id="rId129" Type="http://schemas.openxmlformats.org/officeDocument/2006/relationships/hyperlink" Target="https://my.zakupki.prom.ua/remote/dispatcher/state_purchase_view/16195711" TargetMode="External"/><Relationship Id="rId280" Type="http://schemas.openxmlformats.org/officeDocument/2006/relationships/hyperlink" Target="https://auction.openprocurement.org/tenders/a8c977731b184ff78c90e6355a412a16" TargetMode="External"/><Relationship Id="rId336" Type="http://schemas.openxmlformats.org/officeDocument/2006/relationships/hyperlink" Target="https://my.zakupki.prom.ua/remote/dispatcher/state_purchase_view/21427512" TargetMode="External"/><Relationship Id="rId501" Type="http://schemas.openxmlformats.org/officeDocument/2006/relationships/hyperlink" Target="https://my.zakupki.prom.ua/remote/dispatcher/state_purchase_view/19658799" TargetMode="External"/><Relationship Id="rId543" Type="http://schemas.openxmlformats.org/officeDocument/2006/relationships/hyperlink" Target="https://my.zakupki.prom.ua/remote/dispatcher/state_purchase_view/9777374" TargetMode="External"/><Relationship Id="rId75" Type="http://schemas.openxmlformats.org/officeDocument/2006/relationships/hyperlink" Target="https://auction.openprocurement.org/tenders/915949f56453448dbb6e41d4e10be6c8" TargetMode="External"/><Relationship Id="rId140" Type="http://schemas.openxmlformats.org/officeDocument/2006/relationships/hyperlink" Target="https://my.zakupki.prom.ua/remote/dispatcher/state_purchase_view/22909323" TargetMode="External"/><Relationship Id="rId182" Type="http://schemas.openxmlformats.org/officeDocument/2006/relationships/hyperlink" Target="https://my.zakupki.prom.ua/remote/dispatcher/state_purchase_view/15798408" TargetMode="External"/><Relationship Id="rId378" Type="http://schemas.openxmlformats.org/officeDocument/2006/relationships/hyperlink" Target="https://my.zakupki.prom.ua/remote/dispatcher/state_purchase_view/8485448" TargetMode="External"/><Relationship Id="rId403" Type="http://schemas.openxmlformats.org/officeDocument/2006/relationships/hyperlink" Target="https://my.zakupki.prom.ua/remote/dispatcher/state_purchase_view/25991086" TargetMode="External"/><Relationship Id="rId585" Type="http://schemas.openxmlformats.org/officeDocument/2006/relationships/hyperlink" Target="https://auction.openprocurement.org/tenders/402533dc4ab54de5bd003ffdc1ef97a9" TargetMode="External"/><Relationship Id="rId6" Type="http://schemas.openxmlformats.org/officeDocument/2006/relationships/hyperlink" Target="https://my.zakupki.prom.ua/remote/dispatcher/state_purchase_view/12451506" TargetMode="External"/><Relationship Id="rId238" Type="http://schemas.openxmlformats.org/officeDocument/2006/relationships/hyperlink" Target="https://my.zakupki.prom.ua/remote/dispatcher/state_purchase_view/23252822" TargetMode="External"/><Relationship Id="rId445" Type="http://schemas.openxmlformats.org/officeDocument/2006/relationships/hyperlink" Target="https://my.zakupki.prom.ua/remote/dispatcher/state_purchase_view/16520592" TargetMode="External"/><Relationship Id="rId487" Type="http://schemas.openxmlformats.org/officeDocument/2006/relationships/hyperlink" Target="https://my.zakupki.prom.ua/remote/dispatcher/state_purchase_view/15743740" TargetMode="External"/><Relationship Id="rId610" Type="http://schemas.openxmlformats.org/officeDocument/2006/relationships/hyperlink" Target="https://my.zakupki.prom.ua/remote/dispatcher/state_purchase_view/22131138" TargetMode="External"/><Relationship Id="rId291" Type="http://schemas.openxmlformats.org/officeDocument/2006/relationships/hyperlink" Target="https://auction.openprocurement.org/tenders/dee5e5590df743988bb3a7a22fa0703d_9f5f5c423d154435858ac5a4206eaf51" TargetMode="External"/><Relationship Id="rId305" Type="http://schemas.openxmlformats.org/officeDocument/2006/relationships/hyperlink" Target="https://my.zakupki.prom.ua/remote/dispatcher/state_purchase_view/12234131" TargetMode="External"/><Relationship Id="rId347" Type="http://schemas.openxmlformats.org/officeDocument/2006/relationships/hyperlink" Target="https://my.zakupki.prom.ua/remote/dispatcher/state_purchase_view/22198513" TargetMode="External"/><Relationship Id="rId512" Type="http://schemas.openxmlformats.org/officeDocument/2006/relationships/hyperlink" Target="https://my.zakupki.prom.ua/remote/dispatcher/state_purchase_view/27361590" TargetMode="External"/><Relationship Id="rId44" Type="http://schemas.openxmlformats.org/officeDocument/2006/relationships/hyperlink" Target="https://my.zakupki.prom.ua/remote/dispatcher/state_purchase_view/27516752" TargetMode="External"/><Relationship Id="rId86" Type="http://schemas.openxmlformats.org/officeDocument/2006/relationships/hyperlink" Target="https://my.zakupki.prom.ua/remote/dispatcher/state_purchase_view/14751394" TargetMode="External"/><Relationship Id="rId151" Type="http://schemas.openxmlformats.org/officeDocument/2006/relationships/hyperlink" Target="https://my.zakupki.prom.ua/remote/dispatcher/state_purchase_view/8446492" TargetMode="External"/><Relationship Id="rId389" Type="http://schemas.openxmlformats.org/officeDocument/2006/relationships/hyperlink" Target="https://my.zakupki.prom.ua/remote/dispatcher/state_purchase_view/22016115" TargetMode="External"/><Relationship Id="rId554" Type="http://schemas.openxmlformats.org/officeDocument/2006/relationships/hyperlink" Target="https://my.zakupki.prom.ua/remote/dispatcher/state_purchase_view/19657840" TargetMode="External"/><Relationship Id="rId596" Type="http://schemas.openxmlformats.org/officeDocument/2006/relationships/hyperlink" Target="https://my.zakupki.prom.ua/remote/dispatcher/state_purchase_view/22287818" TargetMode="External"/><Relationship Id="rId193" Type="http://schemas.openxmlformats.org/officeDocument/2006/relationships/hyperlink" Target="https://my.zakupki.prom.ua/remote/dispatcher/state_purchase_view/14994678" TargetMode="External"/><Relationship Id="rId207" Type="http://schemas.openxmlformats.org/officeDocument/2006/relationships/hyperlink" Target="https://auction.openprocurement.org/tenders/32fc8a50bdca499ca9b1371566d73e7a" TargetMode="External"/><Relationship Id="rId249" Type="http://schemas.openxmlformats.org/officeDocument/2006/relationships/hyperlink" Target="https://my.zakupki.prom.ua/remote/dispatcher/state_purchase_view/26941302" TargetMode="External"/><Relationship Id="rId414" Type="http://schemas.openxmlformats.org/officeDocument/2006/relationships/hyperlink" Target="https://my.zakupki.prom.ua/remote/dispatcher/state_purchase_view/9206699" TargetMode="External"/><Relationship Id="rId456" Type="http://schemas.openxmlformats.org/officeDocument/2006/relationships/hyperlink" Target="https://my.zakupki.prom.ua/remote/dispatcher/state_purchase_view/16038907" TargetMode="External"/><Relationship Id="rId498" Type="http://schemas.openxmlformats.org/officeDocument/2006/relationships/hyperlink" Target="https://my.zakupki.prom.ua/remote/dispatcher/state_purchase_view/15220655" TargetMode="External"/><Relationship Id="rId13" Type="http://schemas.openxmlformats.org/officeDocument/2006/relationships/hyperlink" Target="https://my.zakupki.prom.ua/remote/dispatcher/state_purchase_view/16521808" TargetMode="External"/><Relationship Id="rId109" Type="http://schemas.openxmlformats.org/officeDocument/2006/relationships/hyperlink" Target="https://my.zakupki.prom.ua/remote/dispatcher/state_purchase_view/13228428" TargetMode="External"/><Relationship Id="rId260" Type="http://schemas.openxmlformats.org/officeDocument/2006/relationships/hyperlink" Target="https://auction.openprocurement.org/tenders/2acead8d0ea24dbd9c68093a03d50e39" TargetMode="External"/><Relationship Id="rId316" Type="http://schemas.openxmlformats.org/officeDocument/2006/relationships/hyperlink" Target="https://auction.openprocurement.org/tenders/37ec91b36878447e9e3c38c173c0f838" TargetMode="External"/><Relationship Id="rId523" Type="http://schemas.openxmlformats.org/officeDocument/2006/relationships/hyperlink" Target="https://my.zakupki.prom.ua/remote/dispatcher/state_purchase_view/13491268" TargetMode="External"/><Relationship Id="rId55" Type="http://schemas.openxmlformats.org/officeDocument/2006/relationships/hyperlink" Target="https://auction.openprocurement.org/tenders/dc45459ddf4b48d6aa13fbcb81b2dcf8" TargetMode="External"/><Relationship Id="rId97" Type="http://schemas.openxmlformats.org/officeDocument/2006/relationships/hyperlink" Target="https://my.zakupki.prom.ua/remote/dispatcher/state_purchase_view/9668856" TargetMode="External"/><Relationship Id="rId120" Type="http://schemas.openxmlformats.org/officeDocument/2006/relationships/hyperlink" Target="https://auction.openprocurement.org/tenders/cedd995a5ddf4837b47cf62e487baefe" TargetMode="External"/><Relationship Id="rId358" Type="http://schemas.openxmlformats.org/officeDocument/2006/relationships/hyperlink" Target="https://my.zakupki.prom.ua/remote/dispatcher/state_purchase_view/27957283" TargetMode="External"/><Relationship Id="rId565" Type="http://schemas.openxmlformats.org/officeDocument/2006/relationships/hyperlink" Target="https://my.zakupki.prom.ua/remote/dispatcher/state_purchase_view/24206673" TargetMode="External"/><Relationship Id="rId162" Type="http://schemas.openxmlformats.org/officeDocument/2006/relationships/hyperlink" Target="https://my.zakupki.prom.ua/remote/dispatcher/state_purchase_view/11511457" TargetMode="External"/><Relationship Id="rId218" Type="http://schemas.openxmlformats.org/officeDocument/2006/relationships/hyperlink" Target="https://my.zakupki.prom.ua/remote/dispatcher/state_purchase_view/9109528" TargetMode="External"/><Relationship Id="rId425" Type="http://schemas.openxmlformats.org/officeDocument/2006/relationships/hyperlink" Target="https://my.zakupki.prom.ua/remote/dispatcher/state_purchase_view/12142300" TargetMode="External"/><Relationship Id="rId467" Type="http://schemas.openxmlformats.org/officeDocument/2006/relationships/hyperlink" Target="https://my.zakupki.prom.ua/remote/dispatcher/state_purchase_view/12771158" TargetMode="External"/><Relationship Id="rId271" Type="http://schemas.openxmlformats.org/officeDocument/2006/relationships/hyperlink" Target="https://my.zakupki.prom.ua/remote/dispatcher/state_purchase_view/10611612" TargetMode="External"/><Relationship Id="rId24" Type="http://schemas.openxmlformats.org/officeDocument/2006/relationships/hyperlink" Target="https://auction.openprocurement.org/tenders/21afd3be8e9d4685bd69782b857773c5" TargetMode="External"/><Relationship Id="rId66" Type="http://schemas.openxmlformats.org/officeDocument/2006/relationships/hyperlink" Target="https://my.zakupki.prom.ua/remote/dispatcher/state_purchase_view/21838119" TargetMode="External"/><Relationship Id="rId131" Type="http://schemas.openxmlformats.org/officeDocument/2006/relationships/hyperlink" Target="https://my.zakupki.prom.ua/remote/dispatcher/state_purchase_view/15802511" TargetMode="External"/><Relationship Id="rId327" Type="http://schemas.openxmlformats.org/officeDocument/2006/relationships/hyperlink" Target="https://my.zakupki.prom.ua/remote/dispatcher/state_purchase_view/14450412" TargetMode="External"/><Relationship Id="rId369" Type="http://schemas.openxmlformats.org/officeDocument/2006/relationships/hyperlink" Target="https://my.zakupki.prom.ua/remote/dispatcher/state_purchase_view/12370837" TargetMode="External"/><Relationship Id="rId534" Type="http://schemas.openxmlformats.org/officeDocument/2006/relationships/hyperlink" Target="https://my.zakupki.prom.ua/remote/dispatcher/state_purchase_view/11907305" TargetMode="External"/><Relationship Id="rId576" Type="http://schemas.openxmlformats.org/officeDocument/2006/relationships/hyperlink" Target="https://my.zakupki.prom.ua/remote/dispatcher/state_purchase_view/14190064" TargetMode="External"/><Relationship Id="rId173" Type="http://schemas.openxmlformats.org/officeDocument/2006/relationships/hyperlink" Target="https://my.zakupki.prom.ua/remote/dispatcher/state_purchase_view/12840205" TargetMode="External"/><Relationship Id="rId229" Type="http://schemas.openxmlformats.org/officeDocument/2006/relationships/hyperlink" Target="https://my.zakupki.prom.ua/remote/dispatcher/state_purchase_view/20026222" TargetMode="External"/><Relationship Id="rId380" Type="http://schemas.openxmlformats.org/officeDocument/2006/relationships/hyperlink" Target="https://my.zakupki.prom.ua/remote/dispatcher/state_purchase_view/12762627" TargetMode="External"/><Relationship Id="rId436" Type="http://schemas.openxmlformats.org/officeDocument/2006/relationships/hyperlink" Target="https://my.zakupki.prom.ua/remote/dispatcher/state_purchase_view/21747852" TargetMode="External"/><Relationship Id="rId601" Type="http://schemas.openxmlformats.org/officeDocument/2006/relationships/hyperlink" Target="https://auction.openprocurement.org/tenders/d8a2aa2cc3444a1cb899d2cfc36644bd" TargetMode="External"/><Relationship Id="rId240" Type="http://schemas.openxmlformats.org/officeDocument/2006/relationships/hyperlink" Target="https://auction.openprocurement.org/tenders/a65107e13ee447978561c5ccfc3eb6a2" TargetMode="External"/><Relationship Id="rId478" Type="http://schemas.openxmlformats.org/officeDocument/2006/relationships/hyperlink" Target="https://auction.openprocurement.org/tenders/6942704bc7174fb2844d102c9c387bb4" TargetMode="External"/><Relationship Id="rId35" Type="http://schemas.openxmlformats.org/officeDocument/2006/relationships/hyperlink" Target="https://my.zakupki.prom.ua/remote/dispatcher/state_purchase_view/24977888" TargetMode="External"/><Relationship Id="rId77" Type="http://schemas.openxmlformats.org/officeDocument/2006/relationships/hyperlink" Target="https://my.zakupki.prom.ua/remote/dispatcher/state_purchase_view/15905999" TargetMode="External"/><Relationship Id="rId100" Type="http://schemas.openxmlformats.org/officeDocument/2006/relationships/hyperlink" Target="https://auction.openprocurement.org/tenders/0928b321008c4e65879d6153f259725a" TargetMode="External"/><Relationship Id="rId282" Type="http://schemas.openxmlformats.org/officeDocument/2006/relationships/hyperlink" Target="https://auction.openprocurement.org/tenders/84af9ed95de74eb1a29758063e51023a" TargetMode="External"/><Relationship Id="rId338" Type="http://schemas.openxmlformats.org/officeDocument/2006/relationships/hyperlink" Target="https://my.zakupki.prom.ua/remote/dispatcher/state_purchase_view/20914537" TargetMode="External"/><Relationship Id="rId503" Type="http://schemas.openxmlformats.org/officeDocument/2006/relationships/hyperlink" Target="https://my.zakupki.prom.ua/remote/dispatcher/state_purchase_view/19619864" TargetMode="External"/><Relationship Id="rId545" Type="http://schemas.openxmlformats.org/officeDocument/2006/relationships/hyperlink" Target="https://my.zakupki.prom.ua/remote/dispatcher/state_purchase_view/21718595" TargetMode="External"/><Relationship Id="rId587" Type="http://schemas.openxmlformats.org/officeDocument/2006/relationships/hyperlink" Target="https://auction.openprocurement.org/tenders/09a8d6cd7ced47bea025d4c1be4c9fb3" TargetMode="External"/><Relationship Id="rId8" Type="http://schemas.openxmlformats.org/officeDocument/2006/relationships/hyperlink" Target="https://my.zakupki.prom.ua/remote/dispatcher/state_purchase_view/11039861" TargetMode="External"/><Relationship Id="rId142" Type="http://schemas.openxmlformats.org/officeDocument/2006/relationships/hyperlink" Target="https://my.zakupki.prom.ua/remote/dispatcher/state_purchase_view/25267230" TargetMode="External"/><Relationship Id="rId184" Type="http://schemas.openxmlformats.org/officeDocument/2006/relationships/hyperlink" Target="https://my.zakupki.prom.ua/remote/dispatcher/state_purchase_view/14708087" TargetMode="External"/><Relationship Id="rId391" Type="http://schemas.openxmlformats.org/officeDocument/2006/relationships/hyperlink" Target="https://my.zakupki.prom.ua/remote/dispatcher/state_purchase_view/14878555" TargetMode="External"/><Relationship Id="rId405" Type="http://schemas.openxmlformats.org/officeDocument/2006/relationships/hyperlink" Target="https://my.zakupki.prom.ua/remote/dispatcher/state_purchase_view/25711805" TargetMode="External"/><Relationship Id="rId447" Type="http://schemas.openxmlformats.org/officeDocument/2006/relationships/hyperlink" Target="https://my.zakupki.prom.ua/remote/dispatcher/state_purchase_view/16557583" TargetMode="External"/><Relationship Id="rId612" Type="http://schemas.openxmlformats.org/officeDocument/2006/relationships/hyperlink" Target="https://my.zakupki.prom.ua/remote/dispatcher/state_purchase_view/21978699" TargetMode="External"/><Relationship Id="rId251" Type="http://schemas.openxmlformats.org/officeDocument/2006/relationships/hyperlink" Target="https://my.zakupki.prom.ua/remote/dispatcher/state_purchase_view/18122268" TargetMode="External"/><Relationship Id="rId489" Type="http://schemas.openxmlformats.org/officeDocument/2006/relationships/hyperlink" Target="https://my.zakupki.prom.ua/remote/dispatcher/state_purchase_view/18781229" TargetMode="External"/><Relationship Id="rId46" Type="http://schemas.openxmlformats.org/officeDocument/2006/relationships/hyperlink" Target="https://my.zakupki.prom.ua/remote/dispatcher/state_purchase_view/8485930" TargetMode="External"/><Relationship Id="rId293" Type="http://schemas.openxmlformats.org/officeDocument/2006/relationships/hyperlink" Target="https://my.zakupki.prom.ua/remote/dispatcher/state_purchase_lot_view/452331" TargetMode="External"/><Relationship Id="rId307" Type="http://schemas.openxmlformats.org/officeDocument/2006/relationships/hyperlink" Target="https://my.zakupki.prom.ua/remote/dispatcher/state_purchase_view/10374815" TargetMode="External"/><Relationship Id="rId349" Type="http://schemas.openxmlformats.org/officeDocument/2006/relationships/hyperlink" Target="https://my.zakupki.prom.ua/remote/dispatcher/state_purchase_view/22896321" TargetMode="External"/><Relationship Id="rId514" Type="http://schemas.openxmlformats.org/officeDocument/2006/relationships/hyperlink" Target="https://auction.openprocurement.org/tenders/7f97cb92f95947cb9c17b28f01768c6c_41053cc8d43d4edfaccef418c23c1a04" TargetMode="External"/><Relationship Id="rId556" Type="http://schemas.openxmlformats.org/officeDocument/2006/relationships/hyperlink" Target="https://my.zakupki.prom.ua/remote/dispatcher/state_purchase_view/18636900" TargetMode="External"/><Relationship Id="rId88" Type="http://schemas.openxmlformats.org/officeDocument/2006/relationships/hyperlink" Target="https://auction.openprocurement.org/tenders/59c2726ebcfa4e5c9afb286efc5ad283" TargetMode="External"/><Relationship Id="rId111" Type="http://schemas.openxmlformats.org/officeDocument/2006/relationships/hyperlink" Target="https://my.zakupki.prom.ua/remote/dispatcher/state_purchase_view/13441626" TargetMode="External"/><Relationship Id="rId153" Type="http://schemas.openxmlformats.org/officeDocument/2006/relationships/hyperlink" Target="https://my.zakupki.prom.ua/remote/dispatcher/state_purchase_view/8400821" TargetMode="External"/><Relationship Id="rId195" Type="http://schemas.openxmlformats.org/officeDocument/2006/relationships/hyperlink" Target="https://my.zakupki.prom.ua/remote/dispatcher/state_purchase_view/25507036" TargetMode="External"/><Relationship Id="rId209" Type="http://schemas.openxmlformats.org/officeDocument/2006/relationships/hyperlink" Target="https://my.zakupki.prom.ua/remote/dispatcher/state_purchase_view/13606136" TargetMode="External"/><Relationship Id="rId360" Type="http://schemas.openxmlformats.org/officeDocument/2006/relationships/hyperlink" Target="https://my.zakupki.prom.ua/remote/dispatcher/state_purchase_view/12998775" TargetMode="External"/><Relationship Id="rId416" Type="http://schemas.openxmlformats.org/officeDocument/2006/relationships/hyperlink" Target="https://auction.openprocurement.org/tenders/99efaeed9bd04738acbd461bdb528950" TargetMode="External"/><Relationship Id="rId598" Type="http://schemas.openxmlformats.org/officeDocument/2006/relationships/hyperlink" Target="https://my.zakupki.prom.ua/remote/dispatcher/state_purchase_view/22289800" TargetMode="External"/><Relationship Id="rId220" Type="http://schemas.openxmlformats.org/officeDocument/2006/relationships/hyperlink" Target="https://my.zakupki.prom.ua/remote/dispatcher/state_purchase_view/10565266" TargetMode="External"/><Relationship Id="rId458" Type="http://schemas.openxmlformats.org/officeDocument/2006/relationships/hyperlink" Target="https://my.zakupki.prom.ua/remote/dispatcher/state_purchase_view/15675233" TargetMode="External"/><Relationship Id="rId15" Type="http://schemas.openxmlformats.org/officeDocument/2006/relationships/hyperlink" Target="https://my.zakupki.prom.ua/remote/dispatcher/state_purchase_view/18874016" TargetMode="External"/><Relationship Id="rId57" Type="http://schemas.openxmlformats.org/officeDocument/2006/relationships/hyperlink" Target="https://auction.openprocurement.org/tenders/0d345ca4a87f4140803aebb48ec430e8" TargetMode="External"/><Relationship Id="rId262" Type="http://schemas.openxmlformats.org/officeDocument/2006/relationships/hyperlink" Target="https://auction.openprocurement.org/tenders/cdff23e79d18431b84dde9da0fcf4c06" TargetMode="External"/><Relationship Id="rId318" Type="http://schemas.openxmlformats.org/officeDocument/2006/relationships/hyperlink" Target="https://my.zakupki.prom.ua/remote/dispatcher/state_purchase_view/12728028" TargetMode="External"/><Relationship Id="rId525" Type="http://schemas.openxmlformats.org/officeDocument/2006/relationships/hyperlink" Target="https://my.zakupki.prom.ua/remote/dispatcher/state_purchase_view/12488838" TargetMode="External"/><Relationship Id="rId567" Type="http://schemas.openxmlformats.org/officeDocument/2006/relationships/hyperlink" Target="https://my.zakupki.prom.ua/remote/dispatcher/state_purchase_view/25444759" TargetMode="External"/><Relationship Id="rId99" Type="http://schemas.openxmlformats.org/officeDocument/2006/relationships/hyperlink" Target="https://my.zakupki.prom.ua/remote/dispatcher/state_purchase_view/8427884" TargetMode="External"/><Relationship Id="rId122" Type="http://schemas.openxmlformats.org/officeDocument/2006/relationships/hyperlink" Target="https://my.zakupki.prom.ua/remote/dispatcher/state_purchase_view/22993608" TargetMode="External"/><Relationship Id="rId164" Type="http://schemas.openxmlformats.org/officeDocument/2006/relationships/hyperlink" Target="https://my.zakupki.prom.ua/remote/dispatcher/state_purchase_view/14330271" TargetMode="External"/><Relationship Id="rId371" Type="http://schemas.openxmlformats.org/officeDocument/2006/relationships/hyperlink" Target="https://my.zakupki.prom.ua/remote/dispatcher/state_purchase_view/10755920" TargetMode="External"/><Relationship Id="rId427" Type="http://schemas.openxmlformats.org/officeDocument/2006/relationships/hyperlink" Target="https://my.zakupki.prom.ua/remote/dispatcher/state_purchase_view/8458668" TargetMode="External"/><Relationship Id="rId469" Type="http://schemas.openxmlformats.org/officeDocument/2006/relationships/hyperlink" Target="https://my.zakupki.prom.ua/remote/dispatcher/state_purchase_view/12708057" TargetMode="External"/><Relationship Id="rId26" Type="http://schemas.openxmlformats.org/officeDocument/2006/relationships/hyperlink" Target="https://my.zakupki.prom.ua/remote/dispatcher/state_purchase_view/14373990" TargetMode="External"/><Relationship Id="rId231" Type="http://schemas.openxmlformats.org/officeDocument/2006/relationships/hyperlink" Target="https://my.zakupki.prom.ua/remote/dispatcher/state_purchase_view/22361488" TargetMode="External"/><Relationship Id="rId273" Type="http://schemas.openxmlformats.org/officeDocument/2006/relationships/hyperlink" Target="https://my.zakupki.prom.ua/remote/dispatcher/state_purchase_view/11887001" TargetMode="External"/><Relationship Id="rId329" Type="http://schemas.openxmlformats.org/officeDocument/2006/relationships/hyperlink" Target="https://my.zakupki.prom.ua/remote/dispatcher/state_purchase_view/22852399" TargetMode="External"/><Relationship Id="rId480" Type="http://schemas.openxmlformats.org/officeDocument/2006/relationships/hyperlink" Target="https://auction.openprocurement.org/tenders/dd02c9e6722b4ba488962694693a8120" TargetMode="External"/><Relationship Id="rId536" Type="http://schemas.openxmlformats.org/officeDocument/2006/relationships/hyperlink" Target="https://my.zakupki.prom.ua/remote/dispatcher/state_purchase_view/18074347" TargetMode="External"/><Relationship Id="rId68" Type="http://schemas.openxmlformats.org/officeDocument/2006/relationships/hyperlink" Target="https://my.zakupki.prom.ua/remote/dispatcher/state_purchase_view/21552369" TargetMode="External"/><Relationship Id="rId133" Type="http://schemas.openxmlformats.org/officeDocument/2006/relationships/hyperlink" Target="https://my.zakupki.prom.ua/remote/dispatcher/state_purchase_view/19425004" TargetMode="External"/><Relationship Id="rId175" Type="http://schemas.openxmlformats.org/officeDocument/2006/relationships/hyperlink" Target="https://my.zakupki.prom.ua/remote/dispatcher/state_purchase_view/19692117" TargetMode="External"/><Relationship Id="rId340" Type="http://schemas.openxmlformats.org/officeDocument/2006/relationships/hyperlink" Target="https://my.zakupki.prom.ua/remote/dispatcher/state_purchase_view/22096755" TargetMode="External"/><Relationship Id="rId578" Type="http://schemas.openxmlformats.org/officeDocument/2006/relationships/hyperlink" Target="https://auction.openprocurement.org/tenders/1f74083db99a4ee7ae46b865853adb1c" TargetMode="External"/><Relationship Id="rId200" Type="http://schemas.openxmlformats.org/officeDocument/2006/relationships/hyperlink" Target="https://auction.openprocurement.org/tenders/34943092fabd4340a3e09854dce067f1" TargetMode="External"/><Relationship Id="rId382" Type="http://schemas.openxmlformats.org/officeDocument/2006/relationships/hyperlink" Target="https://my.zakupki.prom.ua/remote/dispatcher/state_purchase_view/13833732" TargetMode="External"/><Relationship Id="rId438" Type="http://schemas.openxmlformats.org/officeDocument/2006/relationships/hyperlink" Target="https://my.zakupki.prom.ua/remote/dispatcher/state_purchase_view/14953490" TargetMode="External"/><Relationship Id="rId603" Type="http://schemas.openxmlformats.org/officeDocument/2006/relationships/hyperlink" Target="https://auction.openprocurement.org/tenders/ff2a9c9301f54c9f8b24d05756c69a6e" TargetMode="External"/><Relationship Id="rId242" Type="http://schemas.openxmlformats.org/officeDocument/2006/relationships/hyperlink" Target="https://auction.openprocurement.org/tenders/ace04d4128984009b1726d129625304f" TargetMode="External"/><Relationship Id="rId284" Type="http://schemas.openxmlformats.org/officeDocument/2006/relationships/hyperlink" Target="https://auction.openprocurement.org/tenders/71794b3dbd0645f5b4281adf9e6af641" TargetMode="External"/><Relationship Id="rId491" Type="http://schemas.openxmlformats.org/officeDocument/2006/relationships/hyperlink" Target="https://my.zakupki.prom.ua/remote/dispatcher/state_purchase_view/17690513" TargetMode="External"/><Relationship Id="rId505" Type="http://schemas.openxmlformats.org/officeDocument/2006/relationships/hyperlink" Target="https://my.zakupki.prom.ua/remote/dispatcher/state_purchase_view/22940750" TargetMode="External"/><Relationship Id="rId37" Type="http://schemas.openxmlformats.org/officeDocument/2006/relationships/hyperlink" Target="https://my.zakupki.prom.ua/remote/dispatcher/state_purchase_view/14258731" TargetMode="External"/><Relationship Id="rId79" Type="http://schemas.openxmlformats.org/officeDocument/2006/relationships/hyperlink" Target="https://my.zakupki.prom.ua/remote/dispatcher/state_purchase_view/23001005" TargetMode="External"/><Relationship Id="rId102" Type="http://schemas.openxmlformats.org/officeDocument/2006/relationships/hyperlink" Target="https://auction.openprocurement.org/tenders/147533f6e6aa4642a89415e115aa80ae" TargetMode="External"/><Relationship Id="rId144" Type="http://schemas.openxmlformats.org/officeDocument/2006/relationships/hyperlink" Target="https://my.zakupki.prom.ua/remote/dispatcher/state_purchase_view/25199126" TargetMode="External"/><Relationship Id="rId547" Type="http://schemas.openxmlformats.org/officeDocument/2006/relationships/hyperlink" Target="https://my.zakupki.prom.ua/remote/dispatcher/state_purchase_view/19570117" TargetMode="External"/><Relationship Id="rId589" Type="http://schemas.openxmlformats.org/officeDocument/2006/relationships/hyperlink" Target="https://auction.openprocurement.org/tenders/d3ffbc49faa74a4eb7aab160525daa82" TargetMode="External"/><Relationship Id="rId90" Type="http://schemas.openxmlformats.org/officeDocument/2006/relationships/hyperlink" Target="https://my.zakupki.prom.ua/remote/dispatcher/state_purchase_view/15389761" TargetMode="External"/><Relationship Id="rId186" Type="http://schemas.openxmlformats.org/officeDocument/2006/relationships/hyperlink" Target="https://auction.openprocurement.org/tenders/745575255ebd4d9484b81de916a6ba7f" TargetMode="External"/><Relationship Id="rId351" Type="http://schemas.openxmlformats.org/officeDocument/2006/relationships/hyperlink" Target="https://my.zakupki.prom.ua/remote/dispatcher/state_purchase_view/23096268" TargetMode="External"/><Relationship Id="rId393" Type="http://schemas.openxmlformats.org/officeDocument/2006/relationships/hyperlink" Target="https://my.zakupki.prom.ua/remote/dispatcher/state_purchase_view/20421765" TargetMode="External"/><Relationship Id="rId407" Type="http://schemas.openxmlformats.org/officeDocument/2006/relationships/hyperlink" Target="https://my.zakupki.prom.ua/remote/dispatcher/state_purchase_view/24872482" TargetMode="External"/><Relationship Id="rId449" Type="http://schemas.openxmlformats.org/officeDocument/2006/relationships/hyperlink" Target="https://my.zakupki.prom.ua/remote/dispatcher/state_purchase_view/14492873" TargetMode="External"/><Relationship Id="rId614" Type="http://schemas.openxmlformats.org/officeDocument/2006/relationships/hyperlink" Target="https://my.zakupki.prom.ua/remote/dispatcher/state_purchase_view/20880120" TargetMode="External"/><Relationship Id="rId211" Type="http://schemas.openxmlformats.org/officeDocument/2006/relationships/hyperlink" Target="https://my.zakupki.prom.ua/remote/dispatcher/state_purchase_view/11055594" TargetMode="External"/><Relationship Id="rId253" Type="http://schemas.openxmlformats.org/officeDocument/2006/relationships/hyperlink" Target="https://my.zakupki.prom.ua/remote/dispatcher/state_purchase_view/14191350" TargetMode="External"/><Relationship Id="rId295" Type="http://schemas.openxmlformats.org/officeDocument/2006/relationships/hyperlink" Target="https://my.zakupki.prom.ua/remote/dispatcher/state_purchase_view/15581401" TargetMode="External"/><Relationship Id="rId309" Type="http://schemas.openxmlformats.org/officeDocument/2006/relationships/hyperlink" Target="https://my.zakupki.prom.ua/remote/dispatcher/state_purchase_view/13492419" TargetMode="External"/><Relationship Id="rId460" Type="http://schemas.openxmlformats.org/officeDocument/2006/relationships/hyperlink" Target="https://my.zakupki.prom.ua/remote/dispatcher/state_purchase_view/24377674" TargetMode="External"/><Relationship Id="rId516" Type="http://schemas.openxmlformats.org/officeDocument/2006/relationships/hyperlink" Target="https://my.zakupki.prom.ua/remote/dispatcher/state_purchase_lot_view/665676" TargetMode="External"/><Relationship Id="rId48" Type="http://schemas.openxmlformats.org/officeDocument/2006/relationships/hyperlink" Target="https://my.zakupki.prom.ua/remote/dispatcher/state_purchase_view/12515792" TargetMode="External"/><Relationship Id="rId113" Type="http://schemas.openxmlformats.org/officeDocument/2006/relationships/hyperlink" Target="https://my.zakupki.prom.ua/remote/dispatcher/state_purchase_view/10758984" TargetMode="External"/><Relationship Id="rId320" Type="http://schemas.openxmlformats.org/officeDocument/2006/relationships/hyperlink" Target="https://my.zakupki.prom.ua/remote/dispatcher/state_purchase_view/10905672" TargetMode="External"/><Relationship Id="rId558" Type="http://schemas.openxmlformats.org/officeDocument/2006/relationships/hyperlink" Target="https://my.zakupki.prom.ua/remote/dispatcher/state_purchase_view/16931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77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  <col min="58" max="58" width="50"/>
  </cols>
  <sheetData>
    <row r="1" spans="1:58">
      <c r="A1" s="1" t="s">
        <v>1919</v>
      </c>
    </row>
    <row r="2" spans="1:58">
      <c r="A2" s="2" t="s">
        <v>1182</v>
      </c>
    </row>
    <row r="4" spans="1:58">
      <c r="A4" s="1" t="s">
        <v>1674</v>
      </c>
    </row>
    <row r="5" spans="1:58" ht="153.75">
      <c r="A5" s="3" t="s">
        <v>2027</v>
      </c>
      <c r="B5" s="3" t="s">
        <v>1218</v>
      </c>
      <c r="C5" s="3" t="s">
        <v>1219</v>
      </c>
      <c r="D5" s="3" t="s">
        <v>1833</v>
      </c>
      <c r="E5" s="3" t="s">
        <v>1606</v>
      </c>
      <c r="F5" s="3" t="s">
        <v>1395</v>
      </c>
      <c r="G5" s="3" t="s">
        <v>1828</v>
      </c>
      <c r="H5" s="3" t="s">
        <v>1378</v>
      </c>
      <c r="I5" s="3" t="s">
        <v>1470</v>
      </c>
      <c r="J5" s="3" t="s">
        <v>1214</v>
      </c>
      <c r="K5" s="3" t="s">
        <v>1471</v>
      </c>
      <c r="L5" s="3" t="s">
        <v>1474</v>
      </c>
      <c r="M5" s="3" t="s">
        <v>1277</v>
      </c>
      <c r="N5" s="3" t="s">
        <v>1278</v>
      </c>
      <c r="O5" s="3" t="s">
        <v>1276</v>
      </c>
      <c r="P5" s="3" t="s">
        <v>1327</v>
      </c>
      <c r="Q5" s="3" t="s">
        <v>1330</v>
      </c>
      <c r="R5" s="3" t="s">
        <v>1329</v>
      </c>
      <c r="S5" s="3" t="s">
        <v>1608</v>
      </c>
      <c r="T5" s="3" t="s">
        <v>1607</v>
      </c>
      <c r="U5" s="3" t="s">
        <v>1325</v>
      </c>
      <c r="V5" s="3" t="s">
        <v>1409</v>
      </c>
      <c r="W5" s="3" t="s">
        <v>1481</v>
      </c>
      <c r="X5" s="3" t="s">
        <v>1482</v>
      </c>
      <c r="Y5" s="3" t="s">
        <v>1408</v>
      </c>
      <c r="Z5" s="3" t="s">
        <v>1483</v>
      </c>
      <c r="AA5" s="3" t="s">
        <v>1467</v>
      </c>
      <c r="AB5" s="3" t="s">
        <v>1404</v>
      </c>
      <c r="AC5" s="3" t="s">
        <v>1264</v>
      </c>
      <c r="AD5" s="3" t="s">
        <v>1360</v>
      </c>
      <c r="AE5" s="3" t="s">
        <v>1692</v>
      </c>
      <c r="AF5" s="3" t="s">
        <v>1460</v>
      </c>
      <c r="AG5" s="3" t="s">
        <v>1620</v>
      </c>
      <c r="AH5" s="3" t="s">
        <v>1621</v>
      </c>
      <c r="AI5" s="3" t="s">
        <v>1458</v>
      </c>
      <c r="AJ5" s="3" t="s">
        <v>1693</v>
      </c>
      <c r="AK5" s="3" t="s">
        <v>17</v>
      </c>
      <c r="AL5" s="3" t="s">
        <v>1893</v>
      </c>
      <c r="AM5" s="3" t="s">
        <v>1215</v>
      </c>
      <c r="AN5" s="3" t="s">
        <v>1354</v>
      </c>
      <c r="AO5" s="3" t="s">
        <v>1402</v>
      </c>
      <c r="AP5" s="3" t="s">
        <v>1693</v>
      </c>
      <c r="AQ5" s="3" t="s">
        <v>17</v>
      </c>
      <c r="AR5" s="3" t="s">
        <v>1520</v>
      </c>
      <c r="AS5" s="3" t="s">
        <v>1328</v>
      </c>
      <c r="AT5" s="3" t="s">
        <v>1835</v>
      </c>
      <c r="AU5" s="3" t="s">
        <v>1834</v>
      </c>
      <c r="AV5" s="3" t="s">
        <v>1676</v>
      </c>
      <c r="AW5" s="3" t="s">
        <v>1326</v>
      </c>
      <c r="AX5" s="3" t="s">
        <v>1462</v>
      </c>
      <c r="AY5" s="3" t="s">
        <v>1694</v>
      </c>
      <c r="AZ5" s="3" t="s">
        <v>1685</v>
      </c>
      <c r="BA5" s="3" t="s">
        <v>1684</v>
      </c>
      <c r="BB5" s="3" t="s">
        <v>1345</v>
      </c>
      <c r="BC5" s="3" t="s">
        <v>1677</v>
      </c>
      <c r="BD5" s="3" t="s">
        <v>1610</v>
      </c>
      <c r="BE5" s="3" t="s">
        <v>1446</v>
      </c>
      <c r="BF5" s="3" t="s">
        <v>1279</v>
      </c>
    </row>
    <row r="6" spans="1:58">
      <c r="A6" s="4">
        <v>1</v>
      </c>
      <c r="B6" s="2" t="str">
        <f>HYPERLINK("https://my.zakupki.prom.ua/remote/dispatcher/state_purchase_view/8507114", "UA-2018-10-10-000640-c")</f>
        <v>UA-2018-10-10-000640-c</v>
      </c>
      <c r="C6" s="2" t="s">
        <v>1459</v>
      </c>
      <c r="D6" s="1" t="s">
        <v>1993</v>
      </c>
      <c r="E6" s="1" t="s">
        <v>1993</v>
      </c>
      <c r="F6" s="1" t="s">
        <v>1093</v>
      </c>
      <c r="G6" s="1" t="s">
        <v>1513</v>
      </c>
      <c r="H6" s="1" t="s">
        <v>1800</v>
      </c>
      <c r="I6" s="1" t="s">
        <v>1379</v>
      </c>
      <c r="J6" s="1" t="s">
        <v>819</v>
      </c>
      <c r="K6" s="1" t="s">
        <v>1287</v>
      </c>
      <c r="L6" s="1" t="s">
        <v>1469</v>
      </c>
      <c r="M6" s="1" t="s">
        <v>119</v>
      </c>
      <c r="N6" s="1" t="s">
        <v>119</v>
      </c>
      <c r="O6" s="1" t="s">
        <v>119</v>
      </c>
      <c r="P6" s="5">
        <v>43383</v>
      </c>
      <c r="Q6" s="1"/>
      <c r="R6" s="1"/>
      <c r="S6" s="1"/>
      <c r="T6" s="1"/>
      <c r="U6" s="1" t="s">
        <v>1922</v>
      </c>
      <c r="V6" s="4">
        <v>1</v>
      </c>
      <c r="W6" s="6">
        <v>440000</v>
      </c>
      <c r="X6" s="1" t="s">
        <v>1459</v>
      </c>
      <c r="Y6" s="4">
        <v>1</v>
      </c>
      <c r="Z6" s="6">
        <v>440000</v>
      </c>
      <c r="AA6" s="1" t="s">
        <v>1976</v>
      </c>
      <c r="AB6" s="1" t="s">
        <v>1964</v>
      </c>
      <c r="AC6" s="1" t="s">
        <v>1124</v>
      </c>
      <c r="AD6" s="1" t="s">
        <v>1463</v>
      </c>
      <c r="AE6" s="1" t="s">
        <v>1286</v>
      </c>
      <c r="AF6" s="1" t="s">
        <v>1463</v>
      </c>
      <c r="AG6" s="6">
        <v>440000</v>
      </c>
      <c r="AH6" s="6">
        <v>440000</v>
      </c>
      <c r="AI6" s="1"/>
      <c r="AJ6" s="1"/>
      <c r="AK6" s="1"/>
      <c r="AL6" s="1" t="s">
        <v>1382</v>
      </c>
      <c r="AM6" s="1" t="s">
        <v>143</v>
      </c>
      <c r="AN6" s="1"/>
      <c r="AO6" s="1" t="s">
        <v>61</v>
      </c>
      <c r="AP6" s="1"/>
      <c r="AQ6" s="1"/>
      <c r="AR6" s="2"/>
      <c r="AS6" s="1"/>
      <c r="AT6" s="5">
        <v>43394</v>
      </c>
      <c r="AU6" s="5">
        <v>43419</v>
      </c>
      <c r="AV6" s="1" t="s">
        <v>1941</v>
      </c>
      <c r="AW6" s="7">
        <v>43395.578824755685</v>
      </c>
      <c r="AX6" s="1" t="s">
        <v>1107</v>
      </c>
      <c r="AY6" s="6">
        <v>440000</v>
      </c>
      <c r="AZ6" s="5">
        <v>43405</v>
      </c>
      <c r="BA6" s="5">
        <v>43465</v>
      </c>
      <c r="BB6" s="7">
        <v>43465</v>
      </c>
      <c r="BC6" s="1" t="s">
        <v>1997</v>
      </c>
      <c r="BD6" s="1"/>
      <c r="BE6" s="1"/>
      <c r="BF6" s="1" t="s">
        <v>118</v>
      </c>
    </row>
    <row r="7" spans="1:58">
      <c r="A7" s="4">
        <v>2</v>
      </c>
      <c r="B7" s="2" t="str">
        <f>HYPERLINK("https://my.zakupki.prom.ua/remote/dispatcher/state_purchase_view/12998253", "UA-2019-09-27-000300-b")</f>
        <v>UA-2019-09-27-000300-b</v>
      </c>
      <c r="C7" s="2" t="s">
        <v>1459</v>
      </c>
      <c r="D7" s="1" t="s">
        <v>633</v>
      </c>
      <c r="E7" s="1" t="s">
        <v>633</v>
      </c>
      <c r="F7" s="1" t="s">
        <v>632</v>
      </c>
      <c r="G7" s="1" t="s">
        <v>1364</v>
      </c>
      <c r="H7" s="1" t="s">
        <v>1800</v>
      </c>
      <c r="I7" s="1" t="s">
        <v>1379</v>
      </c>
      <c r="J7" s="1" t="s">
        <v>819</v>
      </c>
      <c r="K7" s="1" t="s">
        <v>1287</v>
      </c>
      <c r="L7" s="1" t="s">
        <v>1658</v>
      </c>
      <c r="M7" s="1" t="s">
        <v>119</v>
      </c>
      <c r="N7" s="1" t="s">
        <v>119</v>
      </c>
      <c r="O7" s="1" t="s">
        <v>119</v>
      </c>
      <c r="P7" s="5">
        <v>43735</v>
      </c>
      <c r="Q7" s="1"/>
      <c r="R7" s="1"/>
      <c r="S7" s="1"/>
      <c r="T7" s="1"/>
      <c r="U7" s="1" t="s">
        <v>1922</v>
      </c>
      <c r="V7" s="4">
        <v>1</v>
      </c>
      <c r="W7" s="6">
        <v>1299</v>
      </c>
      <c r="X7" s="1" t="s">
        <v>1459</v>
      </c>
      <c r="Y7" s="4">
        <v>1</v>
      </c>
      <c r="Z7" s="6">
        <v>1299</v>
      </c>
      <c r="AA7" s="1" t="s">
        <v>2023</v>
      </c>
      <c r="AB7" s="1" t="s">
        <v>1964</v>
      </c>
      <c r="AC7" s="1" t="s">
        <v>1124</v>
      </c>
      <c r="AD7" s="1" t="s">
        <v>1463</v>
      </c>
      <c r="AE7" s="1" t="s">
        <v>1286</v>
      </c>
      <c r="AF7" s="1" t="s">
        <v>1463</v>
      </c>
      <c r="AG7" s="6">
        <v>1299</v>
      </c>
      <c r="AH7" s="6">
        <v>1299</v>
      </c>
      <c r="AI7" s="1"/>
      <c r="AJ7" s="1"/>
      <c r="AK7" s="1"/>
      <c r="AL7" s="1" t="s">
        <v>1890</v>
      </c>
      <c r="AM7" s="1" t="s">
        <v>572</v>
      </c>
      <c r="AN7" s="1"/>
      <c r="AO7" s="1" t="s">
        <v>82</v>
      </c>
      <c r="AP7" s="1"/>
      <c r="AQ7" s="1"/>
      <c r="AR7" s="2"/>
      <c r="AS7" s="1"/>
      <c r="AT7" s="1"/>
      <c r="AU7" s="1"/>
      <c r="AV7" s="1" t="s">
        <v>1941</v>
      </c>
      <c r="AW7" s="7">
        <v>43735.408818978343</v>
      </c>
      <c r="AX7" s="1" t="s">
        <v>2028</v>
      </c>
      <c r="AY7" s="6">
        <v>1299</v>
      </c>
      <c r="AZ7" s="1"/>
      <c r="BA7" s="5">
        <v>43735</v>
      </c>
      <c r="BB7" s="7">
        <v>43830</v>
      </c>
      <c r="BC7" s="1" t="s">
        <v>1997</v>
      </c>
      <c r="BD7" s="1"/>
      <c r="BE7" s="1"/>
      <c r="BF7" s="1" t="s">
        <v>118</v>
      </c>
    </row>
    <row r="8" spans="1:58">
      <c r="A8" s="4">
        <v>3</v>
      </c>
      <c r="B8" s="2" t="str">
        <f>HYPERLINK("https://my.zakupki.prom.ua/remote/dispatcher/state_purchase_view/19938924", "UA-2020-10-08-004034-a")</f>
        <v>UA-2020-10-08-004034-a</v>
      </c>
      <c r="C8" s="2" t="s">
        <v>1459</v>
      </c>
      <c r="D8" s="1" t="s">
        <v>1951</v>
      </c>
      <c r="E8" s="1" t="s">
        <v>1951</v>
      </c>
      <c r="F8" s="1" t="s">
        <v>459</v>
      </c>
      <c r="G8" s="1" t="s">
        <v>1346</v>
      </c>
      <c r="H8" s="1" t="s">
        <v>1800</v>
      </c>
      <c r="I8" s="1" t="s">
        <v>1379</v>
      </c>
      <c r="J8" s="1" t="s">
        <v>819</v>
      </c>
      <c r="K8" s="1" t="s">
        <v>1287</v>
      </c>
      <c r="L8" s="1" t="s">
        <v>1216</v>
      </c>
      <c r="M8" s="1" t="s">
        <v>119</v>
      </c>
      <c r="N8" s="1" t="s">
        <v>119</v>
      </c>
      <c r="O8" s="1" t="s">
        <v>119</v>
      </c>
      <c r="P8" s="5">
        <v>44112</v>
      </c>
      <c r="Q8" s="5">
        <v>44112</v>
      </c>
      <c r="R8" s="5">
        <v>44119</v>
      </c>
      <c r="S8" s="5">
        <v>44119</v>
      </c>
      <c r="T8" s="5">
        <v>44124</v>
      </c>
      <c r="U8" s="7">
        <v>44124.553680555553</v>
      </c>
      <c r="V8" s="4">
        <v>4</v>
      </c>
      <c r="W8" s="6">
        <v>10500</v>
      </c>
      <c r="X8" s="1" t="s">
        <v>1459</v>
      </c>
      <c r="Y8" s="4">
        <v>700</v>
      </c>
      <c r="Z8" s="6">
        <v>15</v>
      </c>
      <c r="AA8" s="1" t="s">
        <v>2024</v>
      </c>
      <c r="AB8" s="6">
        <v>52.5</v>
      </c>
      <c r="AC8" s="1" t="s">
        <v>1124</v>
      </c>
      <c r="AD8" s="1" t="s">
        <v>1800</v>
      </c>
      <c r="AE8" s="1" t="s">
        <v>1286</v>
      </c>
      <c r="AF8" s="1" t="s">
        <v>1463</v>
      </c>
      <c r="AG8" s="6">
        <v>6490</v>
      </c>
      <c r="AH8" s="6">
        <v>9.2714285714285722</v>
      </c>
      <c r="AI8" s="1" t="s">
        <v>1917</v>
      </c>
      <c r="AJ8" s="6">
        <v>4010</v>
      </c>
      <c r="AK8" s="6">
        <v>0.38190476190476191</v>
      </c>
      <c r="AL8" s="1" t="s">
        <v>1917</v>
      </c>
      <c r="AM8" s="1" t="s">
        <v>762</v>
      </c>
      <c r="AN8" s="1" t="s">
        <v>1138</v>
      </c>
      <c r="AO8" s="1" t="s">
        <v>104</v>
      </c>
      <c r="AP8" s="6">
        <v>4010</v>
      </c>
      <c r="AQ8" s="6">
        <v>0.38190476190476191</v>
      </c>
      <c r="AR8" s="2" t="str">
        <f>HYPERLINK("https://auction.openprocurement.org/tenders/964ffc6d98a841bca823cb034276dde3")</f>
        <v>https://auction.openprocurement.org/tenders/964ffc6d98a841bca823cb034276dde3</v>
      </c>
      <c r="AS8" s="7">
        <v>44126.484566295825</v>
      </c>
      <c r="AT8" s="5">
        <v>44131</v>
      </c>
      <c r="AU8" s="5">
        <v>44149</v>
      </c>
      <c r="AV8" s="1" t="s">
        <v>1941</v>
      </c>
      <c r="AW8" s="7">
        <v>44134.455375797639</v>
      </c>
      <c r="AX8" s="1" t="s">
        <v>617</v>
      </c>
      <c r="AY8" s="6">
        <v>6490</v>
      </c>
      <c r="AZ8" s="1"/>
      <c r="BA8" s="5">
        <v>44196</v>
      </c>
      <c r="BB8" s="7">
        <v>44135</v>
      </c>
      <c r="BC8" s="1" t="s">
        <v>1997</v>
      </c>
      <c r="BD8" s="1"/>
      <c r="BE8" s="1"/>
      <c r="BF8" s="1" t="s">
        <v>764</v>
      </c>
    </row>
    <row r="9" spans="1:58">
      <c r="A9" s="4">
        <v>4</v>
      </c>
      <c r="B9" s="2" t="str">
        <f>HYPERLINK("https://my.zakupki.prom.ua/remote/dispatcher/state_purchase_view/12451506", "UA-2019-08-06-002529-b")</f>
        <v>UA-2019-08-06-002529-b</v>
      </c>
      <c r="C9" s="2" t="s">
        <v>1459</v>
      </c>
      <c r="D9" s="1" t="s">
        <v>1414</v>
      </c>
      <c r="E9" s="1" t="s">
        <v>1415</v>
      </c>
      <c r="F9" s="1" t="s">
        <v>1093</v>
      </c>
      <c r="G9" s="1" t="s">
        <v>1346</v>
      </c>
      <c r="H9" s="1" t="s">
        <v>1800</v>
      </c>
      <c r="I9" s="1" t="s">
        <v>1379</v>
      </c>
      <c r="J9" s="1" t="s">
        <v>819</v>
      </c>
      <c r="K9" s="1" t="s">
        <v>1287</v>
      </c>
      <c r="L9" s="1" t="s">
        <v>1658</v>
      </c>
      <c r="M9" s="1" t="s">
        <v>119</v>
      </c>
      <c r="N9" s="1" t="s">
        <v>119</v>
      </c>
      <c r="O9" s="1" t="s">
        <v>119</v>
      </c>
      <c r="P9" s="5">
        <v>43683</v>
      </c>
      <c r="Q9" s="5">
        <v>43683</v>
      </c>
      <c r="R9" s="5">
        <v>43685</v>
      </c>
      <c r="S9" s="5">
        <v>43685</v>
      </c>
      <c r="T9" s="5">
        <v>43689</v>
      </c>
      <c r="U9" s="1" t="s">
        <v>1923</v>
      </c>
      <c r="V9" s="4">
        <v>1</v>
      </c>
      <c r="W9" s="6">
        <v>6350</v>
      </c>
      <c r="X9" s="1" t="s">
        <v>1459</v>
      </c>
      <c r="Y9" s="4">
        <v>126</v>
      </c>
      <c r="Z9" s="6">
        <v>50.4</v>
      </c>
      <c r="AA9" s="1" t="s">
        <v>1976</v>
      </c>
      <c r="AB9" s="6">
        <v>31.75</v>
      </c>
      <c r="AC9" s="1" t="s">
        <v>1124</v>
      </c>
      <c r="AD9" s="1" t="s">
        <v>1800</v>
      </c>
      <c r="AE9" s="1" t="s">
        <v>1286</v>
      </c>
      <c r="AF9" s="1" t="s">
        <v>1463</v>
      </c>
      <c r="AG9" s="6">
        <v>6332.84</v>
      </c>
      <c r="AH9" s="6">
        <v>50.260634920634921</v>
      </c>
      <c r="AI9" s="1" t="s">
        <v>1324</v>
      </c>
      <c r="AJ9" s="6">
        <v>17.159999999999854</v>
      </c>
      <c r="AK9" s="6">
        <v>2.7023622047243866E-3</v>
      </c>
      <c r="AL9" s="1" t="s">
        <v>1324</v>
      </c>
      <c r="AM9" s="1" t="s">
        <v>839</v>
      </c>
      <c r="AN9" s="1" t="s">
        <v>1142</v>
      </c>
      <c r="AO9" s="1" t="s">
        <v>34</v>
      </c>
      <c r="AP9" s="6">
        <v>17.159999999999854</v>
      </c>
      <c r="AQ9" s="6">
        <v>2.7023622047243866E-3</v>
      </c>
      <c r="AR9" s="2"/>
      <c r="AS9" s="7">
        <v>43690.394036590107</v>
      </c>
      <c r="AT9" s="5">
        <v>43692</v>
      </c>
      <c r="AU9" s="5">
        <v>43715</v>
      </c>
      <c r="AV9" s="1" t="s">
        <v>1941</v>
      </c>
      <c r="AW9" s="7">
        <v>43705.421037833868</v>
      </c>
      <c r="AX9" s="1" t="s">
        <v>815</v>
      </c>
      <c r="AY9" s="6">
        <v>6332.84</v>
      </c>
      <c r="AZ9" s="1"/>
      <c r="BA9" s="5">
        <v>43830</v>
      </c>
      <c r="BB9" s="7">
        <v>43830</v>
      </c>
      <c r="BC9" s="1" t="s">
        <v>1997</v>
      </c>
      <c r="BD9" s="1"/>
      <c r="BE9" s="1"/>
      <c r="BF9" s="1" t="s">
        <v>840</v>
      </c>
    </row>
    <row r="10" spans="1:58">
      <c r="A10" s="4">
        <v>5</v>
      </c>
      <c r="B10" s="2" t="str">
        <f>HYPERLINK("https://my.zakupki.prom.ua/remote/dispatcher/state_purchase_view/15701153", "UA-2020-03-11-002624-b")</f>
        <v>UA-2020-03-11-002624-b</v>
      </c>
      <c r="C10" s="2" t="s">
        <v>1459</v>
      </c>
      <c r="D10" s="1" t="s">
        <v>1435</v>
      </c>
      <c r="E10" s="1" t="s">
        <v>1435</v>
      </c>
      <c r="F10" s="1" t="s">
        <v>733</v>
      </c>
      <c r="G10" s="1" t="s">
        <v>1280</v>
      </c>
      <c r="H10" s="1" t="s">
        <v>1800</v>
      </c>
      <c r="I10" s="1" t="s">
        <v>1379</v>
      </c>
      <c r="J10" s="1" t="s">
        <v>819</v>
      </c>
      <c r="K10" s="1" t="s">
        <v>1287</v>
      </c>
      <c r="L10" s="1" t="s">
        <v>1216</v>
      </c>
      <c r="M10" s="1" t="s">
        <v>119</v>
      </c>
      <c r="N10" s="1" t="s">
        <v>119</v>
      </c>
      <c r="O10" s="1" t="s">
        <v>119</v>
      </c>
      <c r="P10" s="5">
        <v>43901</v>
      </c>
      <c r="Q10" s="5">
        <v>43901</v>
      </c>
      <c r="R10" s="5">
        <v>43908</v>
      </c>
      <c r="S10" s="5">
        <v>43901</v>
      </c>
      <c r="T10" s="5">
        <v>43918</v>
      </c>
      <c r="U10" s="1" t="s">
        <v>1923</v>
      </c>
      <c r="V10" s="4">
        <v>0</v>
      </c>
      <c r="W10" s="6">
        <v>10000</v>
      </c>
      <c r="X10" s="1" t="s">
        <v>1459</v>
      </c>
      <c r="Y10" s="4">
        <v>70</v>
      </c>
      <c r="Z10" s="6">
        <v>142.86000000000001</v>
      </c>
      <c r="AA10" s="1" t="s">
        <v>2017</v>
      </c>
      <c r="AB10" s="6">
        <v>50</v>
      </c>
      <c r="AC10" s="1" t="s">
        <v>1124</v>
      </c>
      <c r="AD10" s="1" t="s">
        <v>1800</v>
      </c>
      <c r="AE10" s="1" t="s">
        <v>1286</v>
      </c>
      <c r="AF10" s="1" t="s">
        <v>1463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"/>
      <c r="AS10" s="1"/>
      <c r="AT10" s="1"/>
      <c r="AU10" s="1"/>
      <c r="AV10" s="1" t="s">
        <v>1942</v>
      </c>
      <c r="AW10" s="7">
        <v>43918.752779614304</v>
      </c>
      <c r="AX10" s="1"/>
      <c r="AY10" s="1"/>
      <c r="AZ10" s="1"/>
      <c r="BA10" s="5">
        <v>43951</v>
      </c>
      <c r="BB10" s="1"/>
      <c r="BC10" s="1"/>
      <c r="BD10" s="1"/>
      <c r="BE10" s="1"/>
      <c r="BF10" s="1"/>
    </row>
    <row r="11" spans="1:58">
      <c r="A11" s="4">
        <v>6</v>
      </c>
      <c r="B11" s="2" t="str">
        <f>HYPERLINK("https://my.zakupki.prom.ua/remote/dispatcher/state_purchase_view/11039861", "UA-2019-03-22-002063-b")</f>
        <v>UA-2019-03-22-002063-b</v>
      </c>
      <c r="C11" s="2" t="s">
        <v>1459</v>
      </c>
      <c r="D11" s="1" t="s">
        <v>1548</v>
      </c>
      <c r="E11" s="1" t="s">
        <v>1623</v>
      </c>
      <c r="F11" s="1" t="s">
        <v>1088</v>
      </c>
      <c r="G11" s="1" t="s">
        <v>1346</v>
      </c>
      <c r="H11" s="1" t="s">
        <v>1800</v>
      </c>
      <c r="I11" s="1" t="s">
        <v>1379</v>
      </c>
      <c r="J11" s="1" t="s">
        <v>819</v>
      </c>
      <c r="K11" s="1" t="s">
        <v>1287</v>
      </c>
      <c r="L11" s="1" t="s">
        <v>1224</v>
      </c>
      <c r="M11" s="1" t="s">
        <v>119</v>
      </c>
      <c r="N11" s="1" t="s">
        <v>119</v>
      </c>
      <c r="O11" s="1" t="s">
        <v>119</v>
      </c>
      <c r="P11" s="5">
        <v>43546</v>
      </c>
      <c r="Q11" s="5">
        <v>43546</v>
      </c>
      <c r="R11" s="5">
        <v>43551</v>
      </c>
      <c r="S11" s="5">
        <v>43551</v>
      </c>
      <c r="T11" s="5">
        <v>43553</v>
      </c>
      <c r="U11" s="1" t="s">
        <v>1923</v>
      </c>
      <c r="V11" s="4">
        <v>1</v>
      </c>
      <c r="W11" s="6">
        <v>13300</v>
      </c>
      <c r="X11" s="1" t="s">
        <v>1459</v>
      </c>
      <c r="Y11" s="4">
        <v>5</v>
      </c>
      <c r="Z11" s="6">
        <v>2660</v>
      </c>
      <c r="AA11" s="1" t="s">
        <v>2019</v>
      </c>
      <c r="AB11" s="6">
        <v>66.5</v>
      </c>
      <c r="AC11" s="1" t="s">
        <v>1124</v>
      </c>
      <c r="AD11" s="1" t="s">
        <v>1800</v>
      </c>
      <c r="AE11" s="1" t="s">
        <v>1286</v>
      </c>
      <c r="AF11" s="1" t="s">
        <v>1463</v>
      </c>
      <c r="AG11" s="6">
        <v>13300</v>
      </c>
      <c r="AH11" s="6">
        <v>2660</v>
      </c>
      <c r="AI11" s="1" t="s">
        <v>1386</v>
      </c>
      <c r="AJ11" s="1"/>
      <c r="AK11" s="1"/>
      <c r="AL11" s="1" t="s">
        <v>1386</v>
      </c>
      <c r="AM11" s="1" t="s">
        <v>399</v>
      </c>
      <c r="AN11" s="1" t="s">
        <v>1165</v>
      </c>
      <c r="AO11" s="1" t="s">
        <v>33</v>
      </c>
      <c r="AP11" s="1"/>
      <c r="AQ11" s="1"/>
      <c r="AR11" s="2"/>
      <c r="AS11" s="7">
        <v>43556.575538751444</v>
      </c>
      <c r="AT11" s="5">
        <v>43558</v>
      </c>
      <c r="AU11" s="5">
        <v>43581</v>
      </c>
      <c r="AV11" s="1" t="s">
        <v>1941</v>
      </c>
      <c r="AW11" s="7">
        <v>43567.416807774804</v>
      </c>
      <c r="AX11" s="1" t="s">
        <v>1036</v>
      </c>
      <c r="AY11" s="6">
        <v>13300</v>
      </c>
      <c r="AZ11" s="5">
        <v>43571</v>
      </c>
      <c r="BA11" s="5">
        <v>43624</v>
      </c>
      <c r="BB11" s="7">
        <v>43830</v>
      </c>
      <c r="BC11" s="1" t="s">
        <v>1997</v>
      </c>
      <c r="BD11" s="1"/>
      <c r="BE11" s="1"/>
      <c r="BF11" s="1" t="s">
        <v>400</v>
      </c>
    </row>
    <row r="12" spans="1:58">
      <c r="A12" s="4">
        <v>7</v>
      </c>
      <c r="B12" s="2" t="str">
        <f>HYPERLINK("https://my.zakupki.prom.ua/remote/dispatcher/state_purchase_view/13248782", "UA-2019-10-21-002480-b")</f>
        <v>UA-2019-10-21-002480-b</v>
      </c>
      <c r="C12" s="2" t="s">
        <v>1459</v>
      </c>
      <c r="D12" s="1" t="s">
        <v>1427</v>
      </c>
      <c r="E12" s="1" t="s">
        <v>1427</v>
      </c>
      <c r="F12" s="1" t="s">
        <v>461</v>
      </c>
      <c r="G12" s="1" t="s">
        <v>1346</v>
      </c>
      <c r="H12" s="1" t="s">
        <v>1800</v>
      </c>
      <c r="I12" s="1" t="s">
        <v>1379</v>
      </c>
      <c r="J12" s="1" t="s">
        <v>819</v>
      </c>
      <c r="K12" s="1" t="s">
        <v>1287</v>
      </c>
      <c r="L12" s="1" t="s">
        <v>1915</v>
      </c>
      <c r="M12" s="1" t="s">
        <v>316</v>
      </c>
      <c r="N12" s="1" t="s">
        <v>119</v>
      </c>
      <c r="O12" s="1" t="s">
        <v>119</v>
      </c>
      <c r="P12" s="5">
        <v>43759</v>
      </c>
      <c r="Q12" s="5">
        <v>43759</v>
      </c>
      <c r="R12" s="5">
        <v>43760</v>
      </c>
      <c r="S12" s="5">
        <v>43760</v>
      </c>
      <c r="T12" s="5">
        <v>43762</v>
      </c>
      <c r="U12" s="7">
        <v>43763.478773148148</v>
      </c>
      <c r="V12" s="4">
        <v>3</v>
      </c>
      <c r="W12" s="6">
        <v>18931</v>
      </c>
      <c r="X12" s="1" t="s">
        <v>1459</v>
      </c>
      <c r="Y12" s="4">
        <v>59788</v>
      </c>
      <c r="Z12" s="6">
        <v>0.32</v>
      </c>
      <c r="AA12" s="1" t="s">
        <v>2023</v>
      </c>
      <c r="AB12" s="6">
        <v>189.31</v>
      </c>
      <c r="AC12" s="1" t="s">
        <v>1124</v>
      </c>
      <c r="AD12" s="1" t="s">
        <v>1800</v>
      </c>
      <c r="AE12" s="1" t="s">
        <v>1286</v>
      </c>
      <c r="AF12" s="1" t="s">
        <v>1463</v>
      </c>
      <c r="AG12" s="6">
        <v>9724</v>
      </c>
      <c r="AH12" s="6">
        <v>0.1626413327089048</v>
      </c>
      <c r="AI12" s="1" t="s">
        <v>1891</v>
      </c>
      <c r="AJ12" s="6">
        <v>9207</v>
      </c>
      <c r="AK12" s="6">
        <v>0.48634514816966878</v>
      </c>
      <c r="AL12" s="1" t="s">
        <v>1891</v>
      </c>
      <c r="AM12" s="1" t="s">
        <v>587</v>
      </c>
      <c r="AN12" s="1" t="s">
        <v>1129</v>
      </c>
      <c r="AO12" s="1" t="s">
        <v>72</v>
      </c>
      <c r="AP12" s="6">
        <v>9207</v>
      </c>
      <c r="AQ12" s="6">
        <v>0.48634514816966878</v>
      </c>
      <c r="AR12" s="2" t="str">
        <f>HYPERLINK("https://auction.openprocurement.org/tenders/090b51d464514554aa02becf78afcafc")</f>
        <v>https://auction.openprocurement.org/tenders/090b51d464514554aa02becf78afcafc</v>
      </c>
      <c r="AS12" s="7">
        <v>43766.555418748401</v>
      </c>
      <c r="AT12" s="5">
        <v>43768</v>
      </c>
      <c r="AU12" s="5">
        <v>43790</v>
      </c>
      <c r="AV12" s="1" t="s">
        <v>1941</v>
      </c>
      <c r="AW12" s="7">
        <v>43773.622138429964</v>
      </c>
      <c r="AX12" s="1" t="s">
        <v>158</v>
      </c>
      <c r="AY12" s="6">
        <v>9724</v>
      </c>
      <c r="AZ12" s="1"/>
      <c r="BA12" s="5">
        <v>43830</v>
      </c>
      <c r="BB12" s="7">
        <v>43830</v>
      </c>
      <c r="BC12" s="1" t="s">
        <v>1997</v>
      </c>
      <c r="BD12" s="1"/>
      <c r="BE12" s="1"/>
      <c r="BF12" s="1" t="s">
        <v>588</v>
      </c>
    </row>
    <row r="13" spans="1:58">
      <c r="A13" s="4">
        <v>8</v>
      </c>
      <c r="B13" s="2" t="str">
        <f>HYPERLINK("https://my.zakupki.prom.ua/remote/dispatcher/state_purchase_view/11597263", "UA-2019-05-15-003282-a")</f>
        <v>UA-2019-05-15-003282-a</v>
      </c>
      <c r="C13" s="2" t="s">
        <v>1459</v>
      </c>
      <c r="D13" s="1" t="s">
        <v>1969</v>
      </c>
      <c r="E13" s="1" t="s">
        <v>1510</v>
      </c>
      <c r="F13" s="1" t="s">
        <v>626</v>
      </c>
      <c r="G13" s="1" t="s">
        <v>1346</v>
      </c>
      <c r="H13" s="1" t="s">
        <v>1800</v>
      </c>
      <c r="I13" s="1" t="s">
        <v>1379</v>
      </c>
      <c r="J13" s="1" t="s">
        <v>819</v>
      </c>
      <c r="K13" s="1" t="s">
        <v>1287</v>
      </c>
      <c r="L13" s="1" t="s">
        <v>1224</v>
      </c>
      <c r="M13" s="1" t="s">
        <v>119</v>
      </c>
      <c r="N13" s="1" t="s">
        <v>119</v>
      </c>
      <c r="O13" s="1" t="s">
        <v>119</v>
      </c>
      <c r="P13" s="5">
        <v>43600</v>
      </c>
      <c r="Q13" s="5">
        <v>43600</v>
      </c>
      <c r="R13" s="5">
        <v>43605</v>
      </c>
      <c r="S13" s="5">
        <v>43605</v>
      </c>
      <c r="T13" s="5">
        <v>43608</v>
      </c>
      <c r="U13" s="7">
        <v>43609.585405092592</v>
      </c>
      <c r="V13" s="4">
        <v>2</v>
      </c>
      <c r="W13" s="6">
        <v>30000</v>
      </c>
      <c r="X13" s="1" t="s">
        <v>1459</v>
      </c>
      <c r="Y13" s="4">
        <v>300</v>
      </c>
      <c r="Z13" s="6">
        <v>100</v>
      </c>
      <c r="AA13" s="1" t="s">
        <v>1970</v>
      </c>
      <c r="AB13" s="6">
        <v>300</v>
      </c>
      <c r="AC13" s="1" t="s">
        <v>1124</v>
      </c>
      <c r="AD13" s="1" t="s">
        <v>1800</v>
      </c>
      <c r="AE13" s="1" t="s">
        <v>1286</v>
      </c>
      <c r="AF13" s="1" t="s">
        <v>1463</v>
      </c>
      <c r="AG13" s="6">
        <v>21844.799999999999</v>
      </c>
      <c r="AH13" s="6">
        <v>72.816000000000003</v>
      </c>
      <c r="AI13" s="1" t="s">
        <v>1697</v>
      </c>
      <c r="AJ13" s="6">
        <v>8155.2000000000007</v>
      </c>
      <c r="AK13" s="6">
        <v>0.27184000000000003</v>
      </c>
      <c r="AL13" s="1" t="s">
        <v>1697</v>
      </c>
      <c r="AM13" s="1" t="s">
        <v>888</v>
      </c>
      <c r="AN13" s="1" t="s">
        <v>1135</v>
      </c>
      <c r="AO13" s="1" t="s">
        <v>48</v>
      </c>
      <c r="AP13" s="6">
        <v>8155.2000000000007</v>
      </c>
      <c r="AQ13" s="6">
        <v>0.27184000000000003</v>
      </c>
      <c r="AR13" s="2" t="str">
        <f>HYPERLINK("https://auction.openprocurement.org/tenders/e5b05a6a6bfa47f28de270a9aff80d58")</f>
        <v>https://auction.openprocurement.org/tenders/e5b05a6a6bfa47f28de270a9aff80d58</v>
      </c>
      <c r="AS13" s="7">
        <v>43612.422661263103</v>
      </c>
      <c r="AT13" s="5">
        <v>43614</v>
      </c>
      <c r="AU13" s="5">
        <v>43635</v>
      </c>
      <c r="AV13" s="1" t="s">
        <v>1941</v>
      </c>
      <c r="AW13" s="7">
        <v>43629.640983332167</v>
      </c>
      <c r="AX13" s="1" t="s">
        <v>988</v>
      </c>
      <c r="AY13" s="6">
        <v>21844.799999999999</v>
      </c>
      <c r="AZ13" s="1"/>
      <c r="BA13" s="5">
        <v>43636</v>
      </c>
      <c r="BB13" s="7">
        <v>43830</v>
      </c>
      <c r="BC13" s="1" t="s">
        <v>1997</v>
      </c>
      <c r="BD13" s="1"/>
      <c r="BE13" s="1"/>
      <c r="BF13" s="1" t="s">
        <v>891</v>
      </c>
    </row>
    <row r="14" spans="1:58">
      <c r="A14" s="4">
        <v>9</v>
      </c>
      <c r="B14" s="2" t="str">
        <f>HYPERLINK("https://my.zakupki.prom.ua/remote/dispatcher/state_purchase_view/16521808", "UA-2020-04-30-002133-b")</f>
        <v>UA-2020-04-30-002133-b</v>
      </c>
      <c r="C14" s="2" t="s">
        <v>1459</v>
      </c>
      <c r="D14" s="1" t="s">
        <v>990</v>
      </c>
      <c r="E14" s="1" t="s">
        <v>1945</v>
      </c>
      <c r="F14" s="1" t="s">
        <v>989</v>
      </c>
      <c r="G14" s="1" t="s">
        <v>1280</v>
      </c>
      <c r="H14" s="1" t="s">
        <v>1800</v>
      </c>
      <c r="I14" s="1" t="s">
        <v>1379</v>
      </c>
      <c r="J14" s="1" t="s">
        <v>819</v>
      </c>
      <c r="K14" s="1" t="s">
        <v>1287</v>
      </c>
      <c r="L14" s="1" t="s">
        <v>1216</v>
      </c>
      <c r="M14" s="1" t="s">
        <v>119</v>
      </c>
      <c r="N14" s="1" t="s">
        <v>119</v>
      </c>
      <c r="O14" s="1" t="s">
        <v>119</v>
      </c>
      <c r="P14" s="5">
        <v>43951</v>
      </c>
      <c r="Q14" s="5">
        <v>43951</v>
      </c>
      <c r="R14" s="5">
        <v>43959</v>
      </c>
      <c r="S14" s="5">
        <v>43951</v>
      </c>
      <c r="T14" s="5">
        <v>43969</v>
      </c>
      <c r="U14" s="7">
        <v>43970.570775462962</v>
      </c>
      <c r="V14" s="4">
        <v>3</v>
      </c>
      <c r="W14" s="6">
        <v>237000</v>
      </c>
      <c r="X14" s="1" t="s">
        <v>1459</v>
      </c>
      <c r="Y14" s="4">
        <v>40</v>
      </c>
      <c r="Z14" s="6">
        <v>5925</v>
      </c>
      <c r="AA14" s="1" t="s">
        <v>2024</v>
      </c>
      <c r="AB14" s="6">
        <v>2370</v>
      </c>
      <c r="AC14" s="1" t="s">
        <v>1124</v>
      </c>
      <c r="AD14" s="1" t="s">
        <v>1800</v>
      </c>
      <c r="AE14" s="1" t="s">
        <v>1286</v>
      </c>
      <c r="AF14" s="1" t="s">
        <v>1463</v>
      </c>
      <c r="AG14" s="6">
        <v>130000</v>
      </c>
      <c r="AH14" s="6">
        <v>3250</v>
      </c>
      <c r="AI14" s="1" t="s">
        <v>1718</v>
      </c>
      <c r="AJ14" s="6">
        <v>107000</v>
      </c>
      <c r="AK14" s="6">
        <v>0.45147679324894513</v>
      </c>
      <c r="AL14" s="1" t="s">
        <v>1718</v>
      </c>
      <c r="AM14" s="1" t="s">
        <v>926</v>
      </c>
      <c r="AN14" s="1" t="s">
        <v>1152</v>
      </c>
      <c r="AO14" s="1" t="s">
        <v>68</v>
      </c>
      <c r="AP14" s="6">
        <v>107000</v>
      </c>
      <c r="AQ14" s="6">
        <v>0.45147679324894513</v>
      </c>
      <c r="AR14" s="2" t="str">
        <f>HYPERLINK("https://auction.openprocurement.org/tenders/fe142e8bf5b143eab70abab2c96e7f6f")</f>
        <v>https://auction.openprocurement.org/tenders/fe142e8bf5b143eab70abab2c96e7f6f</v>
      </c>
      <c r="AS14" s="7">
        <v>43971.569001468844</v>
      </c>
      <c r="AT14" s="5">
        <v>43982</v>
      </c>
      <c r="AU14" s="5">
        <v>43992</v>
      </c>
      <c r="AV14" s="1" t="s">
        <v>1941</v>
      </c>
      <c r="AW14" s="7">
        <v>43983.547065291874</v>
      </c>
      <c r="AX14" s="1" t="s">
        <v>539</v>
      </c>
      <c r="AY14" s="6">
        <v>130000</v>
      </c>
      <c r="AZ14" s="1"/>
      <c r="BA14" s="5">
        <v>44012</v>
      </c>
      <c r="BB14" s="7">
        <v>44196</v>
      </c>
      <c r="BC14" s="1" t="s">
        <v>1997</v>
      </c>
      <c r="BD14" s="1"/>
      <c r="BE14" s="1"/>
      <c r="BF14" s="1" t="s">
        <v>927</v>
      </c>
    </row>
    <row r="15" spans="1:58">
      <c r="A15" s="4">
        <v>10</v>
      </c>
      <c r="B15" s="2" t="str">
        <f>HYPERLINK("https://my.zakupki.prom.ua/remote/dispatcher/state_purchase_view/18874016", "UA-2020-08-31-000135-b")</f>
        <v>UA-2020-08-31-000135-b</v>
      </c>
      <c r="C15" s="2" t="s">
        <v>1459</v>
      </c>
      <c r="D15" s="1" t="s">
        <v>1433</v>
      </c>
      <c r="E15" s="1" t="s">
        <v>1433</v>
      </c>
      <c r="F15" s="1" t="s">
        <v>992</v>
      </c>
      <c r="G15" s="1" t="s">
        <v>1346</v>
      </c>
      <c r="H15" s="1" t="s">
        <v>1800</v>
      </c>
      <c r="I15" s="1" t="s">
        <v>1379</v>
      </c>
      <c r="J15" s="1" t="s">
        <v>819</v>
      </c>
      <c r="K15" s="1" t="s">
        <v>1287</v>
      </c>
      <c r="L15" s="1" t="s">
        <v>1216</v>
      </c>
      <c r="M15" s="1" t="s">
        <v>119</v>
      </c>
      <c r="N15" s="1" t="s">
        <v>119</v>
      </c>
      <c r="O15" s="1" t="s">
        <v>119</v>
      </c>
      <c r="P15" s="5">
        <v>44074</v>
      </c>
      <c r="Q15" s="5">
        <v>44074</v>
      </c>
      <c r="R15" s="5">
        <v>44078</v>
      </c>
      <c r="S15" s="5">
        <v>44078</v>
      </c>
      <c r="T15" s="5">
        <v>44083</v>
      </c>
      <c r="U15" s="7">
        <v>44084.539074074077</v>
      </c>
      <c r="V15" s="4">
        <v>2</v>
      </c>
      <c r="W15" s="6">
        <v>47000</v>
      </c>
      <c r="X15" s="1" t="s">
        <v>1459</v>
      </c>
      <c r="Y15" s="4">
        <v>7</v>
      </c>
      <c r="Z15" s="6">
        <v>6714.29</v>
      </c>
      <c r="AA15" s="1" t="s">
        <v>2024</v>
      </c>
      <c r="AB15" s="6">
        <v>235</v>
      </c>
      <c r="AC15" s="1" t="s">
        <v>1124</v>
      </c>
      <c r="AD15" s="1" t="s">
        <v>1800</v>
      </c>
      <c r="AE15" s="1" t="s">
        <v>1286</v>
      </c>
      <c r="AF15" s="1" t="s">
        <v>1463</v>
      </c>
      <c r="AG15" s="6">
        <v>34800</v>
      </c>
      <c r="AH15" s="6">
        <v>4971.4285714285716</v>
      </c>
      <c r="AI15" s="1" t="s">
        <v>1491</v>
      </c>
      <c r="AJ15" s="6">
        <v>12200</v>
      </c>
      <c r="AK15" s="6">
        <v>0.25957446808510637</v>
      </c>
      <c r="AL15" s="1"/>
      <c r="AM15" s="1"/>
      <c r="AN15" s="1"/>
      <c r="AO15" s="1"/>
      <c r="AP15" s="1"/>
      <c r="AQ15" s="1"/>
      <c r="AR15" s="2" t="str">
        <f>HYPERLINK("https://auction.openprocurement.org/tenders/372501c909044622b85c39251c56a551")</f>
        <v>https://auction.openprocurement.org/tenders/372501c909044622b85c39251c56a551</v>
      </c>
      <c r="AS15" s="7">
        <v>44085.518764826331</v>
      </c>
      <c r="AT15" s="1"/>
      <c r="AU15" s="1"/>
      <c r="AV15" s="1" t="s">
        <v>1942</v>
      </c>
      <c r="AW15" s="7">
        <v>44089.522132271166</v>
      </c>
      <c r="AX15" s="1"/>
      <c r="AY15" s="1"/>
      <c r="AZ15" s="1"/>
      <c r="BA15" s="5">
        <v>44135</v>
      </c>
      <c r="BB15" s="1"/>
      <c r="BC15" s="1"/>
      <c r="BD15" s="1"/>
      <c r="BE15" s="1"/>
      <c r="BF15" s="1" t="s">
        <v>728</v>
      </c>
    </row>
    <row r="16" spans="1:58">
      <c r="A16" s="4">
        <v>11</v>
      </c>
      <c r="B16" s="2" t="str">
        <f>HYPERLINK("https://my.zakupki.prom.ua/remote/dispatcher/state_purchase_view/19231218", "UA-2020-09-14-000478-b")</f>
        <v>UA-2020-09-14-000478-b</v>
      </c>
      <c r="C16" s="2" t="s">
        <v>1459</v>
      </c>
      <c r="D16" s="1" t="s">
        <v>1642</v>
      </c>
      <c r="E16" s="1" t="s">
        <v>1642</v>
      </c>
      <c r="F16" s="1" t="s">
        <v>1059</v>
      </c>
      <c r="G16" s="1" t="s">
        <v>1364</v>
      </c>
      <c r="H16" s="1" t="s">
        <v>1800</v>
      </c>
      <c r="I16" s="1" t="s">
        <v>1379</v>
      </c>
      <c r="J16" s="1" t="s">
        <v>819</v>
      </c>
      <c r="K16" s="1" t="s">
        <v>1287</v>
      </c>
      <c r="L16" s="1" t="s">
        <v>1216</v>
      </c>
      <c r="M16" s="1" t="s">
        <v>119</v>
      </c>
      <c r="N16" s="1" t="s">
        <v>119</v>
      </c>
      <c r="O16" s="1" t="s">
        <v>119</v>
      </c>
      <c r="P16" s="5">
        <v>44088</v>
      </c>
      <c r="Q16" s="1"/>
      <c r="R16" s="1"/>
      <c r="S16" s="1"/>
      <c r="T16" s="1"/>
      <c r="U16" s="1" t="s">
        <v>1922</v>
      </c>
      <c r="V16" s="4">
        <v>1</v>
      </c>
      <c r="W16" s="6">
        <v>14364</v>
      </c>
      <c r="X16" s="1" t="s">
        <v>1459</v>
      </c>
      <c r="Y16" s="4">
        <v>1</v>
      </c>
      <c r="Z16" s="6">
        <v>14364</v>
      </c>
      <c r="AA16" s="1" t="s">
        <v>1976</v>
      </c>
      <c r="AB16" s="1" t="s">
        <v>1964</v>
      </c>
      <c r="AC16" s="1" t="s">
        <v>1124</v>
      </c>
      <c r="AD16" s="1" t="s">
        <v>1800</v>
      </c>
      <c r="AE16" s="1" t="s">
        <v>1286</v>
      </c>
      <c r="AF16" s="1" t="s">
        <v>1463</v>
      </c>
      <c r="AG16" s="6">
        <v>14364</v>
      </c>
      <c r="AH16" s="6">
        <v>14364</v>
      </c>
      <c r="AI16" s="1"/>
      <c r="AJ16" s="1"/>
      <c r="AK16" s="1"/>
      <c r="AL16" s="1" t="s">
        <v>1765</v>
      </c>
      <c r="AM16" s="1" t="s">
        <v>401</v>
      </c>
      <c r="AN16" s="1"/>
      <c r="AO16" s="1" t="s">
        <v>178</v>
      </c>
      <c r="AP16" s="1"/>
      <c r="AQ16" s="1"/>
      <c r="AR16" s="2"/>
      <c r="AS16" s="1"/>
      <c r="AT16" s="1"/>
      <c r="AU16" s="1"/>
      <c r="AV16" s="1" t="s">
        <v>1941</v>
      </c>
      <c r="AW16" s="7">
        <v>44088.403165877869</v>
      </c>
      <c r="AX16" s="1" t="s">
        <v>324</v>
      </c>
      <c r="AY16" s="6">
        <v>14364</v>
      </c>
      <c r="AZ16" s="1"/>
      <c r="BA16" s="5">
        <v>44105</v>
      </c>
      <c r="BB16" s="7">
        <v>44196</v>
      </c>
      <c r="BC16" s="1" t="s">
        <v>1997</v>
      </c>
      <c r="BD16" s="1"/>
      <c r="BE16" s="1"/>
      <c r="BF16" s="1" t="s">
        <v>118</v>
      </c>
    </row>
    <row r="17" spans="1:58">
      <c r="A17" s="4">
        <v>12</v>
      </c>
      <c r="B17" s="2" t="str">
        <f>HYPERLINK("https://my.zakupki.prom.ua/remote/dispatcher/state_purchase_view/13966792", "UA-2019-12-10-002956-b")</f>
        <v>UA-2019-12-10-002956-b</v>
      </c>
      <c r="C17" s="2" t="s">
        <v>1459</v>
      </c>
      <c r="D17" s="1" t="s">
        <v>455</v>
      </c>
      <c r="E17" s="1" t="s">
        <v>455</v>
      </c>
      <c r="F17" s="1" t="s">
        <v>456</v>
      </c>
      <c r="G17" s="1" t="s">
        <v>1346</v>
      </c>
      <c r="H17" s="1" t="s">
        <v>1800</v>
      </c>
      <c r="I17" s="1" t="s">
        <v>1379</v>
      </c>
      <c r="J17" s="1" t="s">
        <v>819</v>
      </c>
      <c r="K17" s="1" t="s">
        <v>1287</v>
      </c>
      <c r="L17" s="1" t="s">
        <v>1915</v>
      </c>
      <c r="M17" s="1" t="s">
        <v>119</v>
      </c>
      <c r="N17" s="1" t="s">
        <v>119</v>
      </c>
      <c r="O17" s="1" t="s">
        <v>119</v>
      </c>
      <c r="P17" s="5">
        <v>43809</v>
      </c>
      <c r="Q17" s="5">
        <v>43809</v>
      </c>
      <c r="R17" s="5">
        <v>43811</v>
      </c>
      <c r="S17" s="5">
        <v>43811</v>
      </c>
      <c r="T17" s="5">
        <v>43812</v>
      </c>
      <c r="U17" s="1" t="s">
        <v>1923</v>
      </c>
      <c r="V17" s="4">
        <v>1</v>
      </c>
      <c r="W17" s="6">
        <v>18000</v>
      </c>
      <c r="X17" s="1" t="s">
        <v>1459</v>
      </c>
      <c r="Y17" s="4">
        <v>5</v>
      </c>
      <c r="Z17" s="6">
        <v>3600</v>
      </c>
      <c r="AA17" s="1" t="s">
        <v>2023</v>
      </c>
      <c r="AB17" s="6">
        <v>180</v>
      </c>
      <c r="AC17" s="1" t="s">
        <v>1124</v>
      </c>
      <c r="AD17" s="1" t="s">
        <v>1800</v>
      </c>
      <c r="AE17" s="1" t="s">
        <v>1286</v>
      </c>
      <c r="AF17" s="1" t="s">
        <v>1463</v>
      </c>
      <c r="AG17" s="6">
        <v>17992</v>
      </c>
      <c r="AH17" s="6">
        <v>3598.4</v>
      </c>
      <c r="AI17" s="1" t="s">
        <v>1714</v>
      </c>
      <c r="AJ17" s="6">
        <v>8</v>
      </c>
      <c r="AK17" s="6">
        <v>4.4444444444444447E-4</v>
      </c>
      <c r="AL17" s="1" t="s">
        <v>1714</v>
      </c>
      <c r="AM17" s="1" t="s">
        <v>729</v>
      </c>
      <c r="AN17" s="1" t="s">
        <v>1208</v>
      </c>
      <c r="AO17" s="1" t="s">
        <v>20</v>
      </c>
      <c r="AP17" s="6">
        <v>8</v>
      </c>
      <c r="AQ17" s="6">
        <v>4.4444444444444447E-4</v>
      </c>
      <c r="AR17" s="2"/>
      <c r="AS17" s="7">
        <v>43815.394426984953</v>
      </c>
      <c r="AT17" s="5">
        <v>43817</v>
      </c>
      <c r="AU17" s="5">
        <v>43841</v>
      </c>
      <c r="AV17" s="1" t="s">
        <v>1941</v>
      </c>
      <c r="AW17" s="7">
        <v>43819.538174130859</v>
      </c>
      <c r="AX17" s="1" t="s">
        <v>1649</v>
      </c>
      <c r="AY17" s="6">
        <v>17992</v>
      </c>
      <c r="AZ17" s="5">
        <v>43831</v>
      </c>
      <c r="BA17" s="5">
        <v>44196</v>
      </c>
      <c r="BB17" s="7">
        <v>44196</v>
      </c>
      <c r="BC17" s="1" t="s">
        <v>1997</v>
      </c>
      <c r="BD17" s="1"/>
      <c r="BE17" s="1"/>
      <c r="BF17" s="1" t="s">
        <v>730</v>
      </c>
    </row>
    <row r="18" spans="1:58">
      <c r="A18" s="4">
        <v>13</v>
      </c>
      <c r="B18" s="2" t="str">
        <f>HYPERLINK("https://my.zakupki.prom.ua/remote/dispatcher/state_purchase_view/18270625", "UA-2020-08-03-003076-a")</f>
        <v>UA-2020-08-03-003076-a</v>
      </c>
      <c r="C18" s="2" t="s">
        <v>1459</v>
      </c>
      <c r="D18" s="1" t="s">
        <v>1374</v>
      </c>
      <c r="E18" s="1" t="s">
        <v>1374</v>
      </c>
      <c r="F18" s="1" t="s">
        <v>632</v>
      </c>
      <c r="G18" s="1" t="s">
        <v>1364</v>
      </c>
      <c r="H18" s="1" t="s">
        <v>1800</v>
      </c>
      <c r="I18" s="1" t="s">
        <v>1379</v>
      </c>
      <c r="J18" s="1" t="s">
        <v>819</v>
      </c>
      <c r="K18" s="1" t="s">
        <v>1287</v>
      </c>
      <c r="L18" s="1" t="s">
        <v>1216</v>
      </c>
      <c r="M18" s="1" t="s">
        <v>119</v>
      </c>
      <c r="N18" s="1" t="s">
        <v>119</v>
      </c>
      <c r="O18" s="1" t="s">
        <v>119</v>
      </c>
      <c r="P18" s="5">
        <v>44046</v>
      </c>
      <c r="Q18" s="1"/>
      <c r="R18" s="1"/>
      <c r="S18" s="1"/>
      <c r="T18" s="1"/>
      <c r="U18" s="1" t="s">
        <v>1922</v>
      </c>
      <c r="V18" s="4">
        <v>1</v>
      </c>
      <c r="W18" s="6">
        <v>695</v>
      </c>
      <c r="X18" s="1" t="s">
        <v>1459</v>
      </c>
      <c r="Y18" s="4">
        <v>1</v>
      </c>
      <c r="Z18" s="6">
        <v>695</v>
      </c>
      <c r="AA18" s="1" t="s">
        <v>2024</v>
      </c>
      <c r="AB18" s="1" t="s">
        <v>1964</v>
      </c>
      <c r="AC18" s="1" t="s">
        <v>1124</v>
      </c>
      <c r="AD18" s="1" t="s">
        <v>1463</v>
      </c>
      <c r="AE18" s="1" t="s">
        <v>1286</v>
      </c>
      <c r="AF18" s="1" t="s">
        <v>1463</v>
      </c>
      <c r="AG18" s="6">
        <v>695</v>
      </c>
      <c r="AH18" s="6">
        <v>695</v>
      </c>
      <c r="AI18" s="1"/>
      <c r="AJ18" s="1"/>
      <c r="AK18" s="1"/>
      <c r="AL18" s="1" t="s">
        <v>1789</v>
      </c>
      <c r="AM18" s="1" t="s">
        <v>812</v>
      </c>
      <c r="AN18" s="1"/>
      <c r="AO18" s="1" t="s">
        <v>202</v>
      </c>
      <c r="AP18" s="1"/>
      <c r="AQ18" s="1"/>
      <c r="AR18" s="2"/>
      <c r="AS18" s="1"/>
      <c r="AT18" s="1"/>
      <c r="AU18" s="1"/>
      <c r="AV18" s="1" t="s">
        <v>1941</v>
      </c>
      <c r="AW18" s="7">
        <v>44047.534071834911</v>
      </c>
      <c r="AX18" s="1" t="s">
        <v>466</v>
      </c>
      <c r="AY18" s="6">
        <v>695</v>
      </c>
      <c r="AZ18" s="1"/>
      <c r="BA18" s="5">
        <v>44077</v>
      </c>
      <c r="BB18" s="7">
        <v>44196</v>
      </c>
      <c r="BC18" s="1" t="s">
        <v>1997</v>
      </c>
      <c r="BD18" s="1"/>
      <c r="BE18" s="1"/>
      <c r="BF18" s="1" t="s">
        <v>118</v>
      </c>
    </row>
    <row r="19" spans="1:58">
      <c r="A19" s="4">
        <v>14</v>
      </c>
      <c r="B19" s="2" t="str">
        <f>HYPERLINK("https://my.zakupki.prom.ua/remote/dispatcher/state_purchase_view/14375621", "UA-2020-01-03-000630-a")</f>
        <v>UA-2020-01-03-000630-a</v>
      </c>
      <c r="C19" s="2" t="s">
        <v>1459</v>
      </c>
      <c r="D19" s="1" t="s">
        <v>1068</v>
      </c>
      <c r="E19" s="1" t="s">
        <v>1068</v>
      </c>
      <c r="F19" s="1" t="s">
        <v>1067</v>
      </c>
      <c r="G19" s="1" t="s">
        <v>1364</v>
      </c>
      <c r="H19" s="1" t="s">
        <v>1800</v>
      </c>
      <c r="I19" s="1" t="s">
        <v>1379</v>
      </c>
      <c r="J19" s="1" t="s">
        <v>819</v>
      </c>
      <c r="K19" s="1" t="s">
        <v>1287</v>
      </c>
      <c r="L19" s="1" t="s">
        <v>1915</v>
      </c>
      <c r="M19" s="1" t="s">
        <v>119</v>
      </c>
      <c r="N19" s="1" t="s">
        <v>119</v>
      </c>
      <c r="O19" s="1" t="s">
        <v>119</v>
      </c>
      <c r="P19" s="5">
        <v>43833</v>
      </c>
      <c r="Q19" s="1"/>
      <c r="R19" s="1"/>
      <c r="S19" s="1"/>
      <c r="T19" s="1"/>
      <c r="U19" s="1" t="s">
        <v>1922</v>
      </c>
      <c r="V19" s="4">
        <v>1</v>
      </c>
      <c r="W19" s="6">
        <v>18480</v>
      </c>
      <c r="X19" s="1" t="s">
        <v>1459</v>
      </c>
      <c r="Y19" s="4">
        <v>1</v>
      </c>
      <c r="Z19" s="6">
        <v>18480</v>
      </c>
      <c r="AA19" s="1" t="s">
        <v>1976</v>
      </c>
      <c r="AB19" s="1" t="s">
        <v>1964</v>
      </c>
      <c r="AC19" s="1" t="s">
        <v>1124</v>
      </c>
      <c r="AD19" s="1" t="s">
        <v>1800</v>
      </c>
      <c r="AE19" s="1" t="s">
        <v>1286</v>
      </c>
      <c r="AF19" s="1" t="s">
        <v>1463</v>
      </c>
      <c r="AG19" s="6">
        <v>18480</v>
      </c>
      <c r="AH19" s="6">
        <v>18480</v>
      </c>
      <c r="AI19" s="1"/>
      <c r="AJ19" s="1"/>
      <c r="AK19" s="1"/>
      <c r="AL19" s="1" t="s">
        <v>1770</v>
      </c>
      <c r="AM19" s="1" t="s">
        <v>779</v>
      </c>
      <c r="AN19" s="1"/>
      <c r="AO19" s="1" t="s">
        <v>199</v>
      </c>
      <c r="AP19" s="1"/>
      <c r="AQ19" s="1"/>
      <c r="AR19" s="2"/>
      <c r="AS19" s="1"/>
      <c r="AT19" s="1"/>
      <c r="AU19" s="1"/>
      <c r="AV19" s="1" t="s">
        <v>1941</v>
      </c>
      <c r="AW19" s="7">
        <v>43833.539719137341</v>
      </c>
      <c r="AX19" s="1" t="s">
        <v>318</v>
      </c>
      <c r="AY19" s="6">
        <v>18480</v>
      </c>
      <c r="AZ19" s="1"/>
      <c r="BA19" s="5">
        <v>44196</v>
      </c>
      <c r="BB19" s="7">
        <v>44196</v>
      </c>
      <c r="BC19" s="1" t="s">
        <v>1997</v>
      </c>
      <c r="BD19" s="1"/>
      <c r="BE19" s="1"/>
      <c r="BF19" s="1" t="s">
        <v>118</v>
      </c>
    </row>
    <row r="20" spans="1:58">
      <c r="A20" s="4">
        <v>15</v>
      </c>
      <c r="B20" s="2" t="str">
        <f>HYPERLINK("https://my.zakupki.prom.ua/remote/dispatcher/state_purchase_view/15296832", "UA-2020-02-14-001507-c")</f>
        <v>UA-2020-02-14-001507-c</v>
      </c>
      <c r="C20" s="2" t="s">
        <v>1459</v>
      </c>
      <c r="D20" s="1" t="s">
        <v>759</v>
      </c>
      <c r="E20" s="1" t="s">
        <v>12</v>
      </c>
      <c r="F20" s="1" t="s">
        <v>758</v>
      </c>
      <c r="G20" s="1" t="s">
        <v>1280</v>
      </c>
      <c r="H20" s="1" t="s">
        <v>1800</v>
      </c>
      <c r="I20" s="1" t="s">
        <v>1379</v>
      </c>
      <c r="J20" s="1" t="s">
        <v>819</v>
      </c>
      <c r="K20" s="1" t="s">
        <v>1287</v>
      </c>
      <c r="L20" s="1" t="s">
        <v>1915</v>
      </c>
      <c r="M20" s="1" t="s">
        <v>316</v>
      </c>
      <c r="N20" s="1" t="s">
        <v>119</v>
      </c>
      <c r="O20" s="1" t="s">
        <v>119</v>
      </c>
      <c r="P20" s="5">
        <v>43875</v>
      </c>
      <c r="Q20" s="5">
        <v>43875</v>
      </c>
      <c r="R20" s="5">
        <v>43882</v>
      </c>
      <c r="S20" s="5">
        <v>43875</v>
      </c>
      <c r="T20" s="5">
        <v>43892</v>
      </c>
      <c r="U20" s="7">
        <v>43893.640810185185</v>
      </c>
      <c r="V20" s="4">
        <v>2</v>
      </c>
      <c r="W20" s="6">
        <v>517831</v>
      </c>
      <c r="X20" s="1" t="s">
        <v>1459</v>
      </c>
      <c r="Y20" s="4">
        <v>13818</v>
      </c>
      <c r="Z20" s="6">
        <v>37.479999999999997</v>
      </c>
      <c r="AA20" s="1" t="s">
        <v>2024</v>
      </c>
      <c r="AB20" s="6">
        <v>2589.16</v>
      </c>
      <c r="AC20" s="1" t="s">
        <v>1124</v>
      </c>
      <c r="AD20" s="1" t="s">
        <v>1800</v>
      </c>
      <c r="AE20" s="1" t="s">
        <v>1286</v>
      </c>
      <c r="AF20" s="1" t="s">
        <v>1463</v>
      </c>
      <c r="AG20" s="6">
        <v>517822.17</v>
      </c>
      <c r="AH20" s="6">
        <v>37.474465914025181</v>
      </c>
      <c r="AI20" s="1" t="s">
        <v>1875</v>
      </c>
      <c r="AJ20" s="6">
        <v>8.8300000000162981</v>
      </c>
      <c r="AK20" s="6">
        <v>1.7051895309505027E-5</v>
      </c>
      <c r="AL20" s="1" t="s">
        <v>1875</v>
      </c>
      <c r="AM20" s="1" t="s">
        <v>784</v>
      </c>
      <c r="AN20" s="1" t="s">
        <v>1169</v>
      </c>
      <c r="AO20" s="1" t="s">
        <v>88</v>
      </c>
      <c r="AP20" s="6">
        <v>8.8300000000162981</v>
      </c>
      <c r="AQ20" s="6">
        <v>1.7051895309505027E-5</v>
      </c>
      <c r="AR20" s="2" t="str">
        <f>HYPERLINK("https://auction.openprocurement.org/tenders/06126c1b6f684c11bb8c106389bede09")</f>
        <v>https://auction.openprocurement.org/tenders/06126c1b6f684c11bb8c106389bede09</v>
      </c>
      <c r="AS20" s="7">
        <v>43894.462649067798</v>
      </c>
      <c r="AT20" s="5">
        <v>43905</v>
      </c>
      <c r="AU20" s="5">
        <v>43915</v>
      </c>
      <c r="AV20" s="1" t="s">
        <v>1941</v>
      </c>
      <c r="AW20" s="7">
        <v>43906.542507861595</v>
      </c>
      <c r="AX20" s="1" t="s">
        <v>372</v>
      </c>
      <c r="AY20" s="6">
        <v>517822.17</v>
      </c>
      <c r="AZ20" s="1"/>
      <c r="BA20" s="5">
        <v>44196</v>
      </c>
      <c r="BB20" s="7">
        <v>44196</v>
      </c>
      <c r="BC20" s="1" t="s">
        <v>1997</v>
      </c>
      <c r="BD20" s="1"/>
      <c r="BE20" s="1"/>
      <c r="BF20" s="1" t="s">
        <v>786</v>
      </c>
    </row>
    <row r="21" spans="1:58">
      <c r="A21" s="4">
        <v>16</v>
      </c>
      <c r="B21" s="2" t="str">
        <f>HYPERLINK("https://my.zakupki.prom.ua/remote/dispatcher/state_purchase_view/15396902", "UA-2020-02-20-001979-b")</f>
        <v>UA-2020-02-20-001979-b</v>
      </c>
      <c r="C21" s="2" t="s">
        <v>1459</v>
      </c>
      <c r="D21" s="1" t="s">
        <v>711</v>
      </c>
      <c r="E21" s="1" t="s">
        <v>1659</v>
      </c>
      <c r="F21" s="1" t="s">
        <v>708</v>
      </c>
      <c r="G21" s="1" t="s">
        <v>1280</v>
      </c>
      <c r="H21" s="1" t="s">
        <v>1800</v>
      </c>
      <c r="I21" s="1" t="s">
        <v>1379</v>
      </c>
      <c r="J21" s="1" t="s">
        <v>819</v>
      </c>
      <c r="K21" s="1" t="s">
        <v>1287</v>
      </c>
      <c r="L21" s="1" t="s">
        <v>1915</v>
      </c>
      <c r="M21" s="1" t="s">
        <v>119</v>
      </c>
      <c r="N21" s="1" t="s">
        <v>119</v>
      </c>
      <c r="O21" s="1" t="s">
        <v>119</v>
      </c>
      <c r="P21" s="5">
        <v>43881</v>
      </c>
      <c r="Q21" s="5">
        <v>43881</v>
      </c>
      <c r="R21" s="5">
        <v>43889</v>
      </c>
      <c r="S21" s="5">
        <v>43881</v>
      </c>
      <c r="T21" s="5">
        <v>43899</v>
      </c>
      <c r="U21" s="7">
        <v>43900.557037037041</v>
      </c>
      <c r="V21" s="4">
        <v>2</v>
      </c>
      <c r="W21" s="6">
        <v>142165</v>
      </c>
      <c r="X21" s="1" t="s">
        <v>1459</v>
      </c>
      <c r="Y21" s="4">
        <v>48704</v>
      </c>
      <c r="Z21" s="6">
        <v>2.92</v>
      </c>
      <c r="AA21" s="1" t="s">
        <v>2024</v>
      </c>
      <c r="AB21" s="6">
        <v>710.83</v>
      </c>
      <c r="AC21" s="1" t="s">
        <v>1124</v>
      </c>
      <c r="AD21" s="1" t="s">
        <v>1800</v>
      </c>
      <c r="AE21" s="1" t="s">
        <v>1286</v>
      </c>
      <c r="AF21" s="1" t="s">
        <v>1463</v>
      </c>
      <c r="AG21" s="6">
        <v>142157.94</v>
      </c>
      <c r="AH21" s="6">
        <v>2.9188144710906703</v>
      </c>
      <c r="AI21" s="1" t="s">
        <v>1865</v>
      </c>
      <c r="AJ21" s="6">
        <v>7.0599999999976717</v>
      </c>
      <c r="AK21" s="6">
        <v>4.9660605634281795E-5</v>
      </c>
      <c r="AL21" s="1" t="s">
        <v>1865</v>
      </c>
      <c r="AM21" s="1" t="s">
        <v>581</v>
      </c>
      <c r="AN21" s="1" t="s">
        <v>1136</v>
      </c>
      <c r="AO21" s="1" t="s">
        <v>99</v>
      </c>
      <c r="AP21" s="6">
        <v>7.0599999999976717</v>
      </c>
      <c r="AQ21" s="6">
        <v>4.9660605634281795E-5</v>
      </c>
      <c r="AR21" s="2" t="str">
        <f>HYPERLINK("https://auction.openprocurement.org/tenders/21afd3be8e9d4685bd69782b857773c5")</f>
        <v>https://auction.openprocurement.org/tenders/21afd3be8e9d4685bd69782b857773c5</v>
      </c>
      <c r="AS21" s="7">
        <v>43901.608933469135</v>
      </c>
      <c r="AT21" s="5">
        <v>43912</v>
      </c>
      <c r="AU21" s="5">
        <v>43922</v>
      </c>
      <c r="AV21" s="1" t="s">
        <v>1941</v>
      </c>
      <c r="AW21" s="7">
        <v>43913.402751532522</v>
      </c>
      <c r="AX21" s="1" t="s">
        <v>468</v>
      </c>
      <c r="AY21" s="6">
        <v>142157.94</v>
      </c>
      <c r="AZ21" s="1"/>
      <c r="BA21" s="5">
        <v>44196</v>
      </c>
      <c r="BB21" s="7">
        <v>44196</v>
      </c>
      <c r="BC21" s="1" t="s">
        <v>1997</v>
      </c>
      <c r="BD21" s="1"/>
      <c r="BE21" s="1"/>
      <c r="BF21" s="1" t="s">
        <v>584</v>
      </c>
    </row>
    <row r="22" spans="1:58">
      <c r="A22" s="4">
        <v>17</v>
      </c>
      <c r="B22" s="2" t="str">
        <f>HYPERLINK("https://my.zakupki.prom.ua/remote/dispatcher/state_purchase_view/15044005", "UA-2020-02-03-002690-a")</f>
        <v>UA-2020-02-03-002690-a</v>
      </c>
      <c r="C22" s="2" t="s">
        <v>1459</v>
      </c>
      <c r="D22" s="1" t="s">
        <v>1573</v>
      </c>
      <c r="E22" s="1" t="s">
        <v>1573</v>
      </c>
      <c r="F22" s="1" t="s">
        <v>1020</v>
      </c>
      <c r="G22" s="1" t="s">
        <v>1364</v>
      </c>
      <c r="H22" s="1" t="s">
        <v>1800</v>
      </c>
      <c r="I22" s="1" t="s">
        <v>1379</v>
      </c>
      <c r="J22" s="1" t="s">
        <v>819</v>
      </c>
      <c r="K22" s="1" t="s">
        <v>1287</v>
      </c>
      <c r="L22" s="1" t="s">
        <v>1915</v>
      </c>
      <c r="M22" s="1" t="s">
        <v>119</v>
      </c>
      <c r="N22" s="1" t="s">
        <v>119</v>
      </c>
      <c r="O22" s="1" t="s">
        <v>119</v>
      </c>
      <c r="P22" s="5">
        <v>43864</v>
      </c>
      <c r="Q22" s="1"/>
      <c r="R22" s="1"/>
      <c r="S22" s="1"/>
      <c r="T22" s="1"/>
      <c r="U22" s="1" t="s">
        <v>1922</v>
      </c>
      <c r="V22" s="4">
        <v>1</v>
      </c>
      <c r="W22" s="6">
        <v>29</v>
      </c>
      <c r="X22" s="1" t="s">
        <v>1459</v>
      </c>
      <c r="Y22" s="4">
        <v>1</v>
      </c>
      <c r="Z22" s="6">
        <v>29</v>
      </c>
      <c r="AA22" s="1" t="s">
        <v>1976</v>
      </c>
      <c r="AB22" s="1" t="s">
        <v>1964</v>
      </c>
      <c r="AC22" s="1" t="s">
        <v>1124</v>
      </c>
      <c r="AD22" s="1" t="s">
        <v>1800</v>
      </c>
      <c r="AE22" s="1" t="s">
        <v>1286</v>
      </c>
      <c r="AF22" s="1" t="s">
        <v>1463</v>
      </c>
      <c r="AG22" s="6">
        <v>29</v>
      </c>
      <c r="AH22" s="6">
        <v>29</v>
      </c>
      <c r="AI22" s="1"/>
      <c r="AJ22" s="1"/>
      <c r="AK22" s="1"/>
      <c r="AL22" s="1" t="s">
        <v>1383</v>
      </c>
      <c r="AM22" s="1" t="s">
        <v>156</v>
      </c>
      <c r="AN22" s="1"/>
      <c r="AO22" s="1" t="s">
        <v>1071</v>
      </c>
      <c r="AP22" s="1"/>
      <c r="AQ22" s="1"/>
      <c r="AR22" s="2"/>
      <c r="AS22" s="1"/>
      <c r="AT22" s="1"/>
      <c r="AU22" s="1"/>
      <c r="AV22" s="1" t="s">
        <v>1941</v>
      </c>
      <c r="AW22" s="7">
        <v>43864.649450957499</v>
      </c>
      <c r="AX22" s="1" t="s">
        <v>154</v>
      </c>
      <c r="AY22" s="6">
        <v>29</v>
      </c>
      <c r="AZ22" s="1"/>
      <c r="BA22" s="5">
        <v>44196</v>
      </c>
      <c r="BB22" s="7">
        <v>44196</v>
      </c>
      <c r="BC22" s="1" t="s">
        <v>1997</v>
      </c>
      <c r="BD22" s="1"/>
      <c r="BE22" s="1"/>
      <c r="BF22" s="1" t="s">
        <v>118</v>
      </c>
    </row>
    <row r="23" spans="1:58">
      <c r="A23" s="4">
        <v>18</v>
      </c>
      <c r="B23" s="2" t="str">
        <f>HYPERLINK("https://my.zakupki.prom.ua/remote/dispatcher/state_purchase_view/14373990", "UA-2020-01-03-000481-a")</f>
        <v>UA-2020-01-03-000481-a</v>
      </c>
      <c r="C23" s="2" t="s">
        <v>1459</v>
      </c>
      <c r="D23" s="1" t="s">
        <v>9</v>
      </c>
      <c r="E23" s="1" t="s">
        <v>1021</v>
      </c>
      <c r="F23" s="1" t="s">
        <v>1020</v>
      </c>
      <c r="G23" s="1" t="s">
        <v>1364</v>
      </c>
      <c r="H23" s="1" t="s">
        <v>1800</v>
      </c>
      <c r="I23" s="1" t="s">
        <v>1379</v>
      </c>
      <c r="J23" s="1" t="s">
        <v>819</v>
      </c>
      <c r="K23" s="1" t="s">
        <v>1287</v>
      </c>
      <c r="L23" s="1" t="s">
        <v>1915</v>
      </c>
      <c r="M23" s="1" t="s">
        <v>119</v>
      </c>
      <c r="N23" s="1" t="s">
        <v>119</v>
      </c>
      <c r="O23" s="1" t="s">
        <v>119</v>
      </c>
      <c r="P23" s="5">
        <v>43833</v>
      </c>
      <c r="Q23" s="1"/>
      <c r="R23" s="1"/>
      <c r="S23" s="1"/>
      <c r="T23" s="1"/>
      <c r="U23" s="1" t="s">
        <v>1922</v>
      </c>
      <c r="V23" s="4">
        <v>1</v>
      </c>
      <c r="W23" s="6">
        <v>1512</v>
      </c>
      <c r="X23" s="1" t="s">
        <v>1459</v>
      </c>
      <c r="Y23" s="4">
        <v>1</v>
      </c>
      <c r="Z23" s="6">
        <v>1512</v>
      </c>
      <c r="AA23" s="1" t="s">
        <v>1976</v>
      </c>
      <c r="AB23" s="1" t="s">
        <v>1964</v>
      </c>
      <c r="AC23" s="1" t="s">
        <v>1124</v>
      </c>
      <c r="AD23" s="1" t="s">
        <v>1800</v>
      </c>
      <c r="AE23" s="1" t="s">
        <v>1286</v>
      </c>
      <c r="AF23" s="1" t="s">
        <v>1463</v>
      </c>
      <c r="AG23" s="6">
        <v>1512</v>
      </c>
      <c r="AH23" s="6">
        <v>1512</v>
      </c>
      <c r="AI23" s="1"/>
      <c r="AJ23" s="1"/>
      <c r="AK23" s="1"/>
      <c r="AL23" s="1" t="s">
        <v>1774</v>
      </c>
      <c r="AM23" s="1" t="s">
        <v>697</v>
      </c>
      <c r="AN23" s="1"/>
      <c r="AO23" s="1" t="s">
        <v>218</v>
      </c>
      <c r="AP23" s="1"/>
      <c r="AQ23" s="1"/>
      <c r="AR23" s="2"/>
      <c r="AS23" s="1"/>
      <c r="AT23" s="1"/>
      <c r="AU23" s="1"/>
      <c r="AV23" s="1" t="s">
        <v>1941</v>
      </c>
      <c r="AW23" s="7">
        <v>43833.497525009247</v>
      </c>
      <c r="AX23" s="1" t="s">
        <v>408</v>
      </c>
      <c r="AY23" s="6">
        <v>1512</v>
      </c>
      <c r="AZ23" s="1"/>
      <c r="BA23" s="5">
        <v>44196</v>
      </c>
      <c r="BB23" s="7">
        <v>44196</v>
      </c>
      <c r="BC23" s="1" t="s">
        <v>1997</v>
      </c>
      <c r="BD23" s="1"/>
      <c r="BE23" s="1"/>
      <c r="BF23" s="1" t="s">
        <v>118</v>
      </c>
    </row>
    <row r="24" spans="1:58">
      <c r="A24" s="4">
        <v>19</v>
      </c>
      <c r="B24" s="2" t="str">
        <f>HYPERLINK("https://my.zakupki.prom.ua/remote/dispatcher/state_purchase_view/19821435", "UA-2020-10-05-005149-a")</f>
        <v>UA-2020-10-05-005149-a</v>
      </c>
      <c r="C24" s="2" t="s">
        <v>1459</v>
      </c>
      <c r="D24" s="1" t="s">
        <v>1550</v>
      </c>
      <c r="E24" s="1" t="s">
        <v>1550</v>
      </c>
      <c r="F24" s="1" t="s">
        <v>1097</v>
      </c>
      <c r="G24" s="1" t="s">
        <v>1364</v>
      </c>
      <c r="H24" s="1" t="s">
        <v>1800</v>
      </c>
      <c r="I24" s="1" t="s">
        <v>1379</v>
      </c>
      <c r="J24" s="1" t="s">
        <v>819</v>
      </c>
      <c r="K24" s="1" t="s">
        <v>1287</v>
      </c>
      <c r="L24" s="1" t="s">
        <v>1216</v>
      </c>
      <c r="M24" s="1" t="s">
        <v>119</v>
      </c>
      <c r="N24" s="1" t="s">
        <v>119</v>
      </c>
      <c r="O24" s="1" t="s">
        <v>119</v>
      </c>
      <c r="P24" s="5">
        <v>44109</v>
      </c>
      <c r="Q24" s="1"/>
      <c r="R24" s="1"/>
      <c r="S24" s="1"/>
      <c r="T24" s="1"/>
      <c r="U24" s="1" t="s">
        <v>1922</v>
      </c>
      <c r="V24" s="4">
        <v>1</v>
      </c>
      <c r="W24" s="6">
        <v>2870</v>
      </c>
      <c r="X24" s="1" t="s">
        <v>1459</v>
      </c>
      <c r="Y24" s="4">
        <v>1</v>
      </c>
      <c r="Z24" s="6">
        <v>2870</v>
      </c>
      <c r="AA24" s="1" t="s">
        <v>1976</v>
      </c>
      <c r="AB24" s="1" t="s">
        <v>1964</v>
      </c>
      <c r="AC24" s="1" t="s">
        <v>1124</v>
      </c>
      <c r="AD24" s="1" t="s">
        <v>1463</v>
      </c>
      <c r="AE24" s="1" t="s">
        <v>1286</v>
      </c>
      <c r="AF24" s="1" t="s">
        <v>1463</v>
      </c>
      <c r="AG24" s="6">
        <v>2870</v>
      </c>
      <c r="AH24" s="6">
        <v>2870</v>
      </c>
      <c r="AI24" s="1"/>
      <c r="AJ24" s="1"/>
      <c r="AK24" s="1"/>
      <c r="AL24" s="1" t="s">
        <v>1452</v>
      </c>
      <c r="AM24" s="1" t="s">
        <v>636</v>
      </c>
      <c r="AN24" s="1"/>
      <c r="AO24" s="1" t="s">
        <v>242</v>
      </c>
      <c r="AP24" s="1"/>
      <c r="AQ24" s="1"/>
      <c r="AR24" s="2"/>
      <c r="AS24" s="1"/>
      <c r="AT24" s="1"/>
      <c r="AU24" s="1"/>
      <c r="AV24" s="1" t="s">
        <v>1941</v>
      </c>
      <c r="AW24" s="7">
        <v>44109.586255750532</v>
      </c>
      <c r="AX24" s="1" t="s">
        <v>1044</v>
      </c>
      <c r="AY24" s="6">
        <v>2870</v>
      </c>
      <c r="AZ24" s="1"/>
      <c r="BA24" s="5">
        <v>44109</v>
      </c>
      <c r="BB24" s="7">
        <v>44196</v>
      </c>
      <c r="BC24" s="1" t="s">
        <v>1997</v>
      </c>
      <c r="BD24" s="1"/>
      <c r="BE24" s="1"/>
      <c r="BF24" s="1" t="s">
        <v>118</v>
      </c>
    </row>
    <row r="25" spans="1:58">
      <c r="A25" s="4">
        <v>20</v>
      </c>
      <c r="B25" s="2" t="str">
        <f>HYPERLINK("https://my.zakupki.prom.ua/remote/dispatcher/state_purchase_view/21529924", "UA-2020-11-27-007220-b")</f>
        <v>UA-2020-11-27-007220-b</v>
      </c>
      <c r="C25" s="2" t="s">
        <v>1459</v>
      </c>
      <c r="D25" s="1" t="s">
        <v>1910</v>
      </c>
      <c r="E25" s="1" t="s">
        <v>1910</v>
      </c>
      <c r="F25" s="1" t="s">
        <v>463</v>
      </c>
      <c r="G25" s="1" t="s">
        <v>1364</v>
      </c>
      <c r="H25" s="1" t="s">
        <v>1800</v>
      </c>
      <c r="I25" s="1" t="s">
        <v>1379</v>
      </c>
      <c r="J25" s="1" t="s">
        <v>819</v>
      </c>
      <c r="K25" s="1" t="s">
        <v>1287</v>
      </c>
      <c r="L25" s="1" t="s">
        <v>1216</v>
      </c>
      <c r="M25" s="1" t="s">
        <v>119</v>
      </c>
      <c r="N25" s="1" t="s">
        <v>119</v>
      </c>
      <c r="O25" s="1" t="s">
        <v>119</v>
      </c>
      <c r="P25" s="5">
        <v>44162</v>
      </c>
      <c r="Q25" s="1"/>
      <c r="R25" s="1"/>
      <c r="S25" s="1"/>
      <c r="T25" s="1"/>
      <c r="U25" s="1" t="s">
        <v>1922</v>
      </c>
      <c r="V25" s="4">
        <v>1</v>
      </c>
      <c r="W25" s="6">
        <v>1008</v>
      </c>
      <c r="X25" s="1" t="s">
        <v>1459</v>
      </c>
      <c r="Y25" s="4">
        <v>300</v>
      </c>
      <c r="Z25" s="6">
        <v>3.36</v>
      </c>
      <c r="AA25" s="1" t="s">
        <v>2024</v>
      </c>
      <c r="AB25" s="1" t="s">
        <v>1964</v>
      </c>
      <c r="AC25" s="1" t="s">
        <v>1124</v>
      </c>
      <c r="AD25" s="1" t="s">
        <v>1800</v>
      </c>
      <c r="AE25" s="1" t="s">
        <v>1286</v>
      </c>
      <c r="AF25" s="1" t="s">
        <v>1463</v>
      </c>
      <c r="AG25" s="6">
        <v>1008</v>
      </c>
      <c r="AH25" s="6">
        <v>3.36</v>
      </c>
      <c r="AI25" s="1"/>
      <c r="AJ25" s="1"/>
      <c r="AK25" s="1"/>
      <c r="AL25" s="1" t="s">
        <v>1741</v>
      </c>
      <c r="AM25" s="1" t="s">
        <v>888</v>
      </c>
      <c r="AN25" s="1"/>
      <c r="AO25" s="1" t="s">
        <v>219</v>
      </c>
      <c r="AP25" s="1"/>
      <c r="AQ25" s="1"/>
      <c r="AR25" s="2"/>
      <c r="AS25" s="1"/>
      <c r="AT25" s="1"/>
      <c r="AU25" s="1"/>
      <c r="AV25" s="1" t="s">
        <v>1941</v>
      </c>
      <c r="AW25" s="7">
        <v>44162.610641980253</v>
      </c>
      <c r="AX25" s="1" t="s">
        <v>552</v>
      </c>
      <c r="AY25" s="6">
        <v>1008</v>
      </c>
      <c r="AZ25" s="1"/>
      <c r="BA25" s="5">
        <v>44196</v>
      </c>
      <c r="BB25" s="7">
        <v>44196</v>
      </c>
      <c r="BC25" s="1" t="s">
        <v>1997</v>
      </c>
      <c r="BD25" s="1"/>
      <c r="BE25" s="1"/>
      <c r="BF25" s="1" t="s">
        <v>118</v>
      </c>
    </row>
    <row r="26" spans="1:58">
      <c r="A26" s="4">
        <v>21</v>
      </c>
      <c r="B26" s="2" t="str">
        <f>HYPERLINK("https://my.zakupki.prom.ua/remote/dispatcher/state_purchase_view/20915687", "UA-2020-11-10-001958-c")</f>
        <v>UA-2020-11-10-001958-c</v>
      </c>
      <c r="C26" s="2" t="s">
        <v>1459</v>
      </c>
      <c r="D26" s="1" t="s">
        <v>1560</v>
      </c>
      <c r="E26" s="1" t="s">
        <v>1560</v>
      </c>
      <c r="F26" s="1" t="s">
        <v>1058</v>
      </c>
      <c r="G26" s="1" t="s">
        <v>1364</v>
      </c>
      <c r="H26" s="1" t="s">
        <v>1800</v>
      </c>
      <c r="I26" s="1" t="s">
        <v>1379</v>
      </c>
      <c r="J26" s="1" t="s">
        <v>819</v>
      </c>
      <c r="K26" s="1" t="s">
        <v>1287</v>
      </c>
      <c r="L26" s="1" t="s">
        <v>1216</v>
      </c>
      <c r="M26" s="1" t="s">
        <v>119</v>
      </c>
      <c r="N26" s="1" t="s">
        <v>119</v>
      </c>
      <c r="O26" s="1" t="s">
        <v>119</v>
      </c>
      <c r="P26" s="5">
        <v>44145</v>
      </c>
      <c r="Q26" s="1"/>
      <c r="R26" s="1"/>
      <c r="S26" s="1"/>
      <c r="T26" s="1"/>
      <c r="U26" s="1" t="s">
        <v>1922</v>
      </c>
      <c r="V26" s="4">
        <v>1</v>
      </c>
      <c r="W26" s="6">
        <v>10380.94</v>
      </c>
      <c r="X26" s="1" t="s">
        <v>1459</v>
      </c>
      <c r="Y26" s="4">
        <v>1</v>
      </c>
      <c r="Z26" s="6">
        <v>10380.94</v>
      </c>
      <c r="AA26" s="1" t="s">
        <v>1976</v>
      </c>
      <c r="AB26" s="1" t="s">
        <v>1964</v>
      </c>
      <c r="AC26" s="1" t="s">
        <v>1124</v>
      </c>
      <c r="AD26" s="1" t="s">
        <v>1800</v>
      </c>
      <c r="AE26" s="1" t="s">
        <v>1286</v>
      </c>
      <c r="AF26" s="1" t="s">
        <v>1463</v>
      </c>
      <c r="AG26" s="6">
        <v>10380.94</v>
      </c>
      <c r="AH26" s="6">
        <v>10380.94</v>
      </c>
      <c r="AI26" s="1"/>
      <c r="AJ26" s="1"/>
      <c r="AK26" s="1"/>
      <c r="AL26" s="1" t="s">
        <v>1784</v>
      </c>
      <c r="AM26" s="1" t="s">
        <v>820</v>
      </c>
      <c r="AN26" s="1"/>
      <c r="AO26" s="1" t="s">
        <v>255</v>
      </c>
      <c r="AP26" s="1"/>
      <c r="AQ26" s="1"/>
      <c r="AR26" s="2"/>
      <c r="AS26" s="1"/>
      <c r="AT26" s="1"/>
      <c r="AU26" s="1"/>
      <c r="AV26" s="1" t="s">
        <v>1941</v>
      </c>
      <c r="AW26" s="7">
        <v>44145.443866904374</v>
      </c>
      <c r="AX26" s="1" t="s">
        <v>327</v>
      </c>
      <c r="AY26" s="6">
        <v>10380.94</v>
      </c>
      <c r="AZ26" s="1"/>
      <c r="BA26" s="5">
        <v>44196</v>
      </c>
      <c r="BB26" s="7">
        <v>44196</v>
      </c>
      <c r="BC26" s="1" t="s">
        <v>1997</v>
      </c>
      <c r="BD26" s="1"/>
      <c r="BE26" s="1"/>
      <c r="BF26" s="1" t="s">
        <v>118</v>
      </c>
    </row>
    <row r="27" spans="1:58">
      <c r="A27" s="4">
        <v>22</v>
      </c>
      <c r="B27" s="2" t="str">
        <f>HYPERLINK("https://my.zakupki.prom.ua/remote/dispatcher/state_purchase_view/16588904", "UA-2020-05-07-003430-b")</f>
        <v>UA-2020-05-07-003430-b</v>
      </c>
      <c r="C27" s="2" t="s">
        <v>1459</v>
      </c>
      <c r="D27" s="1" t="s">
        <v>718</v>
      </c>
      <c r="E27" s="1" t="s">
        <v>1681</v>
      </c>
      <c r="F27" s="1" t="s">
        <v>721</v>
      </c>
      <c r="G27" s="1" t="s">
        <v>1280</v>
      </c>
      <c r="H27" s="1" t="s">
        <v>1800</v>
      </c>
      <c r="I27" s="1" t="s">
        <v>1379</v>
      </c>
      <c r="J27" s="1" t="s">
        <v>819</v>
      </c>
      <c r="K27" s="1" t="s">
        <v>1287</v>
      </c>
      <c r="L27" s="1" t="s">
        <v>1216</v>
      </c>
      <c r="M27" s="1" t="s">
        <v>119</v>
      </c>
      <c r="N27" s="1" t="s">
        <v>119</v>
      </c>
      <c r="O27" s="1" t="s">
        <v>119</v>
      </c>
      <c r="P27" s="5">
        <v>43958</v>
      </c>
      <c r="Q27" s="5">
        <v>43958</v>
      </c>
      <c r="R27" s="5">
        <v>43966</v>
      </c>
      <c r="S27" s="5">
        <v>43958</v>
      </c>
      <c r="T27" s="5">
        <v>43976</v>
      </c>
      <c r="U27" s="7">
        <v>43977.550439814811</v>
      </c>
      <c r="V27" s="4">
        <v>2</v>
      </c>
      <c r="W27" s="6">
        <v>367420</v>
      </c>
      <c r="X27" s="1" t="s">
        <v>1459</v>
      </c>
      <c r="Y27" s="1" t="s">
        <v>1956</v>
      </c>
      <c r="Z27" s="1" t="s">
        <v>1956</v>
      </c>
      <c r="AA27" s="1" t="s">
        <v>1956</v>
      </c>
      <c r="AB27" s="6">
        <v>1837.1</v>
      </c>
      <c r="AC27" s="1" t="s">
        <v>1124</v>
      </c>
      <c r="AD27" s="1" t="s">
        <v>1800</v>
      </c>
      <c r="AE27" s="1" t="s">
        <v>1286</v>
      </c>
      <c r="AF27" s="1" t="s">
        <v>1463</v>
      </c>
      <c r="AG27" s="6">
        <v>367404.13</v>
      </c>
      <c r="AH27" s="1" t="s">
        <v>1956</v>
      </c>
      <c r="AI27" s="1" t="s">
        <v>1734</v>
      </c>
      <c r="AJ27" s="6">
        <v>15.869999999995343</v>
      </c>
      <c r="AK27" s="6">
        <v>4.3193076043751955E-5</v>
      </c>
      <c r="AL27" s="1" t="s">
        <v>1734</v>
      </c>
      <c r="AM27" s="1" t="s">
        <v>981</v>
      </c>
      <c r="AN27" s="1" t="s">
        <v>1197</v>
      </c>
      <c r="AO27" s="1" t="s">
        <v>85</v>
      </c>
      <c r="AP27" s="6">
        <v>15.869999999995343</v>
      </c>
      <c r="AQ27" s="6">
        <v>4.3193076043751955E-5</v>
      </c>
      <c r="AR27" s="2" t="str">
        <f>HYPERLINK("https://auction.openprocurement.org/tenders/9d8cb0f150084bb1933b7e4a1de434ac")</f>
        <v>https://auction.openprocurement.org/tenders/9d8cb0f150084bb1933b7e4a1de434ac</v>
      </c>
      <c r="AS27" s="7">
        <v>43978.599692265241</v>
      </c>
      <c r="AT27" s="5">
        <v>43989</v>
      </c>
      <c r="AU27" s="5">
        <v>43999</v>
      </c>
      <c r="AV27" s="1" t="s">
        <v>1941</v>
      </c>
      <c r="AW27" s="7">
        <v>43991.627044501089</v>
      </c>
      <c r="AX27" s="1" t="s">
        <v>281</v>
      </c>
      <c r="AY27" s="6">
        <v>367404.13</v>
      </c>
      <c r="AZ27" s="1"/>
      <c r="BA27" s="5">
        <v>44043</v>
      </c>
      <c r="BB27" s="7">
        <v>44196</v>
      </c>
      <c r="BC27" s="1" t="s">
        <v>1997</v>
      </c>
      <c r="BD27" s="1"/>
      <c r="BE27" s="1"/>
      <c r="BF27" s="1" t="s">
        <v>982</v>
      </c>
    </row>
    <row r="28" spans="1:58">
      <c r="A28" s="4">
        <v>23</v>
      </c>
      <c r="B28" s="2" t="str">
        <f>HYPERLINK("https://my.zakupki.prom.ua/remote/dispatcher/state_purchase_view/14790603", "UA-2020-01-24-001097-a")</f>
        <v>UA-2020-01-24-001097-a</v>
      </c>
      <c r="C28" s="2" t="s">
        <v>1459</v>
      </c>
      <c r="D28" s="1" t="s">
        <v>1912</v>
      </c>
      <c r="E28" s="1" t="s">
        <v>1622</v>
      </c>
      <c r="F28" s="1" t="s">
        <v>626</v>
      </c>
      <c r="G28" s="1" t="s">
        <v>1364</v>
      </c>
      <c r="H28" s="1" t="s">
        <v>1800</v>
      </c>
      <c r="I28" s="1" t="s">
        <v>1379</v>
      </c>
      <c r="J28" s="1" t="s">
        <v>819</v>
      </c>
      <c r="K28" s="1" t="s">
        <v>1287</v>
      </c>
      <c r="L28" s="1" t="s">
        <v>1915</v>
      </c>
      <c r="M28" s="1" t="s">
        <v>119</v>
      </c>
      <c r="N28" s="1" t="s">
        <v>119</v>
      </c>
      <c r="O28" s="1" t="s">
        <v>119</v>
      </c>
      <c r="P28" s="5">
        <v>43854</v>
      </c>
      <c r="Q28" s="1"/>
      <c r="R28" s="1"/>
      <c r="S28" s="1"/>
      <c r="T28" s="1"/>
      <c r="U28" s="1" t="s">
        <v>1922</v>
      </c>
      <c r="V28" s="4">
        <v>1</v>
      </c>
      <c r="W28" s="6">
        <v>2740</v>
      </c>
      <c r="X28" s="1" t="s">
        <v>1459</v>
      </c>
      <c r="Y28" s="4">
        <v>17</v>
      </c>
      <c r="Z28" s="6">
        <v>161.18</v>
      </c>
      <c r="AA28" s="1" t="s">
        <v>2024</v>
      </c>
      <c r="AB28" s="1" t="s">
        <v>1964</v>
      </c>
      <c r="AC28" s="1" t="s">
        <v>1124</v>
      </c>
      <c r="AD28" s="1" t="s">
        <v>1463</v>
      </c>
      <c r="AE28" s="1" t="s">
        <v>1286</v>
      </c>
      <c r="AF28" s="1" t="s">
        <v>1463</v>
      </c>
      <c r="AG28" s="6">
        <v>2740</v>
      </c>
      <c r="AH28" s="6">
        <v>161.1764705882353</v>
      </c>
      <c r="AI28" s="1"/>
      <c r="AJ28" s="1"/>
      <c r="AK28" s="1"/>
      <c r="AL28" s="1" t="s">
        <v>1488</v>
      </c>
      <c r="AM28" s="1" t="s">
        <v>532</v>
      </c>
      <c r="AN28" s="1"/>
      <c r="AO28" s="1" t="s">
        <v>307</v>
      </c>
      <c r="AP28" s="1"/>
      <c r="AQ28" s="1"/>
      <c r="AR28" s="2"/>
      <c r="AS28" s="1"/>
      <c r="AT28" s="1"/>
      <c r="AU28" s="1"/>
      <c r="AV28" s="1" t="s">
        <v>1941</v>
      </c>
      <c r="AW28" s="7">
        <v>43854.443477836132</v>
      </c>
      <c r="AX28" s="1" t="s">
        <v>494</v>
      </c>
      <c r="AY28" s="6">
        <v>2740</v>
      </c>
      <c r="AZ28" s="1"/>
      <c r="BA28" s="5">
        <v>43861</v>
      </c>
      <c r="BB28" s="7">
        <v>44196</v>
      </c>
      <c r="BC28" s="1" t="s">
        <v>1997</v>
      </c>
      <c r="BD28" s="1"/>
      <c r="BE28" s="1"/>
      <c r="BF28" s="1" t="s">
        <v>118</v>
      </c>
    </row>
    <row r="29" spans="1:58">
      <c r="A29" s="4">
        <v>24</v>
      </c>
      <c r="B29" s="2" t="str">
        <f>HYPERLINK("https://my.zakupki.prom.ua/remote/dispatcher/state_purchase_view/23138816", "UA-2021-01-21-009122-b")</f>
        <v>UA-2021-01-21-009122-b</v>
      </c>
      <c r="C29" s="2" t="s">
        <v>1459</v>
      </c>
      <c r="D29" s="1" t="s">
        <v>1908</v>
      </c>
      <c r="E29" s="1" t="s">
        <v>1908</v>
      </c>
      <c r="F29" s="1" t="s">
        <v>704</v>
      </c>
      <c r="G29" s="1" t="s">
        <v>1364</v>
      </c>
      <c r="H29" s="1" t="s">
        <v>1800</v>
      </c>
      <c r="I29" s="1" t="s">
        <v>1379</v>
      </c>
      <c r="J29" s="1" t="s">
        <v>819</v>
      </c>
      <c r="K29" s="1" t="s">
        <v>1287</v>
      </c>
      <c r="L29" s="1" t="s">
        <v>1216</v>
      </c>
      <c r="M29" s="1" t="s">
        <v>119</v>
      </c>
      <c r="N29" s="1" t="s">
        <v>119</v>
      </c>
      <c r="O29" s="1" t="s">
        <v>119</v>
      </c>
      <c r="P29" s="5">
        <v>44217</v>
      </c>
      <c r="Q29" s="1"/>
      <c r="R29" s="1"/>
      <c r="S29" s="1"/>
      <c r="T29" s="1"/>
      <c r="U29" s="1" t="s">
        <v>1922</v>
      </c>
      <c r="V29" s="4">
        <v>1</v>
      </c>
      <c r="W29" s="6">
        <v>94500</v>
      </c>
      <c r="X29" s="1" t="s">
        <v>1459</v>
      </c>
      <c r="Y29" s="4">
        <v>525</v>
      </c>
      <c r="Z29" s="6">
        <v>180</v>
      </c>
      <c r="AA29" s="1" t="s">
        <v>2024</v>
      </c>
      <c r="AB29" s="1" t="s">
        <v>1964</v>
      </c>
      <c r="AC29" s="1" t="s">
        <v>1124</v>
      </c>
      <c r="AD29" s="1" t="s">
        <v>1800</v>
      </c>
      <c r="AE29" s="1" t="s">
        <v>1286</v>
      </c>
      <c r="AF29" s="1" t="s">
        <v>1463</v>
      </c>
      <c r="AG29" s="6">
        <v>94500</v>
      </c>
      <c r="AH29" s="6">
        <v>180</v>
      </c>
      <c r="AI29" s="1"/>
      <c r="AJ29" s="1"/>
      <c r="AK29" s="1"/>
      <c r="AL29" s="1" t="s">
        <v>1775</v>
      </c>
      <c r="AM29" s="1" t="s">
        <v>931</v>
      </c>
      <c r="AN29" s="1"/>
      <c r="AO29" s="1" t="s">
        <v>259</v>
      </c>
      <c r="AP29" s="1"/>
      <c r="AQ29" s="1"/>
      <c r="AR29" s="2"/>
      <c r="AS29" s="1"/>
      <c r="AT29" s="1"/>
      <c r="AU29" s="1"/>
      <c r="AV29" s="1" t="s">
        <v>1941</v>
      </c>
      <c r="AW29" s="7">
        <v>44217.670909300286</v>
      </c>
      <c r="AX29" s="1" t="s">
        <v>412</v>
      </c>
      <c r="AY29" s="6">
        <v>94500</v>
      </c>
      <c r="AZ29" s="1"/>
      <c r="BA29" s="5">
        <v>44561</v>
      </c>
      <c r="BB29" s="7">
        <v>44561</v>
      </c>
      <c r="BC29" s="1" t="s">
        <v>1997</v>
      </c>
      <c r="BD29" s="1"/>
      <c r="BE29" s="1"/>
      <c r="BF29" s="1" t="s">
        <v>118</v>
      </c>
    </row>
    <row r="30" spans="1:58">
      <c r="A30" s="4">
        <v>25</v>
      </c>
      <c r="B30" s="2" t="str">
        <f>HYPERLINK("https://my.zakupki.prom.ua/remote/dispatcher/state_purchase_view/25348542", "UA-2021-03-29-003514-b")</f>
        <v>UA-2021-03-29-003514-b</v>
      </c>
      <c r="C30" s="2" t="s">
        <v>1459</v>
      </c>
      <c r="D30" s="1" t="s">
        <v>1958</v>
      </c>
      <c r="E30" s="1" t="s">
        <v>1294</v>
      </c>
      <c r="F30" s="1" t="s">
        <v>733</v>
      </c>
      <c r="G30" s="1" t="s">
        <v>1280</v>
      </c>
      <c r="H30" s="1" t="s">
        <v>1800</v>
      </c>
      <c r="I30" s="1" t="s">
        <v>1379</v>
      </c>
      <c r="J30" s="1" t="s">
        <v>819</v>
      </c>
      <c r="K30" s="1" t="s">
        <v>1287</v>
      </c>
      <c r="L30" s="1" t="s">
        <v>1216</v>
      </c>
      <c r="M30" s="1" t="s">
        <v>119</v>
      </c>
      <c r="N30" s="1" t="s">
        <v>119</v>
      </c>
      <c r="O30" s="1" t="s">
        <v>119</v>
      </c>
      <c r="P30" s="5">
        <v>44284</v>
      </c>
      <c r="Q30" s="5">
        <v>44284</v>
      </c>
      <c r="R30" s="5">
        <v>44291</v>
      </c>
      <c r="S30" s="5">
        <v>44284</v>
      </c>
      <c r="T30" s="5">
        <v>44301</v>
      </c>
      <c r="U30" s="1" t="s">
        <v>1923</v>
      </c>
      <c r="V30" s="4">
        <v>0</v>
      </c>
      <c r="W30" s="6">
        <v>13000</v>
      </c>
      <c r="X30" s="1" t="s">
        <v>1459</v>
      </c>
      <c r="Y30" s="1" t="s">
        <v>1956</v>
      </c>
      <c r="Z30" s="1" t="s">
        <v>1956</v>
      </c>
      <c r="AA30" s="1" t="s">
        <v>1956</v>
      </c>
      <c r="AB30" s="6">
        <v>65</v>
      </c>
      <c r="AC30" s="1" t="s">
        <v>1124</v>
      </c>
      <c r="AD30" s="1" t="s">
        <v>1800</v>
      </c>
      <c r="AE30" s="1" t="s">
        <v>1286</v>
      </c>
      <c r="AF30" s="1" t="s">
        <v>1463</v>
      </c>
      <c r="AG30" s="1"/>
      <c r="AH30" s="1" t="s">
        <v>1956</v>
      </c>
      <c r="AI30" s="1"/>
      <c r="AJ30" s="1"/>
      <c r="AK30" s="1"/>
      <c r="AL30" s="1"/>
      <c r="AM30" s="1"/>
      <c r="AN30" s="1"/>
      <c r="AO30" s="1"/>
      <c r="AP30" s="1"/>
      <c r="AQ30" s="1"/>
      <c r="AR30" s="2"/>
      <c r="AS30" s="1"/>
      <c r="AT30" s="1"/>
      <c r="AU30" s="1"/>
      <c r="AV30" s="1" t="s">
        <v>1942</v>
      </c>
      <c r="AW30" s="7">
        <v>44301.001486042711</v>
      </c>
      <c r="AX30" s="1"/>
      <c r="AY30" s="1"/>
      <c r="AZ30" s="1"/>
      <c r="BA30" s="5">
        <v>44561</v>
      </c>
      <c r="BB30" s="1"/>
      <c r="BC30" s="1"/>
      <c r="BD30" s="1"/>
      <c r="BE30" s="1"/>
      <c r="BF30" s="1"/>
    </row>
    <row r="31" spans="1:58">
      <c r="A31" s="4">
        <v>26</v>
      </c>
      <c r="B31" s="2" t="str">
        <f>HYPERLINK("https://my.zakupki.prom.ua/remote/dispatcher/state_purchase_view/24977888", "UA-2021-03-17-006211-c")</f>
        <v>UA-2021-03-17-006211-c</v>
      </c>
      <c r="C31" s="2" t="s">
        <v>1459</v>
      </c>
      <c r="D31" s="1" t="s">
        <v>1824</v>
      </c>
      <c r="E31" s="1" t="s">
        <v>1825</v>
      </c>
      <c r="F31" s="1" t="s">
        <v>1060</v>
      </c>
      <c r="G31" s="1" t="s">
        <v>1364</v>
      </c>
      <c r="H31" s="1" t="s">
        <v>1800</v>
      </c>
      <c r="I31" s="1" t="s">
        <v>1379</v>
      </c>
      <c r="J31" s="1" t="s">
        <v>819</v>
      </c>
      <c r="K31" s="1" t="s">
        <v>1287</v>
      </c>
      <c r="L31" s="1" t="s">
        <v>1216</v>
      </c>
      <c r="M31" s="1" t="s">
        <v>119</v>
      </c>
      <c r="N31" s="1" t="s">
        <v>119</v>
      </c>
      <c r="O31" s="1" t="s">
        <v>119</v>
      </c>
      <c r="P31" s="5">
        <v>44272</v>
      </c>
      <c r="Q31" s="1"/>
      <c r="R31" s="1"/>
      <c r="S31" s="1"/>
      <c r="T31" s="1"/>
      <c r="U31" s="1" t="s">
        <v>1922</v>
      </c>
      <c r="V31" s="4">
        <v>1</v>
      </c>
      <c r="W31" s="6">
        <v>14000</v>
      </c>
      <c r="X31" s="1" t="s">
        <v>1459</v>
      </c>
      <c r="Y31" s="4">
        <v>1</v>
      </c>
      <c r="Z31" s="6">
        <v>14000</v>
      </c>
      <c r="AA31" s="1" t="s">
        <v>1976</v>
      </c>
      <c r="AB31" s="1" t="s">
        <v>1964</v>
      </c>
      <c r="AC31" s="1" t="s">
        <v>1124</v>
      </c>
      <c r="AD31" s="1" t="s">
        <v>1800</v>
      </c>
      <c r="AE31" s="1" t="s">
        <v>1286</v>
      </c>
      <c r="AF31" s="1" t="s">
        <v>1463</v>
      </c>
      <c r="AG31" s="6">
        <v>14000</v>
      </c>
      <c r="AH31" s="6">
        <v>14000</v>
      </c>
      <c r="AI31" s="1"/>
      <c r="AJ31" s="1"/>
      <c r="AK31" s="1"/>
      <c r="AL31" s="1" t="s">
        <v>1748</v>
      </c>
      <c r="AM31" s="1" t="s">
        <v>960</v>
      </c>
      <c r="AN31" s="1"/>
      <c r="AO31" s="1" t="s">
        <v>299</v>
      </c>
      <c r="AP31" s="1"/>
      <c r="AQ31" s="1"/>
      <c r="AR31" s="2"/>
      <c r="AS31" s="1"/>
      <c r="AT31" s="1"/>
      <c r="AU31" s="1"/>
      <c r="AV31" s="1" t="s">
        <v>1941</v>
      </c>
      <c r="AW31" s="7">
        <v>44272.49931152309</v>
      </c>
      <c r="AX31" s="1" t="s">
        <v>411</v>
      </c>
      <c r="AY31" s="6">
        <v>14000</v>
      </c>
      <c r="AZ31" s="1"/>
      <c r="BA31" s="5">
        <v>44561</v>
      </c>
      <c r="BB31" s="7">
        <v>44561</v>
      </c>
      <c r="BC31" s="1" t="s">
        <v>1997</v>
      </c>
      <c r="BD31" s="1"/>
      <c r="BE31" s="1"/>
      <c r="BF31" s="1" t="s">
        <v>118</v>
      </c>
    </row>
    <row r="32" spans="1:58">
      <c r="A32" s="4">
        <v>27</v>
      </c>
      <c r="B32" s="2" t="str">
        <f>HYPERLINK("https://my.zakupki.prom.ua/remote/dispatcher/state_purchase_view/25108093", "UA-2021-03-22-001512-a")</f>
        <v>UA-2021-03-22-001512-a</v>
      </c>
      <c r="C32" s="2" t="s">
        <v>1459</v>
      </c>
      <c r="D32" s="1" t="s">
        <v>1575</v>
      </c>
      <c r="E32" s="1" t="s">
        <v>1575</v>
      </c>
      <c r="F32" s="1" t="s">
        <v>1020</v>
      </c>
      <c r="G32" s="1" t="s">
        <v>1364</v>
      </c>
      <c r="H32" s="1" t="s">
        <v>1800</v>
      </c>
      <c r="I32" s="1" t="s">
        <v>1379</v>
      </c>
      <c r="J32" s="1" t="s">
        <v>819</v>
      </c>
      <c r="K32" s="1" t="s">
        <v>1287</v>
      </c>
      <c r="L32" s="1" t="s">
        <v>1216</v>
      </c>
      <c r="M32" s="1" t="s">
        <v>119</v>
      </c>
      <c r="N32" s="1" t="s">
        <v>119</v>
      </c>
      <c r="O32" s="1" t="s">
        <v>119</v>
      </c>
      <c r="P32" s="5">
        <v>44277</v>
      </c>
      <c r="Q32" s="1"/>
      <c r="R32" s="1"/>
      <c r="S32" s="1"/>
      <c r="T32" s="1"/>
      <c r="U32" s="1" t="s">
        <v>1922</v>
      </c>
      <c r="V32" s="4">
        <v>1</v>
      </c>
      <c r="W32" s="6">
        <v>40</v>
      </c>
      <c r="X32" s="1" t="s">
        <v>1459</v>
      </c>
      <c r="Y32" s="4">
        <v>1</v>
      </c>
      <c r="Z32" s="6">
        <v>40</v>
      </c>
      <c r="AA32" s="1" t="s">
        <v>1976</v>
      </c>
      <c r="AB32" s="1" t="s">
        <v>1964</v>
      </c>
      <c r="AC32" s="1" t="s">
        <v>1124</v>
      </c>
      <c r="AD32" s="1" t="s">
        <v>1800</v>
      </c>
      <c r="AE32" s="1" t="s">
        <v>1286</v>
      </c>
      <c r="AF32" s="1" t="s">
        <v>1463</v>
      </c>
      <c r="AG32" s="6">
        <v>40</v>
      </c>
      <c r="AH32" s="6">
        <v>40</v>
      </c>
      <c r="AI32" s="1"/>
      <c r="AJ32" s="1"/>
      <c r="AK32" s="1"/>
      <c r="AL32" s="1" t="s">
        <v>1383</v>
      </c>
      <c r="AM32" s="1" t="s">
        <v>156</v>
      </c>
      <c r="AN32" s="1"/>
      <c r="AO32" s="1" t="s">
        <v>208</v>
      </c>
      <c r="AP32" s="1"/>
      <c r="AQ32" s="1"/>
      <c r="AR32" s="2"/>
      <c r="AS32" s="1"/>
      <c r="AT32" s="1"/>
      <c r="AU32" s="1"/>
      <c r="AV32" s="1" t="s">
        <v>1941</v>
      </c>
      <c r="AW32" s="7">
        <v>44277.425659220477</v>
      </c>
      <c r="AX32" s="1" t="s">
        <v>395</v>
      </c>
      <c r="AY32" s="6">
        <v>40</v>
      </c>
      <c r="AZ32" s="1"/>
      <c r="BA32" s="5">
        <v>44561</v>
      </c>
      <c r="BB32" s="7">
        <v>44561</v>
      </c>
      <c r="BC32" s="1" t="s">
        <v>1997</v>
      </c>
      <c r="BD32" s="1"/>
      <c r="BE32" s="1"/>
      <c r="BF32" s="1" t="s">
        <v>118</v>
      </c>
    </row>
    <row r="33" spans="1:58">
      <c r="A33" s="4">
        <v>28</v>
      </c>
      <c r="B33" s="2" t="str">
        <f>HYPERLINK("https://my.zakupki.prom.ua/remote/dispatcher/state_purchase_view/14258731", "UA-2019-12-23-002332-b")</f>
        <v>UA-2019-12-23-002332-b</v>
      </c>
      <c r="C33" s="2" t="s">
        <v>1459</v>
      </c>
      <c r="D33" s="1" t="s">
        <v>293</v>
      </c>
      <c r="E33" s="1" t="s">
        <v>293</v>
      </c>
      <c r="F33" s="1" t="s">
        <v>293</v>
      </c>
      <c r="G33" s="1" t="s">
        <v>1513</v>
      </c>
      <c r="H33" s="1" t="s">
        <v>1800</v>
      </c>
      <c r="I33" s="1" t="s">
        <v>1379</v>
      </c>
      <c r="J33" s="1" t="s">
        <v>819</v>
      </c>
      <c r="K33" s="1" t="s">
        <v>1287</v>
      </c>
      <c r="L33" s="1" t="s">
        <v>1915</v>
      </c>
      <c r="M33" s="1" t="s">
        <v>119</v>
      </c>
      <c r="N33" s="1" t="s">
        <v>119</v>
      </c>
      <c r="O33" s="1" t="s">
        <v>119</v>
      </c>
      <c r="P33" s="5">
        <v>43822</v>
      </c>
      <c r="Q33" s="1"/>
      <c r="R33" s="1"/>
      <c r="S33" s="1"/>
      <c r="T33" s="1"/>
      <c r="U33" s="1" t="s">
        <v>1922</v>
      </c>
      <c r="V33" s="4">
        <v>1</v>
      </c>
      <c r="W33" s="6">
        <v>340409.09</v>
      </c>
      <c r="X33" s="1" t="s">
        <v>1459</v>
      </c>
      <c r="Y33" s="4">
        <v>132126</v>
      </c>
      <c r="Z33" s="6">
        <v>2.58</v>
      </c>
      <c r="AA33" s="1" t="s">
        <v>1954</v>
      </c>
      <c r="AB33" s="1" t="s">
        <v>1964</v>
      </c>
      <c r="AC33" s="1" t="s">
        <v>1124</v>
      </c>
      <c r="AD33" s="1" t="s">
        <v>1800</v>
      </c>
      <c r="AE33" s="1" t="s">
        <v>1286</v>
      </c>
      <c r="AF33" s="1" t="s">
        <v>1463</v>
      </c>
      <c r="AG33" s="6">
        <v>340409.09</v>
      </c>
      <c r="AH33" s="6">
        <v>2.5763974539454764</v>
      </c>
      <c r="AI33" s="1"/>
      <c r="AJ33" s="1"/>
      <c r="AK33" s="1"/>
      <c r="AL33" s="1" t="s">
        <v>1756</v>
      </c>
      <c r="AM33" s="1" t="s">
        <v>951</v>
      </c>
      <c r="AN33" s="1"/>
      <c r="AO33" s="1" t="s">
        <v>256</v>
      </c>
      <c r="AP33" s="1"/>
      <c r="AQ33" s="1"/>
      <c r="AR33" s="2"/>
      <c r="AS33" s="1"/>
      <c r="AT33" s="5">
        <v>43833</v>
      </c>
      <c r="AU33" s="5">
        <v>43858</v>
      </c>
      <c r="AV33" s="1" t="s">
        <v>1941</v>
      </c>
      <c r="AW33" s="7">
        <v>43841.402585314005</v>
      </c>
      <c r="AX33" s="1" t="s">
        <v>130</v>
      </c>
      <c r="AY33" s="6">
        <v>340409.09</v>
      </c>
      <c r="AZ33" s="5">
        <v>43831</v>
      </c>
      <c r="BA33" s="5">
        <v>44196</v>
      </c>
      <c r="BB33" s="7">
        <v>44196</v>
      </c>
      <c r="BC33" s="1" t="s">
        <v>1997</v>
      </c>
      <c r="BD33" s="1"/>
      <c r="BE33" s="1"/>
      <c r="BF33" s="1" t="s">
        <v>118</v>
      </c>
    </row>
    <row r="34" spans="1:58">
      <c r="A34" s="4">
        <v>29</v>
      </c>
      <c r="B34" s="2" t="str">
        <f>HYPERLINK("https://my.zakupki.prom.ua/remote/dispatcher/state_purchase_view/24285439", "UA-2021-02-23-001700-b")</f>
        <v>UA-2021-02-23-001700-b</v>
      </c>
      <c r="C34" s="2" t="s">
        <v>1459</v>
      </c>
      <c r="D34" s="1" t="s">
        <v>1985</v>
      </c>
      <c r="E34" s="1" t="s">
        <v>1985</v>
      </c>
      <c r="F34" s="1" t="s">
        <v>1086</v>
      </c>
      <c r="G34" s="1" t="s">
        <v>1364</v>
      </c>
      <c r="H34" s="1" t="s">
        <v>1800</v>
      </c>
      <c r="I34" s="1" t="s">
        <v>1379</v>
      </c>
      <c r="J34" s="1" t="s">
        <v>819</v>
      </c>
      <c r="K34" s="1" t="s">
        <v>1287</v>
      </c>
      <c r="L34" s="1" t="s">
        <v>1216</v>
      </c>
      <c r="M34" s="1" t="s">
        <v>119</v>
      </c>
      <c r="N34" s="1" t="s">
        <v>119</v>
      </c>
      <c r="O34" s="1" t="s">
        <v>119</v>
      </c>
      <c r="P34" s="5">
        <v>44250</v>
      </c>
      <c r="Q34" s="1"/>
      <c r="R34" s="1"/>
      <c r="S34" s="1"/>
      <c r="T34" s="1"/>
      <c r="U34" s="1" t="s">
        <v>1922</v>
      </c>
      <c r="V34" s="4">
        <v>1</v>
      </c>
      <c r="W34" s="6">
        <v>510</v>
      </c>
      <c r="X34" s="1" t="s">
        <v>1459</v>
      </c>
      <c r="Y34" s="4">
        <v>1</v>
      </c>
      <c r="Z34" s="6">
        <v>510</v>
      </c>
      <c r="AA34" s="1" t="s">
        <v>1976</v>
      </c>
      <c r="AB34" s="1" t="s">
        <v>1964</v>
      </c>
      <c r="AC34" s="1" t="s">
        <v>1124</v>
      </c>
      <c r="AD34" s="1" t="s">
        <v>1800</v>
      </c>
      <c r="AE34" s="1" t="s">
        <v>1286</v>
      </c>
      <c r="AF34" s="1" t="s">
        <v>1463</v>
      </c>
      <c r="AG34" s="6">
        <v>510</v>
      </c>
      <c r="AH34" s="6">
        <v>510</v>
      </c>
      <c r="AI34" s="1"/>
      <c r="AJ34" s="1"/>
      <c r="AK34" s="1"/>
      <c r="AL34" s="1" t="s">
        <v>1381</v>
      </c>
      <c r="AM34" s="1" t="s">
        <v>157</v>
      </c>
      <c r="AN34" s="1"/>
      <c r="AO34" s="1" t="s">
        <v>181</v>
      </c>
      <c r="AP34" s="1"/>
      <c r="AQ34" s="1"/>
      <c r="AR34" s="2"/>
      <c r="AS34" s="1"/>
      <c r="AT34" s="1"/>
      <c r="AU34" s="1"/>
      <c r="AV34" s="1" t="s">
        <v>1941</v>
      </c>
      <c r="AW34" s="7">
        <v>44250.406022647665</v>
      </c>
      <c r="AX34" s="1" t="s">
        <v>354</v>
      </c>
      <c r="AY34" s="6">
        <v>510</v>
      </c>
      <c r="AZ34" s="1"/>
      <c r="BA34" s="5">
        <v>44561</v>
      </c>
      <c r="BB34" s="7">
        <v>44561</v>
      </c>
      <c r="BC34" s="1" t="s">
        <v>1997</v>
      </c>
      <c r="BD34" s="1"/>
      <c r="BE34" s="1"/>
      <c r="BF34" s="1" t="s">
        <v>118</v>
      </c>
    </row>
    <row r="35" spans="1:58">
      <c r="A35" s="4">
        <v>30</v>
      </c>
      <c r="B35" s="2" t="str">
        <f>HYPERLINK("https://my.zakupki.prom.ua/remote/dispatcher/state_purchase_view/26441018", "UA-2021-05-12-001376-b")</f>
        <v>UA-2021-05-12-001376-b</v>
      </c>
      <c r="C35" s="2" t="s">
        <v>1459</v>
      </c>
      <c r="D35" s="1" t="s">
        <v>1359</v>
      </c>
      <c r="E35" s="1" t="s">
        <v>1359</v>
      </c>
      <c r="F35" s="1" t="s">
        <v>899</v>
      </c>
      <c r="G35" s="1" t="s">
        <v>1364</v>
      </c>
      <c r="H35" s="1" t="s">
        <v>1800</v>
      </c>
      <c r="I35" s="1" t="s">
        <v>1379</v>
      </c>
      <c r="J35" s="1" t="s">
        <v>819</v>
      </c>
      <c r="K35" s="1" t="s">
        <v>1287</v>
      </c>
      <c r="L35" s="1" t="s">
        <v>1216</v>
      </c>
      <c r="M35" s="1" t="s">
        <v>119</v>
      </c>
      <c r="N35" s="1" t="s">
        <v>119</v>
      </c>
      <c r="O35" s="1" t="s">
        <v>119</v>
      </c>
      <c r="P35" s="5">
        <v>44328</v>
      </c>
      <c r="Q35" s="1"/>
      <c r="R35" s="1"/>
      <c r="S35" s="1"/>
      <c r="T35" s="1"/>
      <c r="U35" s="1" t="s">
        <v>1922</v>
      </c>
      <c r="V35" s="4">
        <v>1</v>
      </c>
      <c r="W35" s="6">
        <v>843.99</v>
      </c>
      <c r="X35" s="1" t="s">
        <v>1459</v>
      </c>
      <c r="Y35" s="4">
        <v>2</v>
      </c>
      <c r="Z35" s="6">
        <v>422</v>
      </c>
      <c r="AA35" s="1" t="s">
        <v>1961</v>
      </c>
      <c r="AB35" s="1" t="s">
        <v>1964</v>
      </c>
      <c r="AC35" s="1" t="s">
        <v>1124</v>
      </c>
      <c r="AD35" s="1" t="s">
        <v>1800</v>
      </c>
      <c r="AE35" s="1" t="s">
        <v>1286</v>
      </c>
      <c r="AF35" s="1" t="s">
        <v>1463</v>
      </c>
      <c r="AG35" s="6">
        <v>843.99</v>
      </c>
      <c r="AH35" s="6">
        <v>421.995</v>
      </c>
      <c r="AI35" s="1"/>
      <c r="AJ35" s="1"/>
      <c r="AK35" s="1"/>
      <c r="AL35" s="1" t="s">
        <v>1905</v>
      </c>
      <c r="AM35" s="1" t="s">
        <v>531</v>
      </c>
      <c r="AN35" s="1"/>
      <c r="AO35" s="1" t="s">
        <v>238</v>
      </c>
      <c r="AP35" s="1"/>
      <c r="AQ35" s="1"/>
      <c r="AR35" s="2"/>
      <c r="AS35" s="1"/>
      <c r="AT35" s="1"/>
      <c r="AU35" s="1"/>
      <c r="AV35" s="1" t="s">
        <v>1941</v>
      </c>
      <c r="AW35" s="7">
        <v>44328.401936702627</v>
      </c>
      <c r="AX35" s="1" t="s">
        <v>131</v>
      </c>
      <c r="AY35" s="6">
        <v>843.99</v>
      </c>
      <c r="AZ35" s="1"/>
      <c r="BA35" s="5">
        <v>44561</v>
      </c>
      <c r="BB35" s="7">
        <v>44561</v>
      </c>
      <c r="BC35" s="1" t="s">
        <v>1997</v>
      </c>
      <c r="BD35" s="1"/>
      <c r="BE35" s="1"/>
      <c r="BF35" s="1" t="s">
        <v>118</v>
      </c>
    </row>
    <row r="36" spans="1:58">
      <c r="A36" s="4">
        <v>31</v>
      </c>
      <c r="B36" s="2" t="str">
        <f>HYPERLINK("https://my.zakupki.prom.ua/remote/dispatcher/state_purchase_view/26219387", "UA-2021-04-28-003539-b")</f>
        <v>UA-2021-04-28-003539-b</v>
      </c>
      <c r="C36" s="2" t="s">
        <v>1459</v>
      </c>
      <c r="D36" s="1" t="s">
        <v>1913</v>
      </c>
      <c r="E36" s="1" t="s">
        <v>1913</v>
      </c>
      <c r="F36" s="1" t="s">
        <v>626</v>
      </c>
      <c r="G36" s="1" t="s">
        <v>1364</v>
      </c>
      <c r="H36" s="1" t="s">
        <v>1800</v>
      </c>
      <c r="I36" s="1" t="s">
        <v>1379</v>
      </c>
      <c r="J36" s="1" t="s">
        <v>819</v>
      </c>
      <c r="K36" s="1" t="s">
        <v>1287</v>
      </c>
      <c r="L36" s="1" t="s">
        <v>1216</v>
      </c>
      <c r="M36" s="1" t="s">
        <v>119</v>
      </c>
      <c r="N36" s="1" t="s">
        <v>119</v>
      </c>
      <c r="O36" s="1" t="s">
        <v>119</v>
      </c>
      <c r="P36" s="5">
        <v>44314</v>
      </c>
      <c r="Q36" s="1"/>
      <c r="R36" s="1"/>
      <c r="S36" s="1"/>
      <c r="T36" s="1"/>
      <c r="U36" s="1" t="s">
        <v>1922</v>
      </c>
      <c r="V36" s="4">
        <v>1</v>
      </c>
      <c r="W36" s="6">
        <v>110</v>
      </c>
      <c r="X36" s="1" t="s">
        <v>1459</v>
      </c>
      <c r="Y36" s="4">
        <v>1</v>
      </c>
      <c r="Z36" s="6">
        <v>110</v>
      </c>
      <c r="AA36" s="1" t="s">
        <v>2024</v>
      </c>
      <c r="AB36" s="1" t="s">
        <v>1964</v>
      </c>
      <c r="AC36" s="1" t="s">
        <v>1124</v>
      </c>
      <c r="AD36" s="1" t="s">
        <v>1800</v>
      </c>
      <c r="AE36" s="1" t="s">
        <v>1286</v>
      </c>
      <c r="AF36" s="1" t="s">
        <v>1463</v>
      </c>
      <c r="AG36" s="6">
        <v>110</v>
      </c>
      <c r="AH36" s="6">
        <v>110</v>
      </c>
      <c r="AI36" s="1"/>
      <c r="AJ36" s="1"/>
      <c r="AK36" s="1"/>
      <c r="AL36" s="1" t="s">
        <v>1488</v>
      </c>
      <c r="AM36" s="1" t="s">
        <v>532</v>
      </c>
      <c r="AN36" s="1"/>
      <c r="AO36" s="1" t="s">
        <v>308</v>
      </c>
      <c r="AP36" s="1"/>
      <c r="AQ36" s="1"/>
      <c r="AR36" s="2"/>
      <c r="AS36" s="1"/>
      <c r="AT36" s="1"/>
      <c r="AU36" s="1"/>
      <c r="AV36" s="1" t="s">
        <v>1941</v>
      </c>
      <c r="AW36" s="7">
        <v>44314.488450937904</v>
      </c>
      <c r="AX36" s="1" t="s">
        <v>564</v>
      </c>
      <c r="AY36" s="6">
        <v>110</v>
      </c>
      <c r="AZ36" s="1"/>
      <c r="BA36" s="5">
        <v>44316</v>
      </c>
      <c r="BB36" s="7">
        <v>44561</v>
      </c>
      <c r="BC36" s="1" t="s">
        <v>1997</v>
      </c>
      <c r="BD36" s="1"/>
      <c r="BE36" s="1"/>
      <c r="BF36" s="1" t="s">
        <v>118</v>
      </c>
    </row>
    <row r="37" spans="1:58">
      <c r="A37" s="4">
        <v>32</v>
      </c>
      <c r="B37" s="2" t="str">
        <f>HYPERLINK("https://my.zakupki.prom.ua/remote/dispatcher/state_purchase_view/24877887", "UA-2021-03-15-003630-b")</f>
        <v>UA-2021-03-15-003630-b</v>
      </c>
      <c r="C37" s="2" t="s">
        <v>1459</v>
      </c>
      <c r="D37" s="1" t="s">
        <v>1428</v>
      </c>
      <c r="E37" s="1" t="s">
        <v>1615</v>
      </c>
      <c r="F37" s="1" t="s">
        <v>721</v>
      </c>
      <c r="G37" s="1" t="s">
        <v>1280</v>
      </c>
      <c r="H37" s="1" t="s">
        <v>1800</v>
      </c>
      <c r="I37" s="1" t="s">
        <v>1379</v>
      </c>
      <c r="J37" s="1" t="s">
        <v>819</v>
      </c>
      <c r="K37" s="1" t="s">
        <v>1287</v>
      </c>
      <c r="L37" s="1" t="s">
        <v>1216</v>
      </c>
      <c r="M37" s="1" t="s">
        <v>119</v>
      </c>
      <c r="N37" s="1" t="s">
        <v>119</v>
      </c>
      <c r="O37" s="1" t="s">
        <v>119</v>
      </c>
      <c r="P37" s="5">
        <v>44270</v>
      </c>
      <c r="Q37" s="5">
        <v>44270</v>
      </c>
      <c r="R37" s="5">
        <v>44277</v>
      </c>
      <c r="S37" s="5">
        <v>44270</v>
      </c>
      <c r="T37" s="5">
        <v>44287</v>
      </c>
      <c r="U37" s="1" t="s">
        <v>1923</v>
      </c>
      <c r="V37" s="4">
        <v>3</v>
      </c>
      <c r="W37" s="6">
        <v>208245</v>
      </c>
      <c r="X37" s="1" t="s">
        <v>1459</v>
      </c>
      <c r="Y37" s="1" t="s">
        <v>1956</v>
      </c>
      <c r="Z37" s="1" t="s">
        <v>1956</v>
      </c>
      <c r="AA37" s="1" t="s">
        <v>1956</v>
      </c>
      <c r="AB37" s="6">
        <v>2082.4499999999998</v>
      </c>
      <c r="AC37" s="1" t="s">
        <v>1124</v>
      </c>
      <c r="AD37" s="1" t="s">
        <v>1800</v>
      </c>
      <c r="AE37" s="1" t="s">
        <v>1286</v>
      </c>
      <c r="AF37" s="1" t="s">
        <v>1463</v>
      </c>
      <c r="AG37" s="6">
        <v>102964</v>
      </c>
      <c r="AH37" s="1" t="s">
        <v>1956</v>
      </c>
      <c r="AI37" s="1" t="s">
        <v>1853</v>
      </c>
      <c r="AJ37" s="6">
        <v>105281</v>
      </c>
      <c r="AK37" s="6">
        <v>0.50556315877932245</v>
      </c>
      <c r="AL37" s="1"/>
      <c r="AM37" s="1"/>
      <c r="AN37" s="1"/>
      <c r="AO37" s="1"/>
      <c r="AP37" s="1"/>
      <c r="AQ37" s="1"/>
      <c r="AR37" s="2" t="str">
        <f>HYPERLINK("https://auction.openprocurement.org/tenders/4b9c81ae96f542e2b595f8001f56b638")</f>
        <v>https://auction.openprocurement.org/tenders/4b9c81ae96f542e2b595f8001f56b638</v>
      </c>
      <c r="AS37" s="1"/>
      <c r="AT37" s="1"/>
      <c r="AU37" s="1"/>
      <c r="AV37" s="1" t="s">
        <v>2002</v>
      </c>
      <c r="AW37" s="7">
        <v>44335.00297823851</v>
      </c>
      <c r="AX37" s="1"/>
      <c r="AY37" s="1"/>
      <c r="AZ37" s="1"/>
      <c r="BA37" s="5">
        <v>44561</v>
      </c>
      <c r="BB37" s="1"/>
      <c r="BC37" s="1"/>
      <c r="BD37" s="1" t="s">
        <v>1965</v>
      </c>
      <c r="BE37" s="1"/>
      <c r="BF37" s="1" t="s">
        <v>640</v>
      </c>
    </row>
    <row r="38" spans="1:58">
      <c r="A38" s="4">
        <v>33</v>
      </c>
      <c r="B38" s="2" t="str">
        <f>HYPERLINK("https://my.zakupki.prom.ua/remote/dispatcher/state_purchase_view/27145562", "UA-2021-06-03-006130-b")</f>
        <v>UA-2021-06-03-006130-b</v>
      </c>
      <c r="C38" s="2" t="s">
        <v>1459</v>
      </c>
      <c r="D38" s="1" t="s">
        <v>1680</v>
      </c>
      <c r="E38" s="1" t="s">
        <v>1680</v>
      </c>
      <c r="F38" s="1" t="s">
        <v>403</v>
      </c>
      <c r="G38" s="1" t="s">
        <v>1364</v>
      </c>
      <c r="H38" s="1" t="s">
        <v>1800</v>
      </c>
      <c r="I38" s="1" t="s">
        <v>1379</v>
      </c>
      <c r="J38" s="1" t="s">
        <v>819</v>
      </c>
      <c r="K38" s="1" t="s">
        <v>1287</v>
      </c>
      <c r="L38" s="1" t="s">
        <v>1216</v>
      </c>
      <c r="M38" s="1" t="s">
        <v>119</v>
      </c>
      <c r="N38" s="1" t="s">
        <v>119</v>
      </c>
      <c r="O38" s="1" t="s">
        <v>119</v>
      </c>
      <c r="P38" s="5">
        <v>44350</v>
      </c>
      <c r="Q38" s="1"/>
      <c r="R38" s="1"/>
      <c r="S38" s="1"/>
      <c r="T38" s="1"/>
      <c r="U38" s="1" t="s">
        <v>1922</v>
      </c>
      <c r="V38" s="4">
        <v>1</v>
      </c>
      <c r="W38" s="6">
        <v>2805</v>
      </c>
      <c r="X38" s="1" t="s">
        <v>1459</v>
      </c>
      <c r="Y38" s="4">
        <v>5</v>
      </c>
      <c r="Z38" s="6">
        <v>561</v>
      </c>
      <c r="AA38" s="1" t="s">
        <v>2024</v>
      </c>
      <c r="AB38" s="1" t="s">
        <v>1964</v>
      </c>
      <c r="AC38" s="1" t="s">
        <v>1124</v>
      </c>
      <c r="AD38" s="1" t="s">
        <v>1800</v>
      </c>
      <c r="AE38" s="1" t="s">
        <v>1286</v>
      </c>
      <c r="AF38" s="1" t="s">
        <v>1463</v>
      </c>
      <c r="AG38" s="6">
        <v>2805</v>
      </c>
      <c r="AH38" s="6">
        <v>561</v>
      </c>
      <c r="AI38" s="1"/>
      <c r="AJ38" s="1"/>
      <c r="AK38" s="1"/>
      <c r="AL38" s="1" t="s">
        <v>1260</v>
      </c>
      <c r="AM38" s="1" t="s">
        <v>502</v>
      </c>
      <c r="AN38" s="1"/>
      <c r="AO38" s="1" t="s">
        <v>213</v>
      </c>
      <c r="AP38" s="1"/>
      <c r="AQ38" s="1"/>
      <c r="AR38" s="2"/>
      <c r="AS38" s="1"/>
      <c r="AT38" s="1"/>
      <c r="AU38" s="1"/>
      <c r="AV38" s="1" t="s">
        <v>1941</v>
      </c>
      <c r="AW38" s="7">
        <v>44350.555629160663</v>
      </c>
      <c r="AX38" s="1" t="s">
        <v>1055</v>
      </c>
      <c r="AY38" s="6">
        <v>2805</v>
      </c>
      <c r="AZ38" s="1"/>
      <c r="BA38" s="5">
        <v>44561</v>
      </c>
      <c r="BB38" s="7">
        <v>44561</v>
      </c>
      <c r="BC38" s="1" t="s">
        <v>1997</v>
      </c>
      <c r="BD38" s="1"/>
      <c r="BE38" s="1"/>
      <c r="BF38" s="1" t="s">
        <v>118</v>
      </c>
    </row>
    <row r="39" spans="1:58">
      <c r="A39" s="4">
        <v>34</v>
      </c>
      <c r="B39" s="2" t="str">
        <f>HYPERLINK("https://my.zakupki.prom.ua/remote/dispatcher/state_purchase_view/27516752", "UA-2021-06-16-002052-b")</f>
        <v>UA-2021-06-16-002052-b</v>
      </c>
      <c r="C39" s="2" t="s">
        <v>1459</v>
      </c>
      <c r="D39" s="1" t="s">
        <v>1412</v>
      </c>
      <c r="E39" s="1" t="s">
        <v>1412</v>
      </c>
      <c r="F39" s="1" t="s">
        <v>961</v>
      </c>
      <c r="G39" s="1" t="s">
        <v>1346</v>
      </c>
      <c r="H39" s="1" t="s">
        <v>1800</v>
      </c>
      <c r="I39" s="1" t="s">
        <v>1379</v>
      </c>
      <c r="J39" s="1" t="s">
        <v>819</v>
      </c>
      <c r="K39" s="1" t="s">
        <v>1287</v>
      </c>
      <c r="L39" s="1" t="s">
        <v>1216</v>
      </c>
      <c r="M39" s="1" t="s">
        <v>119</v>
      </c>
      <c r="N39" s="1" t="s">
        <v>119</v>
      </c>
      <c r="O39" s="1" t="s">
        <v>119</v>
      </c>
      <c r="P39" s="5">
        <v>44363</v>
      </c>
      <c r="Q39" s="5">
        <v>44363</v>
      </c>
      <c r="R39" s="5">
        <v>44370</v>
      </c>
      <c r="S39" s="5">
        <v>44370</v>
      </c>
      <c r="T39" s="5">
        <v>44376</v>
      </c>
      <c r="U39" s="1" t="s">
        <v>1923</v>
      </c>
      <c r="V39" s="4">
        <v>0</v>
      </c>
      <c r="W39" s="6">
        <v>20000</v>
      </c>
      <c r="X39" s="1" t="s">
        <v>1459</v>
      </c>
      <c r="Y39" s="4">
        <v>1</v>
      </c>
      <c r="Z39" s="6">
        <v>20000</v>
      </c>
      <c r="AA39" s="1" t="s">
        <v>2024</v>
      </c>
      <c r="AB39" s="6">
        <v>200</v>
      </c>
      <c r="AC39" s="1" t="s">
        <v>1124</v>
      </c>
      <c r="AD39" s="1" t="s">
        <v>1800</v>
      </c>
      <c r="AE39" s="1" t="s">
        <v>1286</v>
      </c>
      <c r="AF39" s="1" t="s">
        <v>1463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  <c r="AV39" s="1" t="s">
        <v>1942</v>
      </c>
      <c r="AW39" s="7">
        <v>44376.002538493645</v>
      </c>
      <c r="AX39" s="1"/>
      <c r="AY39" s="1"/>
      <c r="AZ39" s="1"/>
      <c r="BA39" s="5">
        <v>44561</v>
      </c>
      <c r="BB39" s="1"/>
      <c r="BC39" s="1"/>
      <c r="BD39" s="1"/>
      <c r="BE39" s="1"/>
      <c r="BF39" s="1"/>
    </row>
    <row r="40" spans="1:58">
      <c r="A40" s="4">
        <v>35</v>
      </c>
      <c r="B40" s="2" t="str">
        <f>HYPERLINK("https://my.zakupki.prom.ua/remote/dispatcher/state_purchase_view/9235413", "UA-2018-12-07-003970-c")</f>
        <v>UA-2018-12-07-003970-c</v>
      </c>
      <c r="C40" s="2" t="s">
        <v>1459</v>
      </c>
      <c r="D40" s="1" t="s">
        <v>1586</v>
      </c>
      <c r="E40" s="1" t="s">
        <v>1042</v>
      </c>
      <c r="F40" s="1" t="s">
        <v>1043</v>
      </c>
      <c r="G40" s="1" t="s">
        <v>1364</v>
      </c>
      <c r="H40" s="1" t="s">
        <v>1800</v>
      </c>
      <c r="I40" s="1" t="s">
        <v>1379</v>
      </c>
      <c r="J40" s="1" t="s">
        <v>819</v>
      </c>
      <c r="K40" s="1" t="s">
        <v>1287</v>
      </c>
      <c r="L40" s="1" t="s">
        <v>1224</v>
      </c>
      <c r="M40" s="1" t="s">
        <v>119</v>
      </c>
      <c r="N40" s="1" t="s">
        <v>119</v>
      </c>
      <c r="O40" s="1" t="s">
        <v>119</v>
      </c>
      <c r="P40" s="5">
        <v>43441</v>
      </c>
      <c r="Q40" s="1"/>
      <c r="R40" s="1"/>
      <c r="S40" s="1"/>
      <c r="T40" s="1"/>
      <c r="U40" s="1" t="s">
        <v>1922</v>
      </c>
      <c r="V40" s="4">
        <v>1</v>
      </c>
      <c r="W40" s="6">
        <v>18000</v>
      </c>
      <c r="X40" s="1" t="s">
        <v>1459</v>
      </c>
      <c r="Y40" s="4">
        <v>1</v>
      </c>
      <c r="Z40" s="6">
        <v>18000</v>
      </c>
      <c r="AA40" s="1" t="s">
        <v>1976</v>
      </c>
      <c r="AB40" s="1" t="s">
        <v>1964</v>
      </c>
      <c r="AC40" s="1" t="s">
        <v>1124</v>
      </c>
      <c r="AD40" s="1" t="s">
        <v>1800</v>
      </c>
      <c r="AE40" s="1" t="s">
        <v>1286</v>
      </c>
      <c r="AF40" s="1" t="s">
        <v>1463</v>
      </c>
      <c r="AG40" s="6">
        <v>18000</v>
      </c>
      <c r="AH40" s="6">
        <v>18000</v>
      </c>
      <c r="AI40" s="1"/>
      <c r="AJ40" s="1"/>
      <c r="AK40" s="1"/>
      <c r="AL40" s="1" t="s">
        <v>1788</v>
      </c>
      <c r="AM40" s="1" t="s">
        <v>923</v>
      </c>
      <c r="AN40" s="1"/>
      <c r="AO40" s="1" t="s">
        <v>113</v>
      </c>
      <c r="AP40" s="1"/>
      <c r="AQ40" s="1"/>
      <c r="AR40" s="2"/>
      <c r="AS40" s="1"/>
      <c r="AT40" s="1"/>
      <c r="AU40" s="1"/>
      <c r="AV40" s="1" t="s">
        <v>1941</v>
      </c>
      <c r="AW40" s="7">
        <v>43441.658986258401</v>
      </c>
      <c r="AX40" s="1" t="s">
        <v>612</v>
      </c>
      <c r="AY40" s="6">
        <v>18000</v>
      </c>
      <c r="AZ40" s="1"/>
      <c r="BA40" s="5">
        <v>43465</v>
      </c>
      <c r="BB40" s="7">
        <v>43465</v>
      </c>
      <c r="BC40" s="1" t="s">
        <v>1997</v>
      </c>
      <c r="BD40" s="1"/>
      <c r="BE40" s="1"/>
      <c r="BF40" s="1" t="s">
        <v>118</v>
      </c>
    </row>
    <row r="41" spans="1:58">
      <c r="A41" s="4">
        <v>36</v>
      </c>
      <c r="B41" s="2" t="str">
        <f>HYPERLINK("https://my.zakupki.prom.ua/remote/dispatcher/state_purchase_view/8485930", "UA-2018-10-08-001990-c")</f>
        <v>UA-2018-10-08-001990-c</v>
      </c>
      <c r="C41" s="2" t="s">
        <v>1459</v>
      </c>
      <c r="D41" s="1" t="s">
        <v>1442</v>
      </c>
      <c r="E41" s="1" t="s">
        <v>1443</v>
      </c>
      <c r="F41" s="1" t="s">
        <v>908</v>
      </c>
      <c r="G41" s="1" t="s">
        <v>1346</v>
      </c>
      <c r="H41" s="1" t="s">
        <v>1800</v>
      </c>
      <c r="I41" s="1" t="s">
        <v>1379</v>
      </c>
      <c r="J41" s="1" t="s">
        <v>819</v>
      </c>
      <c r="K41" s="1" t="s">
        <v>1287</v>
      </c>
      <c r="L41" s="1" t="s">
        <v>1469</v>
      </c>
      <c r="M41" s="1" t="s">
        <v>317</v>
      </c>
      <c r="N41" s="1" t="s">
        <v>119</v>
      </c>
      <c r="O41" s="1" t="s">
        <v>119</v>
      </c>
      <c r="P41" s="5">
        <v>43381</v>
      </c>
      <c r="Q41" s="5">
        <v>43381</v>
      </c>
      <c r="R41" s="5">
        <v>43383</v>
      </c>
      <c r="S41" s="5">
        <v>43383</v>
      </c>
      <c r="T41" s="5">
        <v>43385</v>
      </c>
      <c r="U41" s="7">
        <v>43389.627557870372</v>
      </c>
      <c r="V41" s="4">
        <v>7</v>
      </c>
      <c r="W41" s="6">
        <v>8060</v>
      </c>
      <c r="X41" s="1" t="s">
        <v>1459</v>
      </c>
      <c r="Y41" s="4">
        <v>398</v>
      </c>
      <c r="Z41" s="6">
        <v>20.25</v>
      </c>
      <c r="AA41" s="1" t="s">
        <v>2023</v>
      </c>
      <c r="AB41" s="6">
        <v>40.299999999999997</v>
      </c>
      <c r="AC41" s="1" t="s">
        <v>1124</v>
      </c>
      <c r="AD41" s="1" t="s">
        <v>1800</v>
      </c>
      <c r="AE41" s="1" t="s">
        <v>1286</v>
      </c>
      <c r="AF41" s="1" t="s">
        <v>1463</v>
      </c>
      <c r="AG41" s="6">
        <v>4757.88</v>
      </c>
      <c r="AH41" s="6">
        <v>11.954472361809046</v>
      </c>
      <c r="AI41" s="1" t="s">
        <v>1717</v>
      </c>
      <c r="AJ41" s="6">
        <v>3302.12</v>
      </c>
      <c r="AK41" s="6">
        <v>0.40969230769230769</v>
      </c>
      <c r="AL41" s="1" t="s">
        <v>1717</v>
      </c>
      <c r="AM41" s="1" t="s">
        <v>504</v>
      </c>
      <c r="AN41" s="1" t="s">
        <v>1178</v>
      </c>
      <c r="AO41" s="1" t="s">
        <v>28</v>
      </c>
      <c r="AP41" s="6">
        <v>3302.12</v>
      </c>
      <c r="AQ41" s="6">
        <v>0.40969230769230769</v>
      </c>
      <c r="AR41" s="2" t="str">
        <f>HYPERLINK("https://auction.openprocurement.org/tenders/22fc64fecfa348a59e44cb0d4d6f6923")</f>
        <v>https://auction.openprocurement.org/tenders/22fc64fecfa348a59e44cb0d4d6f6923</v>
      </c>
      <c r="AS41" s="7">
        <v>43395.672088232452</v>
      </c>
      <c r="AT41" s="5">
        <v>43397</v>
      </c>
      <c r="AU41" s="5">
        <v>43413</v>
      </c>
      <c r="AV41" s="1" t="s">
        <v>1941</v>
      </c>
      <c r="AW41" s="7">
        <v>43409.667221915588</v>
      </c>
      <c r="AX41" s="1" t="s">
        <v>1105</v>
      </c>
      <c r="AY41" s="6">
        <v>4757.88</v>
      </c>
      <c r="AZ41" s="5">
        <v>43395</v>
      </c>
      <c r="BA41" s="5">
        <v>43455</v>
      </c>
      <c r="BB41" s="7">
        <v>43465</v>
      </c>
      <c r="BC41" s="1" t="s">
        <v>1997</v>
      </c>
      <c r="BD41" s="1"/>
      <c r="BE41" s="1"/>
      <c r="BF41" s="1" t="s">
        <v>505</v>
      </c>
    </row>
    <row r="42" spans="1:58">
      <c r="A42" s="4">
        <v>37</v>
      </c>
      <c r="B42" s="2" t="str">
        <f>HYPERLINK("https://my.zakupki.prom.ua/remote/dispatcher/state_purchase_view/12515792", "UA-2019-08-13-000335-a")</f>
        <v>UA-2019-08-13-000335-a</v>
      </c>
      <c r="C42" s="2" t="s">
        <v>1459</v>
      </c>
      <c r="D42" s="1" t="s">
        <v>367</v>
      </c>
      <c r="E42" s="1" t="s">
        <v>1212</v>
      </c>
      <c r="F42" s="1" t="s">
        <v>364</v>
      </c>
      <c r="G42" s="1" t="s">
        <v>1513</v>
      </c>
      <c r="H42" s="1" t="s">
        <v>1800</v>
      </c>
      <c r="I42" s="1" t="s">
        <v>1379</v>
      </c>
      <c r="J42" s="1" t="s">
        <v>819</v>
      </c>
      <c r="K42" s="1" t="s">
        <v>1287</v>
      </c>
      <c r="L42" s="1" t="s">
        <v>1658</v>
      </c>
      <c r="M42" s="1" t="s">
        <v>119</v>
      </c>
      <c r="N42" s="1" t="s">
        <v>119</v>
      </c>
      <c r="O42" s="1" t="s">
        <v>119</v>
      </c>
      <c r="P42" s="5">
        <v>43690</v>
      </c>
      <c r="Q42" s="1"/>
      <c r="R42" s="1"/>
      <c r="S42" s="1"/>
      <c r="T42" s="1"/>
      <c r="U42" s="1" t="s">
        <v>1922</v>
      </c>
      <c r="V42" s="4">
        <v>1</v>
      </c>
      <c r="W42" s="6">
        <v>9254.4</v>
      </c>
      <c r="X42" s="1" t="s">
        <v>1459</v>
      </c>
      <c r="Y42" s="4">
        <v>160</v>
      </c>
      <c r="Z42" s="6">
        <v>57.84</v>
      </c>
      <c r="AA42" s="1" t="s">
        <v>2023</v>
      </c>
      <c r="AB42" s="1" t="s">
        <v>1964</v>
      </c>
      <c r="AC42" s="1" t="s">
        <v>1124</v>
      </c>
      <c r="AD42" s="1" t="s">
        <v>1800</v>
      </c>
      <c r="AE42" s="1" t="s">
        <v>1286</v>
      </c>
      <c r="AF42" s="1" t="s">
        <v>1463</v>
      </c>
      <c r="AG42" s="6">
        <v>9254.4</v>
      </c>
      <c r="AH42" s="6">
        <v>57.839999999999996</v>
      </c>
      <c r="AI42" s="1"/>
      <c r="AJ42" s="1"/>
      <c r="AK42" s="1"/>
      <c r="AL42" s="1" t="s">
        <v>1796</v>
      </c>
      <c r="AM42" s="1" t="s">
        <v>652</v>
      </c>
      <c r="AN42" s="1"/>
      <c r="AO42" s="1" t="s">
        <v>39</v>
      </c>
      <c r="AP42" s="1"/>
      <c r="AQ42" s="1"/>
      <c r="AR42" s="2"/>
      <c r="AS42" s="1"/>
      <c r="AT42" s="5">
        <v>43702</v>
      </c>
      <c r="AU42" s="5">
        <v>43727</v>
      </c>
      <c r="AV42" s="1" t="s">
        <v>1941</v>
      </c>
      <c r="AW42" s="7">
        <v>43704.385298397225</v>
      </c>
      <c r="AX42" s="1" t="s">
        <v>1924</v>
      </c>
      <c r="AY42" s="6">
        <v>9254.4</v>
      </c>
      <c r="AZ42" s="1"/>
      <c r="BA42" s="5">
        <v>43830</v>
      </c>
      <c r="BB42" s="7">
        <v>43830</v>
      </c>
      <c r="BC42" s="1" t="s">
        <v>1997</v>
      </c>
      <c r="BD42" s="1"/>
      <c r="BE42" s="1"/>
      <c r="BF42" s="1" t="s">
        <v>118</v>
      </c>
    </row>
    <row r="43" spans="1:58">
      <c r="A43" s="4">
        <v>38</v>
      </c>
      <c r="B43" s="2" t="str">
        <f>HYPERLINK("https://my.zakupki.prom.ua/remote/dispatcher/state_purchase_view/24010249", "UA-2021-02-15-004859-c")</f>
        <v>UA-2021-02-15-004859-c</v>
      </c>
      <c r="C43" s="2" t="s">
        <v>1459</v>
      </c>
      <c r="D43" s="1" t="s">
        <v>1297</v>
      </c>
      <c r="E43" s="1" t="s">
        <v>1300</v>
      </c>
      <c r="F43" s="1" t="s">
        <v>750</v>
      </c>
      <c r="G43" s="1" t="s">
        <v>1280</v>
      </c>
      <c r="H43" s="1" t="s">
        <v>1800</v>
      </c>
      <c r="I43" s="1" t="s">
        <v>1379</v>
      </c>
      <c r="J43" s="1" t="s">
        <v>819</v>
      </c>
      <c r="K43" s="1" t="s">
        <v>1287</v>
      </c>
      <c r="L43" s="1" t="s">
        <v>1216</v>
      </c>
      <c r="M43" s="1" t="s">
        <v>119</v>
      </c>
      <c r="N43" s="1" t="s">
        <v>119</v>
      </c>
      <c r="O43" s="1" t="s">
        <v>119</v>
      </c>
      <c r="P43" s="5">
        <v>44242</v>
      </c>
      <c r="Q43" s="5">
        <v>44242</v>
      </c>
      <c r="R43" s="5">
        <v>44249</v>
      </c>
      <c r="S43" s="5">
        <v>44242</v>
      </c>
      <c r="T43" s="5">
        <v>44259</v>
      </c>
      <c r="U43" s="7">
        <v>44259.477002314816</v>
      </c>
      <c r="V43" s="4">
        <v>2</v>
      </c>
      <c r="W43" s="6">
        <v>76042</v>
      </c>
      <c r="X43" s="1" t="s">
        <v>1459</v>
      </c>
      <c r="Y43" s="1" t="s">
        <v>1956</v>
      </c>
      <c r="Z43" s="1" t="s">
        <v>1956</v>
      </c>
      <c r="AA43" s="1" t="s">
        <v>1956</v>
      </c>
      <c r="AB43" s="6">
        <v>380.21</v>
      </c>
      <c r="AC43" s="1" t="s">
        <v>1124</v>
      </c>
      <c r="AD43" s="1" t="s">
        <v>1800</v>
      </c>
      <c r="AE43" s="1" t="s">
        <v>1286</v>
      </c>
      <c r="AF43" s="1" t="s">
        <v>1463</v>
      </c>
      <c r="AG43" s="6">
        <v>76030</v>
      </c>
      <c r="AH43" s="1" t="s">
        <v>1956</v>
      </c>
      <c r="AI43" s="1" t="s">
        <v>1862</v>
      </c>
      <c r="AJ43" s="6">
        <v>12</v>
      </c>
      <c r="AK43" s="6">
        <v>1.5780752741905788E-4</v>
      </c>
      <c r="AL43" s="1" t="s">
        <v>1862</v>
      </c>
      <c r="AM43" s="1" t="s">
        <v>526</v>
      </c>
      <c r="AN43" s="1" t="s">
        <v>1183</v>
      </c>
      <c r="AO43" s="1" t="s">
        <v>96</v>
      </c>
      <c r="AP43" s="6">
        <v>12</v>
      </c>
      <c r="AQ43" s="6">
        <v>1.5780752741905788E-4</v>
      </c>
      <c r="AR43" s="2" t="str">
        <f>HYPERLINK("https://auction.openprocurement.org/tenders/219822578cf944e880965f297e5f578f")</f>
        <v>https://auction.openprocurement.org/tenders/219822578cf944e880965f297e5f578f</v>
      </c>
      <c r="AS43" s="7">
        <v>44260.379837584529</v>
      </c>
      <c r="AT43" s="5">
        <v>44271</v>
      </c>
      <c r="AU43" s="5">
        <v>44281</v>
      </c>
      <c r="AV43" s="1" t="s">
        <v>1941</v>
      </c>
      <c r="AW43" s="7">
        <v>44273.376026256323</v>
      </c>
      <c r="AX43" s="1" t="s">
        <v>387</v>
      </c>
      <c r="AY43" s="6">
        <v>76030</v>
      </c>
      <c r="AZ43" s="1"/>
      <c r="BA43" s="5">
        <v>44561</v>
      </c>
      <c r="BB43" s="7">
        <v>44561</v>
      </c>
      <c r="BC43" s="1" t="s">
        <v>1997</v>
      </c>
      <c r="BD43" s="1"/>
      <c r="BE43" s="1"/>
      <c r="BF43" s="1" t="s">
        <v>529</v>
      </c>
    </row>
    <row r="44" spans="1:58">
      <c r="A44" s="4">
        <v>39</v>
      </c>
      <c r="B44" s="2" t="str">
        <f>HYPERLINK("https://my.zakupki.prom.ua/remote/dispatcher/state_purchase_view/15907673", "UA-2020-03-23-002169-b")</f>
        <v>UA-2020-03-23-002169-b</v>
      </c>
      <c r="C44" s="2" t="s">
        <v>1459</v>
      </c>
      <c r="D44" s="1" t="s">
        <v>751</v>
      </c>
      <c r="E44" s="1" t="s">
        <v>1296</v>
      </c>
      <c r="F44" s="1" t="s">
        <v>750</v>
      </c>
      <c r="G44" s="1" t="s">
        <v>1280</v>
      </c>
      <c r="H44" s="1" t="s">
        <v>1800</v>
      </c>
      <c r="I44" s="1" t="s">
        <v>1379</v>
      </c>
      <c r="J44" s="1" t="s">
        <v>819</v>
      </c>
      <c r="K44" s="1" t="s">
        <v>1287</v>
      </c>
      <c r="L44" s="1" t="s">
        <v>1216</v>
      </c>
      <c r="M44" s="1" t="s">
        <v>119</v>
      </c>
      <c r="N44" s="1" t="s">
        <v>119</v>
      </c>
      <c r="O44" s="1" t="s">
        <v>119</v>
      </c>
      <c r="P44" s="5">
        <v>43913</v>
      </c>
      <c r="Q44" s="5">
        <v>43913</v>
      </c>
      <c r="R44" s="5">
        <v>43920</v>
      </c>
      <c r="S44" s="5">
        <v>43913</v>
      </c>
      <c r="T44" s="5">
        <v>43930</v>
      </c>
      <c r="U44" s="1" t="s">
        <v>1923</v>
      </c>
      <c r="V44" s="4">
        <v>0</v>
      </c>
      <c r="W44" s="6">
        <v>80000</v>
      </c>
      <c r="X44" s="1" t="s">
        <v>1459</v>
      </c>
      <c r="Y44" s="1" t="s">
        <v>1956</v>
      </c>
      <c r="Z44" s="1" t="s">
        <v>1956</v>
      </c>
      <c r="AA44" s="1" t="s">
        <v>1956</v>
      </c>
      <c r="AB44" s="6">
        <v>800</v>
      </c>
      <c r="AC44" s="1" t="s">
        <v>1124</v>
      </c>
      <c r="AD44" s="1" t="s">
        <v>1800</v>
      </c>
      <c r="AE44" s="1" t="s">
        <v>1286</v>
      </c>
      <c r="AF44" s="1" t="s">
        <v>1463</v>
      </c>
      <c r="AG44" s="1"/>
      <c r="AH44" s="1" t="s">
        <v>1956</v>
      </c>
      <c r="AI44" s="1"/>
      <c r="AJ44" s="1"/>
      <c r="AK44" s="1"/>
      <c r="AL44" s="1"/>
      <c r="AM44" s="1"/>
      <c r="AN44" s="1"/>
      <c r="AO44" s="1"/>
      <c r="AP44" s="1"/>
      <c r="AQ44" s="1"/>
      <c r="AR44" s="2"/>
      <c r="AS44" s="1"/>
      <c r="AT44" s="1"/>
      <c r="AU44" s="1"/>
      <c r="AV44" s="1" t="s">
        <v>1942</v>
      </c>
      <c r="AW44" s="7">
        <v>43930.627490645835</v>
      </c>
      <c r="AX44" s="1"/>
      <c r="AY44" s="1"/>
      <c r="AZ44" s="1"/>
      <c r="BA44" s="5">
        <v>44196</v>
      </c>
      <c r="BB44" s="1"/>
      <c r="BC44" s="1"/>
      <c r="BD44" s="1"/>
      <c r="BE44" s="1"/>
      <c r="BF44" s="1"/>
    </row>
    <row r="45" spans="1:58">
      <c r="A45" s="4">
        <v>40</v>
      </c>
      <c r="B45" s="2" t="str">
        <f>HYPERLINK("https://my.zakupki.prom.ua/remote/dispatcher/state_purchase_view/13835943", "UA-2019-12-03-003490-b")</f>
        <v>UA-2019-12-03-003490-b</v>
      </c>
      <c r="C45" s="2" t="s">
        <v>1459</v>
      </c>
      <c r="D45" s="1" t="s">
        <v>866</v>
      </c>
      <c r="E45" s="1" t="s">
        <v>1832</v>
      </c>
      <c r="F45" s="1" t="s">
        <v>863</v>
      </c>
      <c r="G45" s="1" t="s">
        <v>1346</v>
      </c>
      <c r="H45" s="1" t="s">
        <v>1800</v>
      </c>
      <c r="I45" s="1" t="s">
        <v>1379</v>
      </c>
      <c r="J45" s="1" t="s">
        <v>819</v>
      </c>
      <c r="K45" s="1" t="s">
        <v>1287</v>
      </c>
      <c r="L45" s="1" t="s">
        <v>1915</v>
      </c>
      <c r="M45" s="1" t="s">
        <v>316</v>
      </c>
      <c r="N45" s="1" t="s">
        <v>119</v>
      </c>
      <c r="O45" s="1" t="s">
        <v>119</v>
      </c>
      <c r="P45" s="5">
        <v>43802</v>
      </c>
      <c r="Q45" s="5">
        <v>43802</v>
      </c>
      <c r="R45" s="5">
        <v>43804</v>
      </c>
      <c r="S45" s="5">
        <v>43804</v>
      </c>
      <c r="T45" s="5">
        <v>43805</v>
      </c>
      <c r="U45" s="1" t="s">
        <v>1923</v>
      </c>
      <c r="V45" s="4">
        <v>0</v>
      </c>
      <c r="W45" s="6">
        <v>30900</v>
      </c>
      <c r="X45" s="1" t="s">
        <v>1459</v>
      </c>
      <c r="Y45" s="1" t="s">
        <v>1956</v>
      </c>
      <c r="Z45" s="1" t="s">
        <v>1956</v>
      </c>
      <c r="AA45" s="1" t="s">
        <v>1956</v>
      </c>
      <c r="AB45" s="6">
        <v>154.5</v>
      </c>
      <c r="AC45" s="1" t="s">
        <v>1124</v>
      </c>
      <c r="AD45" s="1" t="s">
        <v>1800</v>
      </c>
      <c r="AE45" s="1" t="s">
        <v>1286</v>
      </c>
      <c r="AF45" s="1" t="s">
        <v>1463</v>
      </c>
      <c r="AG45" s="1"/>
      <c r="AH45" s="1" t="s">
        <v>1956</v>
      </c>
      <c r="AI45" s="1"/>
      <c r="AJ45" s="1"/>
      <c r="AK45" s="1"/>
      <c r="AL45" s="1"/>
      <c r="AM45" s="1"/>
      <c r="AN45" s="1"/>
      <c r="AO45" s="1"/>
      <c r="AP45" s="1"/>
      <c r="AQ45" s="1"/>
      <c r="AR45" s="2"/>
      <c r="AS45" s="1"/>
      <c r="AT45" s="1"/>
      <c r="AU45" s="1"/>
      <c r="AV45" s="1" t="s">
        <v>1942</v>
      </c>
      <c r="AW45" s="7">
        <v>43805.793151069869</v>
      </c>
      <c r="AX45" s="1"/>
      <c r="AY45" s="1"/>
      <c r="AZ45" s="1"/>
      <c r="BA45" s="5">
        <v>43830</v>
      </c>
      <c r="BB45" s="1"/>
      <c r="BC45" s="1"/>
      <c r="BD45" s="1"/>
      <c r="BE45" s="1"/>
      <c r="BF45" s="1"/>
    </row>
    <row r="46" spans="1:58">
      <c r="A46" s="4">
        <v>41</v>
      </c>
      <c r="B46" s="2" t="str">
        <f>HYPERLINK("https://my.zakupki.prom.ua/remote/dispatcher/state_purchase_view/12864972", "UA-2019-09-17-000284-a")</f>
        <v>UA-2019-09-17-000284-a</v>
      </c>
      <c r="C46" s="2" t="s">
        <v>1459</v>
      </c>
      <c r="D46" s="1" t="s">
        <v>1318</v>
      </c>
      <c r="E46" s="1" t="s">
        <v>1317</v>
      </c>
      <c r="F46" s="1" t="s">
        <v>953</v>
      </c>
      <c r="G46" s="1" t="s">
        <v>1346</v>
      </c>
      <c r="H46" s="1" t="s">
        <v>1800</v>
      </c>
      <c r="I46" s="1" t="s">
        <v>1379</v>
      </c>
      <c r="J46" s="1" t="s">
        <v>819</v>
      </c>
      <c r="K46" s="1" t="s">
        <v>1287</v>
      </c>
      <c r="L46" s="1" t="s">
        <v>1658</v>
      </c>
      <c r="M46" s="1" t="s">
        <v>119</v>
      </c>
      <c r="N46" s="1" t="s">
        <v>119</v>
      </c>
      <c r="O46" s="1" t="s">
        <v>119</v>
      </c>
      <c r="P46" s="5">
        <v>43725</v>
      </c>
      <c r="Q46" s="5">
        <v>43725</v>
      </c>
      <c r="R46" s="5">
        <v>43726</v>
      </c>
      <c r="S46" s="5">
        <v>43726</v>
      </c>
      <c r="T46" s="5">
        <v>43727</v>
      </c>
      <c r="U46" s="1" t="s">
        <v>1923</v>
      </c>
      <c r="V46" s="4">
        <v>0</v>
      </c>
      <c r="W46" s="6">
        <v>3000</v>
      </c>
      <c r="X46" s="1" t="s">
        <v>1459</v>
      </c>
      <c r="Y46" s="4">
        <v>47</v>
      </c>
      <c r="Z46" s="6">
        <v>63.83</v>
      </c>
      <c r="AA46" s="1" t="s">
        <v>2023</v>
      </c>
      <c r="AB46" s="6">
        <v>30</v>
      </c>
      <c r="AC46" s="1" t="s">
        <v>1124</v>
      </c>
      <c r="AD46" s="1" t="s">
        <v>1800</v>
      </c>
      <c r="AE46" s="1" t="s">
        <v>1286</v>
      </c>
      <c r="AF46" s="1" t="s">
        <v>1463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2"/>
      <c r="AS46" s="1"/>
      <c r="AT46" s="1"/>
      <c r="AU46" s="1"/>
      <c r="AV46" s="1" t="s">
        <v>1942</v>
      </c>
      <c r="AW46" s="7">
        <v>43727.667780177057</v>
      </c>
      <c r="AX46" s="1"/>
      <c r="AY46" s="1"/>
      <c r="AZ46" s="1"/>
      <c r="BA46" s="5">
        <v>43830</v>
      </c>
      <c r="BB46" s="1"/>
      <c r="BC46" s="1"/>
      <c r="BD46" s="1"/>
      <c r="BE46" s="1"/>
      <c r="BF46" s="1"/>
    </row>
    <row r="47" spans="1:58">
      <c r="A47" s="4">
        <v>42</v>
      </c>
      <c r="B47" s="2" t="str">
        <f>HYPERLINK("https://my.zakupki.prom.ua/remote/dispatcher/state_purchase_view/12021728", "UA-2019-06-24-000882-a")</f>
        <v>UA-2019-06-24-000882-a</v>
      </c>
      <c r="C47" s="2" t="s">
        <v>1459</v>
      </c>
      <c r="D47" s="1" t="s">
        <v>737</v>
      </c>
      <c r="E47" s="1" t="s">
        <v>1447</v>
      </c>
      <c r="F47" s="1" t="s">
        <v>733</v>
      </c>
      <c r="G47" s="1" t="s">
        <v>1280</v>
      </c>
      <c r="H47" s="1" t="s">
        <v>1800</v>
      </c>
      <c r="I47" s="1" t="s">
        <v>1379</v>
      </c>
      <c r="J47" s="1" t="s">
        <v>819</v>
      </c>
      <c r="K47" s="1" t="s">
        <v>1287</v>
      </c>
      <c r="L47" s="1" t="s">
        <v>1224</v>
      </c>
      <c r="M47" s="1" t="s">
        <v>119</v>
      </c>
      <c r="N47" s="1" t="s">
        <v>119</v>
      </c>
      <c r="O47" s="1" t="s">
        <v>119</v>
      </c>
      <c r="P47" s="5">
        <v>43640</v>
      </c>
      <c r="Q47" s="5">
        <v>43640</v>
      </c>
      <c r="R47" s="5">
        <v>43645</v>
      </c>
      <c r="S47" s="5">
        <v>43640</v>
      </c>
      <c r="T47" s="5">
        <v>43655</v>
      </c>
      <c r="U47" s="7">
        <v>43656.584814814814</v>
      </c>
      <c r="V47" s="4">
        <v>2</v>
      </c>
      <c r="W47" s="6">
        <v>136970</v>
      </c>
      <c r="X47" s="1" t="s">
        <v>1459</v>
      </c>
      <c r="Y47" s="4">
        <v>64</v>
      </c>
      <c r="Z47" s="6">
        <v>2140.16</v>
      </c>
      <c r="AA47" s="1" t="s">
        <v>2017</v>
      </c>
      <c r="AB47" s="6">
        <v>1369.7</v>
      </c>
      <c r="AC47" s="1" t="s">
        <v>1124</v>
      </c>
      <c r="AD47" s="1" t="s">
        <v>1800</v>
      </c>
      <c r="AE47" s="1" t="s">
        <v>1286</v>
      </c>
      <c r="AF47" s="1" t="s">
        <v>1463</v>
      </c>
      <c r="AG47" s="6">
        <v>136899.20000000001</v>
      </c>
      <c r="AH47" s="6">
        <v>2139.0500000000002</v>
      </c>
      <c r="AI47" s="1" t="s">
        <v>1704</v>
      </c>
      <c r="AJ47" s="6">
        <v>70.799999999988358</v>
      </c>
      <c r="AK47" s="6">
        <v>5.169015112797573E-4</v>
      </c>
      <c r="AL47" s="1" t="s">
        <v>1704</v>
      </c>
      <c r="AM47" s="1" t="s">
        <v>666</v>
      </c>
      <c r="AN47" s="1" t="s">
        <v>1157</v>
      </c>
      <c r="AO47" s="1" t="s">
        <v>67</v>
      </c>
      <c r="AP47" s="6">
        <v>70.799999999988358</v>
      </c>
      <c r="AQ47" s="6">
        <v>5.169015112797573E-4</v>
      </c>
      <c r="AR47" s="2" t="str">
        <f>HYPERLINK("https://auction.openprocurement.org/tenders/dc45459ddf4b48d6aa13fbcb81b2dcf8")</f>
        <v>https://auction.openprocurement.org/tenders/dc45459ddf4b48d6aa13fbcb81b2dcf8</v>
      </c>
      <c r="AS47" s="7">
        <v>43658.573960175658</v>
      </c>
      <c r="AT47" s="5">
        <v>43669</v>
      </c>
      <c r="AU47" s="5">
        <v>43679</v>
      </c>
      <c r="AV47" s="1" t="s">
        <v>1941</v>
      </c>
      <c r="AW47" s="7">
        <v>43670.362052639757</v>
      </c>
      <c r="AX47" s="1" t="s">
        <v>385</v>
      </c>
      <c r="AY47" s="6">
        <v>136899.20000000001</v>
      </c>
      <c r="AZ47" s="1"/>
      <c r="BA47" s="5">
        <v>43830</v>
      </c>
      <c r="BB47" s="7">
        <v>43830</v>
      </c>
      <c r="BC47" s="1" t="s">
        <v>1997</v>
      </c>
      <c r="BD47" s="1"/>
      <c r="BE47" s="1"/>
      <c r="BF47" s="1" t="s">
        <v>669</v>
      </c>
    </row>
    <row r="48" spans="1:58">
      <c r="A48" s="4">
        <v>43</v>
      </c>
      <c r="B48" s="2" t="str">
        <f>HYPERLINK("https://my.zakupki.prom.ua/remote/dispatcher/state_purchase_view/12738860", "UA-2019-09-05-000583-b")</f>
        <v>UA-2019-09-05-000583-b</v>
      </c>
      <c r="C48" s="2" t="s">
        <v>1459</v>
      </c>
      <c r="D48" s="1" t="s">
        <v>5</v>
      </c>
      <c r="E48" s="1" t="s">
        <v>734</v>
      </c>
      <c r="F48" s="1" t="s">
        <v>733</v>
      </c>
      <c r="G48" s="1" t="s">
        <v>1280</v>
      </c>
      <c r="H48" s="1" t="s">
        <v>1800</v>
      </c>
      <c r="I48" s="1" t="s">
        <v>1379</v>
      </c>
      <c r="J48" s="1" t="s">
        <v>819</v>
      </c>
      <c r="K48" s="1" t="s">
        <v>1287</v>
      </c>
      <c r="L48" s="1" t="s">
        <v>1658</v>
      </c>
      <c r="M48" s="1" t="s">
        <v>119</v>
      </c>
      <c r="N48" s="1" t="s">
        <v>119</v>
      </c>
      <c r="O48" s="1" t="s">
        <v>119</v>
      </c>
      <c r="P48" s="5">
        <v>43713</v>
      </c>
      <c r="Q48" s="5">
        <v>43713</v>
      </c>
      <c r="R48" s="5">
        <v>43722</v>
      </c>
      <c r="S48" s="5">
        <v>43713</v>
      </c>
      <c r="T48" s="5">
        <v>43732</v>
      </c>
      <c r="U48" s="1" t="s">
        <v>1923</v>
      </c>
      <c r="V48" s="4">
        <v>2</v>
      </c>
      <c r="W48" s="6">
        <v>97070</v>
      </c>
      <c r="X48" s="1" t="s">
        <v>1459</v>
      </c>
      <c r="Y48" s="4">
        <v>83</v>
      </c>
      <c r="Z48" s="6">
        <v>1169.52</v>
      </c>
      <c r="AA48" s="1" t="s">
        <v>2023</v>
      </c>
      <c r="AB48" s="6">
        <v>485.35</v>
      </c>
      <c r="AC48" s="1" t="s">
        <v>1124</v>
      </c>
      <c r="AD48" s="1" t="s">
        <v>1800</v>
      </c>
      <c r="AE48" s="1" t="s">
        <v>1286</v>
      </c>
      <c r="AF48" s="1" t="s">
        <v>1463</v>
      </c>
      <c r="AG48" s="6">
        <v>97066.12</v>
      </c>
      <c r="AH48" s="6">
        <v>1169.4713253012048</v>
      </c>
      <c r="AI48" s="1" t="s">
        <v>1709</v>
      </c>
      <c r="AJ48" s="6">
        <v>3.8800000000046566</v>
      </c>
      <c r="AK48" s="6">
        <v>3.9971154836763745E-5</v>
      </c>
      <c r="AL48" s="1" t="s">
        <v>1709</v>
      </c>
      <c r="AM48" s="1" t="s">
        <v>963</v>
      </c>
      <c r="AN48" s="1" t="s">
        <v>1149</v>
      </c>
      <c r="AO48" s="1" t="s">
        <v>73</v>
      </c>
      <c r="AP48" s="6">
        <v>3.8800000000046566</v>
      </c>
      <c r="AQ48" s="6">
        <v>3.9971154836763745E-5</v>
      </c>
      <c r="AR48" s="2" t="str">
        <f>HYPERLINK("https://auction.openprocurement.org/tenders/0d345ca4a87f4140803aebb48ec430e8")</f>
        <v>https://auction.openprocurement.org/tenders/0d345ca4a87f4140803aebb48ec430e8</v>
      </c>
      <c r="AS48" s="7">
        <v>43739.437429031583</v>
      </c>
      <c r="AT48" s="1"/>
      <c r="AU48" s="1"/>
      <c r="AV48" s="1" t="s">
        <v>2002</v>
      </c>
      <c r="AW48" s="7">
        <v>43754.674953640257</v>
      </c>
      <c r="AX48" s="1"/>
      <c r="AY48" s="6">
        <v>97066.12</v>
      </c>
      <c r="AZ48" s="1"/>
      <c r="BA48" s="5">
        <v>43830</v>
      </c>
      <c r="BB48" s="1"/>
      <c r="BC48" s="1" t="s">
        <v>1968</v>
      </c>
      <c r="BD48" s="1" t="s">
        <v>1281</v>
      </c>
      <c r="BE48" s="1"/>
      <c r="BF48" s="1" t="s">
        <v>967</v>
      </c>
    </row>
    <row r="49" spans="1:58">
      <c r="A49" s="4">
        <v>44</v>
      </c>
      <c r="B49" s="2" t="str">
        <f>HYPERLINK("https://my.zakupki.prom.ua/remote/dispatcher/state_purchase_view/9386839", "UA-2018-12-17-002645-c")</f>
        <v>UA-2018-12-17-002645-c</v>
      </c>
      <c r="C49" s="2" t="s">
        <v>1459</v>
      </c>
      <c r="D49" s="1" t="s">
        <v>1348</v>
      </c>
      <c r="E49" s="1" t="s">
        <v>1307</v>
      </c>
      <c r="F49" s="1" t="s">
        <v>293</v>
      </c>
      <c r="G49" s="1" t="s">
        <v>1280</v>
      </c>
      <c r="H49" s="1" t="s">
        <v>1800</v>
      </c>
      <c r="I49" s="1" t="s">
        <v>1379</v>
      </c>
      <c r="J49" s="1" t="s">
        <v>819</v>
      </c>
      <c r="K49" s="1" t="s">
        <v>1287</v>
      </c>
      <c r="L49" s="1" t="s">
        <v>1224</v>
      </c>
      <c r="M49" s="1" t="s">
        <v>119</v>
      </c>
      <c r="N49" s="1" t="s">
        <v>119</v>
      </c>
      <c r="O49" s="1" t="s">
        <v>119</v>
      </c>
      <c r="P49" s="5">
        <v>43451</v>
      </c>
      <c r="Q49" s="5">
        <v>43451</v>
      </c>
      <c r="R49" s="5">
        <v>43456</v>
      </c>
      <c r="S49" s="5">
        <v>43451</v>
      </c>
      <c r="T49" s="5">
        <v>43466</v>
      </c>
      <c r="U49" s="1" t="s">
        <v>1923</v>
      </c>
      <c r="V49" s="4">
        <v>0</v>
      </c>
      <c r="W49" s="6">
        <v>321450</v>
      </c>
      <c r="X49" s="1" t="s">
        <v>1459</v>
      </c>
      <c r="Y49" s="4">
        <v>131200</v>
      </c>
      <c r="Z49" s="6">
        <v>2.4500000000000002</v>
      </c>
      <c r="AA49" s="1" t="s">
        <v>1954</v>
      </c>
      <c r="AB49" s="6">
        <v>1607.25</v>
      </c>
      <c r="AC49" s="1" t="s">
        <v>1124</v>
      </c>
      <c r="AD49" s="1" t="s">
        <v>1800</v>
      </c>
      <c r="AE49" s="1" t="s">
        <v>1286</v>
      </c>
      <c r="AF49" s="1" t="s">
        <v>1463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"/>
      <c r="AS49" s="1"/>
      <c r="AT49" s="1"/>
      <c r="AU49" s="1"/>
      <c r="AV49" s="1" t="s">
        <v>1942</v>
      </c>
      <c r="AW49" s="7">
        <v>43466.620441758103</v>
      </c>
      <c r="AX49" s="1"/>
      <c r="AY49" s="1"/>
      <c r="AZ49" s="5">
        <v>43466</v>
      </c>
      <c r="BA49" s="5">
        <v>43830</v>
      </c>
      <c r="BB49" s="1"/>
      <c r="BC49" s="1"/>
      <c r="BD49" s="1"/>
      <c r="BE49" s="1"/>
      <c r="BF49" s="1"/>
    </row>
    <row r="50" spans="1:58">
      <c r="A50" s="4">
        <v>45</v>
      </c>
      <c r="B50" s="2" t="str">
        <f>HYPERLINK("https://my.zakupki.prom.ua/remote/dispatcher/state_purchase_view/10383468", "UA-2019-02-05-001161-b")</f>
        <v>UA-2019-02-05-001161-b</v>
      </c>
      <c r="C50" s="2" t="s">
        <v>1459</v>
      </c>
      <c r="D50" s="1" t="s">
        <v>731</v>
      </c>
      <c r="E50" s="1" t="s">
        <v>1403</v>
      </c>
      <c r="F50" s="1" t="s">
        <v>733</v>
      </c>
      <c r="G50" s="1" t="s">
        <v>1280</v>
      </c>
      <c r="H50" s="1" t="s">
        <v>1800</v>
      </c>
      <c r="I50" s="1" t="s">
        <v>1379</v>
      </c>
      <c r="J50" s="1" t="s">
        <v>819</v>
      </c>
      <c r="K50" s="1" t="s">
        <v>1287</v>
      </c>
      <c r="L50" s="1" t="s">
        <v>1224</v>
      </c>
      <c r="M50" s="1" t="s">
        <v>119</v>
      </c>
      <c r="N50" s="1" t="s">
        <v>119</v>
      </c>
      <c r="O50" s="1" t="s">
        <v>119</v>
      </c>
      <c r="P50" s="5">
        <v>43501</v>
      </c>
      <c r="Q50" s="5">
        <v>43501</v>
      </c>
      <c r="R50" s="5">
        <v>43506</v>
      </c>
      <c r="S50" s="5">
        <v>43501</v>
      </c>
      <c r="T50" s="5">
        <v>43516</v>
      </c>
      <c r="U50" s="7">
        <v>43517.629594907405</v>
      </c>
      <c r="V50" s="4">
        <v>2</v>
      </c>
      <c r="W50" s="6">
        <v>518264</v>
      </c>
      <c r="X50" s="1" t="s">
        <v>1459</v>
      </c>
      <c r="Y50" s="1" t="s">
        <v>1956</v>
      </c>
      <c r="Z50" s="1" t="s">
        <v>1956</v>
      </c>
      <c r="AA50" s="1" t="s">
        <v>1956</v>
      </c>
      <c r="AB50" s="6">
        <v>2591.3200000000002</v>
      </c>
      <c r="AC50" s="1" t="s">
        <v>1124</v>
      </c>
      <c r="AD50" s="1" t="s">
        <v>1800</v>
      </c>
      <c r="AE50" s="1" t="s">
        <v>1286</v>
      </c>
      <c r="AF50" s="1" t="s">
        <v>1463</v>
      </c>
      <c r="AG50" s="6">
        <v>468453.41</v>
      </c>
      <c r="AH50" s="1" t="s">
        <v>1956</v>
      </c>
      <c r="AI50" s="1" t="s">
        <v>1702</v>
      </c>
      <c r="AJ50" s="6">
        <v>49810.590000000026</v>
      </c>
      <c r="AK50" s="6">
        <v>9.6110457218714834E-2</v>
      </c>
      <c r="AL50" s="1" t="s">
        <v>1702</v>
      </c>
      <c r="AM50" s="1" t="s">
        <v>882</v>
      </c>
      <c r="AN50" s="1" t="s">
        <v>1157</v>
      </c>
      <c r="AO50" s="1" t="s">
        <v>67</v>
      </c>
      <c r="AP50" s="6">
        <v>49810.590000000026</v>
      </c>
      <c r="AQ50" s="6">
        <v>9.6110457218714834E-2</v>
      </c>
      <c r="AR50" s="2" t="str">
        <f>HYPERLINK("https://auction.openprocurement.org/tenders/54b93fa8bf7f4141bb19bbbd0b21ce0f")</f>
        <v>https://auction.openprocurement.org/tenders/54b93fa8bf7f4141bb19bbbd0b21ce0f</v>
      </c>
      <c r="AS50" s="7">
        <v>43521.550820791876</v>
      </c>
      <c r="AT50" s="5">
        <v>43532</v>
      </c>
      <c r="AU50" s="5">
        <v>43542</v>
      </c>
      <c r="AV50" s="1" t="s">
        <v>1941</v>
      </c>
      <c r="AW50" s="7">
        <v>43535.649947123064</v>
      </c>
      <c r="AX50" s="1" t="s">
        <v>153</v>
      </c>
      <c r="AY50" s="6">
        <v>468453.41</v>
      </c>
      <c r="AZ50" s="1"/>
      <c r="BA50" s="5">
        <v>43815</v>
      </c>
      <c r="BB50" s="7">
        <v>43830</v>
      </c>
      <c r="BC50" s="1" t="s">
        <v>1997</v>
      </c>
      <c r="BD50" s="1"/>
      <c r="BE50" s="1"/>
      <c r="BF50" s="1" t="s">
        <v>884</v>
      </c>
    </row>
    <row r="51" spans="1:58">
      <c r="A51" s="4">
        <v>46</v>
      </c>
      <c r="B51" s="2" t="str">
        <f>HYPERLINK("https://my.zakupki.prom.ua/remote/dispatcher/state_purchase_view/9594881", "UA-2018-12-28-000102-b")</f>
        <v>UA-2018-12-28-000102-b</v>
      </c>
      <c r="C51" s="2" t="s">
        <v>1459</v>
      </c>
      <c r="D51" s="1" t="s">
        <v>1609</v>
      </c>
      <c r="E51" s="1" t="s">
        <v>1609</v>
      </c>
      <c r="F51" s="1" t="s">
        <v>292</v>
      </c>
      <c r="G51" s="1" t="s">
        <v>1346</v>
      </c>
      <c r="H51" s="1" t="s">
        <v>1463</v>
      </c>
      <c r="I51" s="1" t="s">
        <v>1379</v>
      </c>
      <c r="J51" s="1" t="s">
        <v>819</v>
      </c>
      <c r="K51" s="1" t="s">
        <v>1287</v>
      </c>
      <c r="L51" s="1" t="s">
        <v>1224</v>
      </c>
      <c r="M51" s="1" t="s">
        <v>119</v>
      </c>
      <c r="N51" s="1" t="s">
        <v>119</v>
      </c>
      <c r="O51" s="1" t="s">
        <v>119</v>
      </c>
      <c r="P51" s="5">
        <v>43462</v>
      </c>
      <c r="Q51" s="5">
        <v>43462</v>
      </c>
      <c r="R51" s="5">
        <v>43468</v>
      </c>
      <c r="S51" s="5">
        <v>43468</v>
      </c>
      <c r="T51" s="5">
        <v>43474</v>
      </c>
      <c r="U51" s="1" t="s">
        <v>1923</v>
      </c>
      <c r="V51" s="4">
        <v>0</v>
      </c>
      <c r="W51" s="6">
        <v>126494</v>
      </c>
      <c r="X51" s="1" t="s">
        <v>1459</v>
      </c>
      <c r="Y51" s="4">
        <v>9022</v>
      </c>
      <c r="Z51" s="6">
        <v>14.02</v>
      </c>
      <c r="AA51" s="1" t="s">
        <v>1962</v>
      </c>
      <c r="AB51" s="6">
        <v>632.47</v>
      </c>
      <c r="AC51" s="1" t="s">
        <v>1124</v>
      </c>
      <c r="AD51" s="1" t="s">
        <v>1800</v>
      </c>
      <c r="AE51" s="1" t="s">
        <v>1286</v>
      </c>
      <c r="AF51" s="1" t="s">
        <v>1463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2"/>
      <c r="AS51" s="1"/>
      <c r="AT51" s="1"/>
      <c r="AU51" s="1"/>
      <c r="AV51" s="1" t="s">
        <v>1942</v>
      </c>
      <c r="AW51" s="7">
        <v>43474.378242022358</v>
      </c>
      <c r="AX51" s="1"/>
      <c r="AY51" s="1"/>
      <c r="AZ51" s="5">
        <v>43466</v>
      </c>
      <c r="BA51" s="5">
        <v>43830</v>
      </c>
      <c r="BB51" s="1"/>
      <c r="BC51" s="1"/>
      <c r="BD51" s="1"/>
      <c r="BE51" s="1"/>
      <c r="BF51" s="1"/>
    </row>
    <row r="52" spans="1:58">
      <c r="A52" s="4">
        <v>47</v>
      </c>
      <c r="B52" s="2" t="str">
        <f>HYPERLINK("https://my.zakupki.prom.ua/remote/dispatcher/state_purchase_view/22807214", "UA-2020-12-30-004963-a")</f>
        <v>UA-2020-12-30-004963-a</v>
      </c>
      <c r="C52" s="2" t="s">
        <v>1459</v>
      </c>
      <c r="D52" s="1" t="s">
        <v>1523</v>
      </c>
      <c r="E52" s="1" t="s">
        <v>1523</v>
      </c>
      <c r="F52" s="1" t="s">
        <v>294</v>
      </c>
      <c r="G52" s="1" t="s">
        <v>1513</v>
      </c>
      <c r="H52" s="1" t="s">
        <v>1800</v>
      </c>
      <c r="I52" s="1" t="s">
        <v>1379</v>
      </c>
      <c r="J52" s="1" t="s">
        <v>819</v>
      </c>
      <c r="K52" s="1" t="s">
        <v>1287</v>
      </c>
      <c r="L52" s="1" t="s">
        <v>1216</v>
      </c>
      <c r="M52" s="1" t="s">
        <v>119</v>
      </c>
      <c r="N52" s="1" t="s">
        <v>119</v>
      </c>
      <c r="O52" s="1" t="s">
        <v>119</v>
      </c>
      <c r="P52" s="5">
        <v>44195</v>
      </c>
      <c r="Q52" s="1"/>
      <c r="R52" s="1"/>
      <c r="S52" s="1"/>
      <c r="T52" s="1"/>
      <c r="U52" s="1" t="s">
        <v>1922</v>
      </c>
      <c r="V52" s="4">
        <v>1</v>
      </c>
      <c r="W52" s="6">
        <v>720357.93</v>
      </c>
      <c r="X52" s="1" t="s">
        <v>1459</v>
      </c>
      <c r="Y52" s="4">
        <v>404</v>
      </c>
      <c r="Z52" s="6">
        <v>1783.06</v>
      </c>
      <c r="AA52" s="1" t="s">
        <v>1933</v>
      </c>
      <c r="AB52" s="1" t="s">
        <v>1964</v>
      </c>
      <c r="AC52" s="1" t="s">
        <v>1124</v>
      </c>
      <c r="AD52" s="1" t="s">
        <v>1800</v>
      </c>
      <c r="AE52" s="1" t="s">
        <v>1286</v>
      </c>
      <c r="AF52" s="1" t="s">
        <v>1463</v>
      </c>
      <c r="AG52" s="6">
        <v>720357.93</v>
      </c>
      <c r="AH52" s="6">
        <v>1783.064183168317</v>
      </c>
      <c r="AI52" s="1"/>
      <c r="AJ52" s="1"/>
      <c r="AK52" s="1"/>
      <c r="AL52" s="1" t="s">
        <v>1385</v>
      </c>
      <c r="AM52" s="1" t="s">
        <v>696</v>
      </c>
      <c r="AN52" s="1"/>
      <c r="AO52" s="1" t="s">
        <v>1074</v>
      </c>
      <c r="AP52" s="1"/>
      <c r="AQ52" s="1"/>
      <c r="AR52" s="2"/>
      <c r="AS52" s="1"/>
      <c r="AT52" s="5">
        <v>44206</v>
      </c>
      <c r="AU52" s="5">
        <v>44231</v>
      </c>
      <c r="AV52" s="1" t="s">
        <v>1941</v>
      </c>
      <c r="AW52" s="7">
        <v>44222.387519179771</v>
      </c>
      <c r="AX52" s="1" t="s">
        <v>271</v>
      </c>
      <c r="AY52" s="6">
        <v>720357.93</v>
      </c>
      <c r="AZ52" s="1"/>
      <c r="BA52" s="5">
        <v>44561</v>
      </c>
      <c r="BB52" s="7">
        <v>44561</v>
      </c>
      <c r="BC52" s="1" t="s">
        <v>1997</v>
      </c>
      <c r="BD52" s="1"/>
      <c r="BE52" s="1"/>
      <c r="BF52" s="1" t="s">
        <v>118</v>
      </c>
    </row>
    <row r="53" spans="1:58">
      <c r="A53" s="4">
        <v>48</v>
      </c>
      <c r="B53" s="2" t="str">
        <f>HYPERLINK("https://my.zakupki.prom.ua/remote/dispatcher/state_purchase_view/19406864", "UA-2020-09-18-006321-a")</f>
        <v>UA-2020-09-18-006321-a</v>
      </c>
      <c r="C53" s="2" t="s">
        <v>1459</v>
      </c>
      <c r="D53" s="1" t="s">
        <v>1432</v>
      </c>
      <c r="E53" s="1" t="s">
        <v>1432</v>
      </c>
      <c r="F53" s="1" t="s">
        <v>992</v>
      </c>
      <c r="G53" s="1" t="s">
        <v>1364</v>
      </c>
      <c r="H53" s="1" t="s">
        <v>1800</v>
      </c>
      <c r="I53" s="1" t="s">
        <v>1379</v>
      </c>
      <c r="J53" s="1" t="s">
        <v>819</v>
      </c>
      <c r="K53" s="1" t="s">
        <v>1287</v>
      </c>
      <c r="L53" s="1" t="s">
        <v>1216</v>
      </c>
      <c r="M53" s="1" t="s">
        <v>119</v>
      </c>
      <c r="N53" s="1" t="s">
        <v>119</v>
      </c>
      <c r="O53" s="1" t="s">
        <v>119</v>
      </c>
      <c r="P53" s="5">
        <v>44092</v>
      </c>
      <c r="Q53" s="1"/>
      <c r="R53" s="1"/>
      <c r="S53" s="1"/>
      <c r="T53" s="1"/>
      <c r="U53" s="1" t="s">
        <v>1922</v>
      </c>
      <c r="V53" s="4">
        <v>1</v>
      </c>
      <c r="W53" s="6">
        <v>41775</v>
      </c>
      <c r="X53" s="1" t="s">
        <v>1459</v>
      </c>
      <c r="Y53" s="4">
        <v>7</v>
      </c>
      <c r="Z53" s="6">
        <v>5967.86</v>
      </c>
      <c r="AA53" s="1" t="s">
        <v>2024</v>
      </c>
      <c r="AB53" s="1" t="s">
        <v>1964</v>
      </c>
      <c r="AC53" s="1" t="s">
        <v>1124</v>
      </c>
      <c r="AD53" s="1" t="s">
        <v>1800</v>
      </c>
      <c r="AE53" s="1" t="s">
        <v>1286</v>
      </c>
      <c r="AF53" s="1" t="s">
        <v>1463</v>
      </c>
      <c r="AG53" s="6">
        <v>41775</v>
      </c>
      <c r="AH53" s="6">
        <v>5967.8571428571431</v>
      </c>
      <c r="AI53" s="1"/>
      <c r="AJ53" s="1"/>
      <c r="AK53" s="1"/>
      <c r="AL53" s="1" t="s">
        <v>1762</v>
      </c>
      <c r="AM53" s="1" t="s">
        <v>976</v>
      </c>
      <c r="AN53" s="1"/>
      <c r="AO53" s="1" t="s">
        <v>310</v>
      </c>
      <c r="AP53" s="1"/>
      <c r="AQ53" s="1"/>
      <c r="AR53" s="2"/>
      <c r="AS53" s="1"/>
      <c r="AT53" s="1"/>
      <c r="AU53" s="1"/>
      <c r="AV53" s="1" t="s">
        <v>1941</v>
      </c>
      <c r="AW53" s="7">
        <v>44092.595245084834</v>
      </c>
      <c r="AX53" s="1" t="s">
        <v>387</v>
      </c>
      <c r="AY53" s="6">
        <v>41775</v>
      </c>
      <c r="AZ53" s="1"/>
      <c r="BA53" s="5">
        <v>44135</v>
      </c>
      <c r="BB53" s="7">
        <v>44196</v>
      </c>
      <c r="BC53" s="1" t="s">
        <v>1997</v>
      </c>
      <c r="BD53" s="1"/>
      <c r="BE53" s="1"/>
      <c r="BF53" s="1" t="s">
        <v>118</v>
      </c>
    </row>
    <row r="54" spans="1:58">
      <c r="A54" s="4">
        <v>49</v>
      </c>
      <c r="B54" s="2" t="str">
        <f>HYPERLINK("https://my.zakupki.prom.ua/remote/dispatcher/state_purchase_view/18818544", "UA-2020-08-27-002001-a")</f>
        <v>UA-2020-08-27-002001-a</v>
      </c>
      <c r="C54" s="2" t="s">
        <v>1459</v>
      </c>
      <c r="D54" s="1" t="s">
        <v>1542</v>
      </c>
      <c r="E54" s="1" t="s">
        <v>1541</v>
      </c>
      <c r="F54" s="1" t="s">
        <v>1023</v>
      </c>
      <c r="G54" s="1" t="s">
        <v>1364</v>
      </c>
      <c r="H54" s="1" t="s">
        <v>1800</v>
      </c>
      <c r="I54" s="1" t="s">
        <v>1379</v>
      </c>
      <c r="J54" s="1" t="s">
        <v>819</v>
      </c>
      <c r="K54" s="1" t="s">
        <v>1287</v>
      </c>
      <c r="L54" s="1" t="s">
        <v>1216</v>
      </c>
      <c r="M54" s="1" t="s">
        <v>119</v>
      </c>
      <c r="N54" s="1" t="s">
        <v>119</v>
      </c>
      <c r="O54" s="1" t="s">
        <v>119</v>
      </c>
      <c r="P54" s="5">
        <v>44070</v>
      </c>
      <c r="Q54" s="1"/>
      <c r="R54" s="1"/>
      <c r="S54" s="1"/>
      <c r="T54" s="1"/>
      <c r="U54" s="1" t="s">
        <v>1922</v>
      </c>
      <c r="V54" s="4">
        <v>1</v>
      </c>
      <c r="W54" s="6">
        <v>4205</v>
      </c>
      <c r="X54" s="1" t="s">
        <v>1459</v>
      </c>
      <c r="Y54" s="4">
        <v>1</v>
      </c>
      <c r="Z54" s="6">
        <v>4205</v>
      </c>
      <c r="AA54" s="1" t="s">
        <v>1976</v>
      </c>
      <c r="AB54" s="1" t="s">
        <v>1964</v>
      </c>
      <c r="AC54" s="1" t="s">
        <v>1124</v>
      </c>
      <c r="AD54" s="1" t="s">
        <v>1800</v>
      </c>
      <c r="AE54" s="1" t="s">
        <v>1286</v>
      </c>
      <c r="AF54" s="1" t="s">
        <v>1463</v>
      </c>
      <c r="AG54" s="6">
        <v>4205</v>
      </c>
      <c r="AH54" s="6">
        <v>4205</v>
      </c>
      <c r="AI54" s="1"/>
      <c r="AJ54" s="1"/>
      <c r="AK54" s="1"/>
      <c r="AL54" s="1" t="s">
        <v>1739</v>
      </c>
      <c r="AM54" s="1" t="s">
        <v>849</v>
      </c>
      <c r="AN54" s="1"/>
      <c r="AO54" s="1" t="s">
        <v>166</v>
      </c>
      <c r="AP54" s="1"/>
      <c r="AQ54" s="1"/>
      <c r="AR54" s="2"/>
      <c r="AS54" s="1"/>
      <c r="AT54" s="1"/>
      <c r="AU54" s="1"/>
      <c r="AV54" s="1" t="s">
        <v>1941</v>
      </c>
      <c r="AW54" s="7">
        <v>44070.449205070865</v>
      </c>
      <c r="AX54" s="1" t="s">
        <v>947</v>
      </c>
      <c r="AY54" s="6">
        <v>4205</v>
      </c>
      <c r="AZ54" s="1"/>
      <c r="BA54" s="5">
        <v>44099</v>
      </c>
      <c r="BB54" s="7">
        <v>44196</v>
      </c>
      <c r="BC54" s="1" t="s">
        <v>1997</v>
      </c>
      <c r="BD54" s="1"/>
      <c r="BE54" s="1"/>
      <c r="BF54" s="1" t="s">
        <v>118</v>
      </c>
    </row>
    <row r="55" spans="1:58">
      <c r="A55" s="4">
        <v>50</v>
      </c>
      <c r="B55" s="2" t="str">
        <f>HYPERLINK("https://my.zakupki.prom.ua/remote/dispatcher/state_purchase_view/18785432", "UA-2020-08-26-002367-a")</f>
        <v>UA-2020-08-26-002367-a</v>
      </c>
      <c r="C55" s="2" t="s">
        <v>1459</v>
      </c>
      <c r="D55" s="1" t="s">
        <v>1687</v>
      </c>
      <c r="E55" s="1" t="s">
        <v>1687</v>
      </c>
      <c r="F55" s="1" t="s">
        <v>721</v>
      </c>
      <c r="G55" s="1" t="s">
        <v>1364</v>
      </c>
      <c r="H55" s="1" t="s">
        <v>1800</v>
      </c>
      <c r="I55" s="1" t="s">
        <v>1379</v>
      </c>
      <c r="J55" s="1" t="s">
        <v>819</v>
      </c>
      <c r="K55" s="1" t="s">
        <v>1287</v>
      </c>
      <c r="L55" s="1" t="s">
        <v>1216</v>
      </c>
      <c r="M55" s="1" t="s">
        <v>119</v>
      </c>
      <c r="N55" s="1" t="s">
        <v>119</v>
      </c>
      <c r="O55" s="1" t="s">
        <v>119</v>
      </c>
      <c r="P55" s="5">
        <v>44069</v>
      </c>
      <c r="Q55" s="1"/>
      <c r="R55" s="1"/>
      <c r="S55" s="1"/>
      <c r="T55" s="1"/>
      <c r="U55" s="1" t="s">
        <v>1922</v>
      </c>
      <c r="V55" s="4">
        <v>1</v>
      </c>
      <c r="W55" s="6">
        <v>2998.6</v>
      </c>
      <c r="X55" s="1" t="s">
        <v>1459</v>
      </c>
      <c r="Y55" s="4">
        <v>235</v>
      </c>
      <c r="Z55" s="6">
        <v>12.76</v>
      </c>
      <c r="AA55" s="1" t="s">
        <v>2001</v>
      </c>
      <c r="AB55" s="1" t="s">
        <v>1964</v>
      </c>
      <c r="AC55" s="1" t="s">
        <v>1124</v>
      </c>
      <c r="AD55" s="1" t="s">
        <v>1800</v>
      </c>
      <c r="AE55" s="1" t="s">
        <v>1286</v>
      </c>
      <c r="AF55" s="1" t="s">
        <v>1463</v>
      </c>
      <c r="AG55" s="6">
        <v>2998.6</v>
      </c>
      <c r="AH55" s="6">
        <v>12.76</v>
      </c>
      <c r="AI55" s="1"/>
      <c r="AJ55" s="1"/>
      <c r="AK55" s="1"/>
      <c r="AL55" s="1" t="s">
        <v>1500</v>
      </c>
      <c r="AM55" s="1" t="s">
        <v>934</v>
      </c>
      <c r="AN55" s="1"/>
      <c r="AO55" s="1" t="s">
        <v>177</v>
      </c>
      <c r="AP55" s="1"/>
      <c r="AQ55" s="1"/>
      <c r="AR55" s="2"/>
      <c r="AS55" s="1"/>
      <c r="AT55" s="1"/>
      <c r="AU55" s="1"/>
      <c r="AV55" s="1" t="s">
        <v>1941</v>
      </c>
      <c r="AW55" s="7">
        <v>44069.467685406482</v>
      </c>
      <c r="AX55" s="1" t="s">
        <v>418</v>
      </c>
      <c r="AY55" s="6">
        <v>2998.6</v>
      </c>
      <c r="AZ55" s="1"/>
      <c r="BA55" s="5">
        <v>44076</v>
      </c>
      <c r="BB55" s="7">
        <v>44196</v>
      </c>
      <c r="BC55" s="1" t="s">
        <v>1997</v>
      </c>
      <c r="BD55" s="1"/>
      <c r="BE55" s="1"/>
      <c r="BF55" s="1" t="s">
        <v>118</v>
      </c>
    </row>
    <row r="56" spans="1:58">
      <c r="A56" s="4">
        <v>51</v>
      </c>
      <c r="B56" s="2" t="str">
        <f>HYPERLINK("https://my.zakupki.prom.ua/remote/dispatcher/state_purchase_view/21838119", "UA-2020-12-07-004509-c")</f>
        <v>UA-2020-12-07-004509-c</v>
      </c>
      <c r="C56" s="2" t="s">
        <v>1459</v>
      </c>
      <c r="D56" s="1" t="s">
        <v>1984</v>
      </c>
      <c r="E56" s="1" t="s">
        <v>1984</v>
      </c>
      <c r="F56" s="1" t="s">
        <v>1079</v>
      </c>
      <c r="G56" s="1" t="s">
        <v>1364</v>
      </c>
      <c r="H56" s="1" t="s">
        <v>1800</v>
      </c>
      <c r="I56" s="1" t="s">
        <v>1379</v>
      </c>
      <c r="J56" s="1" t="s">
        <v>819</v>
      </c>
      <c r="K56" s="1" t="s">
        <v>1287</v>
      </c>
      <c r="L56" s="1" t="s">
        <v>1216</v>
      </c>
      <c r="M56" s="1" t="s">
        <v>119</v>
      </c>
      <c r="N56" s="1" t="s">
        <v>119</v>
      </c>
      <c r="O56" s="1" t="s">
        <v>119</v>
      </c>
      <c r="P56" s="5">
        <v>44172</v>
      </c>
      <c r="Q56" s="1"/>
      <c r="R56" s="1"/>
      <c r="S56" s="1"/>
      <c r="T56" s="1"/>
      <c r="U56" s="1" t="s">
        <v>1922</v>
      </c>
      <c r="V56" s="4">
        <v>1</v>
      </c>
      <c r="W56" s="6">
        <v>1800</v>
      </c>
      <c r="X56" s="1" t="s">
        <v>1459</v>
      </c>
      <c r="Y56" s="4">
        <v>1</v>
      </c>
      <c r="Z56" s="6">
        <v>1800</v>
      </c>
      <c r="AA56" s="1" t="s">
        <v>1976</v>
      </c>
      <c r="AB56" s="1" t="s">
        <v>1964</v>
      </c>
      <c r="AC56" s="1" t="s">
        <v>1124</v>
      </c>
      <c r="AD56" s="1" t="s">
        <v>1800</v>
      </c>
      <c r="AE56" s="1" t="s">
        <v>1286</v>
      </c>
      <c r="AF56" s="1" t="s">
        <v>1463</v>
      </c>
      <c r="AG56" s="6">
        <v>1800</v>
      </c>
      <c r="AH56" s="6">
        <v>1800</v>
      </c>
      <c r="AI56" s="1"/>
      <c r="AJ56" s="1"/>
      <c r="AK56" s="1"/>
      <c r="AL56" s="1" t="s">
        <v>1759</v>
      </c>
      <c r="AM56" s="1" t="s">
        <v>780</v>
      </c>
      <c r="AN56" s="1"/>
      <c r="AO56" s="1" t="s">
        <v>189</v>
      </c>
      <c r="AP56" s="1"/>
      <c r="AQ56" s="1"/>
      <c r="AR56" s="2"/>
      <c r="AS56" s="1"/>
      <c r="AT56" s="1"/>
      <c r="AU56" s="1"/>
      <c r="AV56" s="1" t="s">
        <v>1941</v>
      </c>
      <c r="AW56" s="7">
        <v>44172.674466598539</v>
      </c>
      <c r="AX56" s="1" t="s">
        <v>337</v>
      </c>
      <c r="AY56" s="6">
        <v>1800</v>
      </c>
      <c r="AZ56" s="1"/>
      <c r="BA56" s="5">
        <v>44179</v>
      </c>
      <c r="BB56" s="7">
        <v>44196</v>
      </c>
      <c r="BC56" s="1" t="s">
        <v>1997</v>
      </c>
      <c r="BD56" s="1"/>
      <c r="BE56" s="1"/>
      <c r="BF56" s="1" t="s">
        <v>118</v>
      </c>
    </row>
    <row r="57" spans="1:58">
      <c r="A57" s="4">
        <v>52</v>
      </c>
      <c r="B57" s="2" t="str">
        <f>HYPERLINK("https://my.zakupki.prom.ua/remote/dispatcher/state_purchase_view/21574206", "UA-2020-11-30-007046-b")</f>
        <v>UA-2020-11-30-007046-b</v>
      </c>
      <c r="C57" s="2" t="s">
        <v>1459</v>
      </c>
      <c r="D57" s="1" t="s">
        <v>1807</v>
      </c>
      <c r="E57" s="1" t="s">
        <v>1808</v>
      </c>
      <c r="F57" s="1" t="s">
        <v>721</v>
      </c>
      <c r="G57" s="1" t="s">
        <v>1364</v>
      </c>
      <c r="H57" s="1" t="s">
        <v>1800</v>
      </c>
      <c r="I57" s="1" t="s">
        <v>1379</v>
      </c>
      <c r="J57" s="1" t="s">
        <v>819</v>
      </c>
      <c r="K57" s="1" t="s">
        <v>1287</v>
      </c>
      <c r="L57" s="1" t="s">
        <v>1216</v>
      </c>
      <c r="M57" s="1" t="s">
        <v>119</v>
      </c>
      <c r="N57" s="1" t="s">
        <v>119</v>
      </c>
      <c r="O57" s="1" t="s">
        <v>119</v>
      </c>
      <c r="P57" s="5">
        <v>44165</v>
      </c>
      <c r="Q57" s="1"/>
      <c r="R57" s="1"/>
      <c r="S57" s="1"/>
      <c r="T57" s="1"/>
      <c r="U57" s="1" t="s">
        <v>1922</v>
      </c>
      <c r="V57" s="4">
        <v>1</v>
      </c>
      <c r="W57" s="6">
        <v>7672.5</v>
      </c>
      <c r="X57" s="1" t="s">
        <v>1459</v>
      </c>
      <c r="Y57" s="4">
        <v>3</v>
      </c>
      <c r="Z57" s="6">
        <v>2557.5</v>
      </c>
      <c r="AA57" s="1" t="s">
        <v>2024</v>
      </c>
      <c r="AB57" s="1" t="s">
        <v>1964</v>
      </c>
      <c r="AC57" s="1" t="s">
        <v>1124</v>
      </c>
      <c r="AD57" s="1" t="s">
        <v>1800</v>
      </c>
      <c r="AE57" s="1" t="s">
        <v>1286</v>
      </c>
      <c r="AF57" s="1" t="s">
        <v>1463</v>
      </c>
      <c r="AG57" s="6">
        <v>7672.5</v>
      </c>
      <c r="AH57" s="6">
        <v>2557.5</v>
      </c>
      <c r="AI57" s="1"/>
      <c r="AJ57" s="1"/>
      <c r="AK57" s="1"/>
      <c r="AL57" s="1" t="s">
        <v>1291</v>
      </c>
      <c r="AM57" s="1" t="s">
        <v>405</v>
      </c>
      <c r="AN57" s="1"/>
      <c r="AO57" s="1" t="s">
        <v>262</v>
      </c>
      <c r="AP57" s="1"/>
      <c r="AQ57" s="1"/>
      <c r="AR57" s="2"/>
      <c r="AS57" s="1"/>
      <c r="AT57" s="1"/>
      <c r="AU57" s="1"/>
      <c r="AV57" s="1" t="s">
        <v>1941</v>
      </c>
      <c r="AW57" s="7">
        <v>44165.662225018677</v>
      </c>
      <c r="AX57" s="1" t="s">
        <v>619</v>
      </c>
      <c r="AY57" s="6">
        <v>7672.5</v>
      </c>
      <c r="AZ57" s="1"/>
      <c r="BA57" s="5">
        <v>44196</v>
      </c>
      <c r="BB57" s="7">
        <v>44196</v>
      </c>
      <c r="BC57" s="1" t="s">
        <v>1997</v>
      </c>
      <c r="BD57" s="1"/>
      <c r="BE57" s="1"/>
      <c r="BF57" s="1" t="s">
        <v>118</v>
      </c>
    </row>
    <row r="58" spans="1:58">
      <c r="A58" s="4">
        <v>53</v>
      </c>
      <c r="B58" s="2" t="str">
        <f>HYPERLINK("https://my.zakupki.prom.ua/remote/dispatcher/state_purchase_view/21552369", "UA-2020-11-30-001141-b")</f>
        <v>UA-2020-11-30-001141-b</v>
      </c>
      <c r="C58" s="2" t="s">
        <v>1459</v>
      </c>
      <c r="D58" s="1" t="s">
        <v>1352</v>
      </c>
      <c r="E58" s="1" t="s">
        <v>1351</v>
      </c>
      <c r="F58" s="1" t="s">
        <v>721</v>
      </c>
      <c r="G58" s="1" t="s">
        <v>1364</v>
      </c>
      <c r="H58" s="1" t="s">
        <v>1800</v>
      </c>
      <c r="I58" s="1" t="s">
        <v>1379</v>
      </c>
      <c r="J58" s="1" t="s">
        <v>819</v>
      </c>
      <c r="K58" s="1" t="s">
        <v>1287</v>
      </c>
      <c r="L58" s="1" t="s">
        <v>1216</v>
      </c>
      <c r="M58" s="1" t="s">
        <v>119</v>
      </c>
      <c r="N58" s="1" t="s">
        <v>119</v>
      </c>
      <c r="O58" s="1" t="s">
        <v>119</v>
      </c>
      <c r="P58" s="5">
        <v>44165</v>
      </c>
      <c r="Q58" s="1"/>
      <c r="R58" s="1"/>
      <c r="S58" s="1"/>
      <c r="T58" s="1"/>
      <c r="U58" s="1" t="s">
        <v>1922</v>
      </c>
      <c r="V58" s="4">
        <v>1</v>
      </c>
      <c r="W58" s="6">
        <v>1677.54</v>
      </c>
      <c r="X58" s="1" t="s">
        <v>1459</v>
      </c>
      <c r="Y58" s="4">
        <v>30</v>
      </c>
      <c r="Z58" s="6">
        <v>55.92</v>
      </c>
      <c r="AA58" s="1" t="s">
        <v>2024</v>
      </c>
      <c r="AB58" s="1" t="s">
        <v>1964</v>
      </c>
      <c r="AC58" s="1" t="s">
        <v>1124</v>
      </c>
      <c r="AD58" s="1" t="s">
        <v>1800</v>
      </c>
      <c r="AE58" s="1" t="s">
        <v>1286</v>
      </c>
      <c r="AF58" s="1" t="s">
        <v>1463</v>
      </c>
      <c r="AG58" s="6">
        <v>1677.54</v>
      </c>
      <c r="AH58" s="6">
        <v>55.917999999999999</v>
      </c>
      <c r="AI58" s="1"/>
      <c r="AJ58" s="1"/>
      <c r="AK58" s="1"/>
      <c r="AL58" s="1" t="s">
        <v>1500</v>
      </c>
      <c r="AM58" s="1" t="s">
        <v>934</v>
      </c>
      <c r="AN58" s="1"/>
      <c r="AO58" s="1" t="s">
        <v>243</v>
      </c>
      <c r="AP58" s="1"/>
      <c r="AQ58" s="1"/>
      <c r="AR58" s="2"/>
      <c r="AS58" s="1"/>
      <c r="AT58" s="1"/>
      <c r="AU58" s="1"/>
      <c r="AV58" s="1" t="s">
        <v>1941</v>
      </c>
      <c r="AW58" s="7">
        <v>44165.423773506482</v>
      </c>
      <c r="AX58" s="1" t="s">
        <v>618</v>
      </c>
      <c r="AY58" s="6">
        <v>1677.54</v>
      </c>
      <c r="AZ58" s="1"/>
      <c r="BA58" s="5">
        <v>44196</v>
      </c>
      <c r="BB58" s="7">
        <v>44196</v>
      </c>
      <c r="BC58" s="1" t="s">
        <v>1997</v>
      </c>
      <c r="BD58" s="1"/>
      <c r="BE58" s="1"/>
      <c r="BF58" s="1" t="s">
        <v>118</v>
      </c>
    </row>
    <row r="59" spans="1:58">
      <c r="A59" s="4">
        <v>54</v>
      </c>
      <c r="B59" s="2" t="str">
        <f>HYPERLINK("https://my.zakupki.prom.ua/remote/dispatcher/state_purchase_view/21332155", "UA-2020-11-23-006987-c")</f>
        <v>UA-2020-11-23-006987-c</v>
      </c>
      <c r="C59" s="2" t="s">
        <v>1459</v>
      </c>
      <c r="D59" s="1" t="s">
        <v>1589</v>
      </c>
      <c r="E59" s="1" t="s">
        <v>1589</v>
      </c>
      <c r="F59" s="1" t="s">
        <v>1047</v>
      </c>
      <c r="G59" s="1" t="s">
        <v>1364</v>
      </c>
      <c r="H59" s="1" t="s">
        <v>1800</v>
      </c>
      <c r="I59" s="1" t="s">
        <v>1379</v>
      </c>
      <c r="J59" s="1" t="s">
        <v>819</v>
      </c>
      <c r="K59" s="1" t="s">
        <v>1287</v>
      </c>
      <c r="L59" s="1" t="s">
        <v>1216</v>
      </c>
      <c r="M59" s="1" t="s">
        <v>119</v>
      </c>
      <c r="N59" s="1" t="s">
        <v>119</v>
      </c>
      <c r="O59" s="1" t="s">
        <v>119</v>
      </c>
      <c r="P59" s="5">
        <v>44158</v>
      </c>
      <c r="Q59" s="1"/>
      <c r="R59" s="1"/>
      <c r="S59" s="1"/>
      <c r="T59" s="1"/>
      <c r="U59" s="1" t="s">
        <v>1922</v>
      </c>
      <c r="V59" s="4">
        <v>1</v>
      </c>
      <c r="W59" s="6">
        <v>22866</v>
      </c>
      <c r="X59" s="1" t="s">
        <v>1459</v>
      </c>
      <c r="Y59" s="4">
        <v>1</v>
      </c>
      <c r="Z59" s="6">
        <v>22866</v>
      </c>
      <c r="AA59" s="1" t="s">
        <v>1976</v>
      </c>
      <c r="AB59" s="1" t="s">
        <v>1964</v>
      </c>
      <c r="AC59" s="1" t="s">
        <v>1124</v>
      </c>
      <c r="AD59" s="1" t="s">
        <v>1800</v>
      </c>
      <c r="AE59" s="1" t="s">
        <v>1286</v>
      </c>
      <c r="AF59" s="1" t="s">
        <v>1463</v>
      </c>
      <c r="AG59" s="6">
        <v>22866</v>
      </c>
      <c r="AH59" s="6">
        <v>22866</v>
      </c>
      <c r="AI59" s="1"/>
      <c r="AJ59" s="1"/>
      <c r="AK59" s="1"/>
      <c r="AL59" s="1" t="s">
        <v>1781</v>
      </c>
      <c r="AM59" s="1" t="s">
        <v>957</v>
      </c>
      <c r="AN59" s="1"/>
      <c r="AO59" s="1" t="s">
        <v>312</v>
      </c>
      <c r="AP59" s="1"/>
      <c r="AQ59" s="1"/>
      <c r="AR59" s="2"/>
      <c r="AS59" s="1"/>
      <c r="AT59" s="1"/>
      <c r="AU59" s="1"/>
      <c r="AV59" s="1" t="s">
        <v>1941</v>
      </c>
      <c r="AW59" s="7">
        <v>44158.569895632601</v>
      </c>
      <c r="AX59" s="1" t="s">
        <v>1654</v>
      </c>
      <c r="AY59" s="6">
        <v>22866</v>
      </c>
      <c r="AZ59" s="1"/>
      <c r="BA59" s="5">
        <v>44196</v>
      </c>
      <c r="BB59" s="7">
        <v>44196</v>
      </c>
      <c r="BC59" s="1" t="s">
        <v>1997</v>
      </c>
      <c r="BD59" s="1"/>
      <c r="BE59" s="1"/>
      <c r="BF59" s="1" t="s">
        <v>118</v>
      </c>
    </row>
    <row r="60" spans="1:58">
      <c r="A60" s="4">
        <v>55</v>
      </c>
      <c r="B60" s="2" t="str">
        <f>HYPERLINK("https://my.zakupki.prom.ua/remote/dispatcher/state_purchase_view/21036959", "UA-2020-11-13-000366-c")</f>
        <v>UA-2020-11-13-000366-c</v>
      </c>
      <c r="C60" s="2" t="s">
        <v>1459</v>
      </c>
      <c r="D60" s="1" t="s">
        <v>1565</v>
      </c>
      <c r="E60" s="1" t="s">
        <v>1565</v>
      </c>
      <c r="F60" s="1" t="s">
        <v>1050</v>
      </c>
      <c r="G60" s="1" t="s">
        <v>1364</v>
      </c>
      <c r="H60" s="1" t="s">
        <v>1800</v>
      </c>
      <c r="I60" s="1" t="s">
        <v>1379</v>
      </c>
      <c r="J60" s="1" t="s">
        <v>819</v>
      </c>
      <c r="K60" s="1" t="s">
        <v>1287</v>
      </c>
      <c r="L60" s="1" t="s">
        <v>1216</v>
      </c>
      <c r="M60" s="1" t="s">
        <v>119</v>
      </c>
      <c r="N60" s="1" t="s">
        <v>119</v>
      </c>
      <c r="O60" s="1" t="s">
        <v>119</v>
      </c>
      <c r="P60" s="5">
        <v>44148</v>
      </c>
      <c r="Q60" s="1"/>
      <c r="R60" s="1"/>
      <c r="S60" s="1"/>
      <c r="T60" s="1"/>
      <c r="U60" s="1" t="s">
        <v>1922</v>
      </c>
      <c r="V60" s="4">
        <v>1</v>
      </c>
      <c r="W60" s="6">
        <v>1157</v>
      </c>
      <c r="X60" s="1" t="s">
        <v>1459</v>
      </c>
      <c r="Y60" s="4">
        <v>1</v>
      </c>
      <c r="Z60" s="6">
        <v>1157</v>
      </c>
      <c r="AA60" s="1" t="s">
        <v>1976</v>
      </c>
      <c r="AB60" s="1" t="s">
        <v>1964</v>
      </c>
      <c r="AC60" s="1" t="s">
        <v>1124</v>
      </c>
      <c r="AD60" s="1" t="s">
        <v>1800</v>
      </c>
      <c r="AE60" s="1" t="s">
        <v>1286</v>
      </c>
      <c r="AF60" s="1" t="s">
        <v>1463</v>
      </c>
      <c r="AG60" s="6">
        <v>1157</v>
      </c>
      <c r="AH60" s="6">
        <v>1157</v>
      </c>
      <c r="AI60" s="1"/>
      <c r="AJ60" s="1"/>
      <c r="AK60" s="1"/>
      <c r="AL60" s="1" t="s">
        <v>1383</v>
      </c>
      <c r="AM60" s="1" t="s">
        <v>156</v>
      </c>
      <c r="AN60" s="1"/>
      <c r="AO60" s="1" t="s">
        <v>1071</v>
      </c>
      <c r="AP60" s="1"/>
      <c r="AQ60" s="1"/>
      <c r="AR60" s="2"/>
      <c r="AS60" s="1"/>
      <c r="AT60" s="1"/>
      <c r="AU60" s="1"/>
      <c r="AV60" s="1" t="s">
        <v>1941</v>
      </c>
      <c r="AW60" s="7">
        <v>44148.365369722502</v>
      </c>
      <c r="AX60" s="1" t="s">
        <v>363</v>
      </c>
      <c r="AY60" s="6">
        <v>1157</v>
      </c>
      <c r="AZ60" s="1"/>
      <c r="BA60" s="5">
        <v>44196</v>
      </c>
      <c r="BB60" s="7">
        <v>44196</v>
      </c>
      <c r="BC60" s="1" t="s">
        <v>1997</v>
      </c>
      <c r="BD60" s="1"/>
      <c r="BE60" s="1"/>
      <c r="BF60" s="1" t="s">
        <v>118</v>
      </c>
    </row>
    <row r="61" spans="1:58">
      <c r="A61" s="4">
        <v>56</v>
      </c>
      <c r="B61" s="2" t="str">
        <f>HYPERLINK("https://my.zakupki.prom.ua/remote/dispatcher/state_purchase_view/20971813", "UA-2020-11-11-006316-a")</f>
        <v>UA-2020-11-11-006316-a</v>
      </c>
      <c r="C61" s="2" t="s">
        <v>1459</v>
      </c>
      <c r="D61" s="1" t="s">
        <v>1993</v>
      </c>
      <c r="E61" s="1" t="s">
        <v>1993</v>
      </c>
      <c r="F61" s="1" t="s">
        <v>1093</v>
      </c>
      <c r="G61" s="1" t="s">
        <v>1513</v>
      </c>
      <c r="H61" s="1" t="s">
        <v>1800</v>
      </c>
      <c r="I61" s="1" t="s">
        <v>1379</v>
      </c>
      <c r="J61" s="1" t="s">
        <v>819</v>
      </c>
      <c r="K61" s="1" t="s">
        <v>1287</v>
      </c>
      <c r="L61" s="1" t="s">
        <v>1216</v>
      </c>
      <c r="M61" s="1" t="s">
        <v>119</v>
      </c>
      <c r="N61" s="1" t="s">
        <v>119</v>
      </c>
      <c r="O61" s="1" t="s">
        <v>119</v>
      </c>
      <c r="P61" s="5">
        <v>44146</v>
      </c>
      <c r="Q61" s="1"/>
      <c r="R61" s="1"/>
      <c r="S61" s="1"/>
      <c r="T61" s="1"/>
      <c r="U61" s="1" t="s">
        <v>1922</v>
      </c>
      <c r="V61" s="4">
        <v>1</v>
      </c>
      <c r="W61" s="6">
        <v>285000</v>
      </c>
      <c r="X61" s="1" t="s">
        <v>1459</v>
      </c>
      <c r="Y61" s="4">
        <v>1</v>
      </c>
      <c r="Z61" s="6">
        <v>285000</v>
      </c>
      <c r="AA61" s="1" t="s">
        <v>1976</v>
      </c>
      <c r="AB61" s="1" t="s">
        <v>1964</v>
      </c>
      <c r="AC61" s="1" t="s">
        <v>1124</v>
      </c>
      <c r="AD61" s="1" t="s">
        <v>1463</v>
      </c>
      <c r="AE61" s="1" t="s">
        <v>1286</v>
      </c>
      <c r="AF61" s="1" t="s">
        <v>1463</v>
      </c>
      <c r="AG61" s="6">
        <v>285000</v>
      </c>
      <c r="AH61" s="6">
        <v>285000</v>
      </c>
      <c r="AI61" s="1"/>
      <c r="AJ61" s="1"/>
      <c r="AK61" s="1"/>
      <c r="AL61" s="1" t="s">
        <v>1382</v>
      </c>
      <c r="AM61" s="1" t="s">
        <v>143</v>
      </c>
      <c r="AN61" s="1"/>
      <c r="AO61" s="1" t="s">
        <v>36</v>
      </c>
      <c r="AP61" s="1"/>
      <c r="AQ61" s="1"/>
      <c r="AR61" s="2"/>
      <c r="AS61" s="1"/>
      <c r="AT61" s="5">
        <v>44157</v>
      </c>
      <c r="AU61" s="5">
        <v>44182</v>
      </c>
      <c r="AV61" s="1" t="s">
        <v>1941</v>
      </c>
      <c r="AW61" s="7">
        <v>44158.577521314292</v>
      </c>
      <c r="AX61" s="1" t="s">
        <v>1095</v>
      </c>
      <c r="AY61" s="6">
        <v>285000</v>
      </c>
      <c r="AZ61" s="1"/>
      <c r="BA61" s="5">
        <v>44196</v>
      </c>
      <c r="BB61" s="7">
        <v>44196</v>
      </c>
      <c r="BC61" s="1" t="s">
        <v>1997</v>
      </c>
      <c r="BD61" s="1"/>
      <c r="BE61" s="1"/>
      <c r="BF61" s="1" t="s">
        <v>118</v>
      </c>
    </row>
    <row r="62" spans="1:58">
      <c r="A62" s="4">
        <v>57</v>
      </c>
      <c r="B62" s="2" t="str">
        <f>HYPERLINK("https://my.zakupki.prom.ua/remote/dispatcher/state_purchase_view/19113086", "UA-2020-09-09-000406-b")</f>
        <v>UA-2020-09-09-000406-b</v>
      </c>
      <c r="C62" s="2" t="s">
        <v>1459</v>
      </c>
      <c r="D62" s="1" t="s">
        <v>708</v>
      </c>
      <c r="E62" s="1" t="s">
        <v>1959</v>
      </c>
      <c r="F62" s="1" t="s">
        <v>708</v>
      </c>
      <c r="G62" s="1" t="s">
        <v>1364</v>
      </c>
      <c r="H62" s="1" t="s">
        <v>1800</v>
      </c>
      <c r="I62" s="1" t="s">
        <v>1379</v>
      </c>
      <c r="J62" s="1" t="s">
        <v>819</v>
      </c>
      <c r="K62" s="1" t="s">
        <v>1287</v>
      </c>
      <c r="L62" s="1" t="s">
        <v>1216</v>
      </c>
      <c r="M62" s="1" t="s">
        <v>119</v>
      </c>
      <c r="N62" s="1" t="s">
        <v>119</v>
      </c>
      <c r="O62" s="1" t="s">
        <v>119</v>
      </c>
      <c r="P62" s="5">
        <v>44083</v>
      </c>
      <c r="Q62" s="1"/>
      <c r="R62" s="1"/>
      <c r="S62" s="1"/>
      <c r="T62" s="1"/>
      <c r="U62" s="1" t="s">
        <v>1922</v>
      </c>
      <c r="V62" s="4">
        <v>1</v>
      </c>
      <c r="W62" s="6">
        <v>168180</v>
      </c>
      <c r="X62" s="1" t="s">
        <v>1459</v>
      </c>
      <c r="Y62" s="4">
        <v>12660</v>
      </c>
      <c r="Z62" s="6">
        <v>13.28</v>
      </c>
      <c r="AA62" s="1" t="s">
        <v>2024</v>
      </c>
      <c r="AB62" s="1" t="s">
        <v>1964</v>
      </c>
      <c r="AC62" s="1" t="s">
        <v>1124</v>
      </c>
      <c r="AD62" s="1" t="s">
        <v>1463</v>
      </c>
      <c r="AE62" s="1" t="s">
        <v>1286</v>
      </c>
      <c r="AF62" s="1" t="s">
        <v>1463</v>
      </c>
      <c r="AG62" s="6">
        <v>168180</v>
      </c>
      <c r="AH62" s="6">
        <v>13.28436018957346</v>
      </c>
      <c r="AI62" s="1"/>
      <c r="AJ62" s="1"/>
      <c r="AK62" s="1"/>
      <c r="AL62" s="1" t="s">
        <v>1500</v>
      </c>
      <c r="AM62" s="1" t="s">
        <v>934</v>
      </c>
      <c r="AN62" s="1"/>
      <c r="AO62" s="1" t="s">
        <v>177</v>
      </c>
      <c r="AP62" s="1"/>
      <c r="AQ62" s="1"/>
      <c r="AR62" s="2"/>
      <c r="AS62" s="1"/>
      <c r="AT62" s="1"/>
      <c r="AU62" s="1"/>
      <c r="AV62" s="1" t="s">
        <v>1941</v>
      </c>
      <c r="AW62" s="7">
        <v>44083.388689075924</v>
      </c>
      <c r="AX62" s="1" t="s">
        <v>277</v>
      </c>
      <c r="AY62" s="6">
        <v>168180</v>
      </c>
      <c r="AZ62" s="1"/>
      <c r="BA62" s="5">
        <v>44196</v>
      </c>
      <c r="BB62" s="7">
        <v>44196</v>
      </c>
      <c r="BC62" s="1" t="s">
        <v>1997</v>
      </c>
      <c r="BD62" s="1"/>
      <c r="BE62" s="1"/>
      <c r="BF62" s="1" t="s">
        <v>118</v>
      </c>
    </row>
    <row r="63" spans="1:58">
      <c r="A63" s="4">
        <v>58</v>
      </c>
      <c r="B63" s="2" t="str">
        <f>HYPERLINK("https://my.zakupki.prom.ua/remote/dispatcher/state_purchase_view/19037913", "UA-2020-09-07-000061-b")</f>
        <v>UA-2020-09-07-000061-b</v>
      </c>
      <c r="C63" s="2" t="s">
        <v>1459</v>
      </c>
      <c r="D63" s="1" t="s">
        <v>1994</v>
      </c>
      <c r="E63" s="1" t="s">
        <v>1994</v>
      </c>
      <c r="F63" s="1" t="s">
        <v>1078</v>
      </c>
      <c r="G63" s="1" t="s">
        <v>1364</v>
      </c>
      <c r="H63" s="1" t="s">
        <v>1800</v>
      </c>
      <c r="I63" s="1" t="s">
        <v>1379</v>
      </c>
      <c r="J63" s="1" t="s">
        <v>819</v>
      </c>
      <c r="K63" s="1" t="s">
        <v>1287</v>
      </c>
      <c r="L63" s="1" t="s">
        <v>1216</v>
      </c>
      <c r="M63" s="1" t="s">
        <v>119</v>
      </c>
      <c r="N63" s="1" t="s">
        <v>119</v>
      </c>
      <c r="O63" s="1" t="s">
        <v>119</v>
      </c>
      <c r="P63" s="5">
        <v>44081</v>
      </c>
      <c r="Q63" s="1"/>
      <c r="R63" s="1"/>
      <c r="S63" s="1"/>
      <c r="T63" s="1"/>
      <c r="U63" s="1" t="s">
        <v>1922</v>
      </c>
      <c r="V63" s="4">
        <v>1</v>
      </c>
      <c r="W63" s="6">
        <v>2000</v>
      </c>
      <c r="X63" s="1" t="s">
        <v>1459</v>
      </c>
      <c r="Y63" s="4">
        <v>1</v>
      </c>
      <c r="Z63" s="6">
        <v>2000</v>
      </c>
      <c r="AA63" s="1" t="s">
        <v>1976</v>
      </c>
      <c r="AB63" s="1" t="s">
        <v>1964</v>
      </c>
      <c r="AC63" s="1" t="s">
        <v>1124</v>
      </c>
      <c r="AD63" s="1" t="s">
        <v>1463</v>
      </c>
      <c r="AE63" s="1" t="s">
        <v>1286</v>
      </c>
      <c r="AF63" s="1" t="s">
        <v>1463</v>
      </c>
      <c r="AG63" s="6">
        <v>2000</v>
      </c>
      <c r="AH63" s="6">
        <v>2000</v>
      </c>
      <c r="AI63" s="1"/>
      <c r="AJ63" s="1"/>
      <c r="AK63" s="1"/>
      <c r="AL63" s="1" t="s">
        <v>1501</v>
      </c>
      <c r="AM63" s="1" t="s">
        <v>657</v>
      </c>
      <c r="AN63" s="1"/>
      <c r="AO63" s="1" t="s">
        <v>190</v>
      </c>
      <c r="AP63" s="1"/>
      <c r="AQ63" s="1"/>
      <c r="AR63" s="2"/>
      <c r="AS63" s="1"/>
      <c r="AT63" s="1"/>
      <c r="AU63" s="1"/>
      <c r="AV63" s="1" t="s">
        <v>1941</v>
      </c>
      <c r="AW63" s="7">
        <v>44081.41007608646</v>
      </c>
      <c r="AX63" s="1" t="s">
        <v>701</v>
      </c>
      <c r="AY63" s="6">
        <v>2000</v>
      </c>
      <c r="AZ63" s="1"/>
      <c r="BA63" s="5">
        <v>44196</v>
      </c>
      <c r="BB63" s="7">
        <v>44196</v>
      </c>
      <c r="BC63" s="1" t="s">
        <v>1997</v>
      </c>
      <c r="BD63" s="1"/>
      <c r="BE63" s="1"/>
      <c r="BF63" s="1" t="s">
        <v>118</v>
      </c>
    </row>
    <row r="64" spans="1:58">
      <c r="A64" s="4">
        <v>59</v>
      </c>
      <c r="B64" s="2" t="str">
        <f>HYPERLINK("https://my.zakupki.prom.ua/remote/dispatcher/state_purchase_view/16866993", "UA-2020-05-26-004439-b")</f>
        <v>UA-2020-05-26-004439-b</v>
      </c>
      <c r="C64" s="2" t="s">
        <v>1459</v>
      </c>
      <c r="D64" s="1" t="s">
        <v>858</v>
      </c>
      <c r="E64" s="1" t="s">
        <v>1338</v>
      </c>
      <c r="F64" s="1" t="s">
        <v>857</v>
      </c>
      <c r="G64" s="1" t="s">
        <v>1280</v>
      </c>
      <c r="H64" s="1" t="s">
        <v>1800</v>
      </c>
      <c r="I64" s="1" t="s">
        <v>1379</v>
      </c>
      <c r="J64" s="1" t="s">
        <v>819</v>
      </c>
      <c r="K64" s="1" t="s">
        <v>1287</v>
      </c>
      <c r="L64" s="1" t="s">
        <v>1216</v>
      </c>
      <c r="M64" s="1" t="s">
        <v>316</v>
      </c>
      <c r="N64" s="1" t="s">
        <v>119</v>
      </c>
      <c r="O64" s="1" t="s">
        <v>119</v>
      </c>
      <c r="P64" s="5">
        <v>43977</v>
      </c>
      <c r="Q64" s="5">
        <v>43977</v>
      </c>
      <c r="R64" s="5">
        <v>43984</v>
      </c>
      <c r="S64" s="5">
        <v>43977</v>
      </c>
      <c r="T64" s="5">
        <v>43994</v>
      </c>
      <c r="U64" s="7">
        <v>43997.526701388888</v>
      </c>
      <c r="V64" s="4">
        <v>5</v>
      </c>
      <c r="W64" s="6">
        <v>200000</v>
      </c>
      <c r="X64" s="1" t="s">
        <v>1459</v>
      </c>
      <c r="Y64" s="1" t="s">
        <v>1956</v>
      </c>
      <c r="Z64" s="1" t="s">
        <v>1956</v>
      </c>
      <c r="AA64" s="1" t="s">
        <v>1956</v>
      </c>
      <c r="AB64" s="6">
        <v>1000</v>
      </c>
      <c r="AC64" s="1" t="s">
        <v>1124</v>
      </c>
      <c r="AD64" s="1" t="s">
        <v>1800</v>
      </c>
      <c r="AE64" s="1" t="s">
        <v>1286</v>
      </c>
      <c r="AF64" s="1" t="s">
        <v>1463</v>
      </c>
      <c r="AG64" s="6">
        <v>130980</v>
      </c>
      <c r="AH64" s="1" t="s">
        <v>1956</v>
      </c>
      <c r="AI64" s="1" t="s">
        <v>1772</v>
      </c>
      <c r="AJ64" s="6">
        <v>69020</v>
      </c>
      <c r="AK64" s="6">
        <v>0.34510000000000002</v>
      </c>
      <c r="AL64" s="1" t="s">
        <v>1772</v>
      </c>
      <c r="AM64" s="1" t="s">
        <v>945</v>
      </c>
      <c r="AN64" s="1" t="s">
        <v>1171</v>
      </c>
      <c r="AO64" s="1" t="s">
        <v>109</v>
      </c>
      <c r="AP64" s="6">
        <v>69020</v>
      </c>
      <c r="AQ64" s="6">
        <v>0.34510000000000002</v>
      </c>
      <c r="AR64" s="2" t="str">
        <f>HYPERLINK("https://auction.openprocurement.org/tenders/915949f56453448dbb6e41d4e10be6c8")</f>
        <v>https://auction.openprocurement.org/tenders/915949f56453448dbb6e41d4e10be6c8</v>
      </c>
      <c r="AS64" s="7">
        <v>44000.434550221275</v>
      </c>
      <c r="AT64" s="5">
        <v>44011</v>
      </c>
      <c r="AU64" s="5">
        <v>44021</v>
      </c>
      <c r="AV64" s="1" t="s">
        <v>1941</v>
      </c>
      <c r="AW64" s="7">
        <v>44035.602694188718</v>
      </c>
      <c r="AX64" s="1" t="s">
        <v>471</v>
      </c>
      <c r="AY64" s="6">
        <v>130980</v>
      </c>
      <c r="AZ64" s="1"/>
      <c r="BA64" s="5">
        <v>44043</v>
      </c>
      <c r="BB64" s="7">
        <v>44196</v>
      </c>
      <c r="BC64" s="1" t="s">
        <v>1997</v>
      </c>
      <c r="BD64" s="1"/>
      <c r="BE64" s="1"/>
      <c r="BF64" s="1" t="s">
        <v>946</v>
      </c>
    </row>
    <row r="65" spans="1:58">
      <c r="A65" s="4">
        <v>60</v>
      </c>
      <c r="B65" s="2" t="str">
        <f>HYPERLINK("https://my.zakupki.prom.ua/remote/dispatcher/state_purchase_view/17705742", "UA-2020-07-07-002576-c")</f>
        <v>UA-2020-07-07-002576-c</v>
      </c>
      <c r="C65" s="2" t="s">
        <v>1459</v>
      </c>
      <c r="D65" s="1" t="s">
        <v>1</v>
      </c>
      <c r="E65" s="1" t="s">
        <v>1</v>
      </c>
      <c r="F65" s="1" t="s">
        <v>1020</v>
      </c>
      <c r="G65" s="1" t="s">
        <v>1364</v>
      </c>
      <c r="H65" s="1" t="s">
        <v>1800</v>
      </c>
      <c r="I65" s="1" t="s">
        <v>1379</v>
      </c>
      <c r="J65" s="1" t="s">
        <v>819</v>
      </c>
      <c r="K65" s="1" t="s">
        <v>1287</v>
      </c>
      <c r="L65" s="1" t="s">
        <v>1216</v>
      </c>
      <c r="M65" s="1" t="s">
        <v>119</v>
      </c>
      <c r="N65" s="1" t="s">
        <v>119</v>
      </c>
      <c r="O65" s="1" t="s">
        <v>119</v>
      </c>
      <c r="P65" s="5">
        <v>44019</v>
      </c>
      <c r="Q65" s="1"/>
      <c r="R65" s="1"/>
      <c r="S65" s="1"/>
      <c r="T65" s="1"/>
      <c r="U65" s="1" t="s">
        <v>1922</v>
      </c>
      <c r="V65" s="4">
        <v>1</v>
      </c>
      <c r="W65" s="6">
        <v>350</v>
      </c>
      <c r="X65" s="1" t="s">
        <v>1459</v>
      </c>
      <c r="Y65" s="4">
        <v>1</v>
      </c>
      <c r="Z65" s="6">
        <v>350</v>
      </c>
      <c r="AA65" s="1" t="s">
        <v>1976</v>
      </c>
      <c r="AB65" s="1" t="s">
        <v>1964</v>
      </c>
      <c r="AC65" s="1" t="s">
        <v>1124</v>
      </c>
      <c r="AD65" s="1" t="s">
        <v>1800</v>
      </c>
      <c r="AE65" s="1" t="s">
        <v>1286</v>
      </c>
      <c r="AF65" s="1" t="s">
        <v>1463</v>
      </c>
      <c r="AG65" s="6">
        <v>350</v>
      </c>
      <c r="AH65" s="6">
        <v>350</v>
      </c>
      <c r="AI65" s="1"/>
      <c r="AJ65" s="1"/>
      <c r="AK65" s="1"/>
      <c r="AL65" s="1" t="s">
        <v>1771</v>
      </c>
      <c r="AM65" s="1" t="s">
        <v>808</v>
      </c>
      <c r="AN65" s="1"/>
      <c r="AO65" s="1" t="s">
        <v>215</v>
      </c>
      <c r="AP65" s="1"/>
      <c r="AQ65" s="1"/>
      <c r="AR65" s="2"/>
      <c r="AS65" s="1"/>
      <c r="AT65" s="1"/>
      <c r="AU65" s="1"/>
      <c r="AV65" s="1" t="s">
        <v>1941</v>
      </c>
      <c r="AW65" s="7">
        <v>44019.607375185464</v>
      </c>
      <c r="AX65" s="1" t="s">
        <v>265</v>
      </c>
      <c r="AY65" s="6">
        <v>350</v>
      </c>
      <c r="AZ65" s="5">
        <v>44019</v>
      </c>
      <c r="BA65" s="5">
        <v>44033</v>
      </c>
      <c r="BB65" s="7">
        <v>44135</v>
      </c>
      <c r="BC65" s="1" t="s">
        <v>1997</v>
      </c>
      <c r="BD65" s="1"/>
      <c r="BE65" s="1"/>
      <c r="BF65" s="1" t="s">
        <v>118</v>
      </c>
    </row>
    <row r="66" spans="1:58">
      <c r="A66" s="4">
        <v>61</v>
      </c>
      <c r="B66" s="2" t="str">
        <f>HYPERLINK("https://my.zakupki.prom.ua/remote/dispatcher/state_purchase_view/15905999", "UA-2020-03-23-001681-b")</f>
        <v>UA-2020-03-23-001681-b</v>
      </c>
      <c r="C66" s="2" t="s">
        <v>1459</v>
      </c>
      <c r="D66" s="1" t="s">
        <v>1396</v>
      </c>
      <c r="E66" s="1" t="s">
        <v>1397</v>
      </c>
      <c r="F66" s="1" t="s">
        <v>998</v>
      </c>
      <c r="G66" s="1" t="s">
        <v>1364</v>
      </c>
      <c r="H66" s="1" t="s">
        <v>1800</v>
      </c>
      <c r="I66" s="1" t="s">
        <v>1379</v>
      </c>
      <c r="J66" s="1" t="s">
        <v>819</v>
      </c>
      <c r="K66" s="1" t="s">
        <v>1287</v>
      </c>
      <c r="L66" s="1" t="s">
        <v>1216</v>
      </c>
      <c r="M66" s="1" t="s">
        <v>119</v>
      </c>
      <c r="N66" s="1" t="s">
        <v>119</v>
      </c>
      <c r="O66" s="1" t="s">
        <v>119</v>
      </c>
      <c r="P66" s="5">
        <v>43913</v>
      </c>
      <c r="Q66" s="1"/>
      <c r="R66" s="1"/>
      <c r="S66" s="1"/>
      <c r="T66" s="1"/>
      <c r="U66" s="1" t="s">
        <v>1922</v>
      </c>
      <c r="V66" s="4">
        <v>1</v>
      </c>
      <c r="W66" s="6">
        <v>549.6</v>
      </c>
      <c r="X66" s="1" t="s">
        <v>1459</v>
      </c>
      <c r="Y66" s="4">
        <v>1</v>
      </c>
      <c r="Z66" s="6">
        <v>549.6</v>
      </c>
      <c r="AA66" s="1" t="s">
        <v>2024</v>
      </c>
      <c r="AB66" s="1" t="s">
        <v>1964</v>
      </c>
      <c r="AC66" s="1" t="s">
        <v>1124</v>
      </c>
      <c r="AD66" s="1" t="s">
        <v>1800</v>
      </c>
      <c r="AE66" s="1" t="s">
        <v>1286</v>
      </c>
      <c r="AF66" s="1" t="s">
        <v>1463</v>
      </c>
      <c r="AG66" s="6">
        <v>549.6</v>
      </c>
      <c r="AH66" s="6">
        <v>549.6</v>
      </c>
      <c r="AI66" s="1"/>
      <c r="AJ66" s="1"/>
      <c r="AK66" s="1"/>
      <c r="AL66" s="1" t="s">
        <v>1362</v>
      </c>
      <c r="AM66" s="1" t="s">
        <v>555</v>
      </c>
      <c r="AN66" s="1"/>
      <c r="AO66" s="1" t="s">
        <v>302</v>
      </c>
      <c r="AP66" s="1"/>
      <c r="AQ66" s="1"/>
      <c r="AR66" s="2"/>
      <c r="AS66" s="1"/>
      <c r="AT66" s="1"/>
      <c r="AU66" s="1"/>
      <c r="AV66" s="1" t="s">
        <v>1941</v>
      </c>
      <c r="AW66" s="7">
        <v>43913.517230078774</v>
      </c>
      <c r="AX66" s="1" t="s">
        <v>155</v>
      </c>
      <c r="AY66" s="6">
        <v>549.6</v>
      </c>
      <c r="AZ66" s="1"/>
      <c r="BA66" s="5">
        <v>44196</v>
      </c>
      <c r="BB66" s="7">
        <v>44196</v>
      </c>
      <c r="BC66" s="1" t="s">
        <v>1997</v>
      </c>
      <c r="BD66" s="1"/>
      <c r="BE66" s="1"/>
      <c r="BF66" s="1" t="s">
        <v>118</v>
      </c>
    </row>
    <row r="67" spans="1:58">
      <c r="A67" s="4">
        <v>62</v>
      </c>
      <c r="B67" s="2" t="str">
        <f>HYPERLINK("https://my.zakupki.prom.ua/remote/dispatcher/state_purchase_view/22966882", "UA-2021-01-15-000254-a")</f>
        <v>UA-2021-01-15-000254-a</v>
      </c>
      <c r="C67" s="2" t="s">
        <v>1459</v>
      </c>
      <c r="D67" s="1" t="s">
        <v>1589</v>
      </c>
      <c r="E67" s="1" t="s">
        <v>1589</v>
      </c>
      <c r="F67" s="1" t="s">
        <v>1047</v>
      </c>
      <c r="G67" s="1" t="s">
        <v>1364</v>
      </c>
      <c r="H67" s="1" t="s">
        <v>1800</v>
      </c>
      <c r="I67" s="1" t="s">
        <v>1379</v>
      </c>
      <c r="J67" s="1" t="s">
        <v>819</v>
      </c>
      <c r="K67" s="1" t="s">
        <v>1287</v>
      </c>
      <c r="L67" s="1" t="s">
        <v>1216</v>
      </c>
      <c r="M67" s="1" t="s">
        <v>119</v>
      </c>
      <c r="N67" s="1" t="s">
        <v>119</v>
      </c>
      <c r="O67" s="1" t="s">
        <v>119</v>
      </c>
      <c r="P67" s="5">
        <v>44211</v>
      </c>
      <c r="Q67" s="1"/>
      <c r="R67" s="1"/>
      <c r="S67" s="1"/>
      <c r="T67" s="1"/>
      <c r="U67" s="1" t="s">
        <v>1922</v>
      </c>
      <c r="V67" s="4">
        <v>1</v>
      </c>
      <c r="W67" s="6">
        <v>25488</v>
      </c>
      <c r="X67" s="1" t="s">
        <v>1459</v>
      </c>
      <c r="Y67" s="4">
        <v>1</v>
      </c>
      <c r="Z67" s="6">
        <v>25488</v>
      </c>
      <c r="AA67" s="1" t="s">
        <v>1976</v>
      </c>
      <c r="AB67" s="1" t="s">
        <v>1964</v>
      </c>
      <c r="AC67" s="1" t="s">
        <v>1124</v>
      </c>
      <c r="AD67" s="1" t="s">
        <v>1800</v>
      </c>
      <c r="AE67" s="1" t="s">
        <v>1286</v>
      </c>
      <c r="AF67" s="1" t="s">
        <v>1463</v>
      </c>
      <c r="AG67" s="6">
        <v>25488</v>
      </c>
      <c r="AH67" s="6">
        <v>25488</v>
      </c>
      <c r="AI67" s="1"/>
      <c r="AJ67" s="1"/>
      <c r="AK67" s="1"/>
      <c r="AL67" s="1" t="s">
        <v>1781</v>
      </c>
      <c r="AM67" s="1" t="s">
        <v>957</v>
      </c>
      <c r="AN67" s="1"/>
      <c r="AO67" s="1" t="s">
        <v>258</v>
      </c>
      <c r="AP67" s="1"/>
      <c r="AQ67" s="1"/>
      <c r="AR67" s="2"/>
      <c r="AS67" s="1"/>
      <c r="AT67" s="1"/>
      <c r="AU67" s="1"/>
      <c r="AV67" s="1" t="s">
        <v>1941</v>
      </c>
      <c r="AW67" s="7">
        <v>44211.363553748764</v>
      </c>
      <c r="AX67" s="1" t="s">
        <v>1655</v>
      </c>
      <c r="AY67" s="6">
        <v>25488</v>
      </c>
      <c r="AZ67" s="1"/>
      <c r="BA67" s="5">
        <v>44227</v>
      </c>
      <c r="BB67" s="7">
        <v>44561</v>
      </c>
      <c r="BC67" s="1" t="s">
        <v>1997</v>
      </c>
      <c r="BD67" s="1"/>
      <c r="BE67" s="1"/>
      <c r="BF67" s="1" t="s">
        <v>118</v>
      </c>
    </row>
    <row r="68" spans="1:58">
      <c r="A68" s="4">
        <v>63</v>
      </c>
      <c r="B68" s="2" t="str">
        <f>HYPERLINK("https://my.zakupki.prom.ua/remote/dispatcher/state_purchase_view/23001005", "UA-2021-01-16-002364-a")</f>
        <v>UA-2021-01-16-002364-a</v>
      </c>
      <c r="C68" s="2" t="s">
        <v>1459</v>
      </c>
      <c r="D68" s="1" t="s">
        <v>1539</v>
      </c>
      <c r="E68" s="1" t="s">
        <v>1539</v>
      </c>
      <c r="F68" s="1" t="s">
        <v>1080</v>
      </c>
      <c r="G68" s="1" t="s">
        <v>1364</v>
      </c>
      <c r="H68" s="1" t="s">
        <v>1800</v>
      </c>
      <c r="I68" s="1" t="s">
        <v>1379</v>
      </c>
      <c r="J68" s="1" t="s">
        <v>819</v>
      </c>
      <c r="K68" s="1" t="s">
        <v>1287</v>
      </c>
      <c r="L68" s="1" t="s">
        <v>1216</v>
      </c>
      <c r="M68" s="1" t="s">
        <v>119</v>
      </c>
      <c r="N68" s="1" t="s">
        <v>119</v>
      </c>
      <c r="O68" s="1" t="s">
        <v>119</v>
      </c>
      <c r="P68" s="5">
        <v>44212</v>
      </c>
      <c r="Q68" s="1"/>
      <c r="R68" s="1"/>
      <c r="S68" s="1"/>
      <c r="T68" s="1"/>
      <c r="U68" s="1" t="s">
        <v>1922</v>
      </c>
      <c r="V68" s="4">
        <v>1</v>
      </c>
      <c r="W68" s="6">
        <v>3960</v>
      </c>
      <c r="X68" s="1" t="s">
        <v>1459</v>
      </c>
      <c r="Y68" s="4">
        <v>1</v>
      </c>
      <c r="Z68" s="6">
        <v>3960</v>
      </c>
      <c r="AA68" s="1" t="s">
        <v>1976</v>
      </c>
      <c r="AB68" s="1" t="s">
        <v>1964</v>
      </c>
      <c r="AC68" s="1" t="s">
        <v>1124</v>
      </c>
      <c r="AD68" s="1" t="s">
        <v>1800</v>
      </c>
      <c r="AE68" s="1" t="s">
        <v>1286</v>
      </c>
      <c r="AF68" s="1" t="s">
        <v>1463</v>
      </c>
      <c r="AG68" s="6">
        <v>3960</v>
      </c>
      <c r="AH68" s="6">
        <v>3960</v>
      </c>
      <c r="AI68" s="1"/>
      <c r="AJ68" s="1"/>
      <c r="AK68" s="1"/>
      <c r="AL68" s="1" t="s">
        <v>1778</v>
      </c>
      <c r="AM68" s="1" t="s">
        <v>792</v>
      </c>
      <c r="AN68" s="1"/>
      <c r="AO68" s="1" t="s">
        <v>207</v>
      </c>
      <c r="AP68" s="1"/>
      <c r="AQ68" s="1"/>
      <c r="AR68" s="2"/>
      <c r="AS68" s="1"/>
      <c r="AT68" s="1"/>
      <c r="AU68" s="1"/>
      <c r="AV68" s="1" t="s">
        <v>1941</v>
      </c>
      <c r="AW68" s="7">
        <v>44212.545559053862</v>
      </c>
      <c r="AX68" s="1" t="s">
        <v>1388</v>
      </c>
      <c r="AY68" s="6">
        <v>3960</v>
      </c>
      <c r="AZ68" s="1"/>
      <c r="BA68" s="5">
        <v>44561</v>
      </c>
      <c r="BB68" s="7">
        <v>44561</v>
      </c>
      <c r="BC68" s="1" t="s">
        <v>1997</v>
      </c>
      <c r="BD68" s="1"/>
      <c r="BE68" s="1"/>
      <c r="BF68" s="1" t="s">
        <v>118</v>
      </c>
    </row>
    <row r="69" spans="1:58">
      <c r="A69" s="4">
        <v>64</v>
      </c>
      <c r="B69" s="2" t="str">
        <f>HYPERLINK("https://my.zakupki.prom.ua/remote/dispatcher/state_purchase_view/20294463", "UA-2020-10-21-000830-a")</f>
        <v>UA-2020-10-21-000830-a</v>
      </c>
      <c r="C69" s="2" t="s">
        <v>1459</v>
      </c>
      <c r="D69" s="1" t="s">
        <v>1535</v>
      </c>
      <c r="E69" s="1" t="s">
        <v>1535</v>
      </c>
      <c r="F69" s="1" t="s">
        <v>1086</v>
      </c>
      <c r="G69" s="1" t="s">
        <v>1364</v>
      </c>
      <c r="H69" s="1" t="s">
        <v>1800</v>
      </c>
      <c r="I69" s="1" t="s">
        <v>1379</v>
      </c>
      <c r="J69" s="1" t="s">
        <v>819</v>
      </c>
      <c r="K69" s="1" t="s">
        <v>1287</v>
      </c>
      <c r="L69" s="1" t="s">
        <v>1216</v>
      </c>
      <c r="M69" s="1" t="s">
        <v>119</v>
      </c>
      <c r="N69" s="1" t="s">
        <v>119</v>
      </c>
      <c r="O69" s="1" t="s">
        <v>119</v>
      </c>
      <c r="P69" s="5">
        <v>44125</v>
      </c>
      <c r="Q69" s="1"/>
      <c r="R69" s="1"/>
      <c r="S69" s="1"/>
      <c r="T69" s="1"/>
      <c r="U69" s="1" t="s">
        <v>1922</v>
      </c>
      <c r="V69" s="4">
        <v>1</v>
      </c>
      <c r="W69" s="6">
        <v>912</v>
      </c>
      <c r="X69" s="1" t="s">
        <v>1459</v>
      </c>
      <c r="Y69" s="4">
        <v>1</v>
      </c>
      <c r="Z69" s="6">
        <v>912</v>
      </c>
      <c r="AA69" s="1" t="s">
        <v>1976</v>
      </c>
      <c r="AB69" s="1" t="s">
        <v>1964</v>
      </c>
      <c r="AC69" s="1" t="s">
        <v>1124</v>
      </c>
      <c r="AD69" s="1" t="s">
        <v>1800</v>
      </c>
      <c r="AE69" s="1" t="s">
        <v>1286</v>
      </c>
      <c r="AF69" s="1" t="s">
        <v>1463</v>
      </c>
      <c r="AG69" s="6">
        <v>912</v>
      </c>
      <c r="AH69" s="6">
        <v>912</v>
      </c>
      <c r="AI69" s="1"/>
      <c r="AJ69" s="1"/>
      <c r="AK69" s="1"/>
      <c r="AL69" s="1" t="s">
        <v>1381</v>
      </c>
      <c r="AM69" s="1" t="s">
        <v>157</v>
      </c>
      <c r="AN69" s="1"/>
      <c r="AO69" s="1" t="s">
        <v>181</v>
      </c>
      <c r="AP69" s="1"/>
      <c r="AQ69" s="1"/>
      <c r="AR69" s="2"/>
      <c r="AS69" s="1"/>
      <c r="AT69" s="1"/>
      <c r="AU69" s="1"/>
      <c r="AV69" s="1" t="s">
        <v>1941</v>
      </c>
      <c r="AW69" s="7">
        <v>44125.384399256356</v>
      </c>
      <c r="AX69" s="1" t="s">
        <v>1108</v>
      </c>
      <c r="AY69" s="6">
        <v>912</v>
      </c>
      <c r="AZ69" s="1"/>
      <c r="BA69" s="5">
        <v>44196</v>
      </c>
      <c r="BB69" s="7">
        <v>44196</v>
      </c>
      <c r="BC69" s="1" t="s">
        <v>1997</v>
      </c>
      <c r="BD69" s="1"/>
      <c r="BE69" s="1"/>
      <c r="BF69" s="1" t="s">
        <v>118</v>
      </c>
    </row>
    <row r="70" spans="1:58">
      <c r="A70" s="4">
        <v>65</v>
      </c>
      <c r="B70" s="2" t="str">
        <f>HYPERLINK("https://my.zakupki.prom.ua/remote/dispatcher/state_purchase_view/20173326", "UA-2020-10-16-007854-c")</f>
        <v>UA-2020-10-16-007854-c</v>
      </c>
      <c r="C70" s="2" t="s">
        <v>1459</v>
      </c>
      <c r="D70" s="1" t="s">
        <v>1220</v>
      </c>
      <c r="E70" s="1" t="s">
        <v>1220</v>
      </c>
      <c r="F70" s="1" t="s">
        <v>793</v>
      </c>
      <c r="G70" s="1" t="s">
        <v>1346</v>
      </c>
      <c r="H70" s="1" t="s">
        <v>1800</v>
      </c>
      <c r="I70" s="1" t="s">
        <v>1379</v>
      </c>
      <c r="J70" s="1" t="s">
        <v>819</v>
      </c>
      <c r="K70" s="1" t="s">
        <v>1287</v>
      </c>
      <c r="L70" s="1" t="s">
        <v>1216</v>
      </c>
      <c r="M70" s="1" t="s">
        <v>119</v>
      </c>
      <c r="N70" s="1" t="s">
        <v>119</v>
      </c>
      <c r="O70" s="1" t="s">
        <v>119</v>
      </c>
      <c r="P70" s="5">
        <v>44120</v>
      </c>
      <c r="Q70" s="5">
        <v>44120</v>
      </c>
      <c r="R70" s="5">
        <v>44127</v>
      </c>
      <c r="S70" s="5">
        <v>44127</v>
      </c>
      <c r="T70" s="5">
        <v>44133</v>
      </c>
      <c r="U70" s="7">
        <v>44134.57739583333</v>
      </c>
      <c r="V70" s="4">
        <v>3</v>
      </c>
      <c r="W70" s="6">
        <v>30000</v>
      </c>
      <c r="X70" s="1" t="s">
        <v>1459</v>
      </c>
      <c r="Y70" s="4">
        <v>48</v>
      </c>
      <c r="Z70" s="6">
        <v>625</v>
      </c>
      <c r="AA70" s="1" t="s">
        <v>2024</v>
      </c>
      <c r="AB70" s="6">
        <v>300</v>
      </c>
      <c r="AC70" s="1" t="s">
        <v>1124</v>
      </c>
      <c r="AD70" s="1" t="s">
        <v>1800</v>
      </c>
      <c r="AE70" s="1" t="s">
        <v>1286</v>
      </c>
      <c r="AF70" s="1" t="s">
        <v>1463</v>
      </c>
      <c r="AG70" s="6">
        <v>18432</v>
      </c>
      <c r="AH70" s="6">
        <v>384</v>
      </c>
      <c r="AI70" s="1" t="s">
        <v>1837</v>
      </c>
      <c r="AJ70" s="6">
        <v>11568</v>
      </c>
      <c r="AK70" s="6">
        <v>0.3856</v>
      </c>
      <c r="AL70" s="1" t="s">
        <v>1837</v>
      </c>
      <c r="AM70" s="1" t="s">
        <v>481</v>
      </c>
      <c r="AN70" s="1" t="s">
        <v>1117</v>
      </c>
      <c r="AO70" s="1" t="s">
        <v>830</v>
      </c>
      <c r="AP70" s="6">
        <v>11568</v>
      </c>
      <c r="AQ70" s="6">
        <v>0.3856</v>
      </c>
      <c r="AR70" s="2" t="str">
        <f>HYPERLINK("https://auction.openprocurement.org/tenders/4ec23417de4d4997a14f0e76100e75a7")</f>
        <v>https://auction.openprocurement.org/tenders/4ec23417de4d4997a14f0e76100e75a7</v>
      </c>
      <c r="AS70" s="7">
        <v>44137.499518437129</v>
      </c>
      <c r="AT70" s="5">
        <v>44140</v>
      </c>
      <c r="AU70" s="5">
        <v>44157</v>
      </c>
      <c r="AV70" s="1" t="s">
        <v>1941</v>
      </c>
      <c r="AW70" s="7">
        <v>44144.382176320578</v>
      </c>
      <c r="AX70" s="1" t="s">
        <v>232</v>
      </c>
      <c r="AY70" s="6">
        <v>18432</v>
      </c>
      <c r="AZ70" s="1"/>
      <c r="BA70" s="5">
        <v>44196</v>
      </c>
      <c r="BB70" s="7">
        <v>44196</v>
      </c>
      <c r="BC70" s="1" t="s">
        <v>1997</v>
      </c>
      <c r="BD70" s="1"/>
      <c r="BE70" s="1"/>
      <c r="BF70" s="1" t="s">
        <v>482</v>
      </c>
    </row>
    <row r="71" spans="1:58">
      <c r="A71" s="4">
        <v>66</v>
      </c>
      <c r="B71" s="2" t="str">
        <f>HYPERLINK("https://my.zakupki.prom.ua/remote/dispatcher/state_purchase_view/20161780", "UA-2020-10-16-004661-c")</f>
        <v>UA-2020-10-16-004661-c</v>
      </c>
      <c r="C71" s="2" t="s">
        <v>1459</v>
      </c>
      <c r="D71" s="1" t="s">
        <v>1370</v>
      </c>
      <c r="E71" s="1" t="s">
        <v>1370</v>
      </c>
      <c r="F71" s="1" t="s">
        <v>908</v>
      </c>
      <c r="G71" s="1" t="s">
        <v>1346</v>
      </c>
      <c r="H71" s="1" t="s">
        <v>1800</v>
      </c>
      <c r="I71" s="1" t="s">
        <v>1379</v>
      </c>
      <c r="J71" s="1" t="s">
        <v>819</v>
      </c>
      <c r="K71" s="1" t="s">
        <v>1287</v>
      </c>
      <c r="L71" s="1" t="s">
        <v>1216</v>
      </c>
      <c r="M71" s="1" t="s">
        <v>316</v>
      </c>
      <c r="N71" s="1" t="s">
        <v>119</v>
      </c>
      <c r="O71" s="1" t="s">
        <v>119</v>
      </c>
      <c r="P71" s="5">
        <v>44120</v>
      </c>
      <c r="Q71" s="5">
        <v>44120</v>
      </c>
      <c r="R71" s="5">
        <v>44126</v>
      </c>
      <c r="S71" s="5">
        <v>44126</v>
      </c>
      <c r="T71" s="5">
        <v>44131</v>
      </c>
      <c r="U71" s="7">
        <v>44131.586006944446</v>
      </c>
      <c r="V71" s="4">
        <v>3</v>
      </c>
      <c r="W71" s="6">
        <v>5000</v>
      </c>
      <c r="X71" s="1" t="s">
        <v>1459</v>
      </c>
      <c r="Y71" s="4">
        <v>255</v>
      </c>
      <c r="Z71" s="6">
        <v>19.61</v>
      </c>
      <c r="AA71" s="1" t="s">
        <v>2024</v>
      </c>
      <c r="AB71" s="6">
        <v>25</v>
      </c>
      <c r="AC71" s="1" t="s">
        <v>1124</v>
      </c>
      <c r="AD71" s="1" t="s">
        <v>1800</v>
      </c>
      <c r="AE71" s="1" t="s">
        <v>1286</v>
      </c>
      <c r="AF71" s="1" t="s">
        <v>1463</v>
      </c>
      <c r="AG71" s="6">
        <v>3459.6</v>
      </c>
      <c r="AH71" s="6">
        <v>13.567058823529411</v>
      </c>
      <c r="AI71" s="1" t="s">
        <v>1697</v>
      </c>
      <c r="AJ71" s="6">
        <v>1540.4</v>
      </c>
      <c r="AK71" s="6">
        <v>0.30808000000000002</v>
      </c>
      <c r="AL71" s="1" t="s">
        <v>1697</v>
      </c>
      <c r="AM71" s="1" t="s">
        <v>888</v>
      </c>
      <c r="AN71" s="1" t="s">
        <v>1135</v>
      </c>
      <c r="AO71" s="1" t="s">
        <v>48</v>
      </c>
      <c r="AP71" s="6">
        <v>1540.4</v>
      </c>
      <c r="AQ71" s="6">
        <v>0.30808000000000002</v>
      </c>
      <c r="AR71" s="2" t="str">
        <f>HYPERLINK("https://auction.openprocurement.org/tenders/df0cddb9f16147689c868af469860486")</f>
        <v>https://auction.openprocurement.org/tenders/df0cddb9f16147689c868af469860486</v>
      </c>
      <c r="AS71" s="7">
        <v>44132.469268698835</v>
      </c>
      <c r="AT71" s="5">
        <v>44135</v>
      </c>
      <c r="AU71" s="5">
        <v>44156</v>
      </c>
      <c r="AV71" s="1" t="s">
        <v>1941</v>
      </c>
      <c r="AW71" s="7">
        <v>44138.617417508787</v>
      </c>
      <c r="AX71" s="1" t="s">
        <v>151</v>
      </c>
      <c r="AY71" s="6">
        <v>3459.6</v>
      </c>
      <c r="AZ71" s="1"/>
      <c r="BA71" s="5">
        <v>44196</v>
      </c>
      <c r="BB71" s="7">
        <v>44196</v>
      </c>
      <c r="BC71" s="1" t="s">
        <v>1997</v>
      </c>
      <c r="BD71" s="1"/>
      <c r="BE71" s="1"/>
      <c r="BF71" s="1" t="s">
        <v>890</v>
      </c>
    </row>
    <row r="72" spans="1:58">
      <c r="A72" s="4">
        <v>67</v>
      </c>
      <c r="B72" s="2" t="str">
        <f>HYPERLINK("https://my.zakupki.prom.ua/remote/dispatcher/state_purchase_view/19846251", "UA-2020-10-06-001598-a")</f>
        <v>UA-2020-10-06-001598-a</v>
      </c>
      <c r="C72" s="2" t="s">
        <v>1459</v>
      </c>
      <c r="D72" s="1" t="s">
        <v>1424</v>
      </c>
      <c r="E72" s="1" t="s">
        <v>1424</v>
      </c>
      <c r="F72" s="1" t="s">
        <v>632</v>
      </c>
      <c r="G72" s="1" t="s">
        <v>1364</v>
      </c>
      <c r="H72" s="1" t="s">
        <v>1800</v>
      </c>
      <c r="I72" s="1" t="s">
        <v>1379</v>
      </c>
      <c r="J72" s="1" t="s">
        <v>819</v>
      </c>
      <c r="K72" s="1" t="s">
        <v>1287</v>
      </c>
      <c r="L72" s="1" t="s">
        <v>1216</v>
      </c>
      <c r="M72" s="1" t="s">
        <v>119</v>
      </c>
      <c r="N72" s="1" t="s">
        <v>119</v>
      </c>
      <c r="O72" s="1" t="s">
        <v>119</v>
      </c>
      <c r="P72" s="5">
        <v>44110</v>
      </c>
      <c r="Q72" s="1"/>
      <c r="R72" s="1"/>
      <c r="S72" s="1"/>
      <c r="T72" s="1"/>
      <c r="U72" s="1" t="s">
        <v>1922</v>
      </c>
      <c r="V72" s="4">
        <v>1</v>
      </c>
      <c r="W72" s="6">
        <v>2500</v>
      </c>
      <c r="X72" s="1" t="s">
        <v>1459</v>
      </c>
      <c r="Y72" s="4">
        <v>1</v>
      </c>
      <c r="Z72" s="6">
        <v>2500</v>
      </c>
      <c r="AA72" s="1" t="s">
        <v>2024</v>
      </c>
      <c r="AB72" s="1" t="s">
        <v>1964</v>
      </c>
      <c r="AC72" s="1" t="s">
        <v>1124</v>
      </c>
      <c r="AD72" s="1" t="s">
        <v>1463</v>
      </c>
      <c r="AE72" s="1" t="s">
        <v>1286</v>
      </c>
      <c r="AF72" s="1" t="s">
        <v>1463</v>
      </c>
      <c r="AG72" s="6">
        <v>2500</v>
      </c>
      <c r="AH72" s="6">
        <v>2500</v>
      </c>
      <c r="AI72" s="1"/>
      <c r="AJ72" s="1"/>
      <c r="AK72" s="1"/>
      <c r="AL72" s="1" t="s">
        <v>1636</v>
      </c>
      <c r="AM72" s="1" t="s">
        <v>744</v>
      </c>
      <c r="AN72" s="1"/>
      <c r="AO72" s="1" t="s">
        <v>298</v>
      </c>
      <c r="AP72" s="1"/>
      <c r="AQ72" s="1"/>
      <c r="AR72" s="2"/>
      <c r="AS72" s="1"/>
      <c r="AT72" s="1"/>
      <c r="AU72" s="1"/>
      <c r="AV72" s="1" t="s">
        <v>1941</v>
      </c>
      <c r="AW72" s="7">
        <v>44110.424862280415</v>
      </c>
      <c r="AX72" s="1" t="s">
        <v>173</v>
      </c>
      <c r="AY72" s="6">
        <v>2500</v>
      </c>
      <c r="AZ72" s="1"/>
      <c r="BA72" s="5">
        <v>44196</v>
      </c>
      <c r="BB72" s="7">
        <v>44196</v>
      </c>
      <c r="BC72" s="1" t="s">
        <v>1997</v>
      </c>
      <c r="BD72" s="1"/>
      <c r="BE72" s="1"/>
      <c r="BF72" s="1" t="s">
        <v>118</v>
      </c>
    </row>
    <row r="73" spans="1:58">
      <c r="A73" s="4">
        <v>68</v>
      </c>
      <c r="B73" s="2" t="str">
        <f>HYPERLINK("https://my.zakupki.prom.ua/remote/dispatcher/state_purchase_view/14751394", "UA-2020-01-23-001622-a")</f>
        <v>UA-2020-01-23-001622-a</v>
      </c>
      <c r="C73" s="2" t="s">
        <v>1459</v>
      </c>
      <c r="D73" s="1" t="s">
        <v>1235</v>
      </c>
      <c r="E73" s="1" t="s">
        <v>1235</v>
      </c>
      <c r="F73" s="1" t="s">
        <v>953</v>
      </c>
      <c r="G73" s="1" t="s">
        <v>1346</v>
      </c>
      <c r="H73" s="1" t="s">
        <v>1800</v>
      </c>
      <c r="I73" s="1" t="s">
        <v>1379</v>
      </c>
      <c r="J73" s="1" t="s">
        <v>819</v>
      </c>
      <c r="K73" s="1" t="s">
        <v>1287</v>
      </c>
      <c r="L73" s="1" t="s">
        <v>1915</v>
      </c>
      <c r="M73" s="1" t="s">
        <v>119</v>
      </c>
      <c r="N73" s="1" t="s">
        <v>119</v>
      </c>
      <c r="O73" s="1" t="s">
        <v>119</v>
      </c>
      <c r="P73" s="5">
        <v>43853</v>
      </c>
      <c r="Q73" s="5">
        <v>43853</v>
      </c>
      <c r="R73" s="5">
        <v>43854</v>
      </c>
      <c r="S73" s="5">
        <v>43854</v>
      </c>
      <c r="T73" s="5">
        <v>43857</v>
      </c>
      <c r="U73" s="1" t="s">
        <v>1923</v>
      </c>
      <c r="V73" s="4">
        <v>1</v>
      </c>
      <c r="W73" s="6">
        <v>3500</v>
      </c>
      <c r="X73" s="1" t="s">
        <v>1459</v>
      </c>
      <c r="Y73" s="4">
        <v>43</v>
      </c>
      <c r="Z73" s="6">
        <v>81.400000000000006</v>
      </c>
      <c r="AA73" s="1" t="s">
        <v>2024</v>
      </c>
      <c r="AB73" s="6">
        <v>17.5</v>
      </c>
      <c r="AC73" s="1" t="s">
        <v>1124</v>
      </c>
      <c r="AD73" s="1" t="s">
        <v>1800</v>
      </c>
      <c r="AE73" s="1" t="s">
        <v>1286</v>
      </c>
      <c r="AF73" s="1" t="s">
        <v>1463</v>
      </c>
      <c r="AG73" s="6">
        <v>2506</v>
      </c>
      <c r="AH73" s="6">
        <v>58.279069767441861</v>
      </c>
      <c r="AI73" s="1" t="s">
        <v>1860</v>
      </c>
      <c r="AJ73" s="6">
        <v>994</v>
      </c>
      <c r="AK73" s="6">
        <v>0.28399999999999997</v>
      </c>
      <c r="AL73" s="1" t="s">
        <v>1860</v>
      </c>
      <c r="AM73" s="1" t="s">
        <v>596</v>
      </c>
      <c r="AN73" s="1" t="s">
        <v>1186</v>
      </c>
      <c r="AO73" s="1" t="s">
        <v>91</v>
      </c>
      <c r="AP73" s="6">
        <v>994</v>
      </c>
      <c r="AQ73" s="6">
        <v>0.28399999999999997</v>
      </c>
      <c r="AR73" s="2"/>
      <c r="AS73" s="7">
        <v>43859.485299061947</v>
      </c>
      <c r="AT73" s="5">
        <v>43861</v>
      </c>
      <c r="AU73" s="5">
        <v>43884</v>
      </c>
      <c r="AV73" s="1" t="s">
        <v>1941</v>
      </c>
      <c r="AW73" s="7">
        <v>43874.364854975523</v>
      </c>
      <c r="AX73" s="1" t="s">
        <v>321</v>
      </c>
      <c r="AY73" s="6">
        <v>2506</v>
      </c>
      <c r="AZ73" s="1"/>
      <c r="BA73" s="5">
        <v>43876</v>
      </c>
      <c r="BB73" s="7">
        <v>44196</v>
      </c>
      <c r="BC73" s="1" t="s">
        <v>1997</v>
      </c>
      <c r="BD73" s="1"/>
      <c r="BE73" s="1"/>
      <c r="BF73" s="1" t="s">
        <v>597</v>
      </c>
    </row>
    <row r="74" spans="1:58">
      <c r="A74" s="4">
        <v>69</v>
      </c>
      <c r="B74" s="2" t="str">
        <f>HYPERLINK("https://my.zakupki.prom.ua/remote/dispatcher/state_purchase_view/14607042", "UA-2020-01-20-000379-c")</f>
        <v>UA-2020-01-20-000379-c</v>
      </c>
      <c r="C74" s="2" t="s">
        <v>1459</v>
      </c>
      <c r="D74" s="1" t="s">
        <v>1568</v>
      </c>
      <c r="E74" s="1" t="s">
        <v>1100</v>
      </c>
      <c r="F74" s="1" t="s">
        <v>1099</v>
      </c>
      <c r="G74" s="1" t="s">
        <v>1346</v>
      </c>
      <c r="H74" s="1" t="s">
        <v>1800</v>
      </c>
      <c r="I74" s="1" t="s">
        <v>1379</v>
      </c>
      <c r="J74" s="1" t="s">
        <v>819</v>
      </c>
      <c r="K74" s="1" t="s">
        <v>1287</v>
      </c>
      <c r="L74" s="1" t="s">
        <v>1915</v>
      </c>
      <c r="M74" s="1" t="s">
        <v>119</v>
      </c>
      <c r="N74" s="1" t="s">
        <v>119</v>
      </c>
      <c r="O74" s="1" t="s">
        <v>119</v>
      </c>
      <c r="P74" s="5">
        <v>43850</v>
      </c>
      <c r="Q74" s="5">
        <v>43850</v>
      </c>
      <c r="R74" s="5">
        <v>43851</v>
      </c>
      <c r="S74" s="5">
        <v>43852</v>
      </c>
      <c r="T74" s="5">
        <v>43853</v>
      </c>
      <c r="U74" s="7">
        <v>43854.501631944448</v>
      </c>
      <c r="V74" s="4">
        <v>3</v>
      </c>
      <c r="W74" s="6">
        <v>7000</v>
      </c>
      <c r="X74" s="1" t="s">
        <v>1459</v>
      </c>
      <c r="Y74" s="4">
        <v>1</v>
      </c>
      <c r="Z74" s="6">
        <v>7000</v>
      </c>
      <c r="AA74" s="1" t="s">
        <v>1976</v>
      </c>
      <c r="AB74" s="6">
        <v>35</v>
      </c>
      <c r="AC74" s="1" t="s">
        <v>1124</v>
      </c>
      <c r="AD74" s="1" t="s">
        <v>1800</v>
      </c>
      <c r="AE74" s="1" t="s">
        <v>1286</v>
      </c>
      <c r="AF74" s="1" t="s">
        <v>1463</v>
      </c>
      <c r="AG74" s="6">
        <v>4999.2</v>
      </c>
      <c r="AH74" s="6">
        <v>4999.2</v>
      </c>
      <c r="AI74" s="1" t="s">
        <v>1757</v>
      </c>
      <c r="AJ74" s="6">
        <v>2000.8000000000002</v>
      </c>
      <c r="AK74" s="6">
        <v>0.28582857142857143</v>
      </c>
      <c r="AL74" s="1" t="s">
        <v>1757</v>
      </c>
      <c r="AM74" s="1" t="s">
        <v>816</v>
      </c>
      <c r="AN74" s="1" t="s">
        <v>1198</v>
      </c>
      <c r="AO74" s="1" t="s">
        <v>53</v>
      </c>
      <c r="AP74" s="6">
        <v>2000.8000000000002</v>
      </c>
      <c r="AQ74" s="6">
        <v>0.28582857142857143</v>
      </c>
      <c r="AR74" s="2" t="str">
        <f>HYPERLINK("https://auction.openprocurement.org/tenders/59c2726ebcfa4e5c9afb286efc5ad283")</f>
        <v>https://auction.openprocurement.org/tenders/59c2726ebcfa4e5c9afb286efc5ad283</v>
      </c>
      <c r="AS74" s="7">
        <v>43857.44211935583</v>
      </c>
      <c r="AT74" s="5">
        <v>43859</v>
      </c>
      <c r="AU74" s="5">
        <v>43881</v>
      </c>
      <c r="AV74" s="1" t="s">
        <v>1941</v>
      </c>
      <c r="AW74" s="7">
        <v>43860.424977963041</v>
      </c>
      <c r="AX74" s="1" t="s">
        <v>280</v>
      </c>
      <c r="AY74" s="6">
        <v>4999.2</v>
      </c>
      <c r="AZ74" s="1"/>
      <c r="BA74" s="5">
        <v>44196</v>
      </c>
      <c r="BB74" s="7">
        <v>44196</v>
      </c>
      <c r="BC74" s="1" t="s">
        <v>1997</v>
      </c>
      <c r="BD74" s="1"/>
      <c r="BE74" s="1"/>
      <c r="BF74" s="1" t="s">
        <v>818</v>
      </c>
    </row>
    <row r="75" spans="1:58">
      <c r="A75" s="4">
        <v>70</v>
      </c>
      <c r="B75" s="2" t="str">
        <f>HYPERLINK("https://my.zakupki.prom.ua/remote/dispatcher/state_purchase_view/14881177", "UA-2020-01-28-001837-a")</f>
        <v>UA-2020-01-28-001837-a</v>
      </c>
      <c r="C75" s="2" t="s">
        <v>1459</v>
      </c>
      <c r="D75" s="1" t="s">
        <v>1562</v>
      </c>
      <c r="E75" s="1" t="s">
        <v>1562</v>
      </c>
      <c r="F75" s="1" t="s">
        <v>1024</v>
      </c>
      <c r="G75" s="1" t="s">
        <v>1364</v>
      </c>
      <c r="H75" s="1" t="s">
        <v>1800</v>
      </c>
      <c r="I75" s="1" t="s">
        <v>1379</v>
      </c>
      <c r="J75" s="1" t="s">
        <v>819</v>
      </c>
      <c r="K75" s="1" t="s">
        <v>1287</v>
      </c>
      <c r="L75" s="1" t="s">
        <v>1915</v>
      </c>
      <c r="M75" s="1" t="s">
        <v>119</v>
      </c>
      <c r="N75" s="1" t="s">
        <v>119</v>
      </c>
      <c r="O75" s="1" t="s">
        <v>119</v>
      </c>
      <c r="P75" s="5">
        <v>43858</v>
      </c>
      <c r="Q75" s="1"/>
      <c r="R75" s="1"/>
      <c r="S75" s="1"/>
      <c r="T75" s="1"/>
      <c r="U75" s="1" t="s">
        <v>1922</v>
      </c>
      <c r="V75" s="4">
        <v>1</v>
      </c>
      <c r="W75" s="6">
        <v>6115.97</v>
      </c>
      <c r="X75" s="1" t="s">
        <v>1459</v>
      </c>
      <c r="Y75" s="4">
        <v>1</v>
      </c>
      <c r="Z75" s="6">
        <v>6115.97</v>
      </c>
      <c r="AA75" s="1" t="s">
        <v>1976</v>
      </c>
      <c r="AB75" s="1" t="s">
        <v>1964</v>
      </c>
      <c r="AC75" s="1" t="s">
        <v>1124</v>
      </c>
      <c r="AD75" s="1" t="s">
        <v>1800</v>
      </c>
      <c r="AE75" s="1" t="s">
        <v>1286</v>
      </c>
      <c r="AF75" s="1" t="s">
        <v>1463</v>
      </c>
      <c r="AG75" s="6">
        <v>6115.97</v>
      </c>
      <c r="AH75" s="6">
        <v>6115.97</v>
      </c>
      <c r="AI75" s="1"/>
      <c r="AJ75" s="1"/>
      <c r="AK75" s="1"/>
      <c r="AL75" s="1" t="s">
        <v>1226</v>
      </c>
      <c r="AM75" s="1" t="s">
        <v>424</v>
      </c>
      <c r="AN75" s="1"/>
      <c r="AO75" s="1" t="s">
        <v>804</v>
      </c>
      <c r="AP75" s="1"/>
      <c r="AQ75" s="1"/>
      <c r="AR75" s="2"/>
      <c r="AS75" s="1"/>
      <c r="AT75" s="1"/>
      <c r="AU75" s="1"/>
      <c r="AV75" s="1" t="s">
        <v>1941</v>
      </c>
      <c r="AW75" s="7">
        <v>43858.482684740949</v>
      </c>
      <c r="AX75" s="1" t="s">
        <v>852</v>
      </c>
      <c r="AY75" s="6">
        <v>6115.97</v>
      </c>
      <c r="AZ75" s="1"/>
      <c r="BA75" s="5">
        <v>44196</v>
      </c>
      <c r="BB75" s="7">
        <v>44196</v>
      </c>
      <c r="BC75" s="1" t="s">
        <v>1997</v>
      </c>
      <c r="BD75" s="1"/>
      <c r="BE75" s="1"/>
      <c r="BF75" s="1" t="s">
        <v>118</v>
      </c>
    </row>
    <row r="76" spans="1:58">
      <c r="A76" s="4">
        <v>71</v>
      </c>
      <c r="B76" s="2" t="str">
        <f>HYPERLINK("https://my.zakupki.prom.ua/remote/dispatcher/state_purchase_view/15389761", "UA-2020-02-20-000883-b")</f>
        <v>UA-2020-02-20-000883-b</v>
      </c>
      <c r="C76" s="2" t="s">
        <v>1459</v>
      </c>
      <c r="D76" s="1" t="s">
        <v>703</v>
      </c>
      <c r="E76" s="1" t="s">
        <v>1811</v>
      </c>
      <c r="F76" s="1" t="s">
        <v>704</v>
      </c>
      <c r="G76" s="1" t="s">
        <v>1280</v>
      </c>
      <c r="H76" s="1" t="s">
        <v>1800</v>
      </c>
      <c r="I76" s="1" t="s">
        <v>1379</v>
      </c>
      <c r="J76" s="1" t="s">
        <v>819</v>
      </c>
      <c r="K76" s="1" t="s">
        <v>1287</v>
      </c>
      <c r="L76" s="1" t="s">
        <v>1915</v>
      </c>
      <c r="M76" s="1" t="s">
        <v>119</v>
      </c>
      <c r="N76" s="1" t="s">
        <v>119</v>
      </c>
      <c r="O76" s="1" t="s">
        <v>119</v>
      </c>
      <c r="P76" s="5">
        <v>43881</v>
      </c>
      <c r="Q76" s="5">
        <v>43881</v>
      </c>
      <c r="R76" s="5">
        <v>43889</v>
      </c>
      <c r="S76" s="5">
        <v>43881</v>
      </c>
      <c r="T76" s="5">
        <v>43899</v>
      </c>
      <c r="U76" s="7">
        <v>43900.584490740737</v>
      </c>
      <c r="V76" s="4">
        <v>2</v>
      </c>
      <c r="W76" s="6">
        <v>870581.52</v>
      </c>
      <c r="X76" s="1" t="s">
        <v>1459</v>
      </c>
      <c r="Y76" s="1" t="s">
        <v>1956</v>
      </c>
      <c r="Z76" s="1" t="s">
        <v>1956</v>
      </c>
      <c r="AA76" s="1" t="s">
        <v>1956</v>
      </c>
      <c r="AB76" s="6">
        <v>4352.91</v>
      </c>
      <c r="AC76" s="1" t="s">
        <v>1124</v>
      </c>
      <c r="AD76" s="1" t="s">
        <v>1800</v>
      </c>
      <c r="AE76" s="1" t="s">
        <v>1286</v>
      </c>
      <c r="AF76" s="1" t="s">
        <v>1463</v>
      </c>
      <c r="AG76" s="6">
        <v>870576.52</v>
      </c>
      <c r="AH76" s="1" t="s">
        <v>1956</v>
      </c>
      <c r="AI76" s="1" t="s">
        <v>1865</v>
      </c>
      <c r="AJ76" s="6">
        <v>5</v>
      </c>
      <c r="AK76" s="6">
        <v>5.7432875441693272E-6</v>
      </c>
      <c r="AL76" s="1" t="s">
        <v>1865</v>
      </c>
      <c r="AM76" s="1" t="s">
        <v>581</v>
      </c>
      <c r="AN76" s="1" t="s">
        <v>1136</v>
      </c>
      <c r="AO76" s="1" t="s">
        <v>99</v>
      </c>
      <c r="AP76" s="6">
        <v>5</v>
      </c>
      <c r="AQ76" s="6">
        <v>5.7432875441693272E-6</v>
      </c>
      <c r="AR76" s="2" t="str">
        <f>HYPERLINK("https://auction.openprocurement.org/tenders/b063e5925dcb487f8cb46c38a19b8a33")</f>
        <v>https://auction.openprocurement.org/tenders/b063e5925dcb487f8cb46c38a19b8a33</v>
      </c>
      <c r="AS76" s="7">
        <v>43901.612368885275</v>
      </c>
      <c r="AT76" s="5">
        <v>43912</v>
      </c>
      <c r="AU76" s="5">
        <v>43922</v>
      </c>
      <c r="AV76" s="1" t="s">
        <v>1941</v>
      </c>
      <c r="AW76" s="7">
        <v>43913.404692006261</v>
      </c>
      <c r="AX76" s="1" t="s">
        <v>467</v>
      </c>
      <c r="AY76" s="6">
        <v>870576.52</v>
      </c>
      <c r="AZ76" s="1"/>
      <c r="BA76" s="5">
        <v>44196</v>
      </c>
      <c r="BB76" s="7">
        <v>44196</v>
      </c>
      <c r="BC76" s="1" t="s">
        <v>1997</v>
      </c>
      <c r="BD76" s="1"/>
      <c r="BE76" s="1"/>
      <c r="BF76" s="1" t="s">
        <v>582</v>
      </c>
    </row>
    <row r="77" spans="1:58">
      <c r="A77" s="4">
        <v>72</v>
      </c>
      <c r="B77" s="2" t="str">
        <f>HYPERLINK("https://my.zakupki.prom.ua/remote/dispatcher/state_purchase_view/15194891", "UA-2020-02-10-002202-b")</f>
        <v>UA-2020-02-10-002202-b</v>
      </c>
      <c r="C77" s="2" t="s">
        <v>1459</v>
      </c>
      <c r="D77" s="1" t="s">
        <v>1399</v>
      </c>
      <c r="E77" s="1" t="s">
        <v>1399</v>
      </c>
      <c r="F77" s="1" t="s">
        <v>632</v>
      </c>
      <c r="G77" s="1" t="s">
        <v>1364</v>
      </c>
      <c r="H77" s="1" t="s">
        <v>1800</v>
      </c>
      <c r="I77" s="1" t="s">
        <v>1379</v>
      </c>
      <c r="J77" s="1" t="s">
        <v>819</v>
      </c>
      <c r="K77" s="1" t="s">
        <v>1287</v>
      </c>
      <c r="L77" s="1" t="s">
        <v>1915</v>
      </c>
      <c r="M77" s="1" t="s">
        <v>119</v>
      </c>
      <c r="N77" s="1" t="s">
        <v>119</v>
      </c>
      <c r="O77" s="1" t="s">
        <v>119</v>
      </c>
      <c r="P77" s="5">
        <v>43871</v>
      </c>
      <c r="Q77" s="1"/>
      <c r="R77" s="1"/>
      <c r="S77" s="1"/>
      <c r="T77" s="1"/>
      <c r="U77" s="1" t="s">
        <v>1922</v>
      </c>
      <c r="V77" s="4">
        <v>1</v>
      </c>
      <c r="W77" s="6">
        <v>1899</v>
      </c>
      <c r="X77" s="1" t="s">
        <v>1459</v>
      </c>
      <c r="Y77" s="4">
        <v>5</v>
      </c>
      <c r="Z77" s="6">
        <v>379.8</v>
      </c>
      <c r="AA77" s="1" t="s">
        <v>2024</v>
      </c>
      <c r="AB77" s="1" t="s">
        <v>1964</v>
      </c>
      <c r="AC77" s="1" t="s">
        <v>1124</v>
      </c>
      <c r="AD77" s="1" t="s">
        <v>1463</v>
      </c>
      <c r="AE77" s="1" t="s">
        <v>1286</v>
      </c>
      <c r="AF77" s="1" t="s">
        <v>1463</v>
      </c>
      <c r="AG77" s="6">
        <v>1899</v>
      </c>
      <c r="AH77" s="6">
        <v>379.8</v>
      </c>
      <c r="AI77" s="1"/>
      <c r="AJ77" s="1"/>
      <c r="AK77" s="1"/>
      <c r="AL77" s="1" t="s">
        <v>1738</v>
      </c>
      <c r="AM77" s="1" t="s">
        <v>932</v>
      </c>
      <c r="AN77" s="1"/>
      <c r="AO77" s="1" t="s">
        <v>26</v>
      </c>
      <c r="AP77" s="1"/>
      <c r="AQ77" s="1"/>
      <c r="AR77" s="2"/>
      <c r="AS77" s="1"/>
      <c r="AT77" s="1"/>
      <c r="AU77" s="1"/>
      <c r="AV77" s="1" t="s">
        <v>1941</v>
      </c>
      <c r="AW77" s="7">
        <v>43871.624194777753</v>
      </c>
      <c r="AX77" s="1" t="s">
        <v>322</v>
      </c>
      <c r="AY77" s="6">
        <v>1899</v>
      </c>
      <c r="AZ77" s="1"/>
      <c r="BA77" s="5">
        <v>43889</v>
      </c>
      <c r="BB77" s="7">
        <v>44196</v>
      </c>
      <c r="BC77" s="1" t="s">
        <v>1997</v>
      </c>
      <c r="BD77" s="1"/>
      <c r="BE77" s="1"/>
      <c r="BF77" s="1" t="s">
        <v>118</v>
      </c>
    </row>
    <row r="78" spans="1:58">
      <c r="A78" s="4">
        <v>73</v>
      </c>
      <c r="B78" s="2" t="str">
        <f>HYPERLINK("https://my.zakupki.prom.ua/remote/dispatcher/state_purchase_view/24103601", "UA-2021-02-17-007417-a")</f>
        <v>UA-2021-02-17-007417-a</v>
      </c>
      <c r="C78" s="2" t="s">
        <v>1459</v>
      </c>
      <c r="D78" s="1" t="s">
        <v>1599</v>
      </c>
      <c r="E78" s="1" t="s">
        <v>1599</v>
      </c>
      <c r="F78" s="1" t="s">
        <v>1026</v>
      </c>
      <c r="G78" s="1" t="s">
        <v>1346</v>
      </c>
      <c r="H78" s="1" t="s">
        <v>1800</v>
      </c>
      <c r="I78" s="1" t="s">
        <v>1379</v>
      </c>
      <c r="J78" s="1" t="s">
        <v>819</v>
      </c>
      <c r="K78" s="1" t="s">
        <v>1287</v>
      </c>
      <c r="L78" s="1" t="s">
        <v>1216</v>
      </c>
      <c r="M78" s="1" t="s">
        <v>119</v>
      </c>
      <c r="N78" s="1" t="s">
        <v>119</v>
      </c>
      <c r="O78" s="1" t="s">
        <v>119</v>
      </c>
      <c r="P78" s="5">
        <v>44244</v>
      </c>
      <c r="Q78" s="5">
        <v>44244</v>
      </c>
      <c r="R78" s="5">
        <v>44250</v>
      </c>
      <c r="S78" s="5">
        <v>44250</v>
      </c>
      <c r="T78" s="5">
        <v>44253</v>
      </c>
      <c r="U78" s="1" t="s">
        <v>1923</v>
      </c>
      <c r="V78" s="4">
        <v>0</v>
      </c>
      <c r="W78" s="6">
        <v>5500</v>
      </c>
      <c r="X78" s="1" t="s">
        <v>1459</v>
      </c>
      <c r="Y78" s="4">
        <v>3</v>
      </c>
      <c r="Z78" s="6">
        <v>1833.33</v>
      </c>
      <c r="AA78" s="1" t="s">
        <v>1976</v>
      </c>
      <c r="AB78" s="6">
        <v>27.5</v>
      </c>
      <c r="AC78" s="1" t="s">
        <v>1124</v>
      </c>
      <c r="AD78" s="1" t="s">
        <v>1800</v>
      </c>
      <c r="AE78" s="1" t="s">
        <v>1286</v>
      </c>
      <c r="AF78" s="1" t="s">
        <v>1463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2"/>
      <c r="AS78" s="1"/>
      <c r="AT78" s="1"/>
      <c r="AU78" s="1"/>
      <c r="AV78" s="1" t="s">
        <v>1942</v>
      </c>
      <c r="AW78" s="7">
        <v>44253.001865733044</v>
      </c>
      <c r="AX78" s="1"/>
      <c r="AY78" s="1"/>
      <c r="AZ78" s="1"/>
      <c r="BA78" s="5">
        <v>44286</v>
      </c>
      <c r="BB78" s="1"/>
      <c r="BC78" s="1"/>
      <c r="BD78" s="1"/>
      <c r="BE78" s="1"/>
      <c r="BF78" s="1"/>
    </row>
    <row r="79" spans="1:58">
      <c r="A79" s="4">
        <v>74</v>
      </c>
      <c r="B79" s="2" t="str">
        <f>HYPERLINK("https://my.zakupki.prom.ua/remote/dispatcher/state_purchase_view/24564216", "UA-2021-03-03-005258-c")</f>
        <v>UA-2021-03-03-005258-c</v>
      </c>
      <c r="C79" s="2" t="s">
        <v>1459</v>
      </c>
      <c r="D79" s="1" t="s">
        <v>1436</v>
      </c>
      <c r="E79" s="1" t="s">
        <v>1436</v>
      </c>
      <c r="F79" s="1" t="s">
        <v>1020</v>
      </c>
      <c r="G79" s="1" t="s">
        <v>1675</v>
      </c>
      <c r="H79" s="1" t="s">
        <v>1800</v>
      </c>
      <c r="I79" s="1" t="s">
        <v>1379</v>
      </c>
      <c r="J79" s="1" t="s">
        <v>819</v>
      </c>
      <c r="K79" s="1" t="s">
        <v>1287</v>
      </c>
      <c r="L79" s="1" t="s">
        <v>1216</v>
      </c>
      <c r="M79" s="1" t="s">
        <v>119</v>
      </c>
      <c r="N79" s="1" t="s">
        <v>119</v>
      </c>
      <c r="O79" s="1" t="s">
        <v>119</v>
      </c>
      <c r="P79" s="5">
        <v>44258</v>
      </c>
      <c r="Q79" s="5">
        <v>44258</v>
      </c>
      <c r="R79" s="5">
        <v>44265</v>
      </c>
      <c r="S79" s="5">
        <v>44265</v>
      </c>
      <c r="T79" s="5">
        <v>44270</v>
      </c>
      <c r="U79" s="1" t="s">
        <v>1923</v>
      </c>
      <c r="V79" s="4">
        <v>1</v>
      </c>
      <c r="W79" s="6">
        <v>94000</v>
      </c>
      <c r="X79" s="1" t="s">
        <v>1459</v>
      </c>
      <c r="Y79" s="4">
        <v>1</v>
      </c>
      <c r="Z79" s="6">
        <v>94000</v>
      </c>
      <c r="AA79" s="1" t="s">
        <v>1976</v>
      </c>
      <c r="AB79" s="6">
        <v>470</v>
      </c>
      <c r="AC79" s="1" t="s">
        <v>1124</v>
      </c>
      <c r="AD79" s="1" t="s">
        <v>1800</v>
      </c>
      <c r="AE79" s="1" t="s">
        <v>1286</v>
      </c>
      <c r="AF79" s="1" t="s">
        <v>1463</v>
      </c>
      <c r="AG79" s="6">
        <v>93996.82</v>
      </c>
      <c r="AH79" s="6">
        <v>93996.82</v>
      </c>
      <c r="AI79" s="1" t="s">
        <v>1323</v>
      </c>
      <c r="AJ79" s="6">
        <v>3.1799999999930151</v>
      </c>
      <c r="AK79" s="6">
        <v>3.3829787233968244E-5</v>
      </c>
      <c r="AL79" s="1" t="s">
        <v>1323</v>
      </c>
      <c r="AM79" s="1" t="s">
        <v>168</v>
      </c>
      <c r="AN79" s="1" t="s">
        <v>1039</v>
      </c>
      <c r="AO79" s="1" t="s">
        <v>35</v>
      </c>
      <c r="AP79" s="6">
        <v>3.1799999999930151</v>
      </c>
      <c r="AQ79" s="6">
        <v>3.3829787233968244E-5</v>
      </c>
      <c r="AR79" s="2"/>
      <c r="AS79" s="7">
        <v>44272.488637557697</v>
      </c>
      <c r="AT79" s="5">
        <v>44275</v>
      </c>
      <c r="AU79" s="5">
        <v>44295</v>
      </c>
      <c r="AV79" s="1" t="s">
        <v>1941</v>
      </c>
      <c r="AW79" s="7">
        <v>44280.676222939153</v>
      </c>
      <c r="AX79" s="1" t="s">
        <v>229</v>
      </c>
      <c r="AY79" s="6">
        <v>93996.82</v>
      </c>
      <c r="AZ79" s="1"/>
      <c r="BA79" s="5">
        <v>44561</v>
      </c>
      <c r="BB79" s="7">
        <v>44561</v>
      </c>
      <c r="BC79" s="1" t="s">
        <v>1997</v>
      </c>
      <c r="BD79" s="1"/>
      <c r="BE79" s="1"/>
      <c r="BF79" s="1" t="s">
        <v>169</v>
      </c>
    </row>
    <row r="80" spans="1:58">
      <c r="A80" s="4">
        <v>75</v>
      </c>
      <c r="B80" s="2" t="str">
        <f>HYPERLINK("https://my.zakupki.prom.ua/remote/dispatcher/state_purchase_view/25597716", "UA-2021-04-07-003991-a")</f>
        <v>UA-2021-04-07-003991-a</v>
      </c>
      <c r="C80" s="2" t="s">
        <v>1459</v>
      </c>
      <c r="D80" s="1" t="s">
        <v>1631</v>
      </c>
      <c r="E80" s="1" t="s">
        <v>1631</v>
      </c>
      <c r="F80" s="1" t="s">
        <v>1006</v>
      </c>
      <c r="G80" s="1" t="s">
        <v>1364</v>
      </c>
      <c r="H80" s="1" t="s">
        <v>1800</v>
      </c>
      <c r="I80" s="1" t="s">
        <v>1379</v>
      </c>
      <c r="J80" s="1" t="s">
        <v>819</v>
      </c>
      <c r="K80" s="1" t="s">
        <v>1287</v>
      </c>
      <c r="L80" s="1" t="s">
        <v>1216</v>
      </c>
      <c r="M80" s="1" t="s">
        <v>119</v>
      </c>
      <c r="N80" s="1" t="s">
        <v>119</v>
      </c>
      <c r="O80" s="1" t="s">
        <v>119</v>
      </c>
      <c r="P80" s="5">
        <v>44293</v>
      </c>
      <c r="Q80" s="1"/>
      <c r="R80" s="1"/>
      <c r="S80" s="1"/>
      <c r="T80" s="1"/>
      <c r="U80" s="1" t="s">
        <v>1922</v>
      </c>
      <c r="V80" s="4">
        <v>1</v>
      </c>
      <c r="W80" s="6">
        <v>346.22</v>
      </c>
      <c r="X80" s="1" t="s">
        <v>1459</v>
      </c>
      <c r="Y80" s="4">
        <v>1</v>
      </c>
      <c r="Z80" s="6">
        <v>346.22</v>
      </c>
      <c r="AA80" s="1" t="s">
        <v>1976</v>
      </c>
      <c r="AB80" s="1" t="s">
        <v>1964</v>
      </c>
      <c r="AC80" s="1" t="s">
        <v>1124</v>
      </c>
      <c r="AD80" s="1" t="s">
        <v>1800</v>
      </c>
      <c r="AE80" s="1" t="s">
        <v>1286</v>
      </c>
      <c r="AF80" s="1" t="s">
        <v>1463</v>
      </c>
      <c r="AG80" s="6">
        <v>346.22</v>
      </c>
      <c r="AH80" s="6">
        <v>346.22</v>
      </c>
      <c r="AI80" s="1"/>
      <c r="AJ80" s="1"/>
      <c r="AK80" s="1"/>
      <c r="AL80" s="1" t="s">
        <v>1493</v>
      </c>
      <c r="AM80" s="1" t="s">
        <v>665</v>
      </c>
      <c r="AN80" s="1"/>
      <c r="AO80" s="1" t="s">
        <v>188</v>
      </c>
      <c r="AP80" s="1"/>
      <c r="AQ80" s="1"/>
      <c r="AR80" s="2"/>
      <c r="AS80" s="1"/>
      <c r="AT80" s="1"/>
      <c r="AU80" s="1"/>
      <c r="AV80" s="1" t="s">
        <v>1941</v>
      </c>
      <c r="AW80" s="7">
        <v>44293.471834017211</v>
      </c>
      <c r="AX80" s="1" t="s">
        <v>1341</v>
      </c>
      <c r="AY80" s="6">
        <v>346.22</v>
      </c>
      <c r="AZ80" s="1"/>
      <c r="BA80" s="5">
        <v>44306</v>
      </c>
      <c r="BB80" s="7">
        <v>44561</v>
      </c>
      <c r="BC80" s="1" t="s">
        <v>1997</v>
      </c>
      <c r="BD80" s="1"/>
      <c r="BE80" s="1"/>
      <c r="BF80" s="1" t="s">
        <v>118</v>
      </c>
    </row>
    <row r="81" spans="1:58">
      <c r="A81" s="4">
        <v>76</v>
      </c>
      <c r="B81" s="2" t="str">
        <f>HYPERLINK("https://my.zakupki.prom.ua/remote/dispatcher/state_purchase_view/27138046", "UA-2021-06-03-003984-b")</f>
        <v>UA-2021-06-03-003984-b</v>
      </c>
      <c r="C81" s="2" t="s">
        <v>1459</v>
      </c>
      <c r="D81" s="1" t="s">
        <v>1412</v>
      </c>
      <c r="E81" s="1" t="s">
        <v>1412</v>
      </c>
      <c r="F81" s="1" t="s">
        <v>961</v>
      </c>
      <c r="G81" s="1" t="s">
        <v>1346</v>
      </c>
      <c r="H81" s="1" t="s">
        <v>1800</v>
      </c>
      <c r="I81" s="1" t="s">
        <v>1379</v>
      </c>
      <c r="J81" s="1" t="s">
        <v>819</v>
      </c>
      <c r="K81" s="1" t="s">
        <v>1287</v>
      </c>
      <c r="L81" s="1" t="s">
        <v>1216</v>
      </c>
      <c r="M81" s="1" t="s">
        <v>119</v>
      </c>
      <c r="N81" s="1" t="s">
        <v>119</v>
      </c>
      <c r="O81" s="1" t="s">
        <v>119</v>
      </c>
      <c r="P81" s="5">
        <v>44350</v>
      </c>
      <c r="Q81" s="5">
        <v>44350</v>
      </c>
      <c r="R81" s="5">
        <v>44356</v>
      </c>
      <c r="S81" s="5">
        <v>44356</v>
      </c>
      <c r="T81" s="5">
        <v>44361</v>
      </c>
      <c r="U81" s="1" t="s">
        <v>1923</v>
      </c>
      <c r="V81" s="4">
        <v>0</v>
      </c>
      <c r="W81" s="6">
        <v>20000</v>
      </c>
      <c r="X81" s="1" t="s">
        <v>1459</v>
      </c>
      <c r="Y81" s="4">
        <v>1</v>
      </c>
      <c r="Z81" s="6">
        <v>20000</v>
      </c>
      <c r="AA81" s="1" t="s">
        <v>2024</v>
      </c>
      <c r="AB81" s="6">
        <v>200</v>
      </c>
      <c r="AC81" s="1" t="s">
        <v>1124</v>
      </c>
      <c r="AD81" s="1" t="s">
        <v>1800</v>
      </c>
      <c r="AE81" s="1" t="s">
        <v>1286</v>
      </c>
      <c r="AF81" s="1" t="s">
        <v>1463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1"/>
      <c r="AT81" s="1"/>
      <c r="AU81" s="1"/>
      <c r="AV81" s="1" t="s">
        <v>1942</v>
      </c>
      <c r="AW81" s="7">
        <v>44361.502860138018</v>
      </c>
      <c r="AX81" s="1"/>
      <c r="AY81" s="1"/>
      <c r="AZ81" s="1"/>
      <c r="BA81" s="5">
        <v>44561</v>
      </c>
      <c r="BB81" s="1"/>
      <c r="BC81" s="1"/>
      <c r="BD81" s="1"/>
      <c r="BE81" s="1"/>
      <c r="BF81" s="1"/>
    </row>
    <row r="82" spans="1:58">
      <c r="A82" s="4">
        <v>77</v>
      </c>
      <c r="B82" s="2" t="str">
        <f>HYPERLINK("https://my.zakupki.prom.ua/remote/dispatcher/state_purchase_view/9668856", "UA-2019-01-04-001001-c")</f>
        <v>UA-2019-01-04-001001-c</v>
      </c>
      <c r="C82" s="2" t="s">
        <v>1459</v>
      </c>
      <c r="D82" s="1" t="s">
        <v>1348</v>
      </c>
      <c r="E82" s="1" t="s">
        <v>1307</v>
      </c>
      <c r="F82" s="1" t="s">
        <v>293</v>
      </c>
      <c r="G82" s="1" t="s">
        <v>1513</v>
      </c>
      <c r="H82" s="1" t="s">
        <v>1463</v>
      </c>
      <c r="I82" s="1" t="s">
        <v>1379</v>
      </c>
      <c r="J82" s="1" t="s">
        <v>819</v>
      </c>
      <c r="K82" s="1" t="s">
        <v>1287</v>
      </c>
      <c r="L82" s="1" t="s">
        <v>1224</v>
      </c>
      <c r="M82" s="1" t="s">
        <v>119</v>
      </c>
      <c r="N82" s="1" t="s">
        <v>119</v>
      </c>
      <c r="O82" s="1" t="s">
        <v>119</v>
      </c>
      <c r="P82" s="5">
        <v>43469</v>
      </c>
      <c r="Q82" s="1"/>
      <c r="R82" s="1"/>
      <c r="S82" s="1"/>
      <c r="T82" s="1"/>
      <c r="U82" s="1" t="s">
        <v>1922</v>
      </c>
      <c r="V82" s="4">
        <v>0</v>
      </c>
      <c r="W82" s="6">
        <v>321450</v>
      </c>
      <c r="X82" s="1" t="s">
        <v>1459</v>
      </c>
      <c r="Y82" s="4">
        <v>131200</v>
      </c>
      <c r="Z82" s="6">
        <v>2.4500000000000002</v>
      </c>
      <c r="AA82" s="1" t="s">
        <v>1952</v>
      </c>
      <c r="AB82" s="1" t="s">
        <v>1964</v>
      </c>
      <c r="AC82" s="1" t="s">
        <v>1124</v>
      </c>
      <c r="AD82" s="1" t="s">
        <v>1800</v>
      </c>
      <c r="AE82" s="1" t="s">
        <v>1286</v>
      </c>
      <c r="AF82" s="1" t="s">
        <v>1463</v>
      </c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2"/>
      <c r="AS82" s="1"/>
      <c r="AT82" s="1"/>
      <c r="AU82" s="1"/>
      <c r="AV82" s="1" t="s">
        <v>2002</v>
      </c>
      <c r="AW82" s="7">
        <v>43501.346091728585</v>
      </c>
      <c r="AX82" s="1"/>
      <c r="AY82" s="1"/>
      <c r="AZ82" s="5">
        <v>43466</v>
      </c>
      <c r="BA82" s="5">
        <v>43830</v>
      </c>
      <c r="BB82" s="1"/>
      <c r="BC82" s="1"/>
      <c r="BD82" s="1" t="s">
        <v>2004</v>
      </c>
      <c r="BE82" s="1"/>
      <c r="BF82" s="1"/>
    </row>
    <row r="83" spans="1:58">
      <c r="A83" s="4">
        <v>78</v>
      </c>
      <c r="B83" s="2" t="str">
        <f>HYPERLINK("https://my.zakupki.prom.ua/remote/dispatcher/state_purchase_view/9703935", "UA-2019-01-09-001056-c")</f>
        <v>UA-2019-01-09-001056-c</v>
      </c>
      <c r="C83" s="2" t="s">
        <v>1459</v>
      </c>
      <c r="D83" s="1" t="s">
        <v>1609</v>
      </c>
      <c r="E83" s="1" t="s">
        <v>1609</v>
      </c>
      <c r="F83" s="1" t="s">
        <v>292</v>
      </c>
      <c r="G83" s="1" t="s">
        <v>1346</v>
      </c>
      <c r="H83" s="1" t="s">
        <v>1800</v>
      </c>
      <c r="I83" s="1" t="s">
        <v>1379</v>
      </c>
      <c r="J83" s="1" t="s">
        <v>819</v>
      </c>
      <c r="K83" s="1" t="s">
        <v>1287</v>
      </c>
      <c r="L83" s="1" t="s">
        <v>1224</v>
      </c>
      <c r="M83" s="1" t="s">
        <v>119</v>
      </c>
      <c r="N83" s="1" t="s">
        <v>119</v>
      </c>
      <c r="O83" s="1" t="s">
        <v>119</v>
      </c>
      <c r="P83" s="5">
        <v>43474</v>
      </c>
      <c r="Q83" s="5">
        <v>43474</v>
      </c>
      <c r="R83" s="5">
        <v>43479</v>
      </c>
      <c r="S83" s="5">
        <v>43479</v>
      </c>
      <c r="T83" s="5">
        <v>43481</v>
      </c>
      <c r="U83" s="1" t="s">
        <v>1923</v>
      </c>
      <c r="V83" s="4">
        <v>1</v>
      </c>
      <c r="W83" s="6">
        <v>126494</v>
      </c>
      <c r="X83" s="1" t="s">
        <v>1459</v>
      </c>
      <c r="Y83" s="4">
        <v>9022</v>
      </c>
      <c r="Z83" s="6">
        <v>14.02</v>
      </c>
      <c r="AA83" s="1" t="s">
        <v>1962</v>
      </c>
      <c r="AB83" s="6">
        <v>632.47</v>
      </c>
      <c r="AC83" s="1" t="s">
        <v>1124</v>
      </c>
      <c r="AD83" s="1" t="s">
        <v>1800</v>
      </c>
      <c r="AE83" s="1" t="s">
        <v>1286</v>
      </c>
      <c r="AF83" s="1" t="s">
        <v>1463</v>
      </c>
      <c r="AG83" s="6">
        <v>115663.84</v>
      </c>
      <c r="AH83" s="6">
        <v>12.820199512303258</v>
      </c>
      <c r="AI83" s="1" t="s">
        <v>1830</v>
      </c>
      <c r="AJ83" s="6">
        <v>10830.160000000003</v>
      </c>
      <c r="AK83" s="6">
        <v>8.5617973975050221E-2</v>
      </c>
      <c r="AL83" s="1" t="s">
        <v>1830</v>
      </c>
      <c r="AM83" s="1" t="s">
        <v>904</v>
      </c>
      <c r="AN83" s="1" t="s">
        <v>1121</v>
      </c>
      <c r="AO83" s="1" t="s">
        <v>823</v>
      </c>
      <c r="AP83" s="6">
        <v>10830.160000000003</v>
      </c>
      <c r="AQ83" s="6">
        <v>8.5617973975050221E-2</v>
      </c>
      <c r="AR83" s="2"/>
      <c r="AS83" s="7">
        <v>43482.393579586053</v>
      </c>
      <c r="AT83" s="5">
        <v>43486</v>
      </c>
      <c r="AU83" s="5">
        <v>43509</v>
      </c>
      <c r="AV83" s="1" t="s">
        <v>1941</v>
      </c>
      <c r="AW83" s="7">
        <v>43494.648343780798</v>
      </c>
      <c r="AX83" s="1" t="s">
        <v>950</v>
      </c>
      <c r="AY83" s="6">
        <v>115663.84</v>
      </c>
      <c r="AZ83" s="1"/>
      <c r="BA83" s="5">
        <v>43830</v>
      </c>
      <c r="BB83" s="7">
        <v>43830</v>
      </c>
      <c r="BC83" s="1" t="s">
        <v>1997</v>
      </c>
      <c r="BD83" s="1"/>
      <c r="BE83" s="1"/>
      <c r="BF83" s="1" t="s">
        <v>905</v>
      </c>
    </row>
    <row r="84" spans="1:58">
      <c r="A84" s="4">
        <v>79</v>
      </c>
      <c r="B84" s="2" t="str">
        <f>HYPERLINK("https://my.zakupki.prom.ua/remote/dispatcher/state_purchase_view/8427884", "UA-2018-10-02-001328-c")</f>
        <v>UA-2018-10-02-001328-c</v>
      </c>
      <c r="C84" s="2" t="s">
        <v>1459</v>
      </c>
      <c r="D84" s="1" t="s">
        <v>732</v>
      </c>
      <c r="E84" s="1" t="s">
        <v>1227</v>
      </c>
      <c r="F84" s="1" t="s">
        <v>733</v>
      </c>
      <c r="G84" s="1" t="s">
        <v>1280</v>
      </c>
      <c r="H84" s="1" t="s">
        <v>1800</v>
      </c>
      <c r="I84" s="1" t="s">
        <v>1379</v>
      </c>
      <c r="J84" s="1" t="s">
        <v>819</v>
      </c>
      <c r="K84" s="1" t="s">
        <v>1287</v>
      </c>
      <c r="L84" s="1" t="s">
        <v>1469</v>
      </c>
      <c r="M84" s="1" t="s">
        <v>119</v>
      </c>
      <c r="N84" s="1" t="s">
        <v>119</v>
      </c>
      <c r="O84" s="1" t="s">
        <v>119</v>
      </c>
      <c r="P84" s="5">
        <v>43375</v>
      </c>
      <c r="Q84" s="5">
        <v>43375</v>
      </c>
      <c r="R84" s="5">
        <v>43380</v>
      </c>
      <c r="S84" s="5">
        <v>43375</v>
      </c>
      <c r="T84" s="5">
        <v>43390</v>
      </c>
      <c r="U84" s="7">
        <v>43391.567094907405</v>
      </c>
      <c r="V84" s="4">
        <v>2</v>
      </c>
      <c r="W84" s="6">
        <v>38000</v>
      </c>
      <c r="X84" s="1" t="s">
        <v>1459</v>
      </c>
      <c r="Y84" s="1" t="s">
        <v>1956</v>
      </c>
      <c r="Z84" s="1" t="s">
        <v>1956</v>
      </c>
      <c r="AA84" s="1" t="s">
        <v>1956</v>
      </c>
      <c r="AB84" s="6">
        <v>380</v>
      </c>
      <c r="AC84" s="1" t="s">
        <v>1124</v>
      </c>
      <c r="AD84" s="1" t="s">
        <v>1800</v>
      </c>
      <c r="AE84" s="1" t="s">
        <v>1286</v>
      </c>
      <c r="AF84" s="1" t="s">
        <v>1463</v>
      </c>
      <c r="AG84" s="6">
        <v>6795.36</v>
      </c>
      <c r="AH84" s="1" t="s">
        <v>1956</v>
      </c>
      <c r="AI84" s="1" t="s">
        <v>1701</v>
      </c>
      <c r="AJ84" s="6">
        <v>31204.639999999999</v>
      </c>
      <c r="AK84" s="6">
        <v>0.82117473684210529</v>
      </c>
      <c r="AL84" s="1" t="s">
        <v>1701</v>
      </c>
      <c r="AM84" s="1" t="s">
        <v>831</v>
      </c>
      <c r="AN84" s="1" t="s">
        <v>1127</v>
      </c>
      <c r="AO84" s="1" t="s">
        <v>824</v>
      </c>
      <c r="AP84" s="6">
        <v>31204.639999999999</v>
      </c>
      <c r="AQ84" s="6">
        <v>0.82117473684210529</v>
      </c>
      <c r="AR84" s="2" t="str">
        <f>HYPERLINK("https://auction.openprocurement.org/tenders/0928b321008c4e65879d6153f259725a")</f>
        <v>https://auction.openprocurement.org/tenders/0928b321008c4e65879d6153f259725a</v>
      </c>
      <c r="AS84" s="7">
        <v>43397.499440431318</v>
      </c>
      <c r="AT84" s="5">
        <v>43408</v>
      </c>
      <c r="AU84" s="5">
        <v>43418</v>
      </c>
      <c r="AV84" s="1" t="s">
        <v>1941</v>
      </c>
      <c r="AW84" s="7">
        <v>43412.659409867098</v>
      </c>
      <c r="AX84" s="1" t="s">
        <v>1106</v>
      </c>
      <c r="AY84" s="6">
        <v>6795.36</v>
      </c>
      <c r="AZ84" s="5">
        <v>43413</v>
      </c>
      <c r="BA84" s="5">
        <v>43455</v>
      </c>
      <c r="BB84" s="7">
        <v>43465</v>
      </c>
      <c r="BC84" s="1" t="s">
        <v>1997</v>
      </c>
      <c r="BD84" s="1"/>
      <c r="BE84" s="1"/>
      <c r="BF84" s="1" t="s">
        <v>832</v>
      </c>
    </row>
    <row r="85" spans="1:58">
      <c r="A85" s="4">
        <v>80</v>
      </c>
      <c r="B85" s="2" t="str">
        <f>HYPERLINK("https://my.zakupki.prom.ua/remote/dispatcher/state_purchase_view/8459143", "UA-2018-10-04-002509-c")</f>
        <v>UA-2018-10-04-002509-c</v>
      </c>
      <c r="C85" s="2" t="s">
        <v>1459</v>
      </c>
      <c r="D85" s="1" t="s">
        <v>862</v>
      </c>
      <c r="E85" s="1" t="s">
        <v>1690</v>
      </c>
      <c r="F85" s="1" t="s">
        <v>861</v>
      </c>
      <c r="G85" s="1" t="s">
        <v>1346</v>
      </c>
      <c r="H85" s="1" t="s">
        <v>1800</v>
      </c>
      <c r="I85" s="1" t="s">
        <v>1379</v>
      </c>
      <c r="J85" s="1" t="s">
        <v>819</v>
      </c>
      <c r="K85" s="1" t="s">
        <v>1287</v>
      </c>
      <c r="L85" s="1" t="s">
        <v>1469</v>
      </c>
      <c r="M85" s="1" t="s">
        <v>119</v>
      </c>
      <c r="N85" s="1" t="s">
        <v>119</v>
      </c>
      <c r="O85" s="1" t="s">
        <v>119</v>
      </c>
      <c r="P85" s="5">
        <v>43377</v>
      </c>
      <c r="Q85" s="5">
        <v>43377</v>
      </c>
      <c r="R85" s="5">
        <v>43382</v>
      </c>
      <c r="S85" s="5">
        <v>43382</v>
      </c>
      <c r="T85" s="5">
        <v>43385</v>
      </c>
      <c r="U85" s="7">
        <v>43389.503981481481</v>
      </c>
      <c r="V85" s="4">
        <v>3</v>
      </c>
      <c r="W85" s="6">
        <v>164700</v>
      </c>
      <c r="X85" s="1" t="s">
        <v>1459</v>
      </c>
      <c r="Y85" s="1" t="s">
        <v>1956</v>
      </c>
      <c r="Z85" s="1" t="s">
        <v>1956</v>
      </c>
      <c r="AA85" s="1" t="s">
        <v>1956</v>
      </c>
      <c r="AB85" s="6">
        <v>1647</v>
      </c>
      <c r="AC85" s="1" t="s">
        <v>1124</v>
      </c>
      <c r="AD85" s="1" t="s">
        <v>1800</v>
      </c>
      <c r="AE85" s="1" t="s">
        <v>1286</v>
      </c>
      <c r="AF85" s="1" t="s">
        <v>1463</v>
      </c>
      <c r="AG85" s="6">
        <v>95700</v>
      </c>
      <c r="AH85" s="1" t="s">
        <v>1956</v>
      </c>
      <c r="AI85" s="1" t="s">
        <v>1866</v>
      </c>
      <c r="AJ85" s="6">
        <v>69000</v>
      </c>
      <c r="AK85" s="6">
        <v>0.41894353369763204</v>
      </c>
      <c r="AL85" s="1" t="s">
        <v>1722</v>
      </c>
      <c r="AM85" s="1" t="s">
        <v>954</v>
      </c>
      <c r="AN85" s="1" t="s">
        <v>1194</v>
      </c>
      <c r="AO85" s="1" t="s">
        <v>87</v>
      </c>
      <c r="AP85" s="6">
        <v>25.200000000011642</v>
      </c>
      <c r="AQ85" s="6">
        <v>1.53005464480945E-4</v>
      </c>
      <c r="AR85" s="2" t="str">
        <f>HYPERLINK("https://auction.openprocurement.org/tenders/147533f6e6aa4642a89415e115aa80ae")</f>
        <v>https://auction.openprocurement.org/tenders/147533f6e6aa4642a89415e115aa80ae</v>
      </c>
      <c r="AS85" s="7">
        <v>43399.410768194801</v>
      </c>
      <c r="AT85" s="5">
        <v>43403</v>
      </c>
      <c r="AU85" s="5">
        <v>43412</v>
      </c>
      <c r="AV85" s="1" t="s">
        <v>1941</v>
      </c>
      <c r="AW85" s="7">
        <v>43411.380928284059</v>
      </c>
      <c r="AX85" s="1" t="s">
        <v>534</v>
      </c>
      <c r="AY85" s="6">
        <v>164674.79999999999</v>
      </c>
      <c r="AZ85" s="5">
        <v>43391</v>
      </c>
      <c r="BA85" s="5">
        <v>43455</v>
      </c>
      <c r="BB85" s="7">
        <v>43465</v>
      </c>
      <c r="BC85" s="1" t="s">
        <v>1997</v>
      </c>
      <c r="BD85" s="1"/>
      <c r="BE85" s="1"/>
      <c r="BF85" s="1" t="s">
        <v>644</v>
      </c>
    </row>
    <row r="86" spans="1:58">
      <c r="A86" s="4">
        <v>81</v>
      </c>
      <c r="B86" s="2" t="str">
        <f>HYPERLINK("https://my.zakupki.prom.ua/remote/dispatcher/state_purchase_view/12102212", "UA-2019-07-02-002201-b")</f>
        <v>UA-2019-07-02-002201-b</v>
      </c>
      <c r="C86" s="2" t="s">
        <v>1459</v>
      </c>
      <c r="D86" s="1" t="s">
        <v>732</v>
      </c>
      <c r="E86" s="1" t="s">
        <v>1292</v>
      </c>
      <c r="F86" s="1" t="s">
        <v>733</v>
      </c>
      <c r="G86" s="1" t="s">
        <v>1513</v>
      </c>
      <c r="H86" s="1" t="s">
        <v>1800</v>
      </c>
      <c r="I86" s="1" t="s">
        <v>1379</v>
      </c>
      <c r="J86" s="1" t="s">
        <v>819</v>
      </c>
      <c r="K86" s="1" t="s">
        <v>1287</v>
      </c>
      <c r="L86" s="1" t="s">
        <v>1224</v>
      </c>
      <c r="M86" s="1" t="s">
        <v>119</v>
      </c>
      <c r="N86" s="1" t="s">
        <v>119</v>
      </c>
      <c r="O86" s="1" t="s">
        <v>119</v>
      </c>
      <c r="P86" s="5">
        <v>43648</v>
      </c>
      <c r="Q86" s="1"/>
      <c r="R86" s="1"/>
      <c r="S86" s="1"/>
      <c r="T86" s="1"/>
      <c r="U86" s="1" t="s">
        <v>1922</v>
      </c>
      <c r="V86" s="4">
        <v>1</v>
      </c>
      <c r="W86" s="6">
        <v>2494.02</v>
      </c>
      <c r="X86" s="1" t="s">
        <v>1459</v>
      </c>
      <c r="Y86" s="1" t="s">
        <v>1956</v>
      </c>
      <c r="Z86" s="1" t="s">
        <v>1956</v>
      </c>
      <c r="AA86" s="1" t="s">
        <v>1956</v>
      </c>
      <c r="AB86" s="1" t="s">
        <v>1964</v>
      </c>
      <c r="AC86" s="1" t="s">
        <v>1124</v>
      </c>
      <c r="AD86" s="1" t="s">
        <v>1800</v>
      </c>
      <c r="AE86" s="1" t="s">
        <v>1286</v>
      </c>
      <c r="AF86" s="1" t="s">
        <v>1463</v>
      </c>
      <c r="AG86" s="6">
        <v>2491.02</v>
      </c>
      <c r="AH86" s="1" t="s">
        <v>1956</v>
      </c>
      <c r="AI86" s="1"/>
      <c r="AJ86" s="6">
        <v>3</v>
      </c>
      <c r="AK86" s="6">
        <v>1.2028772824596435E-3</v>
      </c>
      <c r="AL86" s="1" t="s">
        <v>1751</v>
      </c>
      <c r="AM86" s="1" t="s">
        <v>448</v>
      </c>
      <c r="AN86" s="1"/>
      <c r="AO86" s="1" t="s">
        <v>29</v>
      </c>
      <c r="AP86" s="6">
        <v>3</v>
      </c>
      <c r="AQ86" s="6">
        <v>1.2028772824596435E-3</v>
      </c>
      <c r="AR86" s="2"/>
      <c r="AS86" s="1"/>
      <c r="AT86" s="5">
        <v>43659</v>
      </c>
      <c r="AU86" s="5">
        <v>43684</v>
      </c>
      <c r="AV86" s="1" t="s">
        <v>1941</v>
      </c>
      <c r="AW86" s="7">
        <v>43672.338367205339</v>
      </c>
      <c r="AX86" s="1" t="s">
        <v>523</v>
      </c>
      <c r="AY86" s="6">
        <v>2491.02</v>
      </c>
      <c r="AZ86" s="1"/>
      <c r="BA86" s="5">
        <v>43830</v>
      </c>
      <c r="BB86" s="7">
        <v>43830</v>
      </c>
      <c r="BC86" s="1" t="s">
        <v>1997</v>
      </c>
      <c r="BD86" s="1"/>
      <c r="BE86" s="1"/>
      <c r="BF86" s="1" t="s">
        <v>118</v>
      </c>
    </row>
    <row r="87" spans="1:58">
      <c r="A87" s="4">
        <v>82</v>
      </c>
      <c r="B87" s="2" t="str">
        <f>HYPERLINK("https://my.zakupki.prom.ua/remote/dispatcher/state_purchase_view/16930048", "UA-2020-05-29-000399-b")</f>
        <v>UA-2020-05-29-000399-b</v>
      </c>
      <c r="C87" s="2" t="s">
        <v>1459</v>
      </c>
      <c r="D87" s="1" t="s">
        <v>1275</v>
      </c>
      <c r="E87" s="1" t="s">
        <v>1275</v>
      </c>
      <c r="F87" s="1" t="s">
        <v>1006</v>
      </c>
      <c r="G87" s="1" t="s">
        <v>1346</v>
      </c>
      <c r="H87" s="1" t="s">
        <v>1463</v>
      </c>
      <c r="I87" s="1" t="s">
        <v>1379</v>
      </c>
      <c r="J87" s="1" t="s">
        <v>819</v>
      </c>
      <c r="K87" s="1" t="s">
        <v>1287</v>
      </c>
      <c r="L87" s="1" t="s">
        <v>1216</v>
      </c>
      <c r="M87" s="1" t="s">
        <v>119</v>
      </c>
      <c r="N87" s="1" t="s">
        <v>119</v>
      </c>
      <c r="O87" s="1" t="s">
        <v>119</v>
      </c>
      <c r="P87" s="5">
        <v>43980</v>
      </c>
      <c r="Q87" s="5">
        <v>43980</v>
      </c>
      <c r="R87" s="5">
        <v>43986</v>
      </c>
      <c r="S87" s="5">
        <v>43986</v>
      </c>
      <c r="T87" s="5">
        <v>43992</v>
      </c>
      <c r="U87" s="1" t="s">
        <v>1923</v>
      </c>
      <c r="V87" s="4">
        <v>0</v>
      </c>
      <c r="W87" s="6">
        <v>110000</v>
      </c>
      <c r="X87" s="1" t="s">
        <v>1459</v>
      </c>
      <c r="Y87" s="4">
        <v>1</v>
      </c>
      <c r="Z87" s="6">
        <v>110000</v>
      </c>
      <c r="AA87" s="1" t="s">
        <v>1976</v>
      </c>
      <c r="AB87" s="6">
        <v>550</v>
      </c>
      <c r="AC87" s="1" t="s">
        <v>1124</v>
      </c>
      <c r="AD87" s="1" t="s">
        <v>1800</v>
      </c>
      <c r="AE87" s="1" t="s">
        <v>1286</v>
      </c>
      <c r="AF87" s="1" t="s">
        <v>1463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2"/>
      <c r="AS87" s="1"/>
      <c r="AT87" s="1"/>
      <c r="AU87" s="1"/>
      <c r="AV87" s="1" t="s">
        <v>2002</v>
      </c>
      <c r="AW87" s="7">
        <v>43980.427056739398</v>
      </c>
      <c r="AX87" s="1"/>
      <c r="AY87" s="1"/>
      <c r="AZ87" s="1"/>
      <c r="BA87" s="5">
        <v>44043</v>
      </c>
      <c r="BB87" s="1"/>
      <c r="BC87" s="1"/>
      <c r="BD87" s="1" t="s">
        <v>1453</v>
      </c>
      <c r="BE87" s="1"/>
      <c r="BF87" s="1"/>
    </row>
    <row r="88" spans="1:58">
      <c r="A88" s="4">
        <v>83</v>
      </c>
      <c r="B88" s="2" t="str">
        <f>HYPERLINK("https://my.zakupki.prom.ua/remote/dispatcher/state_purchase_view/19057599", "UA-2020-09-07-005350-b")</f>
        <v>UA-2020-09-07-005350-b</v>
      </c>
      <c r="C88" s="2" t="s">
        <v>1459</v>
      </c>
      <c r="D88" s="1" t="s">
        <v>1958</v>
      </c>
      <c r="E88" s="1" t="s">
        <v>1293</v>
      </c>
      <c r="F88" s="1" t="s">
        <v>733</v>
      </c>
      <c r="G88" s="1" t="s">
        <v>1280</v>
      </c>
      <c r="H88" s="1" t="s">
        <v>1800</v>
      </c>
      <c r="I88" s="1" t="s">
        <v>1379</v>
      </c>
      <c r="J88" s="1" t="s">
        <v>819</v>
      </c>
      <c r="K88" s="1" t="s">
        <v>1287</v>
      </c>
      <c r="L88" s="1" t="s">
        <v>1216</v>
      </c>
      <c r="M88" s="1" t="s">
        <v>119</v>
      </c>
      <c r="N88" s="1" t="s">
        <v>119</v>
      </c>
      <c r="O88" s="1" t="s">
        <v>119</v>
      </c>
      <c r="P88" s="5">
        <v>44081</v>
      </c>
      <c r="Q88" s="5">
        <v>44081</v>
      </c>
      <c r="R88" s="5">
        <v>44089</v>
      </c>
      <c r="S88" s="5">
        <v>44081</v>
      </c>
      <c r="T88" s="5">
        <v>44099</v>
      </c>
      <c r="U88" s="1" t="s">
        <v>1923</v>
      </c>
      <c r="V88" s="4">
        <v>0</v>
      </c>
      <c r="W88" s="6">
        <v>19500</v>
      </c>
      <c r="X88" s="1" t="s">
        <v>1459</v>
      </c>
      <c r="Y88" s="1" t="s">
        <v>1956</v>
      </c>
      <c r="Z88" s="1" t="s">
        <v>1956</v>
      </c>
      <c r="AA88" s="1" t="s">
        <v>1956</v>
      </c>
      <c r="AB88" s="6">
        <v>195</v>
      </c>
      <c r="AC88" s="1" t="s">
        <v>1124</v>
      </c>
      <c r="AD88" s="1" t="s">
        <v>1800</v>
      </c>
      <c r="AE88" s="1" t="s">
        <v>1286</v>
      </c>
      <c r="AF88" s="1" t="s">
        <v>1463</v>
      </c>
      <c r="AG88" s="1"/>
      <c r="AH88" s="1" t="s">
        <v>1956</v>
      </c>
      <c r="AI88" s="1"/>
      <c r="AJ88" s="1"/>
      <c r="AK88" s="1"/>
      <c r="AL88" s="1"/>
      <c r="AM88" s="1"/>
      <c r="AN88" s="1"/>
      <c r="AO88" s="1"/>
      <c r="AP88" s="1"/>
      <c r="AQ88" s="1"/>
      <c r="AR88" s="2"/>
      <c r="AS88" s="1"/>
      <c r="AT88" s="1"/>
      <c r="AU88" s="1"/>
      <c r="AV88" s="1" t="s">
        <v>2002</v>
      </c>
      <c r="AW88" s="7">
        <v>44093.000921104584</v>
      </c>
      <c r="AX88" s="1"/>
      <c r="AY88" s="1"/>
      <c r="AZ88" s="1"/>
      <c r="BA88" s="5">
        <v>44196</v>
      </c>
      <c r="BB88" s="1"/>
      <c r="BC88" s="1"/>
      <c r="BD88" s="1" t="s">
        <v>1281</v>
      </c>
      <c r="BE88" s="1"/>
      <c r="BF88" s="1"/>
    </row>
    <row r="89" spans="1:58">
      <c r="A89" s="4">
        <v>84</v>
      </c>
      <c r="B89" s="2" t="str">
        <f>HYPERLINK("https://my.zakupki.prom.ua/remote/dispatcher/state_purchase_view/19651296", "UA-2020-09-28-004643-a")</f>
        <v>UA-2020-09-28-004643-a</v>
      </c>
      <c r="C89" s="2" t="s">
        <v>1459</v>
      </c>
      <c r="D89" s="1" t="s">
        <v>1958</v>
      </c>
      <c r="E89" s="1" t="s">
        <v>1293</v>
      </c>
      <c r="F89" s="1" t="s">
        <v>733</v>
      </c>
      <c r="G89" s="1" t="s">
        <v>1280</v>
      </c>
      <c r="H89" s="1" t="s">
        <v>1800</v>
      </c>
      <c r="I89" s="1" t="s">
        <v>1379</v>
      </c>
      <c r="J89" s="1" t="s">
        <v>819</v>
      </c>
      <c r="K89" s="1" t="s">
        <v>1287</v>
      </c>
      <c r="L89" s="1" t="s">
        <v>1216</v>
      </c>
      <c r="M89" s="1" t="s">
        <v>119</v>
      </c>
      <c r="N89" s="1" t="s">
        <v>119</v>
      </c>
      <c r="O89" s="1" t="s">
        <v>119</v>
      </c>
      <c r="P89" s="5">
        <v>44102</v>
      </c>
      <c r="Q89" s="5">
        <v>44102</v>
      </c>
      <c r="R89" s="5">
        <v>44109</v>
      </c>
      <c r="S89" s="5">
        <v>44102</v>
      </c>
      <c r="T89" s="5">
        <v>44119</v>
      </c>
      <c r="U89" s="1" t="s">
        <v>1923</v>
      </c>
      <c r="V89" s="4">
        <v>0</v>
      </c>
      <c r="W89" s="6">
        <v>7500</v>
      </c>
      <c r="X89" s="1" t="s">
        <v>1459</v>
      </c>
      <c r="Y89" s="1" t="s">
        <v>1956</v>
      </c>
      <c r="Z89" s="1" t="s">
        <v>1956</v>
      </c>
      <c r="AA89" s="1" t="s">
        <v>1956</v>
      </c>
      <c r="AB89" s="6">
        <v>75</v>
      </c>
      <c r="AC89" s="1" t="s">
        <v>1124</v>
      </c>
      <c r="AD89" s="1" t="s">
        <v>1800</v>
      </c>
      <c r="AE89" s="1" t="s">
        <v>1286</v>
      </c>
      <c r="AF89" s="1" t="s">
        <v>1463</v>
      </c>
      <c r="AG89" s="1"/>
      <c r="AH89" s="1" t="s">
        <v>1956</v>
      </c>
      <c r="AI89" s="1"/>
      <c r="AJ89" s="1"/>
      <c r="AK89" s="1"/>
      <c r="AL89" s="1"/>
      <c r="AM89" s="1"/>
      <c r="AN89" s="1"/>
      <c r="AO89" s="1"/>
      <c r="AP89" s="1"/>
      <c r="AQ89" s="1"/>
      <c r="AR89" s="2"/>
      <c r="AS89" s="1"/>
      <c r="AT89" s="1"/>
      <c r="AU89" s="1"/>
      <c r="AV89" s="1" t="s">
        <v>1942</v>
      </c>
      <c r="AW89" s="7">
        <v>44119.37786609499</v>
      </c>
      <c r="AX89" s="1"/>
      <c r="AY89" s="1"/>
      <c r="AZ89" s="1"/>
      <c r="BA89" s="5">
        <v>44196</v>
      </c>
      <c r="BB89" s="1"/>
      <c r="BC89" s="1"/>
      <c r="BD89" s="1"/>
      <c r="BE89" s="1"/>
      <c r="BF89" s="1"/>
    </row>
    <row r="90" spans="1:58">
      <c r="A90" s="4">
        <v>85</v>
      </c>
      <c r="B90" s="2" t="str">
        <f>HYPERLINK("https://my.zakupki.prom.ua/remote/dispatcher/state_purchase_view/12785121", "UA-2019-09-10-000481-b")</f>
        <v>UA-2019-09-10-000481-b</v>
      </c>
      <c r="C90" s="2" t="s">
        <v>1459</v>
      </c>
      <c r="D90" s="1" t="s">
        <v>757</v>
      </c>
      <c r="E90" s="1" t="s">
        <v>755</v>
      </c>
      <c r="F90" s="1" t="s">
        <v>756</v>
      </c>
      <c r="G90" s="1" t="s">
        <v>1346</v>
      </c>
      <c r="H90" s="1" t="s">
        <v>1800</v>
      </c>
      <c r="I90" s="1" t="s">
        <v>1379</v>
      </c>
      <c r="J90" s="1" t="s">
        <v>819</v>
      </c>
      <c r="K90" s="1" t="s">
        <v>1287</v>
      </c>
      <c r="L90" s="1" t="s">
        <v>1658</v>
      </c>
      <c r="M90" s="1" t="s">
        <v>119</v>
      </c>
      <c r="N90" s="1" t="s">
        <v>119</v>
      </c>
      <c r="O90" s="1" t="s">
        <v>119</v>
      </c>
      <c r="P90" s="5">
        <v>43718</v>
      </c>
      <c r="Q90" s="5">
        <v>43718</v>
      </c>
      <c r="R90" s="5">
        <v>43720</v>
      </c>
      <c r="S90" s="5">
        <v>43720</v>
      </c>
      <c r="T90" s="5">
        <v>43721</v>
      </c>
      <c r="U90" s="7">
        <v>43724.639826388891</v>
      </c>
      <c r="V90" s="4">
        <v>3</v>
      </c>
      <c r="W90" s="6">
        <v>34235</v>
      </c>
      <c r="X90" s="1" t="s">
        <v>1459</v>
      </c>
      <c r="Y90" s="4">
        <v>91</v>
      </c>
      <c r="Z90" s="6">
        <v>376.21</v>
      </c>
      <c r="AA90" s="1" t="s">
        <v>2017</v>
      </c>
      <c r="AB90" s="6">
        <v>171.18</v>
      </c>
      <c r="AC90" s="1" t="s">
        <v>1124</v>
      </c>
      <c r="AD90" s="1" t="s">
        <v>1800</v>
      </c>
      <c r="AE90" s="1" t="s">
        <v>1286</v>
      </c>
      <c r="AF90" s="1" t="s">
        <v>1463</v>
      </c>
      <c r="AG90" s="6">
        <v>32285</v>
      </c>
      <c r="AH90" s="6">
        <v>354.7802197802198</v>
      </c>
      <c r="AI90" s="1" t="s">
        <v>1498</v>
      </c>
      <c r="AJ90" s="6">
        <v>1950</v>
      </c>
      <c r="AK90" s="6">
        <v>5.6959252227252809E-2</v>
      </c>
      <c r="AL90" s="1" t="s">
        <v>1709</v>
      </c>
      <c r="AM90" s="1" t="s">
        <v>963</v>
      </c>
      <c r="AN90" s="1" t="s">
        <v>1149</v>
      </c>
      <c r="AO90" s="1" t="s">
        <v>73</v>
      </c>
      <c r="AP90" s="6">
        <v>3.4100000000034925</v>
      </c>
      <c r="AQ90" s="6">
        <v>9.9605666715451801E-5</v>
      </c>
      <c r="AR90" s="2" t="str">
        <f>HYPERLINK("https://auction.openprocurement.org/tenders/ed1b4c70eb174ce6bb070cc7f278503c")</f>
        <v>https://auction.openprocurement.org/tenders/ed1b4c70eb174ce6bb070cc7f278503c</v>
      </c>
      <c r="AS90" s="7">
        <v>43732.516696579907</v>
      </c>
      <c r="AT90" s="5">
        <v>43734</v>
      </c>
      <c r="AU90" s="5">
        <v>43750</v>
      </c>
      <c r="AV90" s="1" t="s">
        <v>1941</v>
      </c>
      <c r="AW90" s="7">
        <v>43738.518819253506</v>
      </c>
      <c r="AX90" s="1" t="s">
        <v>615</v>
      </c>
      <c r="AY90" s="6">
        <v>34231.589999999997</v>
      </c>
      <c r="AZ90" s="1"/>
      <c r="BA90" s="5">
        <v>43830</v>
      </c>
      <c r="BB90" s="7">
        <v>43830</v>
      </c>
      <c r="BC90" s="1" t="s">
        <v>1997</v>
      </c>
      <c r="BD90" s="1"/>
      <c r="BE90" s="1"/>
      <c r="BF90" s="1" t="s">
        <v>479</v>
      </c>
    </row>
    <row r="91" spans="1:58">
      <c r="A91" s="4">
        <v>86</v>
      </c>
      <c r="B91" s="2" t="str">
        <f>HYPERLINK("https://my.zakupki.prom.ua/remote/dispatcher/state_purchase_view/13228428", "UA-2019-10-18-002234-b")</f>
        <v>UA-2019-10-18-002234-b</v>
      </c>
      <c r="C91" s="2" t="s">
        <v>1459</v>
      </c>
      <c r="D91" s="1" t="s">
        <v>736</v>
      </c>
      <c r="E91" s="1" t="s">
        <v>1263</v>
      </c>
      <c r="F91" s="1" t="s">
        <v>733</v>
      </c>
      <c r="G91" s="1" t="s">
        <v>1346</v>
      </c>
      <c r="H91" s="1" t="s">
        <v>1800</v>
      </c>
      <c r="I91" s="1" t="s">
        <v>1379</v>
      </c>
      <c r="J91" s="1" t="s">
        <v>819</v>
      </c>
      <c r="K91" s="1" t="s">
        <v>1287</v>
      </c>
      <c r="L91" s="1" t="s">
        <v>1658</v>
      </c>
      <c r="M91" s="1" t="s">
        <v>119</v>
      </c>
      <c r="N91" s="1" t="s">
        <v>119</v>
      </c>
      <c r="O91" s="1" t="s">
        <v>119</v>
      </c>
      <c r="P91" s="5">
        <v>43756</v>
      </c>
      <c r="Q91" s="5">
        <v>43756</v>
      </c>
      <c r="R91" s="5">
        <v>43759</v>
      </c>
      <c r="S91" s="5">
        <v>43759</v>
      </c>
      <c r="T91" s="5">
        <v>43761</v>
      </c>
      <c r="U91" s="7">
        <v>43762.60125</v>
      </c>
      <c r="V91" s="4">
        <v>3</v>
      </c>
      <c r="W91" s="6">
        <v>47514</v>
      </c>
      <c r="X91" s="1" t="s">
        <v>1459</v>
      </c>
      <c r="Y91" s="4">
        <v>182</v>
      </c>
      <c r="Z91" s="6">
        <v>261.07</v>
      </c>
      <c r="AA91" s="1" t="s">
        <v>2023</v>
      </c>
      <c r="AB91" s="6">
        <v>475.14</v>
      </c>
      <c r="AC91" s="1" t="s">
        <v>1124</v>
      </c>
      <c r="AD91" s="1" t="s">
        <v>1800</v>
      </c>
      <c r="AE91" s="1" t="s">
        <v>1286</v>
      </c>
      <c r="AF91" s="1" t="s">
        <v>1463</v>
      </c>
      <c r="AG91" s="6">
        <v>40936.9</v>
      </c>
      <c r="AH91" s="6">
        <v>224.92802197802197</v>
      </c>
      <c r="AI91" s="1" t="s">
        <v>1706</v>
      </c>
      <c r="AJ91" s="6">
        <v>6577.0999999999985</v>
      </c>
      <c r="AK91" s="6">
        <v>0.13842446436839664</v>
      </c>
      <c r="AL91" s="1" t="s">
        <v>1706</v>
      </c>
      <c r="AM91" s="1" t="s">
        <v>448</v>
      </c>
      <c r="AN91" s="1" t="s">
        <v>1195</v>
      </c>
      <c r="AO91" s="1" t="s">
        <v>25</v>
      </c>
      <c r="AP91" s="6">
        <v>6577.0999999999985</v>
      </c>
      <c r="AQ91" s="6">
        <v>0.13842446436839664</v>
      </c>
      <c r="AR91" s="2" t="str">
        <f>HYPERLINK("https://auction.openprocurement.org/tenders/9d71336956bb44a4b5f88a24fd34b947")</f>
        <v>https://auction.openprocurement.org/tenders/9d71336956bb44a4b5f88a24fd34b947</v>
      </c>
      <c r="AS91" s="7">
        <v>43763.553757343805</v>
      </c>
      <c r="AT91" s="5">
        <v>43767</v>
      </c>
      <c r="AU91" s="5">
        <v>43789</v>
      </c>
      <c r="AV91" s="1" t="s">
        <v>1941</v>
      </c>
      <c r="AW91" s="7">
        <v>43776.682488424834</v>
      </c>
      <c r="AX91" s="1" t="s">
        <v>230</v>
      </c>
      <c r="AY91" s="6">
        <v>40936.9</v>
      </c>
      <c r="AZ91" s="1"/>
      <c r="BA91" s="5">
        <v>43830</v>
      </c>
      <c r="BB91" s="7">
        <v>43830</v>
      </c>
      <c r="BC91" s="1" t="s">
        <v>1997</v>
      </c>
      <c r="BD91" s="1"/>
      <c r="BE91" s="1"/>
      <c r="BF91" s="1" t="s">
        <v>449</v>
      </c>
    </row>
    <row r="92" spans="1:58">
      <c r="A92" s="4">
        <v>87</v>
      </c>
      <c r="B92" s="2" t="str">
        <f>HYPERLINK("https://my.zakupki.prom.ua/remote/dispatcher/state_purchase_view/13441626", "UA-2019-11-05-002168-b")</f>
        <v>UA-2019-11-05-002168-b</v>
      </c>
      <c r="C92" s="2" t="s">
        <v>1459</v>
      </c>
      <c r="D92" s="1" t="s">
        <v>962</v>
      </c>
      <c r="E92" s="1" t="s">
        <v>962</v>
      </c>
      <c r="F92" s="1" t="s">
        <v>961</v>
      </c>
      <c r="G92" s="1" t="s">
        <v>1346</v>
      </c>
      <c r="H92" s="1" t="s">
        <v>1800</v>
      </c>
      <c r="I92" s="1" t="s">
        <v>1379</v>
      </c>
      <c r="J92" s="1" t="s">
        <v>819</v>
      </c>
      <c r="K92" s="1" t="s">
        <v>1287</v>
      </c>
      <c r="L92" s="1" t="s">
        <v>1915</v>
      </c>
      <c r="M92" s="1" t="s">
        <v>316</v>
      </c>
      <c r="N92" s="1" t="s">
        <v>119</v>
      </c>
      <c r="O92" s="1" t="s">
        <v>119</v>
      </c>
      <c r="P92" s="5">
        <v>43774</v>
      </c>
      <c r="Q92" s="5">
        <v>43774</v>
      </c>
      <c r="R92" s="5">
        <v>43780</v>
      </c>
      <c r="S92" s="5">
        <v>43780</v>
      </c>
      <c r="T92" s="5">
        <v>43784</v>
      </c>
      <c r="U92" s="7">
        <v>43787.492152777777</v>
      </c>
      <c r="V92" s="4">
        <v>2</v>
      </c>
      <c r="W92" s="6">
        <v>10200</v>
      </c>
      <c r="X92" s="1" t="s">
        <v>1459</v>
      </c>
      <c r="Y92" s="4">
        <v>6</v>
      </c>
      <c r="Z92" s="6">
        <v>1700</v>
      </c>
      <c r="AA92" s="1" t="s">
        <v>2023</v>
      </c>
      <c r="AB92" s="6">
        <v>102</v>
      </c>
      <c r="AC92" s="1" t="s">
        <v>1124</v>
      </c>
      <c r="AD92" s="1" t="s">
        <v>1800</v>
      </c>
      <c r="AE92" s="1" t="s">
        <v>1286</v>
      </c>
      <c r="AF92" s="1" t="s">
        <v>1463</v>
      </c>
      <c r="AG92" s="6">
        <v>8298</v>
      </c>
      <c r="AH92" s="6">
        <v>1383</v>
      </c>
      <c r="AI92" s="1" t="s">
        <v>1863</v>
      </c>
      <c r="AJ92" s="6">
        <v>1902</v>
      </c>
      <c r="AK92" s="6">
        <v>0.18647058823529411</v>
      </c>
      <c r="AL92" s="1" t="s">
        <v>1863</v>
      </c>
      <c r="AM92" s="1" t="s">
        <v>605</v>
      </c>
      <c r="AN92" s="1" t="s">
        <v>1145</v>
      </c>
      <c r="AO92" s="1" t="s">
        <v>75</v>
      </c>
      <c r="AP92" s="6">
        <v>1902</v>
      </c>
      <c r="AQ92" s="6">
        <v>0.18647058823529411</v>
      </c>
      <c r="AR92" s="2" t="str">
        <f>HYPERLINK("https://auction.openprocurement.org/tenders/7dadc29a51fe48a9a856e96ec8b38736")</f>
        <v>https://auction.openprocurement.org/tenders/7dadc29a51fe48a9a856e96ec8b38736</v>
      </c>
      <c r="AS92" s="7">
        <v>43788.51880327535</v>
      </c>
      <c r="AT92" s="5">
        <v>43790</v>
      </c>
      <c r="AU92" s="5">
        <v>43810</v>
      </c>
      <c r="AV92" s="1" t="s">
        <v>1941</v>
      </c>
      <c r="AW92" s="7">
        <v>43790.534251666577</v>
      </c>
      <c r="AX92" s="1" t="s">
        <v>435</v>
      </c>
      <c r="AY92" s="6">
        <v>8298</v>
      </c>
      <c r="AZ92" s="1"/>
      <c r="BA92" s="5">
        <v>43830</v>
      </c>
      <c r="BB92" s="7">
        <v>43830</v>
      </c>
      <c r="BC92" s="1" t="s">
        <v>1997</v>
      </c>
      <c r="BD92" s="1"/>
      <c r="BE92" s="1"/>
      <c r="BF92" s="1" t="s">
        <v>606</v>
      </c>
    </row>
    <row r="93" spans="1:58">
      <c r="A93" s="4">
        <v>88</v>
      </c>
      <c r="B93" s="2" t="str">
        <f>HYPERLINK("https://my.zakupki.prom.ua/remote/dispatcher/state_purchase_view/10758984", "UA-2019-02-28-000713-a")</f>
        <v>UA-2019-02-28-000713-a</v>
      </c>
      <c r="C93" s="2" t="s">
        <v>1459</v>
      </c>
      <c r="D93" s="1" t="s">
        <v>1347</v>
      </c>
      <c r="E93" s="1" t="s">
        <v>1347</v>
      </c>
      <c r="F93" s="1" t="s">
        <v>464</v>
      </c>
      <c r="G93" s="1" t="s">
        <v>1346</v>
      </c>
      <c r="H93" s="1" t="s">
        <v>1800</v>
      </c>
      <c r="I93" s="1" t="s">
        <v>1379</v>
      </c>
      <c r="J93" s="1" t="s">
        <v>819</v>
      </c>
      <c r="K93" s="1" t="s">
        <v>1287</v>
      </c>
      <c r="L93" s="1" t="s">
        <v>1224</v>
      </c>
      <c r="M93" s="1" t="s">
        <v>119</v>
      </c>
      <c r="N93" s="1" t="s">
        <v>119</v>
      </c>
      <c r="O93" s="1" t="s">
        <v>119</v>
      </c>
      <c r="P93" s="5">
        <v>43524</v>
      </c>
      <c r="Q93" s="5">
        <v>43524</v>
      </c>
      <c r="R93" s="5">
        <v>43529</v>
      </c>
      <c r="S93" s="5">
        <v>43529</v>
      </c>
      <c r="T93" s="5">
        <v>43531</v>
      </c>
      <c r="U93" s="7">
        <v>43535.658449074072</v>
      </c>
      <c r="V93" s="4">
        <v>2</v>
      </c>
      <c r="W93" s="6">
        <v>39700</v>
      </c>
      <c r="X93" s="1" t="s">
        <v>1459</v>
      </c>
      <c r="Y93" s="4">
        <v>50856</v>
      </c>
      <c r="Z93" s="6">
        <v>0.78</v>
      </c>
      <c r="AA93" s="1" t="s">
        <v>2023</v>
      </c>
      <c r="AB93" s="6">
        <v>198.5</v>
      </c>
      <c r="AC93" s="1" t="s">
        <v>1124</v>
      </c>
      <c r="AD93" s="1" t="s">
        <v>1800</v>
      </c>
      <c r="AE93" s="1" t="s">
        <v>1286</v>
      </c>
      <c r="AF93" s="1" t="s">
        <v>1463</v>
      </c>
      <c r="AG93" s="6">
        <v>22809</v>
      </c>
      <c r="AH93" s="6">
        <v>0.44850165172251061</v>
      </c>
      <c r="AI93" s="1" t="s">
        <v>1787</v>
      </c>
      <c r="AJ93" s="6">
        <v>16891</v>
      </c>
      <c r="AK93" s="6">
        <v>0.4254659949622166</v>
      </c>
      <c r="AL93" s="1" t="s">
        <v>1787</v>
      </c>
      <c r="AM93" s="1" t="s">
        <v>513</v>
      </c>
      <c r="AN93" s="1" t="s">
        <v>1202</v>
      </c>
      <c r="AO93" s="1" t="s">
        <v>70</v>
      </c>
      <c r="AP93" s="6">
        <v>16891</v>
      </c>
      <c r="AQ93" s="6">
        <v>0.4254659949622166</v>
      </c>
      <c r="AR93" s="2" t="str">
        <f>HYPERLINK("https://auction.openprocurement.org/tenders/07576aa4f35a4eff840a71cafc60a27b")</f>
        <v>https://auction.openprocurement.org/tenders/07576aa4f35a4eff840a71cafc60a27b</v>
      </c>
      <c r="AS93" s="7">
        <v>43537.490820324027</v>
      </c>
      <c r="AT93" s="5">
        <v>43539</v>
      </c>
      <c r="AU93" s="5">
        <v>43559</v>
      </c>
      <c r="AV93" s="1" t="s">
        <v>1941</v>
      </c>
      <c r="AW93" s="7">
        <v>43549.484691496436</v>
      </c>
      <c r="AX93" s="1" t="s">
        <v>466</v>
      </c>
      <c r="AY93" s="6">
        <v>22809</v>
      </c>
      <c r="AZ93" s="5">
        <v>43538</v>
      </c>
      <c r="BA93" s="5">
        <v>43555</v>
      </c>
      <c r="BB93" s="7">
        <v>43830</v>
      </c>
      <c r="BC93" s="1" t="s">
        <v>1997</v>
      </c>
      <c r="BD93" s="1"/>
      <c r="BE93" s="1"/>
      <c r="BF93" s="1" t="s">
        <v>515</v>
      </c>
    </row>
    <row r="94" spans="1:58">
      <c r="A94" s="4">
        <v>89</v>
      </c>
      <c r="B94" s="2" t="str">
        <f>HYPERLINK("https://my.zakupki.prom.ua/remote/dispatcher/state_purchase_view/8501641", "UA-2018-10-09-002086-c")</f>
        <v>UA-2018-10-09-002086-c</v>
      </c>
      <c r="C94" s="2" t="s">
        <v>1459</v>
      </c>
      <c r="D94" s="1" t="s">
        <v>740</v>
      </c>
      <c r="E94" s="1" t="s">
        <v>1262</v>
      </c>
      <c r="F94" s="1" t="s">
        <v>733</v>
      </c>
      <c r="G94" s="1" t="s">
        <v>1280</v>
      </c>
      <c r="H94" s="1" t="s">
        <v>1800</v>
      </c>
      <c r="I94" s="1" t="s">
        <v>1379</v>
      </c>
      <c r="J94" s="1" t="s">
        <v>819</v>
      </c>
      <c r="K94" s="1" t="s">
        <v>1287</v>
      </c>
      <c r="L94" s="1" t="s">
        <v>1469</v>
      </c>
      <c r="M94" s="1" t="s">
        <v>119</v>
      </c>
      <c r="N94" s="1" t="s">
        <v>119</v>
      </c>
      <c r="O94" s="1" t="s">
        <v>119</v>
      </c>
      <c r="P94" s="5">
        <v>43382</v>
      </c>
      <c r="Q94" s="5">
        <v>43382</v>
      </c>
      <c r="R94" s="5">
        <v>43387</v>
      </c>
      <c r="S94" s="5">
        <v>43382</v>
      </c>
      <c r="T94" s="5">
        <v>43397</v>
      </c>
      <c r="U94" s="1" t="s">
        <v>1923</v>
      </c>
      <c r="V94" s="4">
        <v>0</v>
      </c>
      <c r="W94" s="6">
        <v>32000</v>
      </c>
      <c r="X94" s="1" t="s">
        <v>1459</v>
      </c>
      <c r="Y94" s="4">
        <v>160</v>
      </c>
      <c r="Z94" s="6">
        <v>200</v>
      </c>
      <c r="AA94" s="1" t="s">
        <v>2023</v>
      </c>
      <c r="AB94" s="6">
        <v>160</v>
      </c>
      <c r="AC94" s="1" t="s">
        <v>1124</v>
      </c>
      <c r="AD94" s="1" t="s">
        <v>1800</v>
      </c>
      <c r="AE94" s="1" t="s">
        <v>1286</v>
      </c>
      <c r="AF94" s="1" t="s">
        <v>1463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2"/>
      <c r="AS94" s="1"/>
      <c r="AT94" s="1"/>
      <c r="AU94" s="1"/>
      <c r="AV94" s="1" t="s">
        <v>1942</v>
      </c>
      <c r="AW94" s="7">
        <v>43397.723508304269</v>
      </c>
      <c r="AX94" s="1"/>
      <c r="AY94" s="1"/>
      <c r="AZ94" s="5">
        <v>43419</v>
      </c>
      <c r="BA94" s="5">
        <v>43465</v>
      </c>
      <c r="BB94" s="1"/>
      <c r="BC94" s="1"/>
      <c r="BD94" s="1"/>
      <c r="BE94" s="1"/>
      <c r="BF94" s="1"/>
    </row>
    <row r="95" spans="1:58">
      <c r="A95" s="4">
        <v>90</v>
      </c>
      <c r="B95" s="2" t="str">
        <f>HYPERLINK("https://my.zakupki.prom.ua/remote/dispatcher/state_purchase_view/8485714", "UA-2018-10-08-001913-c")</f>
        <v>UA-2018-10-08-001913-c</v>
      </c>
      <c r="C95" s="2" t="s">
        <v>1459</v>
      </c>
      <c r="D95" s="1" t="s">
        <v>1417</v>
      </c>
      <c r="E95" s="1" t="s">
        <v>1418</v>
      </c>
      <c r="F95" s="1" t="s">
        <v>658</v>
      </c>
      <c r="G95" s="1" t="s">
        <v>1346</v>
      </c>
      <c r="H95" s="1" t="s">
        <v>1800</v>
      </c>
      <c r="I95" s="1" t="s">
        <v>1379</v>
      </c>
      <c r="J95" s="1" t="s">
        <v>819</v>
      </c>
      <c r="K95" s="1" t="s">
        <v>1287</v>
      </c>
      <c r="L95" s="1" t="s">
        <v>1469</v>
      </c>
      <c r="M95" s="1" t="s">
        <v>119</v>
      </c>
      <c r="N95" s="1" t="s">
        <v>119</v>
      </c>
      <c r="O95" s="1" t="s">
        <v>119</v>
      </c>
      <c r="P95" s="5">
        <v>43381</v>
      </c>
      <c r="Q95" s="5">
        <v>43381</v>
      </c>
      <c r="R95" s="5">
        <v>43383</v>
      </c>
      <c r="S95" s="5">
        <v>43383</v>
      </c>
      <c r="T95" s="5">
        <v>43385</v>
      </c>
      <c r="U95" s="7">
        <v>43389.477453703701</v>
      </c>
      <c r="V95" s="4">
        <v>3</v>
      </c>
      <c r="W95" s="6">
        <v>3250</v>
      </c>
      <c r="X95" s="1" t="s">
        <v>1459</v>
      </c>
      <c r="Y95" s="1" t="s">
        <v>1956</v>
      </c>
      <c r="Z95" s="1" t="s">
        <v>1956</v>
      </c>
      <c r="AA95" s="1" t="s">
        <v>1956</v>
      </c>
      <c r="AB95" s="6">
        <v>16.25</v>
      </c>
      <c r="AC95" s="1" t="s">
        <v>1124</v>
      </c>
      <c r="AD95" s="1" t="s">
        <v>1800</v>
      </c>
      <c r="AE95" s="1" t="s">
        <v>1286</v>
      </c>
      <c r="AF95" s="1" t="s">
        <v>1463</v>
      </c>
      <c r="AG95" s="6">
        <v>1793.3</v>
      </c>
      <c r="AH95" s="1" t="s">
        <v>1956</v>
      </c>
      <c r="AI95" s="1" t="s">
        <v>1886</v>
      </c>
      <c r="AJ95" s="6">
        <v>1456.7</v>
      </c>
      <c r="AK95" s="6">
        <v>0.44821538461538463</v>
      </c>
      <c r="AL95" s="1" t="s">
        <v>1886</v>
      </c>
      <c r="AM95" s="1" t="s">
        <v>686</v>
      </c>
      <c r="AN95" s="1" t="s">
        <v>1201</v>
      </c>
      <c r="AO95" s="1" t="s">
        <v>103</v>
      </c>
      <c r="AP95" s="6">
        <v>1456.7</v>
      </c>
      <c r="AQ95" s="6">
        <v>0.44821538461538463</v>
      </c>
      <c r="AR95" s="2" t="str">
        <f>HYPERLINK("https://auction.openprocurement.org/tenders/55ddad7299d9407eaa19a665596f6cba")</f>
        <v>https://auction.openprocurement.org/tenders/55ddad7299d9407eaa19a665596f6cba</v>
      </c>
      <c r="AS95" s="7">
        <v>43395.670395029039</v>
      </c>
      <c r="AT95" s="5">
        <v>43397</v>
      </c>
      <c r="AU95" s="5">
        <v>43413</v>
      </c>
      <c r="AV95" s="1" t="s">
        <v>1941</v>
      </c>
      <c r="AW95" s="7">
        <v>43404.696820801219</v>
      </c>
      <c r="AX95" s="1" t="s">
        <v>617</v>
      </c>
      <c r="AY95" s="6">
        <v>1793.3</v>
      </c>
      <c r="AZ95" s="5">
        <v>43395</v>
      </c>
      <c r="BA95" s="5">
        <v>43455</v>
      </c>
      <c r="BB95" s="7">
        <v>43465</v>
      </c>
      <c r="BC95" s="1" t="s">
        <v>1997</v>
      </c>
      <c r="BD95" s="1"/>
      <c r="BE95" s="1"/>
      <c r="BF95" s="1" t="s">
        <v>688</v>
      </c>
    </row>
    <row r="96" spans="1:58">
      <c r="A96" s="4">
        <v>91</v>
      </c>
      <c r="B96" s="2" t="str">
        <f>HYPERLINK("https://my.zakupki.prom.ua/remote/dispatcher/state_purchase_view/11304666", "UA-2019-04-15-001430-a")</f>
        <v>UA-2019-04-15-001430-a</v>
      </c>
      <c r="C96" s="2" t="s">
        <v>1459</v>
      </c>
      <c r="D96" s="1" t="s">
        <v>1301</v>
      </c>
      <c r="E96" s="1" t="s">
        <v>1301</v>
      </c>
      <c r="F96" s="1" t="s">
        <v>879</v>
      </c>
      <c r="G96" s="1" t="s">
        <v>1346</v>
      </c>
      <c r="H96" s="1" t="s">
        <v>1800</v>
      </c>
      <c r="I96" s="1" t="s">
        <v>1379</v>
      </c>
      <c r="J96" s="1" t="s">
        <v>819</v>
      </c>
      <c r="K96" s="1" t="s">
        <v>1287</v>
      </c>
      <c r="L96" s="1" t="s">
        <v>1224</v>
      </c>
      <c r="M96" s="1" t="s">
        <v>119</v>
      </c>
      <c r="N96" s="1" t="s">
        <v>119</v>
      </c>
      <c r="O96" s="1" t="s">
        <v>119</v>
      </c>
      <c r="P96" s="5">
        <v>43570</v>
      </c>
      <c r="Q96" s="5">
        <v>43570</v>
      </c>
      <c r="R96" s="5">
        <v>43572</v>
      </c>
      <c r="S96" s="5">
        <v>43572</v>
      </c>
      <c r="T96" s="5">
        <v>43574</v>
      </c>
      <c r="U96" s="1" t="s">
        <v>1923</v>
      </c>
      <c r="V96" s="4">
        <v>0</v>
      </c>
      <c r="W96" s="6">
        <v>3100</v>
      </c>
      <c r="X96" s="1" t="s">
        <v>1459</v>
      </c>
      <c r="Y96" s="4">
        <v>125</v>
      </c>
      <c r="Z96" s="6">
        <v>24.8</v>
      </c>
      <c r="AA96" s="1" t="s">
        <v>2023</v>
      </c>
      <c r="AB96" s="6">
        <v>15.5</v>
      </c>
      <c r="AC96" s="1" t="s">
        <v>1124</v>
      </c>
      <c r="AD96" s="1" t="s">
        <v>1800</v>
      </c>
      <c r="AE96" s="1" t="s">
        <v>1286</v>
      </c>
      <c r="AF96" s="1" t="s">
        <v>1463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2"/>
      <c r="AS96" s="1"/>
      <c r="AT96" s="1"/>
      <c r="AU96" s="1"/>
      <c r="AV96" s="1" t="s">
        <v>1942</v>
      </c>
      <c r="AW96" s="7">
        <v>43574.620904413168</v>
      </c>
      <c r="AX96" s="1"/>
      <c r="AY96" s="1"/>
      <c r="AZ96" s="1"/>
      <c r="BA96" s="5">
        <v>43615</v>
      </c>
      <c r="BB96" s="1"/>
      <c r="BC96" s="1"/>
      <c r="BD96" s="1"/>
      <c r="BE96" s="1"/>
      <c r="BF96" s="1"/>
    </row>
    <row r="97" spans="1:58">
      <c r="A97" s="4">
        <v>92</v>
      </c>
      <c r="B97" s="2" t="str">
        <f>HYPERLINK("https://my.zakupki.prom.ua/remote/dispatcher/state_purchase_view/11513841", "UA-2019-05-08-000582-a")</f>
        <v>UA-2019-05-08-000582-a</v>
      </c>
      <c r="C97" s="2" t="s">
        <v>1459</v>
      </c>
      <c r="D97" s="1" t="s">
        <v>1301</v>
      </c>
      <c r="E97" s="1" t="s">
        <v>1301</v>
      </c>
      <c r="F97" s="1" t="s">
        <v>879</v>
      </c>
      <c r="G97" s="1" t="s">
        <v>1346</v>
      </c>
      <c r="H97" s="1" t="s">
        <v>1800</v>
      </c>
      <c r="I97" s="1" t="s">
        <v>1379</v>
      </c>
      <c r="J97" s="1" t="s">
        <v>819</v>
      </c>
      <c r="K97" s="1" t="s">
        <v>1287</v>
      </c>
      <c r="L97" s="1" t="s">
        <v>1224</v>
      </c>
      <c r="M97" s="1" t="s">
        <v>119</v>
      </c>
      <c r="N97" s="1" t="s">
        <v>119</v>
      </c>
      <c r="O97" s="1" t="s">
        <v>119</v>
      </c>
      <c r="P97" s="5">
        <v>43593</v>
      </c>
      <c r="Q97" s="5">
        <v>43593</v>
      </c>
      <c r="R97" s="5">
        <v>43596</v>
      </c>
      <c r="S97" s="5">
        <v>43596</v>
      </c>
      <c r="T97" s="5">
        <v>43599</v>
      </c>
      <c r="U97" s="7">
        <v>43600.619976851849</v>
      </c>
      <c r="V97" s="4">
        <v>2</v>
      </c>
      <c r="W97" s="6">
        <v>5000</v>
      </c>
      <c r="X97" s="1" t="s">
        <v>1459</v>
      </c>
      <c r="Y97" s="4">
        <v>125</v>
      </c>
      <c r="Z97" s="6">
        <v>40</v>
      </c>
      <c r="AA97" s="1" t="s">
        <v>2023</v>
      </c>
      <c r="AB97" s="6">
        <v>25</v>
      </c>
      <c r="AC97" s="1" t="s">
        <v>1124</v>
      </c>
      <c r="AD97" s="1" t="s">
        <v>1800</v>
      </c>
      <c r="AE97" s="1" t="s">
        <v>1286</v>
      </c>
      <c r="AF97" s="1" t="s">
        <v>1463</v>
      </c>
      <c r="AG97" s="6">
        <v>3599</v>
      </c>
      <c r="AH97" s="6">
        <v>28.792000000000002</v>
      </c>
      <c r="AI97" s="1" t="s">
        <v>1698</v>
      </c>
      <c r="AJ97" s="6">
        <v>1401</v>
      </c>
      <c r="AK97" s="6">
        <v>0.2802</v>
      </c>
      <c r="AL97" s="1" t="s">
        <v>1698</v>
      </c>
      <c r="AM97" s="1" t="s">
        <v>646</v>
      </c>
      <c r="AN97" s="1" t="s">
        <v>1125</v>
      </c>
      <c r="AO97" s="1" t="s">
        <v>51</v>
      </c>
      <c r="AP97" s="6">
        <v>1401</v>
      </c>
      <c r="AQ97" s="6">
        <v>0.2802</v>
      </c>
      <c r="AR97" s="2" t="str">
        <f>HYPERLINK("https://auction.openprocurement.org/tenders/cedd995a5ddf4837b47cf62e487baefe")</f>
        <v>https://auction.openprocurement.org/tenders/cedd995a5ddf4837b47cf62e487baefe</v>
      </c>
      <c r="AS97" s="7">
        <v>43602.382788001247</v>
      </c>
      <c r="AT97" s="5">
        <v>43606</v>
      </c>
      <c r="AU97" s="5">
        <v>43626</v>
      </c>
      <c r="AV97" s="1" t="s">
        <v>1941</v>
      </c>
      <c r="AW97" s="7">
        <v>43612.425066125288</v>
      </c>
      <c r="AX97" s="1" t="s">
        <v>914</v>
      </c>
      <c r="AY97" s="6">
        <v>3599</v>
      </c>
      <c r="AZ97" s="1"/>
      <c r="BA97" s="5">
        <v>43644</v>
      </c>
      <c r="BB97" s="7">
        <v>43830</v>
      </c>
      <c r="BC97" s="1" t="s">
        <v>1997</v>
      </c>
      <c r="BD97" s="1"/>
      <c r="BE97" s="1"/>
      <c r="BF97" s="1" t="s">
        <v>647</v>
      </c>
    </row>
    <row r="98" spans="1:58">
      <c r="A98" s="4">
        <v>93</v>
      </c>
      <c r="B98" s="2" t="str">
        <f>HYPERLINK("https://my.zakupki.prom.ua/remote/dispatcher/state_purchase_view/20775721", "UA-2020-11-05-001577-c")</f>
        <v>UA-2020-11-05-001577-c</v>
      </c>
      <c r="C98" s="2" t="s">
        <v>1459</v>
      </c>
      <c r="D98" s="1" t="s">
        <v>1927</v>
      </c>
      <c r="E98" s="1" t="s">
        <v>1927</v>
      </c>
      <c r="F98" s="1" t="s">
        <v>1104</v>
      </c>
      <c r="G98" s="1" t="s">
        <v>1346</v>
      </c>
      <c r="H98" s="1" t="s">
        <v>1800</v>
      </c>
      <c r="I98" s="1" t="s">
        <v>1379</v>
      </c>
      <c r="J98" s="1" t="s">
        <v>819</v>
      </c>
      <c r="K98" s="1" t="s">
        <v>1287</v>
      </c>
      <c r="L98" s="1" t="s">
        <v>1216</v>
      </c>
      <c r="M98" s="1" t="s">
        <v>119</v>
      </c>
      <c r="N98" s="1" t="s">
        <v>119</v>
      </c>
      <c r="O98" s="1" t="s">
        <v>119</v>
      </c>
      <c r="P98" s="5">
        <v>44140</v>
      </c>
      <c r="Q98" s="5">
        <v>44140</v>
      </c>
      <c r="R98" s="5">
        <v>44146</v>
      </c>
      <c r="S98" s="5">
        <v>44146</v>
      </c>
      <c r="T98" s="5">
        <v>44151</v>
      </c>
      <c r="U98" s="1" t="s">
        <v>1923</v>
      </c>
      <c r="V98" s="4">
        <v>0</v>
      </c>
      <c r="W98" s="6">
        <v>15000</v>
      </c>
      <c r="X98" s="1" t="s">
        <v>1459</v>
      </c>
      <c r="Y98" s="4">
        <v>9</v>
      </c>
      <c r="Z98" s="6">
        <v>1666.67</v>
      </c>
      <c r="AA98" s="1" t="s">
        <v>1976</v>
      </c>
      <c r="AB98" s="6">
        <v>75</v>
      </c>
      <c r="AC98" s="1" t="s">
        <v>1124</v>
      </c>
      <c r="AD98" s="1" t="s">
        <v>1800</v>
      </c>
      <c r="AE98" s="1" t="s">
        <v>1286</v>
      </c>
      <c r="AF98" s="1" t="s">
        <v>1463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2"/>
      <c r="AS98" s="1"/>
      <c r="AT98" s="1"/>
      <c r="AU98" s="1"/>
      <c r="AV98" s="1" t="s">
        <v>1942</v>
      </c>
      <c r="AW98" s="7">
        <v>44151.667363431872</v>
      </c>
      <c r="AX98" s="1"/>
      <c r="AY98" s="1"/>
      <c r="AZ98" s="1"/>
      <c r="BA98" s="5">
        <v>44196</v>
      </c>
      <c r="BB98" s="1"/>
      <c r="BC98" s="1"/>
      <c r="BD98" s="1"/>
      <c r="BE98" s="1"/>
      <c r="BF98" s="1"/>
    </row>
    <row r="99" spans="1:58">
      <c r="A99" s="4">
        <v>94</v>
      </c>
      <c r="B99" s="2" t="str">
        <f>HYPERLINK("https://my.zakupki.prom.ua/remote/dispatcher/state_purchase_view/22993608", "UA-2021-01-16-000347-a")</f>
        <v>UA-2021-01-16-000347-a</v>
      </c>
      <c r="C99" s="2" t="s">
        <v>1459</v>
      </c>
      <c r="D99" s="1" t="s">
        <v>1554</v>
      </c>
      <c r="E99" s="1" t="s">
        <v>1554</v>
      </c>
      <c r="F99" s="1" t="s">
        <v>1080</v>
      </c>
      <c r="G99" s="1" t="s">
        <v>1364</v>
      </c>
      <c r="H99" s="1" t="s">
        <v>1800</v>
      </c>
      <c r="I99" s="1" t="s">
        <v>1379</v>
      </c>
      <c r="J99" s="1" t="s">
        <v>819</v>
      </c>
      <c r="K99" s="1" t="s">
        <v>1287</v>
      </c>
      <c r="L99" s="1" t="s">
        <v>1216</v>
      </c>
      <c r="M99" s="1" t="s">
        <v>119</v>
      </c>
      <c r="N99" s="1" t="s">
        <v>119</v>
      </c>
      <c r="O99" s="1" t="s">
        <v>119</v>
      </c>
      <c r="P99" s="5">
        <v>44212</v>
      </c>
      <c r="Q99" s="1"/>
      <c r="R99" s="1"/>
      <c r="S99" s="1"/>
      <c r="T99" s="1"/>
      <c r="U99" s="1" t="s">
        <v>1922</v>
      </c>
      <c r="V99" s="4">
        <v>1</v>
      </c>
      <c r="W99" s="6">
        <v>28800</v>
      </c>
      <c r="X99" s="1" t="s">
        <v>1459</v>
      </c>
      <c r="Y99" s="4">
        <v>1</v>
      </c>
      <c r="Z99" s="6">
        <v>28800</v>
      </c>
      <c r="AA99" s="1" t="s">
        <v>1976</v>
      </c>
      <c r="AB99" s="1" t="s">
        <v>1964</v>
      </c>
      <c r="AC99" s="1" t="s">
        <v>1124</v>
      </c>
      <c r="AD99" s="1" t="s">
        <v>1800</v>
      </c>
      <c r="AE99" s="1" t="s">
        <v>1286</v>
      </c>
      <c r="AF99" s="1" t="s">
        <v>1463</v>
      </c>
      <c r="AG99" s="6">
        <v>28800</v>
      </c>
      <c r="AH99" s="6">
        <v>28800</v>
      </c>
      <c r="AI99" s="1"/>
      <c r="AJ99" s="1"/>
      <c r="AK99" s="1"/>
      <c r="AL99" s="1" t="s">
        <v>1752</v>
      </c>
      <c r="AM99" s="1" t="s">
        <v>694</v>
      </c>
      <c r="AN99" s="1"/>
      <c r="AO99" s="1" t="s">
        <v>201</v>
      </c>
      <c r="AP99" s="1"/>
      <c r="AQ99" s="1"/>
      <c r="AR99" s="2"/>
      <c r="AS99" s="1"/>
      <c r="AT99" s="1"/>
      <c r="AU99" s="1"/>
      <c r="AV99" s="1" t="s">
        <v>1941</v>
      </c>
      <c r="AW99" s="7">
        <v>44212.393863896817</v>
      </c>
      <c r="AX99" s="1" t="s">
        <v>1245</v>
      </c>
      <c r="AY99" s="6">
        <v>28800</v>
      </c>
      <c r="AZ99" s="1"/>
      <c r="BA99" s="5">
        <v>44561</v>
      </c>
      <c r="BB99" s="7">
        <v>44561</v>
      </c>
      <c r="BC99" s="1" t="s">
        <v>1997</v>
      </c>
      <c r="BD99" s="1"/>
      <c r="BE99" s="1"/>
      <c r="BF99" s="1" t="s">
        <v>118</v>
      </c>
    </row>
    <row r="100" spans="1:58">
      <c r="A100" s="4">
        <v>95</v>
      </c>
      <c r="B100" s="2" t="str">
        <f>HYPERLINK("https://my.zakupki.prom.ua/remote/dispatcher/state_purchase_view/22441783", "UA-2020-12-21-006722-c")</f>
        <v>UA-2020-12-21-006722-c</v>
      </c>
      <c r="C100" s="2" t="s">
        <v>1459</v>
      </c>
      <c r="D100" s="1" t="s">
        <v>1935</v>
      </c>
      <c r="E100" s="1" t="s">
        <v>1935</v>
      </c>
      <c r="F100" s="1" t="s">
        <v>650</v>
      </c>
      <c r="G100" s="1" t="s">
        <v>1364</v>
      </c>
      <c r="H100" s="1" t="s">
        <v>1800</v>
      </c>
      <c r="I100" s="1" t="s">
        <v>1379</v>
      </c>
      <c r="J100" s="1" t="s">
        <v>819</v>
      </c>
      <c r="K100" s="1" t="s">
        <v>1287</v>
      </c>
      <c r="L100" s="1" t="s">
        <v>1216</v>
      </c>
      <c r="M100" s="1" t="s">
        <v>119</v>
      </c>
      <c r="N100" s="1" t="s">
        <v>119</v>
      </c>
      <c r="O100" s="1" t="s">
        <v>119</v>
      </c>
      <c r="P100" s="5">
        <v>44186</v>
      </c>
      <c r="Q100" s="1"/>
      <c r="R100" s="1"/>
      <c r="S100" s="1"/>
      <c r="T100" s="1"/>
      <c r="U100" s="1" t="s">
        <v>1922</v>
      </c>
      <c r="V100" s="4">
        <v>1</v>
      </c>
      <c r="W100" s="6">
        <v>1165.6199999999999</v>
      </c>
      <c r="X100" s="1" t="s">
        <v>1459</v>
      </c>
      <c r="Y100" s="4">
        <v>5</v>
      </c>
      <c r="Z100" s="6">
        <v>233.12</v>
      </c>
      <c r="AA100" s="1" t="s">
        <v>2024</v>
      </c>
      <c r="AB100" s="1" t="s">
        <v>1964</v>
      </c>
      <c r="AC100" s="1" t="s">
        <v>1124</v>
      </c>
      <c r="AD100" s="1" t="s">
        <v>1800</v>
      </c>
      <c r="AE100" s="1" t="s">
        <v>1286</v>
      </c>
      <c r="AF100" s="1" t="s">
        <v>1463</v>
      </c>
      <c r="AG100" s="6">
        <v>1165.6199999999999</v>
      </c>
      <c r="AH100" s="6">
        <v>233.12399999999997</v>
      </c>
      <c r="AI100" s="1"/>
      <c r="AJ100" s="1"/>
      <c r="AK100" s="1"/>
      <c r="AL100" s="1" t="s">
        <v>1749</v>
      </c>
      <c r="AM100" s="1" t="s">
        <v>727</v>
      </c>
      <c r="AN100" s="1"/>
      <c r="AO100" s="1" t="s">
        <v>221</v>
      </c>
      <c r="AP100" s="1"/>
      <c r="AQ100" s="1"/>
      <c r="AR100" s="2"/>
      <c r="AS100" s="1"/>
      <c r="AT100" s="1"/>
      <c r="AU100" s="1"/>
      <c r="AV100" s="1" t="s">
        <v>1941</v>
      </c>
      <c r="AW100" s="7">
        <v>44186.536648502428</v>
      </c>
      <c r="AX100" s="1" t="s">
        <v>432</v>
      </c>
      <c r="AY100" s="6">
        <v>1165.6199999999999</v>
      </c>
      <c r="AZ100" s="1"/>
      <c r="BA100" s="5">
        <v>44196</v>
      </c>
      <c r="BB100" s="7">
        <v>44196</v>
      </c>
      <c r="BC100" s="1" t="s">
        <v>1997</v>
      </c>
      <c r="BD100" s="1"/>
      <c r="BE100" s="1"/>
      <c r="BF100" s="1" t="s">
        <v>118</v>
      </c>
    </row>
    <row r="101" spans="1:58">
      <c r="A101" s="4">
        <v>96</v>
      </c>
      <c r="B101" s="2" t="str">
        <f>HYPERLINK("https://my.zakupki.prom.ua/remote/dispatcher/state_purchase_view/22165894", "UA-2020-12-15-003211-c")</f>
        <v>UA-2020-12-15-003211-c</v>
      </c>
      <c r="C101" s="2" t="s">
        <v>1459</v>
      </c>
      <c r="D101" s="1" t="s">
        <v>2026</v>
      </c>
      <c r="E101" s="1" t="s">
        <v>2026</v>
      </c>
      <c r="F101" s="1" t="s">
        <v>836</v>
      </c>
      <c r="G101" s="1" t="s">
        <v>1364</v>
      </c>
      <c r="H101" s="1" t="s">
        <v>1800</v>
      </c>
      <c r="I101" s="1" t="s">
        <v>1379</v>
      </c>
      <c r="J101" s="1" t="s">
        <v>819</v>
      </c>
      <c r="K101" s="1" t="s">
        <v>1287</v>
      </c>
      <c r="L101" s="1" t="s">
        <v>1216</v>
      </c>
      <c r="M101" s="1" t="s">
        <v>119</v>
      </c>
      <c r="N101" s="1" t="s">
        <v>119</v>
      </c>
      <c r="O101" s="1" t="s">
        <v>119</v>
      </c>
      <c r="P101" s="5">
        <v>44180</v>
      </c>
      <c r="Q101" s="1"/>
      <c r="R101" s="1"/>
      <c r="S101" s="1"/>
      <c r="T101" s="1"/>
      <c r="U101" s="1" t="s">
        <v>1922</v>
      </c>
      <c r="V101" s="4">
        <v>1</v>
      </c>
      <c r="W101" s="6">
        <v>5880</v>
      </c>
      <c r="X101" s="1" t="s">
        <v>1459</v>
      </c>
      <c r="Y101" s="4">
        <v>6</v>
      </c>
      <c r="Z101" s="6">
        <v>980</v>
      </c>
      <c r="AA101" s="1" t="s">
        <v>2024</v>
      </c>
      <c r="AB101" s="1" t="s">
        <v>1964</v>
      </c>
      <c r="AC101" s="1" t="s">
        <v>1124</v>
      </c>
      <c r="AD101" s="1" t="s">
        <v>1800</v>
      </c>
      <c r="AE101" s="1" t="s">
        <v>1286</v>
      </c>
      <c r="AF101" s="1" t="s">
        <v>1463</v>
      </c>
      <c r="AG101" s="6">
        <v>5880</v>
      </c>
      <c r="AH101" s="6">
        <v>980</v>
      </c>
      <c r="AI101" s="1"/>
      <c r="AJ101" s="1"/>
      <c r="AK101" s="1"/>
      <c r="AL101" s="1" t="s">
        <v>1500</v>
      </c>
      <c r="AM101" s="1" t="s">
        <v>934</v>
      </c>
      <c r="AN101" s="1"/>
      <c r="AO101" s="1" t="s">
        <v>177</v>
      </c>
      <c r="AP101" s="1"/>
      <c r="AQ101" s="1"/>
      <c r="AR101" s="2"/>
      <c r="AS101" s="1"/>
      <c r="AT101" s="1"/>
      <c r="AU101" s="1"/>
      <c r="AV101" s="1" t="s">
        <v>1941</v>
      </c>
      <c r="AW101" s="7">
        <v>44180.442431338379</v>
      </c>
      <c r="AX101" s="1" t="s">
        <v>361</v>
      </c>
      <c r="AY101" s="6">
        <v>5880</v>
      </c>
      <c r="AZ101" s="1"/>
      <c r="BA101" s="5">
        <v>44186</v>
      </c>
      <c r="BB101" s="7">
        <v>44196</v>
      </c>
      <c r="BC101" s="1" t="s">
        <v>1997</v>
      </c>
      <c r="BD101" s="1"/>
      <c r="BE101" s="1"/>
      <c r="BF101" s="1" t="s">
        <v>118</v>
      </c>
    </row>
    <row r="102" spans="1:58">
      <c r="A102" s="4">
        <v>97</v>
      </c>
      <c r="B102" s="2" t="str">
        <f>HYPERLINK("https://my.zakupki.prom.ua/remote/dispatcher/state_purchase_view/20163684", "UA-2020-10-16-005201-c")</f>
        <v>UA-2020-10-16-005201-c</v>
      </c>
      <c r="C102" s="2" t="s">
        <v>1459</v>
      </c>
      <c r="D102" s="1" t="s">
        <v>1931</v>
      </c>
      <c r="E102" s="1" t="s">
        <v>1931</v>
      </c>
      <c r="F102" s="1" t="s">
        <v>879</v>
      </c>
      <c r="G102" s="1" t="s">
        <v>1346</v>
      </c>
      <c r="H102" s="1" t="s">
        <v>1800</v>
      </c>
      <c r="I102" s="1" t="s">
        <v>1379</v>
      </c>
      <c r="J102" s="1" t="s">
        <v>819</v>
      </c>
      <c r="K102" s="1" t="s">
        <v>1287</v>
      </c>
      <c r="L102" s="1" t="s">
        <v>1216</v>
      </c>
      <c r="M102" s="1" t="s">
        <v>119</v>
      </c>
      <c r="N102" s="1" t="s">
        <v>119</v>
      </c>
      <c r="O102" s="1" t="s">
        <v>119</v>
      </c>
      <c r="P102" s="5">
        <v>44120</v>
      </c>
      <c r="Q102" s="5">
        <v>44120</v>
      </c>
      <c r="R102" s="5">
        <v>44126</v>
      </c>
      <c r="S102" s="5">
        <v>44126</v>
      </c>
      <c r="T102" s="5">
        <v>44131</v>
      </c>
      <c r="U102" s="7">
        <v>44132.64266203704</v>
      </c>
      <c r="V102" s="4">
        <v>3</v>
      </c>
      <c r="W102" s="6">
        <v>5000</v>
      </c>
      <c r="X102" s="1" t="s">
        <v>1459</v>
      </c>
      <c r="Y102" s="4">
        <v>22</v>
      </c>
      <c r="Z102" s="6">
        <v>227.27</v>
      </c>
      <c r="AA102" s="1" t="s">
        <v>2024</v>
      </c>
      <c r="AB102" s="6">
        <v>25</v>
      </c>
      <c r="AC102" s="1" t="s">
        <v>1124</v>
      </c>
      <c r="AD102" s="1" t="s">
        <v>1800</v>
      </c>
      <c r="AE102" s="1" t="s">
        <v>1286</v>
      </c>
      <c r="AF102" s="1" t="s">
        <v>1463</v>
      </c>
      <c r="AG102" s="6">
        <v>2848</v>
      </c>
      <c r="AH102" s="6">
        <v>129.45454545454547</v>
      </c>
      <c r="AI102" s="1" t="s">
        <v>1883</v>
      </c>
      <c r="AJ102" s="6">
        <v>2152</v>
      </c>
      <c r="AK102" s="6">
        <v>0.4304</v>
      </c>
      <c r="AL102" s="1" t="s">
        <v>1883</v>
      </c>
      <c r="AM102" s="1" t="s">
        <v>723</v>
      </c>
      <c r="AN102" s="1" t="s">
        <v>1207</v>
      </c>
      <c r="AO102" s="1" t="s">
        <v>69</v>
      </c>
      <c r="AP102" s="6">
        <v>2152</v>
      </c>
      <c r="AQ102" s="6">
        <v>0.4304</v>
      </c>
      <c r="AR102" s="2" t="str">
        <f>HYPERLINK("https://auction.openprocurement.org/tenders/2e247759b2c3462b888f0de6d3c3636a")</f>
        <v>https://auction.openprocurement.org/tenders/2e247759b2c3462b888f0de6d3c3636a</v>
      </c>
      <c r="AS102" s="7">
        <v>44133.546001083705</v>
      </c>
      <c r="AT102" s="5">
        <v>44138</v>
      </c>
      <c r="AU102" s="5">
        <v>44156</v>
      </c>
      <c r="AV102" s="1" t="s">
        <v>1941</v>
      </c>
      <c r="AW102" s="7">
        <v>44138.620757341756</v>
      </c>
      <c r="AX102" s="1" t="s">
        <v>152</v>
      </c>
      <c r="AY102" s="6">
        <v>2848</v>
      </c>
      <c r="AZ102" s="1"/>
      <c r="BA102" s="5">
        <v>44196</v>
      </c>
      <c r="BB102" s="7">
        <v>44196</v>
      </c>
      <c r="BC102" s="1" t="s">
        <v>1997</v>
      </c>
      <c r="BD102" s="1"/>
      <c r="BE102" s="1"/>
      <c r="BF102" s="1" t="s">
        <v>726</v>
      </c>
    </row>
    <row r="103" spans="1:58">
      <c r="A103" s="4">
        <v>98</v>
      </c>
      <c r="B103" s="2" t="str">
        <f>HYPERLINK("https://my.zakupki.prom.ua/remote/dispatcher/state_purchase_view/20627600", "UA-2020-10-30-004769-c")</f>
        <v>UA-2020-10-30-004769-c</v>
      </c>
      <c r="C103" s="2" t="s">
        <v>1459</v>
      </c>
      <c r="D103" s="1" t="s">
        <v>1930</v>
      </c>
      <c r="E103" s="1" t="s">
        <v>1306</v>
      </c>
      <c r="F103" s="1" t="s">
        <v>733</v>
      </c>
      <c r="G103" s="1" t="s">
        <v>1513</v>
      </c>
      <c r="H103" s="1" t="s">
        <v>1800</v>
      </c>
      <c r="I103" s="1" t="s">
        <v>1379</v>
      </c>
      <c r="J103" s="1" t="s">
        <v>819</v>
      </c>
      <c r="K103" s="1" t="s">
        <v>1287</v>
      </c>
      <c r="L103" s="1" t="s">
        <v>1216</v>
      </c>
      <c r="M103" s="1" t="s">
        <v>119</v>
      </c>
      <c r="N103" s="1" t="s">
        <v>119</v>
      </c>
      <c r="O103" s="1" t="s">
        <v>119</v>
      </c>
      <c r="P103" s="5">
        <v>44134</v>
      </c>
      <c r="Q103" s="1"/>
      <c r="R103" s="1"/>
      <c r="S103" s="1"/>
      <c r="T103" s="1"/>
      <c r="U103" s="1" t="s">
        <v>1922</v>
      </c>
      <c r="V103" s="4">
        <v>1</v>
      </c>
      <c r="W103" s="6">
        <v>26297.21</v>
      </c>
      <c r="X103" s="1" t="s">
        <v>1459</v>
      </c>
      <c r="Y103" s="1" t="s">
        <v>1956</v>
      </c>
      <c r="Z103" s="1" t="s">
        <v>1956</v>
      </c>
      <c r="AA103" s="1" t="s">
        <v>1956</v>
      </c>
      <c r="AB103" s="1" t="s">
        <v>1964</v>
      </c>
      <c r="AC103" s="1" t="s">
        <v>1124</v>
      </c>
      <c r="AD103" s="1" t="s">
        <v>1800</v>
      </c>
      <c r="AE103" s="1" t="s">
        <v>1286</v>
      </c>
      <c r="AF103" s="1" t="s">
        <v>1463</v>
      </c>
      <c r="AG103" s="6">
        <v>26297.21</v>
      </c>
      <c r="AH103" s="1" t="s">
        <v>1956</v>
      </c>
      <c r="AI103" s="1"/>
      <c r="AJ103" s="1"/>
      <c r="AK103" s="1"/>
      <c r="AL103" s="1" t="s">
        <v>1745</v>
      </c>
      <c r="AM103" s="1" t="s">
        <v>882</v>
      </c>
      <c r="AN103" s="1"/>
      <c r="AO103" s="1" t="s">
        <v>210</v>
      </c>
      <c r="AP103" s="1"/>
      <c r="AQ103" s="1"/>
      <c r="AR103" s="2"/>
      <c r="AS103" s="1"/>
      <c r="AT103" s="5">
        <v>44145</v>
      </c>
      <c r="AU103" s="5">
        <v>44170</v>
      </c>
      <c r="AV103" s="1" t="s">
        <v>1941</v>
      </c>
      <c r="AW103" s="7">
        <v>44145.598412296102</v>
      </c>
      <c r="AX103" s="1" t="s">
        <v>328</v>
      </c>
      <c r="AY103" s="6">
        <v>26297.21</v>
      </c>
      <c r="AZ103" s="1"/>
      <c r="BA103" s="5">
        <v>44196</v>
      </c>
      <c r="BB103" s="7">
        <v>44196</v>
      </c>
      <c r="BC103" s="1" t="s">
        <v>1997</v>
      </c>
      <c r="BD103" s="1"/>
      <c r="BE103" s="1"/>
      <c r="BF103" s="1" t="s">
        <v>118</v>
      </c>
    </row>
    <row r="104" spans="1:58">
      <c r="A104" s="4">
        <v>99</v>
      </c>
      <c r="B104" s="2" t="str">
        <f>HYPERLINK("https://my.zakupki.prom.ua/remote/dispatcher/state_purchase_view/16239453", "UA-2020-04-13-002640-b")</f>
        <v>UA-2020-04-13-002640-b</v>
      </c>
      <c r="C104" s="2" t="s">
        <v>1459</v>
      </c>
      <c r="D104" s="1" t="s">
        <v>1298</v>
      </c>
      <c r="E104" s="1" t="s">
        <v>1295</v>
      </c>
      <c r="F104" s="1" t="s">
        <v>750</v>
      </c>
      <c r="G104" s="1" t="s">
        <v>1513</v>
      </c>
      <c r="H104" s="1" t="s">
        <v>1800</v>
      </c>
      <c r="I104" s="1" t="s">
        <v>1379</v>
      </c>
      <c r="J104" s="1" t="s">
        <v>819</v>
      </c>
      <c r="K104" s="1" t="s">
        <v>1287</v>
      </c>
      <c r="L104" s="1" t="s">
        <v>1216</v>
      </c>
      <c r="M104" s="1" t="s">
        <v>119</v>
      </c>
      <c r="N104" s="1" t="s">
        <v>119</v>
      </c>
      <c r="O104" s="1" t="s">
        <v>119</v>
      </c>
      <c r="P104" s="5">
        <v>43934</v>
      </c>
      <c r="Q104" s="1"/>
      <c r="R104" s="1"/>
      <c r="S104" s="1"/>
      <c r="T104" s="1"/>
      <c r="U104" s="1" t="s">
        <v>1922</v>
      </c>
      <c r="V104" s="4">
        <v>1</v>
      </c>
      <c r="W104" s="6">
        <v>80000</v>
      </c>
      <c r="X104" s="1" t="s">
        <v>1459</v>
      </c>
      <c r="Y104" s="1" t="s">
        <v>1956</v>
      </c>
      <c r="Z104" s="1" t="s">
        <v>1956</v>
      </c>
      <c r="AA104" s="1" t="s">
        <v>1956</v>
      </c>
      <c r="AB104" s="1" t="s">
        <v>1964</v>
      </c>
      <c r="AC104" s="1" t="s">
        <v>1124</v>
      </c>
      <c r="AD104" s="1" t="s">
        <v>1800</v>
      </c>
      <c r="AE104" s="1" t="s">
        <v>1286</v>
      </c>
      <c r="AF104" s="1" t="s">
        <v>1463</v>
      </c>
      <c r="AG104" s="6">
        <v>80000</v>
      </c>
      <c r="AH104" s="1" t="s">
        <v>1956</v>
      </c>
      <c r="AI104" s="1"/>
      <c r="AJ104" s="1"/>
      <c r="AK104" s="1"/>
      <c r="AL104" s="1" t="s">
        <v>1411</v>
      </c>
      <c r="AM104" s="1" t="s">
        <v>789</v>
      </c>
      <c r="AN104" s="1"/>
      <c r="AO104" s="1" t="s">
        <v>300</v>
      </c>
      <c r="AP104" s="1"/>
      <c r="AQ104" s="1"/>
      <c r="AR104" s="2"/>
      <c r="AS104" s="1"/>
      <c r="AT104" s="5">
        <v>43945</v>
      </c>
      <c r="AU104" s="5">
        <v>43970</v>
      </c>
      <c r="AV104" s="1" t="s">
        <v>1941</v>
      </c>
      <c r="AW104" s="7">
        <v>43948.651244605535</v>
      </c>
      <c r="AX104" s="1" t="s">
        <v>550</v>
      </c>
      <c r="AY104" s="6">
        <v>80000</v>
      </c>
      <c r="AZ104" s="1"/>
      <c r="BA104" s="5">
        <v>43982</v>
      </c>
      <c r="BB104" s="7">
        <v>44196</v>
      </c>
      <c r="BC104" s="1" t="s">
        <v>1997</v>
      </c>
      <c r="BD104" s="1"/>
      <c r="BE104" s="1"/>
      <c r="BF104" s="1" t="s">
        <v>118</v>
      </c>
    </row>
    <row r="105" spans="1:58">
      <c r="A105" s="4">
        <v>100</v>
      </c>
      <c r="B105" s="2" t="str">
        <f>HYPERLINK("https://my.zakupki.prom.ua/remote/dispatcher/state_purchase_view/16195711", "UA-2020-04-09-003455-b")</f>
        <v>UA-2020-04-09-003455-b</v>
      </c>
      <c r="C105" s="2" t="s">
        <v>1459</v>
      </c>
      <c r="D105" s="1" t="s">
        <v>1438</v>
      </c>
      <c r="E105" s="1" t="s">
        <v>1439</v>
      </c>
      <c r="F105" s="1" t="s">
        <v>733</v>
      </c>
      <c r="G105" s="1" t="s">
        <v>1280</v>
      </c>
      <c r="H105" s="1" t="s">
        <v>1800</v>
      </c>
      <c r="I105" s="1" t="s">
        <v>1379</v>
      </c>
      <c r="J105" s="1" t="s">
        <v>819</v>
      </c>
      <c r="K105" s="1" t="s">
        <v>1287</v>
      </c>
      <c r="L105" s="1" t="s">
        <v>1216</v>
      </c>
      <c r="M105" s="1" t="s">
        <v>119</v>
      </c>
      <c r="N105" s="1" t="s">
        <v>119</v>
      </c>
      <c r="O105" s="1" t="s">
        <v>119</v>
      </c>
      <c r="P105" s="5">
        <v>43930</v>
      </c>
      <c r="Q105" s="5">
        <v>43930</v>
      </c>
      <c r="R105" s="5">
        <v>43937</v>
      </c>
      <c r="S105" s="5">
        <v>43930</v>
      </c>
      <c r="T105" s="5">
        <v>43947</v>
      </c>
      <c r="U105" s="7">
        <v>43948.54178240741</v>
      </c>
      <c r="V105" s="4">
        <v>2</v>
      </c>
      <c r="W105" s="6">
        <v>927496</v>
      </c>
      <c r="X105" s="1" t="s">
        <v>1459</v>
      </c>
      <c r="Y105" s="1" t="s">
        <v>1956</v>
      </c>
      <c r="Z105" s="1" t="s">
        <v>1956</v>
      </c>
      <c r="AA105" s="1" t="s">
        <v>1956</v>
      </c>
      <c r="AB105" s="6">
        <v>4637.4799999999996</v>
      </c>
      <c r="AC105" s="1" t="s">
        <v>1124</v>
      </c>
      <c r="AD105" s="1" t="s">
        <v>1800</v>
      </c>
      <c r="AE105" s="1" t="s">
        <v>1286</v>
      </c>
      <c r="AF105" s="1" t="s">
        <v>1463</v>
      </c>
      <c r="AG105" s="6">
        <v>775825.6</v>
      </c>
      <c r="AH105" s="1" t="s">
        <v>1956</v>
      </c>
      <c r="AI105" s="1" t="s">
        <v>1702</v>
      </c>
      <c r="AJ105" s="6">
        <v>151670.40000000002</v>
      </c>
      <c r="AK105" s="6">
        <v>0.16352674297247646</v>
      </c>
      <c r="AL105" s="1" t="s">
        <v>1702</v>
      </c>
      <c r="AM105" s="1" t="s">
        <v>882</v>
      </c>
      <c r="AN105" s="1" t="s">
        <v>1157</v>
      </c>
      <c r="AO105" s="1" t="s">
        <v>67</v>
      </c>
      <c r="AP105" s="6">
        <v>151670.40000000002</v>
      </c>
      <c r="AQ105" s="6">
        <v>0.16352674297247646</v>
      </c>
      <c r="AR105" s="2" t="str">
        <f>HYPERLINK("https://auction.openprocurement.org/tenders/fb38759a2b1d4b99b5ea5dc29335712a")</f>
        <v>https://auction.openprocurement.org/tenders/fb38759a2b1d4b99b5ea5dc29335712a</v>
      </c>
      <c r="AS105" s="7">
        <v>43948.631917512663</v>
      </c>
      <c r="AT105" s="5">
        <v>43959</v>
      </c>
      <c r="AU105" s="5">
        <v>43969</v>
      </c>
      <c r="AV105" s="1" t="s">
        <v>1941</v>
      </c>
      <c r="AW105" s="7">
        <v>43959.350871068527</v>
      </c>
      <c r="AX105" s="1" t="s">
        <v>279</v>
      </c>
      <c r="AY105" s="6">
        <v>775825.6</v>
      </c>
      <c r="AZ105" s="1"/>
      <c r="BA105" s="5">
        <v>44196</v>
      </c>
      <c r="BB105" s="7">
        <v>44196</v>
      </c>
      <c r="BC105" s="1" t="s">
        <v>1997</v>
      </c>
      <c r="BD105" s="1"/>
      <c r="BE105" s="1"/>
      <c r="BF105" s="1" t="s">
        <v>885</v>
      </c>
    </row>
    <row r="106" spans="1:58">
      <c r="A106" s="4">
        <v>101</v>
      </c>
      <c r="B106" s="2" t="str">
        <f>HYPERLINK("https://my.zakupki.prom.ua/remote/dispatcher/state_purchase_view/15802511", "UA-2020-03-17-001606-b")</f>
        <v>UA-2020-03-17-001606-b</v>
      </c>
      <c r="C106" s="2" t="s">
        <v>1459</v>
      </c>
      <c r="D106" s="1" t="s">
        <v>1664</v>
      </c>
      <c r="E106" s="1" t="s">
        <v>1664</v>
      </c>
      <c r="F106" s="1" t="s">
        <v>715</v>
      </c>
      <c r="G106" s="1" t="s">
        <v>1346</v>
      </c>
      <c r="H106" s="1" t="s">
        <v>1800</v>
      </c>
      <c r="I106" s="1" t="s">
        <v>1379</v>
      </c>
      <c r="J106" s="1" t="s">
        <v>819</v>
      </c>
      <c r="K106" s="1" t="s">
        <v>1287</v>
      </c>
      <c r="L106" s="1" t="s">
        <v>1216</v>
      </c>
      <c r="M106" s="1" t="s">
        <v>119</v>
      </c>
      <c r="N106" s="1" t="s">
        <v>119</v>
      </c>
      <c r="O106" s="1" t="s">
        <v>119</v>
      </c>
      <c r="P106" s="5">
        <v>43907</v>
      </c>
      <c r="Q106" s="5">
        <v>43907</v>
      </c>
      <c r="R106" s="5">
        <v>43909</v>
      </c>
      <c r="S106" s="5">
        <v>43909</v>
      </c>
      <c r="T106" s="5">
        <v>43913</v>
      </c>
      <c r="U106" s="1" t="s">
        <v>1923</v>
      </c>
      <c r="V106" s="4">
        <v>1</v>
      </c>
      <c r="W106" s="6">
        <v>15100</v>
      </c>
      <c r="X106" s="1" t="s">
        <v>1459</v>
      </c>
      <c r="Y106" s="4">
        <v>6</v>
      </c>
      <c r="Z106" s="6">
        <v>2516.67</v>
      </c>
      <c r="AA106" s="1" t="s">
        <v>2024</v>
      </c>
      <c r="AB106" s="6">
        <v>151</v>
      </c>
      <c r="AC106" s="1" t="s">
        <v>1124</v>
      </c>
      <c r="AD106" s="1" t="s">
        <v>1800</v>
      </c>
      <c r="AE106" s="1" t="s">
        <v>1286</v>
      </c>
      <c r="AF106" s="1" t="s">
        <v>1463</v>
      </c>
      <c r="AG106" s="6">
        <v>15060</v>
      </c>
      <c r="AH106" s="6">
        <v>2510</v>
      </c>
      <c r="AI106" s="1" t="s">
        <v>1889</v>
      </c>
      <c r="AJ106" s="6">
        <v>40</v>
      </c>
      <c r="AK106" s="6">
        <v>2.6490066225165563E-3</v>
      </c>
      <c r="AL106" s="1" t="s">
        <v>1889</v>
      </c>
      <c r="AM106" s="1" t="s">
        <v>483</v>
      </c>
      <c r="AN106" s="1" t="s">
        <v>1147</v>
      </c>
      <c r="AO106" s="1" t="s">
        <v>117</v>
      </c>
      <c r="AP106" s="6">
        <v>40</v>
      </c>
      <c r="AQ106" s="6">
        <v>2.6490066225165563E-3</v>
      </c>
      <c r="AR106" s="2"/>
      <c r="AS106" s="7">
        <v>43915.493836235924</v>
      </c>
      <c r="AT106" s="5">
        <v>43917</v>
      </c>
      <c r="AU106" s="5">
        <v>43939</v>
      </c>
      <c r="AV106" s="1" t="s">
        <v>1941</v>
      </c>
      <c r="AW106" s="7">
        <v>43923.469995045889</v>
      </c>
      <c r="AX106" s="1" t="s">
        <v>144</v>
      </c>
      <c r="AY106" s="6">
        <v>15060</v>
      </c>
      <c r="AZ106" s="1"/>
      <c r="BA106" s="5">
        <v>43951</v>
      </c>
      <c r="BB106" s="7">
        <v>44196</v>
      </c>
      <c r="BC106" s="1" t="s">
        <v>1997</v>
      </c>
      <c r="BD106" s="1"/>
      <c r="BE106" s="1"/>
      <c r="BF106" s="1" t="s">
        <v>484</v>
      </c>
    </row>
    <row r="107" spans="1:58">
      <c r="A107" s="4">
        <v>102</v>
      </c>
      <c r="B107" s="2" t="str">
        <f>HYPERLINK("https://my.zakupki.prom.ua/remote/dispatcher/state_purchase_view/17550737", "UA-2020-06-30-001391-a")</f>
        <v>UA-2020-06-30-001391-a</v>
      </c>
      <c r="C107" s="2" t="s">
        <v>1459</v>
      </c>
      <c r="D107" s="1" t="s">
        <v>1545</v>
      </c>
      <c r="E107" s="1" t="s">
        <v>1545</v>
      </c>
      <c r="F107" s="1" t="s">
        <v>1086</v>
      </c>
      <c r="G107" s="1" t="s">
        <v>1364</v>
      </c>
      <c r="H107" s="1" t="s">
        <v>1800</v>
      </c>
      <c r="I107" s="1" t="s">
        <v>1379</v>
      </c>
      <c r="J107" s="1" t="s">
        <v>819</v>
      </c>
      <c r="K107" s="1" t="s">
        <v>1287</v>
      </c>
      <c r="L107" s="1" t="s">
        <v>1216</v>
      </c>
      <c r="M107" s="1" t="s">
        <v>119</v>
      </c>
      <c r="N107" s="1" t="s">
        <v>119</v>
      </c>
      <c r="O107" s="1" t="s">
        <v>119</v>
      </c>
      <c r="P107" s="5">
        <v>44012</v>
      </c>
      <c r="Q107" s="1"/>
      <c r="R107" s="1"/>
      <c r="S107" s="1"/>
      <c r="T107" s="1"/>
      <c r="U107" s="1" t="s">
        <v>1922</v>
      </c>
      <c r="V107" s="4">
        <v>1</v>
      </c>
      <c r="W107" s="6">
        <v>1100</v>
      </c>
      <c r="X107" s="1" t="s">
        <v>1459</v>
      </c>
      <c r="Y107" s="4">
        <v>1</v>
      </c>
      <c r="Z107" s="6">
        <v>1100</v>
      </c>
      <c r="AA107" s="1" t="s">
        <v>1976</v>
      </c>
      <c r="AB107" s="1" t="s">
        <v>1964</v>
      </c>
      <c r="AC107" s="1" t="s">
        <v>1124</v>
      </c>
      <c r="AD107" s="1" t="s">
        <v>1463</v>
      </c>
      <c r="AE107" s="1" t="s">
        <v>1286</v>
      </c>
      <c r="AF107" s="1" t="s">
        <v>1463</v>
      </c>
      <c r="AG107" s="6">
        <v>1100</v>
      </c>
      <c r="AH107" s="6">
        <v>1100</v>
      </c>
      <c r="AI107" s="1"/>
      <c r="AJ107" s="1"/>
      <c r="AK107" s="1"/>
      <c r="AL107" s="1" t="s">
        <v>1791</v>
      </c>
      <c r="AM107" s="1" t="s">
        <v>767</v>
      </c>
      <c r="AN107" s="1"/>
      <c r="AO107" s="1" t="s">
        <v>186</v>
      </c>
      <c r="AP107" s="1"/>
      <c r="AQ107" s="1"/>
      <c r="AR107" s="2"/>
      <c r="AS107" s="1"/>
      <c r="AT107" s="1"/>
      <c r="AU107" s="1"/>
      <c r="AV107" s="1" t="s">
        <v>1941</v>
      </c>
      <c r="AW107" s="7">
        <v>44012.469903026897</v>
      </c>
      <c r="AX107" s="1" t="s">
        <v>319</v>
      </c>
      <c r="AY107" s="6">
        <v>1100</v>
      </c>
      <c r="AZ107" s="5">
        <v>44008</v>
      </c>
      <c r="BA107" s="5">
        <v>44196</v>
      </c>
      <c r="BB107" s="7">
        <v>44196</v>
      </c>
      <c r="BC107" s="1" t="s">
        <v>1997</v>
      </c>
      <c r="BD107" s="1"/>
      <c r="BE107" s="1"/>
      <c r="BF107" s="1" t="s">
        <v>118</v>
      </c>
    </row>
    <row r="108" spans="1:58">
      <c r="A108" s="4">
        <v>103</v>
      </c>
      <c r="B108" s="2" t="str">
        <f>HYPERLINK("https://my.zakupki.prom.ua/remote/dispatcher/state_purchase_view/19425004", "UA-2020-09-21-000241-b")</f>
        <v>UA-2020-09-21-000241-b</v>
      </c>
      <c r="C108" s="2" t="s">
        <v>1459</v>
      </c>
      <c r="D108" s="1" t="s">
        <v>1682</v>
      </c>
      <c r="E108" s="1" t="s">
        <v>1682</v>
      </c>
      <c r="F108" s="1" t="s">
        <v>1054</v>
      </c>
      <c r="G108" s="1" t="s">
        <v>1364</v>
      </c>
      <c r="H108" s="1" t="s">
        <v>1800</v>
      </c>
      <c r="I108" s="1" t="s">
        <v>1379</v>
      </c>
      <c r="J108" s="1" t="s">
        <v>819</v>
      </c>
      <c r="K108" s="1" t="s">
        <v>1287</v>
      </c>
      <c r="L108" s="1" t="s">
        <v>1216</v>
      </c>
      <c r="M108" s="1" t="s">
        <v>119</v>
      </c>
      <c r="N108" s="1" t="s">
        <v>119</v>
      </c>
      <c r="O108" s="1" t="s">
        <v>119</v>
      </c>
      <c r="P108" s="5">
        <v>44095</v>
      </c>
      <c r="Q108" s="1"/>
      <c r="R108" s="1"/>
      <c r="S108" s="1"/>
      <c r="T108" s="1"/>
      <c r="U108" s="1" t="s">
        <v>1922</v>
      </c>
      <c r="V108" s="4">
        <v>1</v>
      </c>
      <c r="W108" s="6">
        <v>15.64</v>
      </c>
      <c r="X108" s="1" t="s">
        <v>1459</v>
      </c>
      <c r="Y108" s="4">
        <v>1</v>
      </c>
      <c r="Z108" s="6">
        <v>15.64</v>
      </c>
      <c r="AA108" s="1" t="s">
        <v>1976</v>
      </c>
      <c r="AB108" s="1" t="s">
        <v>1964</v>
      </c>
      <c r="AC108" s="1" t="s">
        <v>1124</v>
      </c>
      <c r="AD108" s="1" t="s">
        <v>1463</v>
      </c>
      <c r="AE108" s="1" t="s">
        <v>1286</v>
      </c>
      <c r="AF108" s="1" t="s">
        <v>1463</v>
      </c>
      <c r="AG108" s="6">
        <v>15.64</v>
      </c>
      <c r="AH108" s="6">
        <v>15.64</v>
      </c>
      <c r="AI108" s="1"/>
      <c r="AJ108" s="1"/>
      <c r="AK108" s="1"/>
      <c r="AL108" s="1" t="s">
        <v>1495</v>
      </c>
      <c r="AM108" s="1" t="s">
        <v>349</v>
      </c>
      <c r="AN108" s="1"/>
      <c r="AO108" s="1" t="s">
        <v>122</v>
      </c>
      <c r="AP108" s="1"/>
      <c r="AQ108" s="1"/>
      <c r="AR108" s="2"/>
      <c r="AS108" s="1"/>
      <c r="AT108" s="1"/>
      <c r="AU108" s="1"/>
      <c r="AV108" s="1" t="s">
        <v>1941</v>
      </c>
      <c r="AW108" s="7">
        <v>44095.369099357988</v>
      </c>
      <c r="AX108" s="1" t="s">
        <v>782</v>
      </c>
      <c r="AY108" s="6">
        <v>15.64</v>
      </c>
      <c r="AZ108" s="1"/>
      <c r="BA108" s="5">
        <v>44457</v>
      </c>
      <c r="BB108" s="7">
        <v>44457</v>
      </c>
      <c r="BC108" s="1" t="s">
        <v>1997</v>
      </c>
      <c r="BD108" s="1"/>
      <c r="BE108" s="1"/>
      <c r="BF108" s="1" t="s">
        <v>118</v>
      </c>
    </row>
    <row r="109" spans="1:58">
      <c r="A109" s="4">
        <v>104</v>
      </c>
      <c r="B109" s="2" t="str">
        <f>HYPERLINK("https://my.zakupki.prom.ua/remote/dispatcher/state_purchase_view/18821998", "UA-2020-08-27-003006-a")</f>
        <v>UA-2020-08-27-003006-a</v>
      </c>
      <c r="C109" s="2" t="s">
        <v>1459</v>
      </c>
      <c r="D109" s="1" t="s">
        <v>1583</v>
      </c>
      <c r="E109" s="1" t="s">
        <v>1583</v>
      </c>
      <c r="F109" s="1" t="s">
        <v>1110</v>
      </c>
      <c r="G109" s="1" t="s">
        <v>1364</v>
      </c>
      <c r="H109" s="1" t="s">
        <v>1800</v>
      </c>
      <c r="I109" s="1" t="s">
        <v>1379</v>
      </c>
      <c r="J109" s="1" t="s">
        <v>819</v>
      </c>
      <c r="K109" s="1" t="s">
        <v>1287</v>
      </c>
      <c r="L109" s="1" t="s">
        <v>1216</v>
      </c>
      <c r="M109" s="1" t="s">
        <v>119</v>
      </c>
      <c r="N109" s="1" t="s">
        <v>119</v>
      </c>
      <c r="O109" s="1" t="s">
        <v>119</v>
      </c>
      <c r="P109" s="5">
        <v>44070</v>
      </c>
      <c r="Q109" s="1"/>
      <c r="R109" s="1"/>
      <c r="S109" s="1"/>
      <c r="T109" s="1"/>
      <c r="U109" s="1" t="s">
        <v>1922</v>
      </c>
      <c r="V109" s="4">
        <v>1</v>
      </c>
      <c r="W109" s="6">
        <v>13401.07</v>
      </c>
      <c r="X109" s="1" t="s">
        <v>1459</v>
      </c>
      <c r="Y109" s="4">
        <v>1</v>
      </c>
      <c r="Z109" s="6">
        <v>13401.07</v>
      </c>
      <c r="AA109" s="1" t="s">
        <v>1976</v>
      </c>
      <c r="AB109" s="1" t="s">
        <v>1964</v>
      </c>
      <c r="AC109" s="1" t="s">
        <v>1124</v>
      </c>
      <c r="AD109" s="1" t="s">
        <v>1463</v>
      </c>
      <c r="AE109" s="1" t="s">
        <v>1286</v>
      </c>
      <c r="AF109" s="1" t="s">
        <v>1463</v>
      </c>
      <c r="AG109" s="6">
        <v>13401.07</v>
      </c>
      <c r="AH109" s="6">
        <v>13401.07</v>
      </c>
      <c r="AI109" s="1"/>
      <c r="AJ109" s="1"/>
      <c r="AK109" s="1"/>
      <c r="AL109" s="1" t="s">
        <v>1464</v>
      </c>
      <c r="AM109" s="1" t="s">
        <v>925</v>
      </c>
      <c r="AN109" s="1"/>
      <c r="AO109" s="1" t="s">
        <v>263</v>
      </c>
      <c r="AP109" s="1"/>
      <c r="AQ109" s="1"/>
      <c r="AR109" s="2"/>
      <c r="AS109" s="1"/>
      <c r="AT109" s="1"/>
      <c r="AU109" s="1"/>
      <c r="AV109" s="1" t="s">
        <v>1941</v>
      </c>
      <c r="AW109" s="7">
        <v>44070.483371768241</v>
      </c>
      <c r="AX109" s="1" t="s">
        <v>315</v>
      </c>
      <c r="AY109" s="6">
        <v>13401.07</v>
      </c>
      <c r="AZ109" s="1"/>
      <c r="BA109" s="5">
        <v>44196</v>
      </c>
      <c r="BB109" s="7">
        <v>44135</v>
      </c>
      <c r="BC109" s="1" t="s">
        <v>1997</v>
      </c>
      <c r="BD109" s="1"/>
      <c r="BE109" s="1"/>
      <c r="BF109" s="1" t="s">
        <v>118</v>
      </c>
    </row>
    <row r="110" spans="1:58">
      <c r="A110" s="4">
        <v>105</v>
      </c>
      <c r="B110" s="2" t="str">
        <f>HYPERLINK("https://my.zakupki.prom.ua/remote/dispatcher/state_purchase_view/14375291", "UA-2020-01-03-000581-a")</f>
        <v>UA-2020-01-03-000581-a</v>
      </c>
      <c r="C110" s="2" t="s">
        <v>1459</v>
      </c>
      <c r="D110" s="1" t="s">
        <v>1049</v>
      </c>
      <c r="E110" s="1" t="s">
        <v>1049</v>
      </c>
      <c r="F110" s="1" t="s">
        <v>1049</v>
      </c>
      <c r="G110" s="1" t="s">
        <v>1364</v>
      </c>
      <c r="H110" s="1" t="s">
        <v>1800</v>
      </c>
      <c r="I110" s="1" t="s">
        <v>1379</v>
      </c>
      <c r="J110" s="1" t="s">
        <v>819</v>
      </c>
      <c r="K110" s="1" t="s">
        <v>1287</v>
      </c>
      <c r="L110" s="1" t="s">
        <v>1915</v>
      </c>
      <c r="M110" s="1" t="s">
        <v>119</v>
      </c>
      <c r="N110" s="1" t="s">
        <v>119</v>
      </c>
      <c r="O110" s="1" t="s">
        <v>119</v>
      </c>
      <c r="P110" s="5">
        <v>43833</v>
      </c>
      <c r="Q110" s="1"/>
      <c r="R110" s="1"/>
      <c r="S110" s="1"/>
      <c r="T110" s="1"/>
      <c r="U110" s="1" t="s">
        <v>1922</v>
      </c>
      <c r="V110" s="4">
        <v>1</v>
      </c>
      <c r="W110" s="6">
        <v>13500</v>
      </c>
      <c r="X110" s="1" t="s">
        <v>1459</v>
      </c>
      <c r="Y110" s="4">
        <v>1</v>
      </c>
      <c r="Z110" s="6">
        <v>13500</v>
      </c>
      <c r="AA110" s="1" t="s">
        <v>1976</v>
      </c>
      <c r="AB110" s="1" t="s">
        <v>1964</v>
      </c>
      <c r="AC110" s="1" t="s">
        <v>1124</v>
      </c>
      <c r="AD110" s="1" t="s">
        <v>1800</v>
      </c>
      <c r="AE110" s="1" t="s">
        <v>1286</v>
      </c>
      <c r="AF110" s="1" t="s">
        <v>1463</v>
      </c>
      <c r="AG110" s="6">
        <v>13500</v>
      </c>
      <c r="AH110" s="6">
        <v>13500</v>
      </c>
      <c r="AI110" s="1"/>
      <c r="AJ110" s="1"/>
      <c r="AK110" s="1"/>
      <c r="AL110" s="1" t="s">
        <v>1740</v>
      </c>
      <c r="AM110" s="1" t="s">
        <v>623</v>
      </c>
      <c r="AN110" s="1"/>
      <c r="AO110" s="1" t="s">
        <v>170</v>
      </c>
      <c r="AP110" s="1"/>
      <c r="AQ110" s="1"/>
      <c r="AR110" s="2"/>
      <c r="AS110" s="1"/>
      <c r="AT110" s="1"/>
      <c r="AU110" s="1"/>
      <c r="AV110" s="1" t="s">
        <v>1941</v>
      </c>
      <c r="AW110" s="7">
        <v>43833.524751593301</v>
      </c>
      <c r="AX110" s="1" t="s">
        <v>487</v>
      </c>
      <c r="AY110" s="6">
        <v>13500</v>
      </c>
      <c r="AZ110" s="1"/>
      <c r="BA110" s="5">
        <v>44196</v>
      </c>
      <c r="BB110" s="7">
        <v>44196</v>
      </c>
      <c r="BC110" s="1" t="s">
        <v>1997</v>
      </c>
      <c r="BD110" s="1"/>
      <c r="BE110" s="1"/>
      <c r="BF110" s="1" t="s">
        <v>118</v>
      </c>
    </row>
    <row r="111" spans="1:58">
      <c r="A111" s="4">
        <v>106</v>
      </c>
      <c r="B111" s="2" t="str">
        <f>HYPERLINK("https://my.zakupki.prom.ua/remote/dispatcher/state_purchase_view/14173709", "UA-2019-12-19-001857-b")</f>
        <v>UA-2019-12-19-001857-b</v>
      </c>
      <c r="C111" s="2" t="s">
        <v>1459</v>
      </c>
      <c r="D111" s="1" t="s">
        <v>1993</v>
      </c>
      <c r="E111" s="1" t="s">
        <v>1993</v>
      </c>
      <c r="F111" s="1" t="s">
        <v>1093</v>
      </c>
      <c r="G111" s="1" t="s">
        <v>1513</v>
      </c>
      <c r="H111" s="1" t="s">
        <v>1800</v>
      </c>
      <c r="I111" s="1" t="s">
        <v>1379</v>
      </c>
      <c r="J111" s="1" t="s">
        <v>819</v>
      </c>
      <c r="K111" s="1" t="s">
        <v>1287</v>
      </c>
      <c r="L111" s="1" t="s">
        <v>1915</v>
      </c>
      <c r="M111" s="1" t="s">
        <v>119</v>
      </c>
      <c r="N111" s="1" t="s">
        <v>119</v>
      </c>
      <c r="O111" s="1" t="s">
        <v>119</v>
      </c>
      <c r="P111" s="5">
        <v>43818</v>
      </c>
      <c r="Q111" s="1"/>
      <c r="R111" s="1"/>
      <c r="S111" s="1"/>
      <c r="T111" s="1"/>
      <c r="U111" s="1" t="s">
        <v>1922</v>
      </c>
      <c r="V111" s="4">
        <v>1</v>
      </c>
      <c r="W111" s="6">
        <v>3377000</v>
      </c>
      <c r="X111" s="1" t="s">
        <v>1459</v>
      </c>
      <c r="Y111" s="4">
        <v>12</v>
      </c>
      <c r="Z111" s="6">
        <v>281416.67</v>
      </c>
      <c r="AA111" s="1" t="s">
        <v>1976</v>
      </c>
      <c r="AB111" s="1" t="s">
        <v>1964</v>
      </c>
      <c r="AC111" s="1" t="s">
        <v>1124</v>
      </c>
      <c r="AD111" s="1" t="s">
        <v>1463</v>
      </c>
      <c r="AE111" s="1" t="s">
        <v>1286</v>
      </c>
      <c r="AF111" s="1" t="s">
        <v>1463</v>
      </c>
      <c r="AG111" s="6">
        <v>3377000</v>
      </c>
      <c r="AH111" s="6">
        <v>281416.66666666669</v>
      </c>
      <c r="AI111" s="1"/>
      <c r="AJ111" s="1"/>
      <c r="AK111" s="1"/>
      <c r="AL111" s="1" t="s">
        <v>1382</v>
      </c>
      <c r="AM111" s="1" t="s">
        <v>143</v>
      </c>
      <c r="AN111" s="1"/>
      <c r="AO111" s="1" t="s">
        <v>61</v>
      </c>
      <c r="AP111" s="1"/>
      <c r="AQ111" s="1"/>
      <c r="AR111" s="2"/>
      <c r="AS111" s="1"/>
      <c r="AT111" s="5">
        <v>43829</v>
      </c>
      <c r="AU111" s="5">
        <v>43854</v>
      </c>
      <c r="AV111" s="1" t="s">
        <v>1941</v>
      </c>
      <c r="AW111" s="7">
        <v>43838.672582721825</v>
      </c>
      <c r="AX111" s="1" t="s">
        <v>319</v>
      </c>
      <c r="AY111" s="6">
        <v>3377000</v>
      </c>
      <c r="AZ111" s="5">
        <v>43831</v>
      </c>
      <c r="BA111" s="5">
        <v>44196</v>
      </c>
      <c r="BB111" s="7">
        <v>44196</v>
      </c>
      <c r="BC111" s="1" t="s">
        <v>1997</v>
      </c>
      <c r="BD111" s="1"/>
      <c r="BE111" s="1"/>
      <c r="BF111" s="1" t="s">
        <v>118</v>
      </c>
    </row>
    <row r="112" spans="1:58">
      <c r="A112" s="4">
        <v>107</v>
      </c>
      <c r="B112" s="2" t="str">
        <f>HYPERLINK("https://my.zakupki.prom.ua/remote/dispatcher/state_purchase_view/15164705", "UA-2020-02-07-002528-a")</f>
        <v>UA-2020-02-07-002528-a</v>
      </c>
      <c r="C112" s="2" t="s">
        <v>1459</v>
      </c>
      <c r="D112" s="1" t="s">
        <v>1809</v>
      </c>
      <c r="E112" s="1" t="s">
        <v>1809</v>
      </c>
      <c r="F112" s="1" t="s">
        <v>721</v>
      </c>
      <c r="G112" s="1" t="s">
        <v>1364</v>
      </c>
      <c r="H112" s="1" t="s">
        <v>1800</v>
      </c>
      <c r="I112" s="1" t="s">
        <v>1379</v>
      </c>
      <c r="J112" s="1" t="s">
        <v>819</v>
      </c>
      <c r="K112" s="1" t="s">
        <v>1287</v>
      </c>
      <c r="L112" s="1" t="s">
        <v>1915</v>
      </c>
      <c r="M112" s="1" t="s">
        <v>119</v>
      </c>
      <c r="N112" s="1" t="s">
        <v>119</v>
      </c>
      <c r="O112" s="1" t="s">
        <v>119</v>
      </c>
      <c r="P112" s="5">
        <v>43868</v>
      </c>
      <c r="Q112" s="1"/>
      <c r="R112" s="1"/>
      <c r="S112" s="1"/>
      <c r="T112" s="1"/>
      <c r="U112" s="1" t="s">
        <v>1922</v>
      </c>
      <c r="V112" s="4">
        <v>1</v>
      </c>
      <c r="W112" s="6">
        <v>1995.84</v>
      </c>
      <c r="X112" s="1" t="s">
        <v>1459</v>
      </c>
      <c r="Y112" s="4">
        <v>36</v>
      </c>
      <c r="Z112" s="6">
        <v>55.44</v>
      </c>
      <c r="AA112" s="1" t="s">
        <v>2024</v>
      </c>
      <c r="AB112" s="1" t="s">
        <v>1964</v>
      </c>
      <c r="AC112" s="1" t="s">
        <v>1124</v>
      </c>
      <c r="AD112" s="1" t="s">
        <v>1463</v>
      </c>
      <c r="AE112" s="1" t="s">
        <v>1286</v>
      </c>
      <c r="AF112" s="1" t="s">
        <v>1463</v>
      </c>
      <c r="AG112" s="6">
        <v>1995.84</v>
      </c>
      <c r="AH112" s="6">
        <v>55.44</v>
      </c>
      <c r="AI112" s="1"/>
      <c r="AJ112" s="1"/>
      <c r="AK112" s="1"/>
      <c r="AL112" s="1" t="s">
        <v>1918</v>
      </c>
      <c r="AM112" s="1" t="s">
        <v>526</v>
      </c>
      <c r="AN112" s="1"/>
      <c r="AO112" s="1" t="s">
        <v>306</v>
      </c>
      <c r="AP112" s="1"/>
      <c r="AQ112" s="1"/>
      <c r="AR112" s="2"/>
      <c r="AS112" s="1"/>
      <c r="AT112" s="1"/>
      <c r="AU112" s="1"/>
      <c r="AV112" s="1" t="s">
        <v>1941</v>
      </c>
      <c r="AW112" s="7">
        <v>43868.60664536323</v>
      </c>
      <c r="AX112" s="1" t="s">
        <v>270</v>
      </c>
      <c r="AY112" s="6">
        <v>1995.84</v>
      </c>
      <c r="AZ112" s="1"/>
      <c r="BA112" s="5">
        <v>44196</v>
      </c>
      <c r="BB112" s="7">
        <v>44196</v>
      </c>
      <c r="BC112" s="1" t="s">
        <v>1997</v>
      </c>
      <c r="BD112" s="1"/>
      <c r="BE112" s="1"/>
      <c r="BF112" s="1" t="s">
        <v>118</v>
      </c>
    </row>
    <row r="113" spans="1:58">
      <c r="A113" s="4">
        <v>108</v>
      </c>
      <c r="B113" s="2" t="str">
        <f>HYPERLINK("https://my.zakupki.prom.ua/remote/dispatcher/state_purchase_view/16443186", "UA-2020-04-22-000829-b")</f>
        <v>UA-2020-04-22-000829-b</v>
      </c>
      <c r="C113" s="2" t="s">
        <v>1459</v>
      </c>
      <c r="D113" s="1" t="s">
        <v>1667</v>
      </c>
      <c r="E113" s="1" t="s">
        <v>1667</v>
      </c>
      <c r="F113" s="1" t="s">
        <v>459</v>
      </c>
      <c r="G113" s="1" t="s">
        <v>1364</v>
      </c>
      <c r="H113" s="1" t="s">
        <v>1800</v>
      </c>
      <c r="I113" s="1" t="s">
        <v>1379</v>
      </c>
      <c r="J113" s="1" t="s">
        <v>819</v>
      </c>
      <c r="K113" s="1" t="s">
        <v>1287</v>
      </c>
      <c r="L113" s="1" t="s">
        <v>1216</v>
      </c>
      <c r="M113" s="1" t="s">
        <v>119</v>
      </c>
      <c r="N113" s="1" t="s">
        <v>119</v>
      </c>
      <c r="O113" s="1" t="s">
        <v>119</v>
      </c>
      <c r="P113" s="5">
        <v>43943</v>
      </c>
      <c r="Q113" s="1"/>
      <c r="R113" s="1"/>
      <c r="S113" s="1"/>
      <c r="T113" s="1"/>
      <c r="U113" s="1" t="s">
        <v>1922</v>
      </c>
      <c r="V113" s="4">
        <v>1</v>
      </c>
      <c r="W113" s="6">
        <v>612</v>
      </c>
      <c r="X113" s="1" t="s">
        <v>1459</v>
      </c>
      <c r="Y113" s="4">
        <v>300</v>
      </c>
      <c r="Z113" s="6">
        <v>2.04</v>
      </c>
      <c r="AA113" s="1" t="s">
        <v>2024</v>
      </c>
      <c r="AB113" s="1" t="s">
        <v>1964</v>
      </c>
      <c r="AC113" s="1" t="s">
        <v>1124</v>
      </c>
      <c r="AD113" s="1" t="s">
        <v>1800</v>
      </c>
      <c r="AE113" s="1" t="s">
        <v>1286</v>
      </c>
      <c r="AF113" s="1" t="s">
        <v>1463</v>
      </c>
      <c r="AG113" s="6">
        <v>612</v>
      </c>
      <c r="AH113" s="6">
        <v>2.04</v>
      </c>
      <c r="AI113" s="1"/>
      <c r="AJ113" s="1"/>
      <c r="AK113" s="1"/>
      <c r="AL113" s="1" t="s">
        <v>1465</v>
      </c>
      <c r="AM113" s="1" t="s">
        <v>139</v>
      </c>
      <c r="AN113" s="1"/>
      <c r="AO113" s="1" t="s">
        <v>252</v>
      </c>
      <c r="AP113" s="1"/>
      <c r="AQ113" s="1"/>
      <c r="AR113" s="2"/>
      <c r="AS113" s="1"/>
      <c r="AT113" s="1"/>
      <c r="AU113" s="1"/>
      <c r="AV113" s="1" t="s">
        <v>1941</v>
      </c>
      <c r="AW113" s="7">
        <v>43943.538606625749</v>
      </c>
      <c r="AX113" s="1" t="s">
        <v>1037</v>
      </c>
      <c r="AY113" s="6">
        <v>612</v>
      </c>
      <c r="AZ113" s="1"/>
      <c r="BA113" s="5">
        <v>44196</v>
      </c>
      <c r="BB113" s="7">
        <v>44196</v>
      </c>
      <c r="BC113" s="1" t="s">
        <v>1997</v>
      </c>
      <c r="BD113" s="1"/>
      <c r="BE113" s="1"/>
      <c r="BF113" s="1" t="s">
        <v>118</v>
      </c>
    </row>
    <row r="114" spans="1:58">
      <c r="A114" s="4">
        <v>109</v>
      </c>
      <c r="B114" s="2" t="str">
        <f>HYPERLINK("https://my.zakupki.prom.ua/remote/dispatcher/state_purchase_view/23340786", "UA-2021-01-27-010041-b")</f>
        <v>UA-2021-01-27-010041-b</v>
      </c>
      <c r="C114" s="2" t="s">
        <v>1459</v>
      </c>
      <c r="D114" s="1" t="s">
        <v>1332</v>
      </c>
      <c r="E114" s="1" t="s">
        <v>1332</v>
      </c>
      <c r="F114" s="1" t="s">
        <v>507</v>
      </c>
      <c r="G114" s="1" t="s">
        <v>1364</v>
      </c>
      <c r="H114" s="1" t="s">
        <v>1800</v>
      </c>
      <c r="I114" s="1" t="s">
        <v>1379</v>
      </c>
      <c r="J114" s="1" t="s">
        <v>819</v>
      </c>
      <c r="K114" s="1" t="s">
        <v>1287</v>
      </c>
      <c r="L114" s="1" t="s">
        <v>1216</v>
      </c>
      <c r="M114" s="1" t="s">
        <v>119</v>
      </c>
      <c r="N114" s="1" t="s">
        <v>119</v>
      </c>
      <c r="O114" s="1" t="s">
        <v>119</v>
      </c>
      <c r="P114" s="5">
        <v>44223</v>
      </c>
      <c r="Q114" s="1"/>
      <c r="R114" s="1"/>
      <c r="S114" s="1"/>
      <c r="T114" s="1"/>
      <c r="U114" s="1" t="s">
        <v>1922</v>
      </c>
      <c r="V114" s="4">
        <v>1</v>
      </c>
      <c r="W114" s="6">
        <v>26301</v>
      </c>
      <c r="X114" s="1" t="s">
        <v>1459</v>
      </c>
      <c r="Y114" s="4">
        <v>26</v>
      </c>
      <c r="Z114" s="6">
        <v>1011.58</v>
      </c>
      <c r="AA114" s="1" t="s">
        <v>2024</v>
      </c>
      <c r="AB114" s="1" t="s">
        <v>1964</v>
      </c>
      <c r="AC114" s="1" t="s">
        <v>1124</v>
      </c>
      <c r="AD114" s="1" t="s">
        <v>1800</v>
      </c>
      <c r="AE114" s="1" t="s">
        <v>1286</v>
      </c>
      <c r="AF114" s="1" t="s">
        <v>1463</v>
      </c>
      <c r="AG114" s="6">
        <v>26301</v>
      </c>
      <c r="AH114" s="6">
        <v>1011.5769230769231</v>
      </c>
      <c r="AI114" s="1"/>
      <c r="AJ114" s="1"/>
      <c r="AK114" s="1"/>
      <c r="AL114" s="1" t="s">
        <v>1239</v>
      </c>
      <c r="AM114" s="1" t="s">
        <v>437</v>
      </c>
      <c r="AN114" s="1"/>
      <c r="AO114" s="1" t="s">
        <v>1103</v>
      </c>
      <c r="AP114" s="1"/>
      <c r="AQ114" s="1"/>
      <c r="AR114" s="2"/>
      <c r="AS114" s="1"/>
      <c r="AT114" s="1"/>
      <c r="AU114" s="1"/>
      <c r="AV114" s="1" t="s">
        <v>1941</v>
      </c>
      <c r="AW114" s="7">
        <v>44223.666013169066</v>
      </c>
      <c r="AX114" s="1" t="s">
        <v>558</v>
      </c>
      <c r="AY114" s="6">
        <v>26301</v>
      </c>
      <c r="AZ114" s="1"/>
      <c r="BA114" s="5">
        <v>44561</v>
      </c>
      <c r="BB114" s="7">
        <v>44561</v>
      </c>
      <c r="BC114" s="1" t="s">
        <v>1997</v>
      </c>
      <c r="BD114" s="1"/>
      <c r="BE114" s="1"/>
      <c r="BF114" s="1" t="s">
        <v>118</v>
      </c>
    </row>
    <row r="115" spans="1:58">
      <c r="A115" s="4">
        <v>110</v>
      </c>
      <c r="B115" s="2" t="str">
        <f>HYPERLINK("https://my.zakupki.prom.ua/remote/dispatcher/state_purchase_view/22909323", "UA-2021-01-12-000383-a")</f>
        <v>UA-2021-01-12-000383-a</v>
      </c>
      <c r="C115" s="2" t="s">
        <v>1459</v>
      </c>
      <c r="D115" s="1" t="s">
        <v>1817</v>
      </c>
      <c r="E115" s="1" t="s">
        <v>1822</v>
      </c>
      <c r="F115" s="1" t="s">
        <v>1080</v>
      </c>
      <c r="G115" s="1" t="s">
        <v>1364</v>
      </c>
      <c r="H115" s="1" t="s">
        <v>1800</v>
      </c>
      <c r="I115" s="1" t="s">
        <v>1379</v>
      </c>
      <c r="J115" s="1" t="s">
        <v>819</v>
      </c>
      <c r="K115" s="1" t="s">
        <v>1287</v>
      </c>
      <c r="L115" s="1" t="s">
        <v>1216</v>
      </c>
      <c r="M115" s="1" t="s">
        <v>119</v>
      </c>
      <c r="N115" s="1" t="s">
        <v>119</v>
      </c>
      <c r="O115" s="1" t="s">
        <v>119</v>
      </c>
      <c r="P115" s="5">
        <v>44208</v>
      </c>
      <c r="Q115" s="1"/>
      <c r="R115" s="1"/>
      <c r="S115" s="1"/>
      <c r="T115" s="1"/>
      <c r="U115" s="1" t="s">
        <v>1922</v>
      </c>
      <c r="V115" s="4">
        <v>1</v>
      </c>
      <c r="W115" s="6">
        <v>10800</v>
      </c>
      <c r="X115" s="1" t="s">
        <v>1459</v>
      </c>
      <c r="Y115" s="4">
        <v>1</v>
      </c>
      <c r="Z115" s="6">
        <v>10800</v>
      </c>
      <c r="AA115" s="1" t="s">
        <v>1976</v>
      </c>
      <c r="AB115" s="1" t="s">
        <v>1964</v>
      </c>
      <c r="AC115" s="1" t="s">
        <v>1124</v>
      </c>
      <c r="AD115" s="1" t="s">
        <v>1800</v>
      </c>
      <c r="AE115" s="1" t="s">
        <v>1286</v>
      </c>
      <c r="AF115" s="1" t="s">
        <v>1463</v>
      </c>
      <c r="AG115" s="6">
        <v>10800</v>
      </c>
      <c r="AH115" s="6">
        <v>10800</v>
      </c>
      <c r="AI115" s="1"/>
      <c r="AJ115" s="1"/>
      <c r="AK115" s="1"/>
      <c r="AL115" s="1" t="s">
        <v>1752</v>
      </c>
      <c r="AM115" s="1" t="s">
        <v>694</v>
      </c>
      <c r="AN115" s="1"/>
      <c r="AO115" s="1" t="s">
        <v>253</v>
      </c>
      <c r="AP115" s="1"/>
      <c r="AQ115" s="1"/>
      <c r="AR115" s="2"/>
      <c r="AS115" s="1"/>
      <c r="AT115" s="1"/>
      <c r="AU115" s="1"/>
      <c r="AV115" s="1" t="s">
        <v>1941</v>
      </c>
      <c r="AW115" s="7">
        <v>44208.418610188332</v>
      </c>
      <c r="AX115" s="1" t="s">
        <v>1258</v>
      </c>
      <c r="AY115" s="6">
        <v>10800</v>
      </c>
      <c r="AZ115" s="1"/>
      <c r="BA115" s="5">
        <v>44561</v>
      </c>
      <c r="BB115" s="7">
        <v>44561</v>
      </c>
      <c r="BC115" s="1" t="s">
        <v>1997</v>
      </c>
      <c r="BD115" s="1"/>
      <c r="BE115" s="1"/>
      <c r="BF115" s="1" t="s">
        <v>118</v>
      </c>
    </row>
    <row r="116" spans="1:58">
      <c r="A116" s="4">
        <v>111</v>
      </c>
      <c r="B116" s="2" t="str">
        <f>HYPERLINK("https://my.zakupki.prom.ua/remote/dispatcher/state_purchase_view/22898901", "UA-2021-01-11-002375-a")</f>
        <v>UA-2021-01-11-002375-a</v>
      </c>
      <c r="C116" s="2" t="s">
        <v>1459</v>
      </c>
      <c r="D116" s="1" t="s">
        <v>1801</v>
      </c>
      <c r="E116" s="1" t="s">
        <v>1801</v>
      </c>
      <c r="F116" s="1" t="s">
        <v>1049</v>
      </c>
      <c r="G116" s="1" t="s">
        <v>1364</v>
      </c>
      <c r="H116" s="1" t="s">
        <v>1800</v>
      </c>
      <c r="I116" s="1" t="s">
        <v>1379</v>
      </c>
      <c r="J116" s="1" t="s">
        <v>819</v>
      </c>
      <c r="K116" s="1" t="s">
        <v>1287</v>
      </c>
      <c r="L116" s="1" t="s">
        <v>1216</v>
      </c>
      <c r="M116" s="1" t="s">
        <v>119</v>
      </c>
      <c r="N116" s="1" t="s">
        <v>119</v>
      </c>
      <c r="O116" s="1" t="s">
        <v>119</v>
      </c>
      <c r="P116" s="5">
        <v>44207</v>
      </c>
      <c r="Q116" s="1"/>
      <c r="R116" s="1"/>
      <c r="S116" s="1"/>
      <c r="T116" s="1"/>
      <c r="U116" s="1" t="s">
        <v>1922</v>
      </c>
      <c r="V116" s="4">
        <v>1</v>
      </c>
      <c r="W116" s="6">
        <v>2600</v>
      </c>
      <c r="X116" s="1" t="s">
        <v>1459</v>
      </c>
      <c r="Y116" s="4">
        <v>1</v>
      </c>
      <c r="Z116" s="6">
        <v>2600</v>
      </c>
      <c r="AA116" s="1" t="s">
        <v>1976</v>
      </c>
      <c r="AB116" s="1" t="s">
        <v>1964</v>
      </c>
      <c r="AC116" s="1" t="s">
        <v>1124</v>
      </c>
      <c r="AD116" s="1" t="s">
        <v>1800</v>
      </c>
      <c r="AE116" s="1" t="s">
        <v>1286</v>
      </c>
      <c r="AF116" s="1" t="s">
        <v>1463</v>
      </c>
      <c r="AG116" s="6">
        <v>2600</v>
      </c>
      <c r="AH116" s="6">
        <v>2600</v>
      </c>
      <c r="AI116" s="1"/>
      <c r="AJ116" s="1"/>
      <c r="AK116" s="1"/>
      <c r="AL116" s="1" t="s">
        <v>1494</v>
      </c>
      <c r="AM116" s="1" t="s">
        <v>460</v>
      </c>
      <c r="AN116" s="1"/>
      <c r="AO116" s="1" t="s">
        <v>203</v>
      </c>
      <c r="AP116" s="1"/>
      <c r="AQ116" s="1"/>
      <c r="AR116" s="2"/>
      <c r="AS116" s="1"/>
      <c r="AT116" s="1"/>
      <c r="AU116" s="1"/>
      <c r="AV116" s="1" t="s">
        <v>1941</v>
      </c>
      <c r="AW116" s="7">
        <v>44207.641776981574</v>
      </c>
      <c r="AX116" s="1" t="s">
        <v>635</v>
      </c>
      <c r="AY116" s="6">
        <v>2600</v>
      </c>
      <c r="AZ116" s="1"/>
      <c r="BA116" s="5">
        <v>44561</v>
      </c>
      <c r="BB116" s="7">
        <v>44561</v>
      </c>
      <c r="BC116" s="1" t="s">
        <v>1997</v>
      </c>
      <c r="BD116" s="1"/>
      <c r="BE116" s="1"/>
      <c r="BF116" s="1" t="s">
        <v>118</v>
      </c>
    </row>
    <row r="117" spans="1:58">
      <c r="A117" s="4">
        <v>112</v>
      </c>
      <c r="B117" s="2" t="str">
        <f>HYPERLINK("https://my.zakupki.prom.ua/remote/dispatcher/state_purchase_view/25267230", "UA-2021-03-26-002993-b")</f>
        <v>UA-2021-03-26-002993-b</v>
      </c>
      <c r="C117" s="2" t="s">
        <v>1459</v>
      </c>
      <c r="D117" s="1" t="s">
        <v>1986</v>
      </c>
      <c r="E117" s="1" t="s">
        <v>1986</v>
      </c>
      <c r="F117" s="1" t="s">
        <v>1053</v>
      </c>
      <c r="G117" s="1" t="s">
        <v>1364</v>
      </c>
      <c r="H117" s="1" t="s">
        <v>1800</v>
      </c>
      <c r="I117" s="1" t="s">
        <v>1379</v>
      </c>
      <c r="J117" s="1" t="s">
        <v>819</v>
      </c>
      <c r="K117" s="1" t="s">
        <v>1287</v>
      </c>
      <c r="L117" s="1" t="s">
        <v>1216</v>
      </c>
      <c r="M117" s="1" t="s">
        <v>119</v>
      </c>
      <c r="N117" s="1" t="s">
        <v>119</v>
      </c>
      <c r="O117" s="1" t="s">
        <v>119</v>
      </c>
      <c r="P117" s="5">
        <v>44281</v>
      </c>
      <c r="Q117" s="1"/>
      <c r="R117" s="1"/>
      <c r="S117" s="1"/>
      <c r="T117" s="1"/>
      <c r="U117" s="1" t="s">
        <v>1922</v>
      </c>
      <c r="V117" s="4">
        <v>1</v>
      </c>
      <c r="W117" s="6">
        <v>99.4</v>
      </c>
      <c r="X117" s="1" t="s">
        <v>1459</v>
      </c>
      <c r="Y117" s="4">
        <v>1</v>
      </c>
      <c r="Z117" s="6">
        <v>99.4</v>
      </c>
      <c r="AA117" s="1" t="s">
        <v>1976</v>
      </c>
      <c r="AB117" s="1" t="s">
        <v>1964</v>
      </c>
      <c r="AC117" s="1" t="s">
        <v>1124</v>
      </c>
      <c r="AD117" s="1" t="s">
        <v>1800</v>
      </c>
      <c r="AE117" s="1" t="s">
        <v>1286</v>
      </c>
      <c r="AF117" s="1" t="s">
        <v>1463</v>
      </c>
      <c r="AG117" s="6">
        <v>99.4</v>
      </c>
      <c r="AH117" s="6">
        <v>99.4</v>
      </c>
      <c r="AI117" s="1"/>
      <c r="AJ117" s="1"/>
      <c r="AK117" s="1"/>
      <c r="AL117" s="1" t="s">
        <v>1493</v>
      </c>
      <c r="AM117" s="1" t="s">
        <v>665</v>
      </c>
      <c r="AN117" s="1"/>
      <c r="AO117" s="1" t="s">
        <v>192</v>
      </c>
      <c r="AP117" s="1"/>
      <c r="AQ117" s="1"/>
      <c r="AR117" s="2"/>
      <c r="AS117" s="1"/>
      <c r="AT117" s="1"/>
      <c r="AU117" s="1"/>
      <c r="AV117" s="1" t="s">
        <v>1941</v>
      </c>
      <c r="AW117" s="7">
        <v>44281.625071363997</v>
      </c>
      <c r="AX117" s="1" t="s">
        <v>138</v>
      </c>
      <c r="AY117" s="6">
        <v>99.4</v>
      </c>
      <c r="AZ117" s="1"/>
      <c r="BA117" s="5">
        <v>44561</v>
      </c>
      <c r="BB117" s="7">
        <v>44561</v>
      </c>
      <c r="BC117" s="1" t="s">
        <v>1997</v>
      </c>
      <c r="BD117" s="1"/>
      <c r="BE117" s="1"/>
      <c r="BF117" s="1" t="s">
        <v>118</v>
      </c>
    </row>
    <row r="118" spans="1:58">
      <c r="A118" s="4">
        <v>113</v>
      </c>
      <c r="B118" s="2" t="str">
        <f>HYPERLINK("https://my.zakupki.prom.ua/remote/dispatcher/state_purchase_view/24566040", "UA-2021-03-03-005974-c")</f>
        <v>UA-2021-03-03-005974-c</v>
      </c>
      <c r="C118" s="2" t="s">
        <v>1459</v>
      </c>
      <c r="D118" s="1" t="s">
        <v>2021</v>
      </c>
      <c r="E118" s="1" t="s">
        <v>2021</v>
      </c>
      <c r="F118" s="1" t="s">
        <v>626</v>
      </c>
      <c r="G118" s="1" t="s">
        <v>1364</v>
      </c>
      <c r="H118" s="1" t="s">
        <v>1800</v>
      </c>
      <c r="I118" s="1" t="s">
        <v>1379</v>
      </c>
      <c r="J118" s="1" t="s">
        <v>819</v>
      </c>
      <c r="K118" s="1" t="s">
        <v>1287</v>
      </c>
      <c r="L118" s="1" t="s">
        <v>1216</v>
      </c>
      <c r="M118" s="1" t="s">
        <v>119</v>
      </c>
      <c r="N118" s="1" t="s">
        <v>119</v>
      </c>
      <c r="O118" s="1" t="s">
        <v>119</v>
      </c>
      <c r="P118" s="5">
        <v>44258</v>
      </c>
      <c r="Q118" s="1"/>
      <c r="R118" s="1"/>
      <c r="S118" s="1"/>
      <c r="T118" s="1"/>
      <c r="U118" s="1" t="s">
        <v>1922</v>
      </c>
      <c r="V118" s="4">
        <v>1</v>
      </c>
      <c r="W118" s="6">
        <v>300</v>
      </c>
      <c r="X118" s="1" t="s">
        <v>1459</v>
      </c>
      <c r="Y118" s="4">
        <v>2</v>
      </c>
      <c r="Z118" s="6">
        <v>150</v>
      </c>
      <c r="AA118" s="1" t="s">
        <v>2024</v>
      </c>
      <c r="AB118" s="1" t="s">
        <v>1964</v>
      </c>
      <c r="AC118" s="1" t="s">
        <v>1124</v>
      </c>
      <c r="AD118" s="1" t="s">
        <v>1800</v>
      </c>
      <c r="AE118" s="1" t="s">
        <v>1286</v>
      </c>
      <c r="AF118" s="1" t="s">
        <v>1463</v>
      </c>
      <c r="AG118" s="6">
        <v>300</v>
      </c>
      <c r="AH118" s="6">
        <v>150</v>
      </c>
      <c r="AI118" s="1"/>
      <c r="AJ118" s="1"/>
      <c r="AK118" s="1"/>
      <c r="AL118" s="1" t="s">
        <v>1488</v>
      </c>
      <c r="AM118" s="1" t="s">
        <v>532</v>
      </c>
      <c r="AN118" s="1"/>
      <c r="AO118" s="1" t="s">
        <v>307</v>
      </c>
      <c r="AP118" s="1"/>
      <c r="AQ118" s="1"/>
      <c r="AR118" s="2"/>
      <c r="AS118" s="1"/>
      <c r="AT118" s="1"/>
      <c r="AU118" s="1"/>
      <c r="AV118" s="1" t="s">
        <v>1941</v>
      </c>
      <c r="AW118" s="7">
        <v>44258.552241420577</v>
      </c>
      <c r="AX118" s="1" t="s">
        <v>148</v>
      </c>
      <c r="AY118" s="6">
        <v>300</v>
      </c>
      <c r="AZ118" s="1"/>
      <c r="BA118" s="5">
        <v>44286</v>
      </c>
      <c r="BB118" s="7">
        <v>44561</v>
      </c>
      <c r="BC118" s="1" t="s">
        <v>1997</v>
      </c>
      <c r="BD118" s="1"/>
      <c r="BE118" s="1"/>
      <c r="BF118" s="1" t="s">
        <v>118</v>
      </c>
    </row>
    <row r="119" spans="1:58">
      <c r="A119" s="4">
        <v>114</v>
      </c>
      <c r="B119" s="2" t="str">
        <f>HYPERLINK("https://my.zakupki.prom.ua/remote/dispatcher/state_purchase_view/25199126", "UA-2021-03-24-003964-a")</f>
        <v>UA-2021-03-24-003964-a</v>
      </c>
      <c r="C119" s="2" t="s">
        <v>1459</v>
      </c>
      <c r="D119" s="1" t="s">
        <v>2000</v>
      </c>
      <c r="E119" s="1" t="s">
        <v>2000</v>
      </c>
      <c r="F119" s="1" t="s">
        <v>1058</v>
      </c>
      <c r="G119" s="1" t="s">
        <v>1364</v>
      </c>
      <c r="H119" s="1" t="s">
        <v>1800</v>
      </c>
      <c r="I119" s="1" t="s">
        <v>1379</v>
      </c>
      <c r="J119" s="1" t="s">
        <v>819</v>
      </c>
      <c r="K119" s="1" t="s">
        <v>1287</v>
      </c>
      <c r="L119" s="1" t="s">
        <v>1216</v>
      </c>
      <c r="M119" s="1" t="s">
        <v>119</v>
      </c>
      <c r="N119" s="1" t="s">
        <v>119</v>
      </c>
      <c r="O119" s="1" t="s">
        <v>119</v>
      </c>
      <c r="P119" s="5">
        <v>44279</v>
      </c>
      <c r="Q119" s="1"/>
      <c r="R119" s="1"/>
      <c r="S119" s="1"/>
      <c r="T119" s="1"/>
      <c r="U119" s="1" t="s">
        <v>1922</v>
      </c>
      <c r="V119" s="4">
        <v>1</v>
      </c>
      <c r="W119" s="6">
        <v>16200</v>
      </c>
      <c r="X119" s="1" t="s">
        <v>1459</v>
      </c>
      <c r="Y119" s="4">
        <v>1</v>
      </c>
      <c r="Z119" s="6">
        <v>16200</v>
      </c>
      <c r="AA119" s="1" t="s">
        <v>1976</v>
      </c>
      <c r="AB119" s="1" t="s">
        <v>1964</v>
      </c>
      <c r="AC119" s="1" t="s">
        <v>1124</v>
      </c>
      <c r="AD119" s="1" t="s">
        <v>1800</v>
      </c>
      <c r="AE119" s="1" t="s">
        <v>1286</v>
      </c>
      <c r="AF119" s="1" t="s">
        <v>1463</v>
      </c>
      <c r="AG119" s="6">
        <v>16200</v>
      </c>
      <c r="AH119" s="6">
        <v>16200</v>
      </c>
      <c r="AI119" s="1"/>
      <c r="AJ119" s="1"/>
      <c r="AK119" s="1"/>
      <c r="AL119" s="1" t="s">
        <v>1797</v>
      </c>
      <c r="AM119" s="1" t="s">
        <v>423</v>
      </c>
      <c r="AN119" s="1"/>
      <c r="AO119" s="1" t="s">
        <v>195</v>
      </c>
      <c r="AP119" s="1"/>
      <c r="AQ119" s="1"/>
      <c r="AR119" s="2"/>
      <c r="AS119" s="1"/>
      <c r="AT119" s="1"/>
      <c r="AU119" s="1"/>
      <c r="AV119" s="1" t="s">
        <v>1941</v>
      </c>
      <c r="AW119" s="7">
        <v>44279.58216565178</v>
      </c>
      <c r="AX119" s="1" t="s">
        <v>1032</v>
      </c>
      <c r="AY119" s="6">
        <v>16200</v>
      </c>
      <c r="AZ119" s="1"/>
      <c r="BA119" s="5">
        <v>44293</v>
      </c>
      <c r="BB119" s="7">
        <v>44561</v>
      </c>
      <c r="BC119" s="1" t="s">
        <v>1997</v>
      </c>
      <c r="BD119" s="1"/>
      <c r="BE119" s="1"/>
      <c r="BF119" s="1" t="s">
        <v>118</v>
      </c>
    </row>
    <row r="120" spans="1:58">
      <c r="A120" s="4">
        <v>115</v>
      </c>
      <c r="B120" s="2" t="str">
        <f>HYPERLINK("https://my.zakupki.prom.ua/remote/dispatcher/state_purchase_view/23992917", "UA-2021-02-15-000097-c")</f>
        <v>UA-2021-02-15-000097-c</v>
      </c>
      <c r="C120" s="2" t="s">
        <v>1459</v>
      </c>
      <c r="D120" s="1" t="s">
        <v>1527</v>
      </c>
      <c r="E120" s="1" t="s">
        <v>1527</v>
      </c>
      <c r="F120" s="1" t="s">
        <v>1008</v>
      </c>
      <c r="G120" s="1" t="s">
        <v>1364</v>
      </c>
      <c r="H120" s="1" t="s">
        <v>1800</v>
      </c>
      <c r="I120" s="1" t="s">
        <v>1379</v>
      </c>
      <c r="J120" s="1" t="s">
        <v>819</v>
      </c>
      <c r="K120" s="1" t="s">
        <v>1287</v>
      </c>
      <c r="L120" s="1" t="s">
        <v>1216</v>
      </c>
      <c r="M120" s="1" t="s">
        <v>119</v>
      </c>
      <c r="N120" s="1" t="s">
        <v>119</v>
      </c>
      <c r="O120" s="1" t="s">
        <v>119</v>
      </c>
      <c r="P120" s="5">
        <v>44242</v>
      </c>
      <c r="Q120" s="1"/>
      <c r="R120" s="1"/>
      <c r="S120" s="1"/>
      <c r="T120" s="1"/>
      <c r="U120" s="1" t="s">
        <v>1922</v>
      </c>
      <c r="V120" s="4">
        <v>1</v>
      </c>
      <c r="W120" s="6">
        <v>18600</v>
      </c>
      <c r="X120" s="1" t="s">
        <v>1459</v>
      </c>
      <c r="Y120" s="4">
        <v>8</v>
      </c>
      <c r="Z120" s="6">
        <v>2325</v>
      </c>
      <c r="AA120" s="1" t="s">
        <v>1976</v>
      </c>
      <c r="AB120" s="1" t="s">
        <v>1964</v>
      </c>
      <c r="AC120" s="1" t="s">
        <v>1124</v>
      </c>
      <c r="AD120" s="1" t="s">
        <v>1800</v>
      </c>
      <c r="AE120" s="1" t="s">
        <v>1286</v>
      </c>
      <c r="AF120" s="1" t="s">
        <v>1463</v>
      </c>
      <c r="AG120" s="6">
        <v>18600</v>
      </c>
      <c r="AH120" s="6">
        <v>2325</v>
      </c>
      <c r="AI120" s="1"/>
      <c r="AJ120" s="1"/>
      <c r="AK120" s="1"/>
      <c r="AL120" s="1" t="s">
        <v>1742</v>
      </c>
      <c r="AM120" s="1" t="s">
        <v>841</v>
      </c>
      <c r="AN120" s="1"/>
      <c r="AO120" s="1" t="s">
        <v>240</v>
      </c>
      <c r="AP120" s="1"/>
      <c r="AQ120" s="1"/>
      <c r="AR120" s="2"/>
      <c r="AS120" s="1"/>
      <c r="AT120" s="1"/>
      <c r="AU120" s="1"/>
      <c r="AV120" s="1" t="s">
        <v>1941</v>
      </c>
      <c r="AW120" s="7">
        <v>44242.354144358702</v>
      </c>
      <c r="AX120" s="1" t="s">
        <v>341</v>
      </c>
      <c r="AY120" s="6">
        <v>18600</v>
      </c>
      <c r="AZ120" s="1"/>
      <c r="BA120" s="5">
        <v>44255</v>
      </c>
      <c r="BB120" s="7">
        <v>44255</v>
      </c>
      <c r="BC120" s="1" t="s">
        <v>1997</v>
      </c>
      <c r="BD120" s="1"/>
      <c r="BE120" s="1"/>
      <c r="BF120" s="1" t="s">
        <v>118</v>
      </c>
    </row>
    <row r="121" spans="1:58">
      <c r="A121" s="4">
        <v>116</v>
      </c>
      <c r="B121" s="2" t="str">
        <f>HYPERLINK("https://my.zakupki.prom.ua/remote/dispatcher/state_purchase_view/24588929", "UA-2021-03-04-001206-c")</f>
        <v>UA-2021-03-04-001206-c</v>
      </c>
      <c r="C121" s="2" t="s">
        <v>1459</v>
      </c>
      <c r="D121" s="1" t="s">
        <v>1578</v>
      </c>
      <c r="E121" s="1" t="s">
        <v>1578</v>
      </c>
      <c r="F121" s="1" t="s">
        <v>1065</v>
      </c>
      <c r="G121" s="1" t="s">
        <v>1364</v>
      </c>
      <c r="H121" s="1" t="s">
        <v>1800</v>
      </c>
      <c r="I121" s="1" t="s">
        <v>1379</v>
      </c>
      <c r="J121" s="1" t="s">
        <v>819</v>
      </c>
      <c r="K121" s="1" t="s">
        <v>1287</v>
      </c>
      <c r="L121" s="1" t="s">
        <v>1216</v>
      </c>
      <c r="M121" s="1" t="s">
        <v>119</v>
      </c>
      <c r="N121" s="1" t="s">
        <v>119</v>
      </c>
      <c r="O121" s="1" t="s">
        <v>119</v>
      </c>
      <c r="P121" s="5">
        <v>44259</v>
      </c>
      <c r="Q121" s="1"/>
      <c r="R121" s="1"/>
      <c r="S121" s="1"/>
      <c r="T121" s="1"/>
      <c r="U121" s="1" t="s">
        <v>1922</v>
      </c>
      <c r="V121" s="4">
        <v>1</v>
      </c>
      <c r="W121" s="6">
        <v>2400</v>
      </c>
      <c r="X121" s="1" t="s">
        <v>1459</v>
      </c>
      <c r="Y121" s="4">
        <v>1</v>
      </c>
      <c r="Z121" s="6">
        <v>2400</v>
      </c>
      <c r="AA121" s="1" t="s">
        <v>1976</v>
      </c>
      <c r="AB121" s="1" t="s">
        <v>1964</v>
      </c>
      <c r="AC121" s="1" t="s">
        <v>1124</v>
      </c>
      <c r="AD121" s="1" t="s">
        <v>1800</v>
      </c>
      <c r="AE121" s="1" t="s">
        <v>1286</v>
      </c>
      <c r="AF121" s="1" t="s">
        <v>1463</v>
      </c>
      <c r="AG121" s="6">
        <v>2400</v>
      </c>
      <c r="AH121" s="6">
        <v>2400</v>
      </c>
      <c r="AI121" s="1"/>
      <c r="AJ121" s="1"/>
      <c r="AK121" s="1"/>
      <c r="AL121" s="1" t="s">
        <v>1502</v>
      </c>
      <c r="AM121" s="1" t="s">
        <v>702</v>
      </c>
      <c r="AN121" s="1"/>
      <c r="AO121" s="1" t="s">
        <v>167</v>
      </c>
      <c r="AP121" s="1"/>
      <c r="AQ121" s="1"/>
      <c r="AR121" s="2"/>
      <c r="AS121" s="1"/>
      <c r="AT121" s="1"/>
      <c r="AU121" s="1"/>
      <c r="AV121" s="1" t="s">
        <v>1941</v>
      </c>
      <c r="AW121" s="7">
        <v>44259.401070432395</v>
      </c>
      <c r="AX121" s="1" t="s">
        <v>149</v>
      </c>
      <c r="AY121" s="6">
        <v>2400</v>
      </c>
      <c r="AZ121" s="1"/>
      <c r="BA121" s="5">
        <v>44561</v>
      </c>
      <c r="BB121" s="7">
        <v>44561</v>
      </c>
      <c r="BC121" s="1" t="s">
        <v>1997</v>
      </c>
      <c r="BD121" s="1"/>
      <c r="BE121" s="1"/>
      <c r="BF121" s="1" t="s">
        <v>118</v>
      </c>
    </row>
    <row r="122" spans="1:58">
      <c r="A122" s="4">
        <v>117</v>
      </c>
      <c r="B122" s="2" t="str">
        <f>HYPERLINK("https://my.zakupki.prom.ua/remote/dispatcher/state_purchase_view/24480246", "UA-2021-03-01-006474-a")</f>
        <v>UA-2021-03-01-006474-a</v>
      </c>
      <c r="C122" s="2" t="s">
        <v>1459</v>
      </c>
      <c r="D122" s="1" t="s">
        <v>1665</v>
      </c>
      <c r="E122" s="1" t="s">
        <v>1665</v>
      </c>
      <c r="F122" s="1" t="s">
        <v>715</v>
      </c>
      <c r="G122" s="1" t="s">
        <v>1346</v>
      </c>
      <c r="H122" s="1" t="s">
        <v>1800</v>
      </c>
      <c r="I122" s="1" t="s">
        <v>1379</v>
      </c>
      <c r="J122" s="1" t="s">
        <v>819</v>
      </c>
      <c r="K122" s="1" t="s">
        <v>1287</v>
      </c>
      <c r="L122" s="1" t="s">
        <v>1216</v>
      </c>
      <c r="M122" s="1" t="s">
        <v>119</v>
      </c>
      <c r="N122" s="1" t="s">
        <v>119</v>
      </c>
      <c r="O122" s="1" t="s">
        <v>119</v>
      </c>
      <c r="P122" s="5">
        <v>44256</v>
      </c>
      <c r="Q122" s="5">
        <v>44256</v>
      </c>
      <c r="R122" s="5">
        <v>44260</v>
      </c>
      <c r="S122" s="5">
        <v>44260</v>
      </c>
      <c r="T122" s="5">
        <v>44266</v>
      </c>
      <c r="U122" s="1" t="s">
        <v>1923</v>
      </c>
      <c r="V122" s="4">
        <v>1</v>
      </c>
      <c r="W122" s="6">
        <v>6000</v>
      </c>
      <c r="X122" s="1" t="s">
        <v>1459</v>
      </c>
      <c r="Y122" s="4">
        <v>2</v>
      </c>
      <c r="Z122" s="6">
        <v>3000</v>
      </c>
      <c r="AA122" s="1" t="s">
        <v>2024</v>
      </c>
      <c r="AB122" s="6">
        <v>30</v>
      </c>
      <c r="AC122" s="1" t="s">
        <v>1124</v>
      </c>
      <c r="AD122" s="1" t="s">
        <v>1800</v>
      </c>
      <c r="AE122" s="1" t="s">
        <v>1286</v>
      </c>
      <c r="AF122" s="1" t="s">
        <v>1463</v>
      </c>
      <c r="AG122" s="6">
        <v>5600</v>
      </c>
      <c r="AH122" s="6">
        <v>2800</v>
      </c>
      <c r="AI122" s="1" t="s">
        <v>1889</v>
      </c>
      <c r="AJ122" s="6">
        <v>400</v>
      </c>
      <c r="AK122" s="6">
        <v>6.6666666666666666E-2</v>
      </c>
      <c r="AL122" s="1" t="s">
        <v>1889</v>
      </c>
      <c r="AM122" s="1" t="s">
        <v>483</v>
      </c>
      <c r="AN122" s="1" t="s">
        <v>1147</v>
      </c>
      <c r="AO122" s="1" t="s">
        <v>117</v>
      </c>
      <c r="AP122" s="6">
        <v>400</v>
      </c>
      <c r="AQ122" s="6">
        <v>6.6666666666666666E-2</v>
      </c>
      <c r="AR122" s="2"/>
      <c r="AS122" s="7">
        <v>44267.509734113948</v>
      </c>
      <c r="AT122" s="5">
        <v>44272</v>
      </c>
      <c r="AU122" s="5">
        <v>44290</v>
      </c>
      <c r="AV122" s="1" t="s">
        <v>1941</v>
      </c>
      <c r="AW122" s="7">
        <v>44274.419527114696</v>
      </c>
      <c r="AX122" s="1" t="s">
        <v>395</v>
      </c>
      <c r="AY122" s="6">
        <v>5600</v>
      </c>
      <c r="AZ122" s="1"/>
      <c r="BA122" s="5">
        <v>44316</v>
      </c>
      <c r="BB122" s="7">
        <v>44561</v>
      </c>
      <c r="BC122" s="1" t="s">
        <v>1997</v>
      </c>
      <c r="BD122" s="1"/>
      <c r="BE122" s="1"/>
      <c r="BF122" s="1" t="s">
        <v>484</v>
      </c>
    </row>
    <row r="123" spans="1:58">
      <c r="A123" s="4">
        <v>118</v>
      </c>
      <c r="B123" s="2" t="str">
        <f>HYPERLINK("https://my.zakupki.prom.ua/remote/dispatcher/state_purchase_view/25457711", "UA-2021-04-01-004440-a")</f>
        <v>UA-2021-04-01-004440-a</v>
      </c>
      <c r="C123" s="2" t="s">
        <v>1459</v>
      </c>
      <c r="D123" s="1" t="s">
        <v>1228</v>
      </c>
      <c r="E123" s="1" t="s">
        <v>1228</v>
      </c>
      <c r="F123" s="1" t="s">
        <v>656</v>
      </c>
      <c r="G123" s="1" t="s">
        <v>1364</v>
      </c>
      <c r="H123" s="1" t="s">
        <v>1800</v>
      </c>
      <c r="I123" s="1" t="s">
        <v>1379</v>
      </c>
      <c r="J123" s="1" t="s">
        <v>819</v>
      </c>
      <c r="K123" s="1" t="s">
        <v>1287</v>
      </c>
      <c r="L123" s="1" t="s">
        <v>1216</v>
      </c>
      <c r="M123" s="1" t="s">
        <v>119</v>
      </c>
      <c r="N123" s="1" t="s">
        <v>119</v>
      </c>
      <c r="O123" s="1" t="s">
        <v>119</v>
      </c>
      <c r="P123" s="5">
        <v>44287</v>
      </c>
      <c r="Q123" s="1"/>
      <c r="R123" s="1"/>
      <c r="S123" s="1"/>
      <c r="T123" s="1"/>
      <c r="U123" s="1" t="s">
        <v>1922</v>
      </c>
      <c r="V123" s="4">
        <v>1</v>
      </c>
      <c r="W123" s="6">
        <v>420</v>
      </c>
      <c r="X123" s="1" t="s">
        <v>1459</v>
      </c>
      <c r="Y123" s="4">
        <v>1</v>
      </c>
      <c r="Z123" s="6">
        <v>420</v>
      </c>
      <c r="AA123" s="1" t="s">
        <v>2024</v>
      </c>
      <c r="AB123" s="1" t="s">
        <v>1964</v>
      </c>
      <c r="AC123" s="1" t="s">
        <v>1124</v>
      </c>
      <c r="AD123" s="1" t="s">
        <v>1800</v>
      </c>
      <c r="AE123" s="1" t="s">
        <v>1286</v>
      </c>
      <c r="AF123" s="1" t="s">
        <v>1463</v>
      </c>
      <c r="AG123" s="6">
        <v>420</v>
      </c>
      <c r="AH123" s="6">
        <v>420</v>
      </c>
      <c r="AI123" s="1"/>
      <c r="AJ123" s="1"/>
      <c r="AK123" s="1"/>
      <c r="AL123" s="1" t="s">
        <v>1752</v>
      </c>
      <c r="AM123" s="1" t="s">
        <v>694</v>
      </c>
      <c r="AN123" s="1"/>
      <c r="AO123" s="1" t="s">
        <v>1062</v>
      </c>
      <c r="AP123" s="1"/>
      <c r="AQ123" s="1"/>
      <c r="AR123" s="2"/>
      <c r="AS123" s="1"/>
      <c r="AT123" s="1"/>
      <c r="AU123" s="1"/>
      <c r="AV123" s="1" t="s">
        <v>1941</v>
      </c>
      <c r="AW123" s="7">
        <v>44287.648734149145</v>
      </c>
      <c r="AX123" s="1" t="s">
        <v>1259</v>
      </c>
      <c r="AY123" s="6">
        <v>420</v>
      </c>
      <c r="AZ123" s="1"/>
      <c r="BA123" s="5">
        <v>44561</v>
      </c>
      <c r="BB123" s="7">
        <v>44561</v>
      </c>
      <c r="BC123" s="1" t="s">
        <v>1997</v>
      </c>
      <c r="BD123" s="1"/>
      <c r="BE123" s="1"/>
      <c r="BF123" s="1" t="s">
        <v>118</v>
      </c>
    </row>
    <row r="124" spans="1:58">
      <c r="A124" s="4">
        <v>119</v>
      </c>
      <c r="B124" s="2" t="str">
        <f>HYPERLINK("https://my.zakupki.prom.ua/remote/dispatcher/state_purchase_view/23277062", "UA-2021-01-26-007322-b")</f>
        <v>UA-2021-01-26-007322-b</v>
      </c>
      <c r="C124" s="2" t="s">
        <v>1459</v>
      </c>
      <c r="D124" s="1" t="s">
        <v>2008</v>
      </c>
      <c r="E124" s="1" t="s">
        <v>2008</v>
      </c>
      <c r="F124" s="1" t="s">
        <v>364</v>
      </c>
      <c r="G124" s="1" t="s">
        <v>1675</v>
      </c>
      <c r="H124" s="1" t="s">
        <v>1800</v>
      </c>
      <c r="I124" s="1" t="s">
        <v>1379</v>
      </c>
      <c r="J124" s="1" t="s">
        <v>819</v>
      </c>
      <c r="K124" s="1" t="s">
        <v>1287</v>
      </c>
      <c r="L124" s="1" t="s">
        <v>1216</v>
      </c>
      <c r="M124" s="1" t="s">
        <v>119</v>
      </c>
      <c r="N124" s="1" t="s">
        <v>119</v>
      </c>
      <c r="O124" s="1" t="s">
        <v>119</v>
      </c>
      <c r="P124" s="5">
        <v>44222</v>
      </c>
      <c r="Q124" s="5">
        <v>44222</v>
      </c>
      <c r="R124" s="5">
        <v>44228</v>
      </c>
      <c r="S124" s="5">
        <v>44228</v>
      </c>
      <c r="T124" s="5">
        <v>44231</v>
      </c>
      <c r="U124" s="1" t="s">
        <v>1923</v>
      </c>
      <c r="V124" s="4">
        <v>1</v>
      </c>
      <c r="W124" s="6">
        <v>63466</v>
      </c>
      <c r="X124" s="1" t="s">
        <v>1459</v>
      </c>
      <c r="Y124" s="4">
        <v>735</v>
      </c>
      <c r="Z124" s="6">
        <v>86.35</v>
      </c>
      <c r="AA124" s="1" t="s">
        <v>2017</v>
      </c>
      <c r="AB124" s="6">
        <v>317.33</v>
      </c>
      <c r="AC124" s="1" t="s">
        <v>1124</v>
      </c>
      <c r="AD124" s="1" t="s">
        <v>1800</v>
      </c>
      <c r="AE124" s="1" t="s">
        <v>1286</v>
      </c>
      <c r="AF124" s="1" t="s">
        <v>1463</v>
      </c>
      <c r="AG124" s="6">
        <v>63462</v>
      </c>
      <c r="AH124" s="6">
        <v>86.342857142857142</v>
      </c>
      <c r="AI124" s="1" t="s">
        <v>1736</v>
      </c>
      <c r="AJ124" s="6">
        <v>4</v>
      </c>
      <c r="AK124" s="6">
        <v>6.3025872120505466E-5</v>
      </c>
      <c r="AL124" s="1" t="s">
        <v>1736</v>
      </c>
      <c r="AM124" s="1" t="s">
        <v>652</v>
      </c>
      <c r="AN124" s="1" t="s">
        <v>1209</v>
      </c>
      <c r="AO124" s="1" t="s">
        <v>63</v>
      </c>
      <c r="AP124" s="6">
        <v>4</v>
      </c>
      <c r="AQ124" s="6">
        <v>6.3025872120505466E-5</v>
      </c>
      <c r="AR124" s="2"/>
      <c r="AS124" s="7">
        <v>44232.490844728207</v>
      </c>
      <c r="AT124" s="5">
        <v>44237</v>
      </c>
      <c r="AU124" s="5">
        <v>44258</v>
      </c>
      <c r="AV124" s="1" t="s">
        <v>1941</v>
      </c>
      <c r="AW124" s="7">
        <v>44239.411966611508</v>
      </c>
      <c r="AX124" s="1" t="s">
        <v>341</v>
      </c>
      <c r="AY124" s="6">
        <v>63462</v>
      </c>
      <c r="AZ124" s="1"/>
      <c r="BA124" s="5">
        <v>44561</v>
      </c>
      <c r="BB124" s="7">
        <v>44561</v>
      </c>
      <c r="BC124" s="1" t="s">
        <v>1997</v>
      </c>
      <c r="BD124" s="1"/>
      <c r="BE124" s="1"/>
      <c r="BF124" s="1" t="s">
        <v>653</v>
      </c>
    </row>
    <row r="125" spans="1:58">
      <c r="A125" s="4">
        <v>120</v>
      </c>
      <c r="B125" s="2" t="str">
        <f>HYPERLINK("https://my.zakupki.prom.ua/remote/dispatcher/state_purchase_view/23500666", "UA-2021-02-01-010990-a")</f>
        <v>UA-2021-02-01-010990-a</v>
      </c>
      <c r="C125" s="2" t="s">
        <v>1459</v>
      </c>
      <c r="D125" s="1" t="s">
        <v>1591</v>
      </c>
      <c r="E125" s="1" t="s">
        <v>1619</v>
      </c>
      <c r="F125" s="1" t="s">
        <v>1101</v>
      </c>
      <c r="G125" s="1" t="s">
        <v>1364</v>
      </c>
      <c r="H125" s="1" t="s">
        <v>1800</v>
      </c>
      <c r="I125" s="1" t="s">
        <v>1379</v>
      </c>
      <c r="J125" s="1" t="s">
        <v>819</v>
      </c>
      <c r="K125" s="1" t="s">
        <v>1287</v>
      </c>
      <c r="L125" s="1" t="s">
        <v>1216</v>
      </c>
      <c r="M125" s="1" t="s">
        <v>119</v>
      </c>
      <c r="N125" s="1" t="s">
        <v>119</v>
      </c>
      <c r="O125" s="1" t="s">
        <v>119</v>
      </c>
      <c r="P125" s="5">
        <v>44228</v>
      </c>
      <c r="Q125" s="1"/>
      <c r="R125" s="1"/>
      <c r="S125" s="1"/>
      <c r="T125" s="1"/>
      <c r="U125" s="1" t="s">
        <v>1922</v>
      </c>
      <c r="V125" s="4">
        <v>1</v>
      </c>
      <c r="W125" s="6">
        <v>2848</v>
      </c>
      <c r="X125" s="1" t="s">
        <v>1459</v>
      </c>
      <c r="Y125" s="4">
        <v>4</v>
      </c>
      <c r="Z125" s="6">
        <v>712</v>
      </c>
      <c r="AA125" s="1" t="s">
        <v>1963</v>
      </c>
      <c r="AB125" s="1" t="s">
        <v>1964</v>
      </c>
      <c r="AC125" s="1" t="s">
        <v>1124</v>
      </c>
      <c r="AD125" s="1" t="s">
        <v>1800</v>
      </c>
      <c r="AE125" s="1" t="s">
        <v>1286</v>
      </c>
      <c r="AF125" s="1" t="s">
        <v>1463</v>
      </c>
      <c r="AG125" s="6">
        <v>2848</v>
      </c>
      <c r="AH125" s="6">
        <v>712</v>
      </c>
      <c r="AI125" s="1"/>
      <c r="AJ125" s="1"/>
      <c r="AK125" s="1"/>
      <c r="AL125" s="1" t="s">
        <v>1755</v>
      </c>
      <c r="AM125" s="1" t="s">
        <v>979</v>
      </c>
      <c r="AN125" s="1"/>
      <c r="AO125" s="1" t="s">
        <v>174</v>
      </c>
      <c r="AP125" s="1"/>
      <c r="AQ125" s="1"/>
      <c r="AR125" s="2"/>
      <c r="AS125" s="1"/>
      <c r="AT125" s="1"/>
      <c r="AU125" s="1"/>
      <c r="AV125" s="1" t="s">
        <v>1941</v>
      </c>
      <c r="AW125" s="7">
        <v>44228.667118740035</v>
      </c>
      <c r="AX125" s="1" t="s">
        <v>699</v>
      </c>
      <c r="AY125" s="6">
        <v>2848</v>
      </c>
      <c r="AZ125" s="5">
        <v>44197</v>
      </c>
      <c r="BA125" s="5">
        <v>44561</v>
      </c>
      <c r="BB125" s="7">
        <v>44561</v>
      </c>
      <c r="BC125" s="1" t="s">
        <v>1997</v>
      </c>
      <c r="BD125" s="1"/>
      <c r="BE125" s="1"/>
      <c r="BF125" s="1" t="s">
        <v>118</v>
      </c>
    </row>
    <row r="126" spans="1:58">
      <c r="A126" s="4">
        <v>121</v>
      </c>
      <c r="B126" s="2" t="str">
        <f>HYPERLINK("https://my.zakupki.prom.ua/remote/dispatcher/state_purchase_view/8446492", "UA-2018-10-03-002897-c")</f>
        <v>UA-2018-10-03-002897-c</v>
      </c>
      <c r="C126" s="2" t="s">
        <v>1459</v>
      </c>
      <c r="D126" s="1" t="s">
        <v>15</v>
      </c>
      <c r="E126" s="1" t="s">
        <v>19</v>
      </c>
      <c r="F126" s="1" t="s">
        <v>754</v>
      </c>
      <c r="G126" s="1" t="s">
        <v>1280</v>
      </c>
      <c r="H126" s="1" t="s">
        <v>1800</v>
      </c>
      <c r="I126" s="1" t="s">
        <v>1379</v>
      </c>
      <c r="J126" s="1" t="s">
        <v>819</v>
      </c>
      <c r="K126" s="1" t="s">
        <v>1287</v>
      </c>
      <c r="L126" s="1" t="s">
        <v>1469</v>
      </c>
      <c r="M126" s="1" t="s">
        <v>316</v>
      </c>
      <c r="N126" s="1" t="s">
        <v>119</v>
      </c>
      <c r="O126" s="1" t="s">
        <v>119</v>
      </c>
      <c r="P126" s="5">
        <v>43376</v>
      </c>
      <c r="Q126" s="5">
        <v>43376</v>
      </c>
      <c r="R126" s="5">
        <v>43386</v>
      </c>
      <c r="S126" s="5">
        <v>43376</v>
      </c>
      <c r="T126" s="5">
        <v>43396</v>
      </c>
      <c r="U126" s="7">
        <v>43397.504502314812</v>
      </c>
      <c r="V126" s="4">
        <v>2</v>
      </c>
      <c r="W126" s="6">
        <v>202100</v>
      </c>
      <c r="X126" s="1" t="s">
        <v>1459</v>
      </c>
      <c r="Y126" s="1" t="s">
        <v>1956</v>
      </c>
      <c r="Z126" s="1" t="s">
        <v>1956</v>
      </c>
      <c r="AA126" s="1" t="s">
        <v>1956</v>
      </c>
      <c r="AB126" s="6">
        <v>2021</v>
      </c>
      <c r="AC126" s="1" t="s">
        <v>1124</v>
      </c>
      <c r="AD126" s="1" t="s">
        <v>1800</v>
      </c>
      <c r="AE126" s="1" t="s">
        <v>1286</v>
      </c>
      <c r="AF126" s="1" t="s">
        <v>1463</v>
      </c>
      <c r="AG126" s="6">
        <v>202082.34</v>
      </c>
      <c r="AH126" s="1" t="s">
        <v>1956</v>
      </c>
      <c r="AI126" s="1" t="s">
        <v>1722</v>
      </c>
      <c r="AJ126" s="6">
        <v>17.660000000003492</v>
      </c>
      <c r="AK126" s="6">
        <v>8.738248391886933E-5</v>
      </c>
      <c r="AL126" s="1" t="s">
        <v>1722</v>
      </c>
      <c r="AM126" s="1" t="s">
        <v>954</v>
      </c>
      <c r="AN126" s="1" t="s">
        <v>1194</v>
      </c>
      <c r="AO126" s="1" t="s">
        <v>87</v>
      </c>
      <c r="AP126" s="6">
        <v>17.660000000003492</v>
      </c>
      <c r="AQ126" s="6">
        <v>8.738248391886933E-5</v>
      </c>
      <c r="AR126" s="2" t="str">
        <f>HYPERLINK("https://auction.openprocurement.org/tenders/3e34b83764ab4f95bed10d50fdae6c1f")</f>
        <v>https://auction.openprocurement.org/tenders/3e34b83764ab4f95bed10d50fdae6c1f</v>
      </c>
      <c r="AS126" s="7">
        <v>43404.468310341887</v>
      </c>
      <c r="AT126" s="5">
        <v>43415</v>
      </c>
      <c r="AU126" s="5">
        <v>43425</v>
      </c>
      <c r="AV126" s="1" t="s">
        <v>1941</v>
      </c>
      <c r="AW126" s="7">
        <v>43416.374461364714</v>
      </c>
      <c r="AX126" s="1" t="s">
        <v>330</v>
      </c>
      <c r="AY126" s="6">
        <v>202082.34</v>
      </c>
      <c r="AZ126" s="5">
        <v>43416</v>
      </c>
      <c r="BA126" s="5">
        <v>43455</v>
      </c>
      <c r="BB126" s="7">
        <v>43465</v>
      </c>
      <c r="BC126" s="1" t="s">
        <v>1997</v>
      </c>
      <c r="BD126" s="1"/>
      <c r="BE126" s="1"/>
      <c r="BF126" s="1" t="s">
        <v>955</v>
      </c>
    </row>
    <row r="127" spans="1:58">
      <c r="A127" s="4">
        <v>122</v>
      </c>
      <c r="B127" s="2" t="str">
        <f>HYPERLINK("https://my.zakupki.prom.ua/remote/dispatcher/state_purchase_view/8400821", "UA-2018-09-28-000831-c")</f>
        <v>UA-2018-09-28-000831-c</v>
      </c>
      <c r="C127" s="2" t="s">
        <v>1459</v>
      </c>
      <c r="D127" s="1" t="s">
        <v>1232</v>
      </c>
      <c r="E127" s="1" t="s">
        <v>1232</v>
      </c>
      <c r="F127" s="1" t="s">
        <v>837</v>
      </c>
      <c r="G127" s="1" t="s">
        <v>1280</v>
      </c>
      <c r="H127" s="1" t="s">
        <v>1800</v>
      </c>
      <c r="I127" s="1" t="s">
        <v>1379</v>
      </c>
      <c r="J127" s="1" t="s">
        <v>819</v>
      </c>
      <c r="K127" s="1" t="s">
        <v>1287</v>
      </c>
      <c r="L127" s="1" t="s">
        <v>1469</v>
      </c>
      <c r="M127" s="1" t="s">
        <v>119</v>
      </c>
      <c r="N127" s="1" t="s">
        <v>119</v>
      </c>
      <c r="O127" s="1" t="s">
        <v>317</v>
      </c>
      <c r="P127" s="5">
        <v>43371</v>
      </c>
      <c r="Q127" s="5">
        <v>43371</v>
      </c>
      <c r="R127" s="5">
        <v>43376</v>
      </c>
      <c r="S127" s="5">
        <v>43371</v>
      </c>
      <c r="T127" s="5">
        <v>43386</v>
      </c>
      <c r="U127" s="7">
        <v>43389.612349537034</v>
      </c>
      <c r="V127" s="4">
        <v>2</v>
      </c>
      <c r="W127" s="6">
        <v>225000</v>
      </c>
      <c r="X127" s="1" t="s">
        <v>1459</v>
      </c>
      <c r="Y127" s="4">
        <v>1</v>
      </c>
      <c r="Z127" s="6">
        <v>225000</v>
      </c>
      <c r="AA127" s="1" t="s">
        <v>2023</v>
      </c>
      <c r="AB127" s="6">
        <v>1125</v>
      </c>
      <c r="AC127" s="1" t="s">
        <v>1124</v>
      </c>
      <c r="AD127" s="1" t="s">
        <v>1800</v>
      </c>
      <c r="AE127" s="1" t="s">
        <v>1286</v>
      </c>
      <c r="AF127" s="1" t="s">
        <v>1463</v>
      </c>
      <c r="AG127" s="6">
        <v>224999.6</v>
      </c>
      <c r="AH127" s="6">
        <v>224999.6</v>
      </c>
      <c r="AI127" s="1" t="s">
        <v>1722</v>
      </c>
      <c r="AJ127" s="6">
        <v>0.39999999999417923</v>
      </c>
      <c r="AK127" s="6">
        <v>1.7777777777519077E-6</v>
      </c>
      <c r="AL127" s="1" t="s">
        <v>1722</v>
      </c>
      <c r="AM127" s="1" t="s">
        <v>954</v>
      </c>
      <c r="AN127" s="1" t="s">
        <v>1194</v>
      </c>
      <c r="AO127" s="1" t="s">
        <v>87</v>
      </c>
      <c r="AP127" s="6">
        <v>0.39999999999417923</v>
      </c>
      <c r="AQ127" s="6">
        <v>1.7777777777519077E-6</v>
      </c>
      <c r="AR127" s="2" t="str">
        <f>HYPERLINK("https://auction.openprocurement.org/tenders/23c0053510454f2698042430939d6f25")</f>
        <v>https://auction.openprocurement.org/tenders/23c0053510454f2698042430939d6f25</v>
      </c>
      <c r="AS127" s="7">
        <v>43395.663359563492</v>
      </c>
      <c r="AT127" s="5">
        <v>43406</v>
      </c>
      <c r="AU127" s="5">
        <v>43416</v>
      </c>
      <c r="AV127" s="1" t="s">
        <v>1941</v>
      </c>
      <c r="AW127" s="7">
        <v>43410.440741148093</v>
      </c>
      <c r="AX127" s="1" t="s">
        <v>335</v>
      </c>
      <c r="AY127" s="6">
        <v>224999.6</v>
      </c>
      <c r="AZ127" s="5">
        <v>43412</v>
      </c>
      <c r="BA127" s="5">
        <v>43434</v>
      </c>
      <c r="BB127" s="7">
        <v>43465</v>
      </c>
      <c r="BC127" s="1" t="s">
        <v>1997</v>
      </c>
      <c r="BD127" s="1"/>
      <c r="BE127" s="1"/>
      <c r="BF127" s="1" t="s">
        <v>956</v>
      </c>
    </row>
    <row r="128" spans="1:58">
      <c r="A128" s="4">
        <v>123</v>
      </c>
      <c r="B128" s="2" t="str">
        <f>HYPERLINK("https://my.zakupki.prom.ua/remote/dispatcher/state_purchase_view/13934938", "UA-2019-12-09-001906-b")</f>
        <v>UA-2019-12-09-001906-b</v>
      </c>
      <c r="C128" s="2" t="s">
        <v>1459</v>
      </c>
      <c r="D128" s="1" t="s">
        <v>996</v>
      </c>
      <c r="E128" s="1" t="s">
        <v>996</v>
      </c>
      <c r="F128" s="1" t="s">
        <v>995</v>
      </c>
      <c r="G128" s="1" t="s">
        <v>1364</v>
      </c>
      <c r="H128" s="1" t="s">
        <v>1800</v>
      </c>
      <c r="I128" s="1" t="s">
        <v>1379</v>
      </c>
      <c r="J128" s="1" t="s">
        <v>819</v>
      </c>
      <c r="K128" s="1" t="s">
        <v>1287</v>
      </c>
      <c r="L128" s="1" t="s">
        <v>1915</v>
      </c>
      <c r="M128" s="1" t="s">
        <v>119</v>
      </c>
      <c r="N128" s="1" t="s">
        <v>119</v>
      </c>
      <c r="O128" s="1" t="s">
        <v>119</v>
      </c>
      <c r="P128" s="5">
        <v>43808</v>
      </c>
      <c r="Q128" s="1"/>
      <c r="R128" s="1"/>
      <c r="S128" s="1"/>
      <c r="T128" s="1"/>
      <c r="U128" s="1" t="s">
        <v>1922</v>
      </c>
      <c r="V128" s="4">
        <v>1</v>
      </c>
      <c r="W128" s="6">
        <v>3648.96</v>
      </c>
      <c r="X128" s="1" t="s">
        <v>1459</v>
      </c>
      <c r="Y128" s="4">
        <v>70</v>
      </c>
      <c r="Z128" s="6">
        <v>52.13</v>
      </c>
      <c r="AA128" s="1" t="s">
        <v>1960</v>
      </c>
      <c r="AB128" s="1" t="s">
        <v>1964</v>
      </c>
      <c r="AC128" s="1" t="s">
        <v>1124</v>
      </c>
      <c r="AD128" s="1" t="s">
        <v>1800</v>
      </c>
      <c r="AE128" s="1" t="s">
        <v>1286</v>
      </c>
      <c r="AF128" s="1" t="s">
        <v>1463</v>
      </c>
      <c r="AG128" s="6">
        <v>3648.96</v>
      </c>
      <c r="AH128" s="6">
        <v>52.128</v>
      </c>
      <c r="AI128" s="1"/>
      <c r="AJ128" s="1"/>
      <c r="AK128" s="1"/>
      <c r="AL128" s="1" t="s">
        <v>1782</v>
      </c>
      <c r="AM128" s="1" t="s">
        <v>971</v>
      </c>
      <c r="AN128" s="1"/>
      <c r="AO128" s="1" t="s">
        <v>60</v>
      </c>
      <c r="AP128" s="1"/>
      <c r="AQ128" s="1"/>
      <c r="AR128" s="2"/>
      <c r="AS128" s="1"/>
      <c r="AT128" s="1"/>
      <c r="AU128" s="1"/>
      <c r="AV128" s="1" t="s">
        <v>1941</v>
      </c>
      <c r="AW128" s="7">
        <v>43808.596670312487</v>
      </c>
      <c r="AX128" s="1" t="s">
        <v>231</v>
      </c>
      <c r="AY128" s="6">
        <v>3648.96</v>
      </c>
      <c r="AZ128" s="1"/>
      <c r="BA128" s="5">
        <v>43830</v>
      </c>
      <c r="BB128" s="7">
        <v>43830</v>
      </c>
      <c r="BC128" s="1" t="s">
        <v>1997</v>
      </c>
      <c r="BD128" s="1"/>
      <c r="BE128" s="1"/>
      <c r="BF128" s="1" t="s">
        <v>118</v>
      </c>
    </row>
    <row r="129" spans="1:58">
      <c r="A129" s="4">
        <v>124</v>
      </c>
      <c r="B129" s="2" t="str">
        <f>HYPERLINK("https://my.zakupki.prom.ua/remote/dispatcher/state_purchase_view/13212103", "UA-2019-10-17-002474-b")</f>
        <v>UA-2019-10-17-002474-b</v>
      </c>
      <c r="C129" s="2" t="s">
        <v>1459</v>
      </c>
      <c r="D129" s="1" t="s">
        <v>760</v>
      </c>
      <c r="E129" s="1" t="s">
        <v>1398</v>
      </c>
      <c r="F129" s="1" t="s">
        <v>758</v>
      </c>
      <c r="G129" s="1" t="s">
        <v>1280</v>
      </c>
      <c r="H129" s="1" t="s">
        <v>1800</v>
      </c>
      <c r="I129" s="1" t="s">
        <v>1379</v>
      </c>
      <c r="J129" s="1" t="s">
        <v>819</v>
      </c>
      <c r="K129" s="1" t="s">
        <v>1287</v>
      </c>
      <c r="L129" s="1" t="s">
        <v>1658</v>
      </c>
      <c r="M129" s="1" t="s">
        <v>119</v>
      </c>
      <c r="N129" s="1" t="s">
        <v>119</v>
      </c>
      <c r="O129" s="1" t="s">
        <v>119</v>
      </c>
      <c r="P129" s="5">
        <v>43755</v>
      </c>
      <c r="Q129" s="5">
        <v>43755</v>
      </c>
      <c r="R129" s="5">
        <v>43763</v>
      </c>
      <c r="S129" s="5">
        <v>43755</v>
      </c>
      <c r="T129" s="5">
        <v>43773</v>
      </c>
      <c r="U129" s="7">
        <v>43774.616018518522</v>
      </c>
      <c r="V129" s="4">
        <v>2</v>
      </c>
      <c r="W129" s="6">
        <v>65421</v>
      </c>
      <c r="X129" s="1" t="s">
        <v>1459</v>
      </c>
      <c r="Y129" s="1" t="s">
        <v>1956</v>
      </c>
      <c r="Z129" s="1" t="s">
        <v>1956</v>
      </c>
      <c r="AA129" s="1" t="s">
        <v>1956</v>
      </c>
      <c r="AB129" s="6">
        <v>654.21</v>
      </c>
      <c r="AC129" s="1" t="s">
        <v>1124</v>
      </c>
      <c r="AD129" s="1" t="s">
        <v>1800</v>
      </c>
      <c r="AE129" s="1" t="s">
        <v>1286</v>
      </c>
      <c r="AF129" s="1" t="s">
        <v>1463</v>
      </c>
      <c r="AG129" s="6">
        <v>65403.65</v>
      </c>
      <c r="AH129" s="1" t="s">
        <v>1956</v>
      </c>
      <c r="AI129" s="1" t="s">
        <v>1709</v>
      </c>
      <c r="AJ129" s="6">
        <v>17.349999999998545</v>
      </c>
      <c r="AK129" s="6">
        <v>2.6520536219254589E-4</v>
      </c>
      <c r="AL129" s="1" t="s">
        <v>1709</v>
      </c>
      <c r="AM129" s="1" t="s">
        <v>963</v>
      </c>
      <c r="AN129" s="1" t="s">
        <v>1149</v>
      </c>
      <c r="AO129" s="1" t="s">
        <v>73</v>
      </c>
      <c r="AP129" s="6">
        <v>17.349999999998545</v>
      </c>
      <c r="AQ129" s="6">
        <v>2.6520536219254589E-4</v>
      </c>
      <c r="AR129" s="2" t="str">
        <f>HYPERLINK("https://auction.openprocurement.org/tenders/2405cc6003fb49b3b85fa9935be69c28")</f>
        <v>https://auction.openprocurement.org/tenders/2405cc6003fb49b3b85fa9935be69c28</v>
      </c>
      <c r="AS129" s="7">
        <v>43775.458287352732</v>
      </c>
      <c r="AT129" s="5">
        <v>43786</v>
      </c>
      <c r="AU129" s="5">
        <v>43796</v>
      </c>
      <c r="AV129" s="1" t="s">
        <v>1941</v>
      </c>
      <c r="AW129" s="7">
        <v>43787.464283281748</v>
      </c>
      <c r="AX129" s="1" t="s">
        <v>393</v>
      </c>
      <c r="AY129" s="6">
        <v>65403.65</v>
      </c>
      <c r="AZ129" s="1"/>
      <c r="BA129" s="5">
        <v>43830</v>
      </c>
      <c r="BB129" s="7">
        <v>43830</v>
      </c>
      <c r="BC129" s="1" t="s">
        <v>1997</v>
      </c>
      <c r="BD129" s="1"/>
      <c r="BE129" s="1"/>
      <c r="BF129" s="1" t="s">
        <v>965</v>
      </c>
    </row>
    <row r="130" spans="1:58">
      <c r="A130" s="4">
        <v>125</v>
      </c>
      <c r="B130" s="2" t="str">
        <f>HYPERLINK("https://my.zakupki.prom.ua/remote/dispatcher/state_purchase_view/13362374", "UA-2019-10-29-002003-b")</f>
        <v>UA-2019-10-29-002003-b</v>
      </c>
      <c r="C130" s="2" t="s">
        <v>1459</v>
      </c>
      <c r="D130" s="1" t="s">
        <v>626</v>
      </c>
      <c r="E130" s="1" t="s">
        <v>626</v>
      </c>
      <c r="F130" s="1" t="s">
        <v>626</v>
      </c>
      <c r="G130" s="1" t="s">
        <v>1346</v>
      </c>
      <c r="H130" s="1" t="s">
        <v>1800</v>
      </c>
      <c r="I130" s="1" t="s">
        <v>1379</v>
      </c>
      <c r="J130" s="1" t="s">
        <v>819</v>
      </c>
      <c r="K130" s="1" t="s">
        <v>1287</v>
      </c>
      <c r="L130" s="1" t="s">
        <v>1915</v>
      </c>
      <c r="M130" s="1" t="s">
        <v>316</v>
      </c>
      <c r="N130" s="1" t="s">
        <v>119</v>
      </c>
      <c r="O130" s="1" t="s">
        <v>119</v>
      </c>
      <c r="P130" s="5">
        <v>43767</v>
      </c>
      <c r="Q130" s="5">
        <v>43767</v>
      </c>
      <c r="R130" s="5">
        <v>43773</v>
      </c>
      <c r="S130" s="5">
        <v>43773</v>
      </c>
      <c r="T130" s="5">
        <v>43774</v>
      </c>
      <c r="U130" s="7">
        <v>43775.534745370373</v>
      </c>
      <c r="V130" s="4">
        <v>5</v>
      </c>
      <c r="W130" s="6">
        <v>5320</v>
      </c>
      <c r="X130" s="1" t="s">
        <v>1459</v>
      </c>
      <c r="Y130" s="4">
        <v>261</v>
      </c>
      <c r="Z130" s="6">
        <v>20.38</v>
      </c>
      <c r="AA130" s="1" t="s">
        <v>2023</v>
      </c>
      <c r="AB130" s="6">
        <v>53.2</v>
      </c>
      <c r="AC130" s="1" t="s">
        <v>1124</v>
      </c>
      <c r="AD130" s="1" t="s">
        <v>1800</v>
      </c>
      <c r="AE130" s="1" t="s">
        <v>1286</v>
      </c>
      <c r="AF130" s="1" t="s">
        <v>1463</v>
      </c>
      <c r="AG130" s="6">
        <v>2903</v>
      </c>
      <c r="AH130" s="6">
        <v>11.122605363984674</v>
      </c>
      <c r="AI130" s="1" t="s">
        <v>1716</v>
      </c>
      <c r="AJ130" s="6">
        <v>2417</v>
      </c>
      <c r="AK130" s="6">
        <v>0.45432330827067668</v>
      </c>
      <c r="AL130" s="1" t="s">
        <v>1842</v>
      </c>
      <c r="AM130" s="1" t="s">
        <v>743</v>
      </c>
      <c r="AN130" s="1" t="s">
        <v>1134</v>
      </c>
      <c r="AO130" s="1" t="s">
        <v>106</v>
      </c>
      <c r="AP130" s="6">
        <v>2416</v>
      </c>
      <c r="AQ130" s="6">
        <v>0.45413533834586467</v>
      </c>
      <c r="AR130" s="2" t="str">
        <f>HYPERLINK("https://auction.openprocurement.org/tenders/a221f19d155c4386b952bbb53007d271")</f>
        <v>https://auction.openprocurement.org/tenders/a221f19d155c4386b952bbb53007d271</v>
      </c>
      <c r="AS130" s="7">
        <v>43780.635828000959</v>
      </c>
      <c r="AT130" s="5">
        <v>43782</v>
      </c>
      <c r="AU130" s="5">
        <v>43803</v>
      </c>
      <c r="AV130" s="1" t="s">
        <v>1941</v>
      </c>
      <c r="AW130" s="7">
        <v>43790.606541693516</v>
      </c>
      <c r="AX130" s="1" t="s">
        <v>436</v>
      </c>
      <c r="AY130" s="6">
        <v>2904</v>
      </c>
      <c r="AZ130" s="1"/>
      <c r="BA130" s="5">
        <v>43830</v>
      </c>
      <c r="BB130" s="7">
        <v>43830</v>
      </c>
      <c r="BC130" s="1" t="s">
        <v>1997</v>
      </c>
      <c r="BD130" s="1"/>
      <c r="BE130" s="1"/>
      <c r="BF130" s="1" t="s">
        <v>628</v>
      </c>
    </row>
    <row r="131" spans="1:58">
      <c r="A131" s="4">
        <v>126</v>
      </c>
      <c r="B131" s="2" t="str">
        <f>HYPERLINK("https://my.zakupki.prom.ua/remote/dispatcher/state_purchase_view/9997273", "UA-2019-01-22-000356-b")</f>
        <v>UA-2019-01-22-000356-b</v>
      </c>
      <c r="C131" s="2" t="s">
        <v>1459</v>
      </c>
      <c r="D131" s="1" t="s">
        <v>761</v>
      </c>
      <c r="E131" s="1" t="s">
        <v>1627</v>
      </c>
      <c r="F131" s="1" t="s">
        <v>758</v>
      </c>
      <c r="G131" s="1" t="s">
        <v>1280</v>
      </c>
      <c r="H131" s="1" t="s">
        <v>1800</v>
      </c>
      <c r="I131" s="1" t="s">
        <v>1379</v>
      </c>
      <c r="J131" s="1" t="s">
        <v>819</v>
      </c>
      <c r="K131" s="1" t="s">
        <v>1287</v>
      </c>
      <c r="L131" s="1" t="s">
        <v>1224</v>
      </c>
      <c r="M131" s="1" t="s">
        <v>119</v>
      </c>
      <c r="N131" s="1" t="s">
        <v>119</v>
      </c>
      <c r="O131" s="1" t="s">
        <v>119</v>
      </c>
      <c r="P131" s="5">
        <v>43487</v>
      </c>
      <c r="Q131" s="5">
        <v>43487</v>
      </c>
      <c r="R131" s="5">
        <v>43494</v>
      </c>
      <c r="S131" s="5">
        <v>43487</v>
      </c>
      <c r="T131" s="5">
        <v>43504</v>
      </c>
      <c r="U131" s="1" t="s">
        <v>1923</v>
      </c>
      <c r="V131" s="4">
        <v>2</v>
      </c>
      <c r="W131" s="6">
        <v>301925</v>
      </c>
      <c r="X131" s="1" t="s">
        <v>1459</v>
      </c>
      <c r="Y131" s="1" t="s">
        <v>1956</v>
      </c>
      <c r="Z131" s="1" t="s">
        <v>1956</v>
      </c>
      <c r="AA131" s="1" t="s">
        <v>1956</v>
      </c>
      <c r="AB131" s="6">
        <v>1509.63</v>
      </c>
      <c r="AC131" s="1" t="s">
        <v>1124</v>
      </c>
      <c r="AD131" s="1" t="s">
        <v>1800</v>
      </c>
      <c r="AE131" s="1" t="s">
        <v>1286</v>
      </c>
      <c r="AF131" s="1" t="s">
        <v>1463</v>
      </c>
      <c r="AG131" s="6">
        <v>254450.3</v>
      </c>
      <c r="AH131" s="1" t="s">
        <v>1956</v>
      </c>
      <c r="AI131" s="1" t="s">
        <v>1700</v>
      </c>
      <c r="AJ131" s="6">
        <v>47474.700000000012</v>
      </c>
      <c r="AK131" s="6">
        <v>0.15724004305705064</v>
      </c>
      <c r="AL131" s="1" t="s">
        <v>1700</v>
      </c>
      <c r="AM131" s="1" t="s">
        <v>941</v>
      </c>
      <c r="AN131" s="1" t="s">
        <v>1131</v>
      </c>
      <c r="AO131" s="1" t="s">
        <v>86</v>
      </c>
      <c r="AP131" s="6">
        <v>47474.700000000012</v>
      </c>
      <c r="AQ131" s="6">
        <v>0.15724004305705064</v>
      </c>
      <c r="AR131" s="2" t="str">
        <f>HYPERLINK("https://auction.openprocurement.org/tenders/16fa4ac55bd34913bb61968e0c352d07")</f>
        <v>https://auction.openprocurement.org/tenders/16fa4ac55bd34913bb61968e0c352d07</v>
      </c>
      <c r="AS131" s="7">
        <v>43508.639442614956</v>
      </c>
      <c r="AT131" s="1"/>
      <c r="AU131" s="1"/>
      <c r="AV131" s="1" t="s">
        <v>2002</v>
      </c>
      <c r="AW131" s="7">
        <v>43511.682749347965</v>
      </c>
      <c r="AX131" s="1"/>
      <c r="AY131" s="6">
        <v>254450.3</v>
      </c>
      <c r="AZ131" s="1"/>
      <c r="BA131" s="5">
        <v>43830</v>
      </c>
      <c r="BB131" s="1"/>
      <c r="BC131" s="1" t="s">
        <v>1968</v>
      </c>
      <c r="BD131" s="1" t="s">
        <v>2014</v>
      </c>
      <c r="BE131" s="1"/>
      <c r="BF131" s="1" t="s">
        <v>942</v>
      </c>
    </row>
    <row r="132" spans="1:58">
      <c r="A132" s="4">
        <v>127</v>
      </c>
      <c r="B132" s="2" t="str">
        <f>HYPERLINK("https://my.zakupki.prom.ua/remote/dispatcher/state_purchase_view/11511457", "UA-2019-05-08-000176-a")</f>
        <v>UA-2019-05-08-000176-a</v>
      </c>
      <c r="C132" s="2" t="s">
        <v>1459</v>
      </c>
      <c r="D132" s="1" t="s">
        <v>739</v>
      </c>
      <c r="E132" s="1" t="s">
        <v>1661</v>
      </c>
      <c r="F132" s="1" t="s">
        <v>733</v>
      </c>
      <c r="G132" s="1" t="s">
        <v>1280</v>
      </c>
      <c r="H132" s="1" t="s">
        <v>1800</v>
      </c>
      <c r="I132" s="1" t="s">
        <v>1379</v>
      </c>
      <c r="J132" s="1" t="s">
        <v>819</v>
      </c>
      <c r="K132" s="1" t="s">
        <v>1287</v>
      </c>
      <c r="L132" s="1" t="s">
        <v>1224</v>
      </c>
      <c r="M132" s="1" t="s">
        <v>119</v>
      </c>
      <c r="N132" s="1" t="s">
        <v>119</v>
      </c>
      <c r="O132" s="1" t="s">
        <v>119</v>
      </c>
      <c r="P132" s="5">
        <v>43593</v>
      </c>
      <c r="Q132" s="5">
        <v>43593</v>
      </c>
      <c r="R132" s="5">
        <v>43599</v>
      </c>
      <c r="S132" s="5">
        <v>43593</v>
      </c>
      <c r="T132" s="5">
        <v>43609</v>
      </c>
      <c r="U132" s="1" t="s">
        <v>1923</v>
      </c>
      <c r="V132" s="4">
        <v>0</v>
      </c>
      <c r="W132" s="6">
        <v>4865</v>
      </c>
      <c r="X132" s="1" t="s">
        <v>1459</v>
      </c>
      <c r="Y132" s="4">
        <v>10</v>
      </c>
      <c r="Z132" s="6">
        <v>486.5</v>
      </c>
      <c r="AA132" s="1" t="s">
        <v>2017</v>
      </c>
      <c r="AB132" s="6">
        <v>24.32</v>
      </c>
      <c r="AC132" s="1" t="s">
        <v>1124</v>
      </c>
      <c r="AD132" s="1" t="s">
        <v>1800</v>
      </c>
      <c r="AE132" s="1" t="s">
        <v>1286</v>
      </c>
      <c r="AF132" s="1" t="s">
        <v>1463</v>
      </c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2"/>
      <c r="AS132" s="1"/>
      <c r="AT132" s="1"/>
      <c r="AU132" s="1"/>
      <c r="AV132" s="1" t="s">
        <v>1942</v>
      </c>
      <c r="AW132" s="7">
        <v>43609.625511714446</v>
      </c>
      <c r="AX132" s="1"/>
      <c r="AY132" s="1"/>
      <c r="AZ132" s="1"/>
      <c r="BA132" s="5">
        <v>43830</v>
      </c>
      <c r="BB132" s="1"/>
      <c r="BC132" s="1"/>
      <c r="BD132" s="1"/>
      <c r="BE132" s="1"/>
      <c r="BF132" s="1"/>
    </row>
    <row r="133" spans="1:58">
      <c r="A133" s="4">
        <v>128</v>
      </c>
      <c r="B133" s="2" t="str">
        <f>HYPERLINK("https://my.zakupki.prom.ua/remote/dispatcher/state_purchase_view/16440661", "UA-2020-04-22-000297-b")</f>
        <v>UA-2020-04-22-000297-b</v>
      </c>
      <c r="C133" s="2" t="s">
        <v>1459</v>
      </c>
      <c r="D133" s="1" t="s">
        <v>1275</v>
      </c>
      <c r="E133" s="1" t="s">
        <v>1275</v>
      </c>
      <c r="F133" s="1" t="s">
        <v>1006</v>
      </c>
      <c r="G133" s="1" t="s">
        <v>1346</v>
      </c>
      <c r="H133" s="1" t="s">
        <v>1800</v>
      </c>
      <c r="I133" s="1" t="s">
        <v>1379</v>
      </c>
      <c r="J133" s="1" t="s">
        <v>819</v>
      </c>
      <c r="K133" s="1" t="s">
        <v>1287</v>
      </c>
      <c r="L133" s="1" t="s">
        <v>1216</v>
      </c>
      <c r="M133" s="1" t="s">
        <v>1014</v>
      </c>
      <c r="N133" s="1" t="s">
        <v>119</v>
      </c>
      <c r="O133" s="1" t="s">
        <v>119</v>
      </c>
      <c r="P133" s="5">
        <v>43943</v>
      </c>
      <c r="Q133" s="5">
        <v>43943</v>
      </c>
      <c r="R133" s="5">
        <v>43949</v>
      </c>
      <c r="S133" s="5">
        <v>43949</v>
      </c>
      <c r="T133" s="5">
        <v>43958</v>
      </c>
      <c r="U133" s="1" t="s">
        <v>1923</v>
      </c>
      <c r="V133" s="4">
        <v>0</v>
      </c>
      <c r="W133" s="6">
        <v>110000</v>
      </c>
      <c r="X133" s="1" t="s">
        <v>1459</v>
      </c>
      <c r="Y133" s="4">
        <v>1</v>
      </c>
      <c r="Z133" s="6">
        <v>110000</v>
      </c>
      <c r="AA133" s="1" t="s">
        <v>1976</v>
      </c>
      <c r="AB133" s="6">
        <v>1100</v>
      </c>
      <c r="AC133" s="1" t="s">
        <v>1124</v>
      </c>
      <c r="AD133" s="1" t="s">
        <v>1800</v>
      </c>
      <c r="AE133" s="1" t="s">
        <v>1286</v>
      </c>
      <c r="AF133" s="1" t="s">
        <v>1463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2"/>
      <c r="AS133" s="1"/>
      <c r="AT133" s="1"/>
      <c r="AU133" s="1"/>
      <c r="AV133" s="1" t="s">
        <v>2002</v>
      </c>
      <c r="AW133" s="7">
        <v>43950.63245908227</v>
      </c>
      <c r="AX133" s="1"/>
      <c r="AY133" s="1"/>
      <c r="AZ133" s="1"/>
      <c r="BA133" s="5">
        <v>44043</v>
      </c>
      <c r="BB133" s="1"/>
      <c r="BC133" s="1"/>
      <c r="BD133" s="1" t="s">
        <v>7</v>
      </c>
      <c r="BE133" s="1"/>
      <c r="BF133" s="1"/>
    </row>
    <row r="134" spans="1:58">
      <c r="A134" s="4">
        <v>129</v>
      </c>
      <c r="B134" s="2" t="str">
        <f>HYPERLINK("https://my.zakupki.prom.ua/remote/dispatcher/state_purchase_view/14330271", "UA-2019-12-27-001054-b")</f>
        <v>UA-2019-12-27-001054-b</v>
      </c>
      <c r="C134" s="2" t="s">
        <v>1459</v>
      </c>
      <c r="D134" s="1" t="s">
        <v>1639</v>
      </c>
      <c r="E134" s="1" t="s">
        <v>994</v>
      </c>
      <c r="F134" s="1" t="s">
        <v>993</v>
      </c>
      <c r="G134" s="1" t="s">
        <v>1346</v>
      </c>
      <c r="H134" s="1" t="s">
        <v>1800</v>
      </c>
      <c r="I134" s="1" t="s">
        <v>1379</v>
      </c>
      <c r="J134" s="1" t="s">
        <v>819</v>
      </c>
      <c r="K134" s="1" t="s">
        <v>1287</v>
      </c>
      <c r="L134" s="1" t="s">
        <v>1915</v>
      </c>
      <c r="M134" s="1" t="s">
        <v>913</v>
      </c>
      <c r="N134" s="1" t="s">
        <v>119</v>
      </c>
      <c r="O134" s="1" t="s">
        <v>119</v>
      </c>
      <c r="P134" s="5">
        <v>43826</v>
      </c>
      <c r="Q134" s="5">
        <v>43826</v>
      </c>
      <c r="R134" s="5">
        <v>43833</v>
      </c>
      <c r="S134" s="5">
        <v>43833</v>
      </c>
      <c r="T134" s="5">
        <v>43838</v>
      </c>
      <c r="U134" s="1" t="s">
        <v>1923</v>
      </c>
      <c r="V134" s="4">
        <v>8</v>
      </c>
      <c r="W134" s="6">
        <v>130000</v>
      </c>
      <c r="X134" s="1" t="s">
        <v>1459</v>
      </c>
      <c r="Y134" s="4">
        <v>44</v>
      </c>
      <c r="Z134" s="6">
        <v>2954.55</v>
      </c>
      <c r="AA134" s="1" t="s">
        <v>2023</v>
      </c>
      <c r="AB134" s="6">
        <v>650</v>
      </c>
      <c r="AC134" s="1" t="s">
        <v>1124</v>
      </c>
      <c r="AD134" s="1" t="s">
        <v>1800</v>
      </c>
      <c r="AE134" s="1" t="s">
        <v>1286</v>
      </c>
      <c r="AF134" s="1" t="s">
        <v>1463</v>
      </c>
      <c r="AG134" s="6">
        <v>48999</v>
      </c>
      <c r="AH134" s="6">
        <v>1113.6136363636363</v>
      </c>
      <c r="AI134" s="1" t="s">
        <v>1798</v>
      </c>
      <c r="AJ134" s="6">
        <v>81001</v>
      </c>
      <c r="AK134" s="6">
        <v>0.62308461538461535</v>
      </c>
      <c r="AL134" s="1" t="s">
        <v>1750</v>
      </c>
      <c r="AM134" s="1" t="s">
        <v>919</v>
      </c>
      <c r="AN134" s="1" t="s">
        <v>1205</v>
      </c>
      <c r="AO134" s="1" t="s">
        <v>71</v>
      </c>
      <c r="AP134" s="6">
        <v>81000</v>
      </c>
      <c r="AQ134" s="6">
        <v>0.62307692307692308</v>
      </c>
      <c r="AR134" s="2" t="str">
        <f>HYPERLINK("https://auction.openprocurement.org/tenders/463d43f20d9448ce9e1fbf890db297f5")</f>
        <v>https://auction.openprocurement.org/tenders/463d43f20d9448ce9e1fbf890db297f5</v>
      </c>
      <c r="AS134" s="7">
        <v>43841.470304063521</v>
      </c>
      <c r="AT134" s="1"/>
      <c r="AU134" s="1"/>
      <c r="AV134" s="1" t="s">
        <v>2002</v>
      </c>
      <c r="AW134" s="7">
        <v>43843.496900609956</v>
      </c>
      <c r="AX134" s="1"/>
      <c r="AY134" s="6">
        <v>49000</v>
      </c>
      <c r="AZ134" s="1"/>
      <c r="BA134" s="5">
        <v>43861</v>
      </c>
      <c r="BB134" s="1"/>
      <c r="BC134" s="1" t="s">
        <v>1968</v>
      </c>
      <c r="BD134" s="1" t="s">
        <v>1282</v>
      </c>
      <c r="BE134" s="1"/>
      <c r="BF134" s="1" t="s">
        <v>350</v>
      </c>
    </row>
    <row r="135" spans="1:58">
      <c r="A135" s="4">
        <v>130</v>
      </c>
      <c r="B135" s="2" t="str">
        <f>HYPERLINK("https://my.zakupki.prom.ua/remote/dispatcher/state_purchase_view/17181135", "UA-2020-06-11-005728-b")</f>
        <v>UA-2020-06-11-005728-b</v>
      </c>
      <c r="C135" s="2" t="s">
        <v>1459</v>
      </c>
      <c r="D135" s="1" t="s">
        <v>709</v>
      </c>
      <c r="E135" s="1" t="s">
        <v>1422</v>
      </c>
      <c r="F135" s="1" t="s">
        <v>708</v>
      </c>
      <c r="G135" s="1" t="s">
        <v>1280</v>
      </c>
      <c r="H135" s="1" t="s">
        <v>1800</v>
      </c>
      <c r="I135" s="1" t="s">
        <v>1379</v>
      </c>
      <c r="J135" s="1" t="s">
        <v>819</v>
      </c>
      <c r="K135" s="1" t="s">
        <v>1287</v>
      </c>
      <c r="L135" s="1" t="s">
        <v>1216</v>
      </c>
      <c r="M135" s="1" t="s">
        <v>119</v>
      </c>
      <c r="N135" s="1" t="s">
        <v>119</v>
      </c>
      <c r="O135" s="1" t="s">
        <v>119</v>
      </c>
      <c r="P135" s="5">
        <v>43993</v>
      </c>
      <c r="Q135" s="5">
        <v>43993</v>
      </c>
      <c r="R135" s="5">
        <v>44002</v>
      </c>
      <c r="S135" s="5">
        <v>43993</v>
      </c>
      <c r="T135" s="5">
        <v>44012</v>
      </c>
      <c r="U135" s="7">
        <v>44013.616759259261</v>
      </c>
      <c r="V135" s="4">
        <v>2</v>
      </c>
      <c r="W135" s="6">
        <v>123500</v>
      </c>
      <c r="X135" s="1" t="s">
        <v>1459</v>
      </c>
      <c r="Y135" s="1" t="s">
        <v>1956</v>
      </c>
      <c r="Z135" s="1" t="s">
        <v>1956</v>
      </c>
      <c r="AA135" s="1" t="s">
        <v>1956</v>
      </c>
      <c r="AB135" s="6">
        <v>617.5</v>
      </c>
      <c r="AC135" s="1" t="s">
        <v>1124</v>
      </c>
      <c r="AD135" s="1" t="s">
        <v>1800</v>
      </c>
      <c r="AE135" s="1" t="s">
        <v>1286</v>
      </c>
      <c r="AF135" s="1" t="s">
        <v>1463</v>
      </c>
      <c r="AG135" s="6">
        <v>119278</v>
      </c>
      <c r="AH135" s="1" t="s">
        <v>1956</v>
      </c>
      <c r="AI135" s="1" t="s">
        <v>1489</v>
      </c>
      <c r="AJ135" s="6">
        <v>4222</v>
      </c>
      <c r="AK135" s="6">
        <v>3.4186234817813764E-2</v>
      </c>
      <c r="AL135" s="1"/>
      <c r="AM135" s="1"/>
      <c r="AN135" s="1"/>
      <c r="AO135" s="1"/>
      <c r="AP135" s="1"/>
      <c r="AQ135" s="1"/>
      <c r="AR135" s="2" t="str">
        <f>HYPERLINK("https://auction.openprocurement.org/tenders/f0df7ce2cadf455cac15c2f5ed1aab73")</f>
        <v>https://auction.openprocurement.org/tenders/f0df7ce2cadf455cac15c2f5ed1aab73</v>
      </c>
      <c r="AS135" s="7">
        <v>44018.420713386724</v>
      </c>
      <c r="AT135" s="1"/>
      <c r="AU135" s="1"/>
      <c r="AV135" s="1" t="s">
        <v>1942</v>
      </c>
      <c r="AW135" s="7">
        <v>44029.001712204234</v>
      </c>
      <c r="AX135" s="1"/>
      <c r="AY135" s="1"/>
      <c r="AZ135" s="1"/>
      <c r="BA135" s="5">
        <v>44053</v>
      </c>
      <c r="BB135" s="1"/>
      <c r="BC135" s="1"/>
      <c r="BD135" s="1"/>
      <c r="BE135" s="1"/>
      <c r="BF135" s="1" t="s">
        <v>935</v>
      </c>
    </row>
    <row r="136" spans="1:58">
      <c r="A136" s="4">
        <v>131</v>
      </c>
      <c r="B136" s="2" t="str">
        <f>HYPERLINK("https://my.zakupki.prom.ua/remote/dispatcher/state_purchase_view/17278471", "UA-2020-06-16-006343-c")</f>
        <v>UA-2020-06-16-006343-c</v>
      </c>
      <c r="C136" s="2" t="s">
        <v>1459</v>
      </c>
      <c r="D136" s="1" t="s">
        <v>1401</v>
      </c>
      <c r="E136" s="1" t="s">
        <v>1401</v>
      </c>
      <c r="F136" s="1" t="s">
        <v>961</v>
      </c>
      <c r="G136" s="1" t="s">
        <v>1346</v>
      </c>
      <c r="H136" s="1" t="s">
        <v>1800</v>
      </c>
      <c r="I136" s="1" t="s">
        <v>1379</v>
      </c>
      <c r="J136" s="1" t="s">
        <v>819</v>
      </c>
      <c r="K136" s="1" t="s">
        <v>1287</v>
      </c>
      <c r="L136" s="1" t="s">
        <v>1216</v>
      </c>
      <c r="M136" s="1" t="s">
        <v>119</v>
      </c>
      <c r="N136" s="1" t="s">
        <v>119</v>
      </c>
      <c r="O136" s="1" t="s">
        <v>119</v>
      </c>
      <c r="P136" s="5">
        <v>43998</v>
      </c>
      <c r="Q136" s="5">
        <v>43998</v>
      </c>
      <c r="R136" s="5">
        <v>44004</v>
      </c>
      <c r="S136" s="5">
        <v>44004</v>
      </c>
      <c r="T136" s="5">
        <v>44007</v>
      </c>
      <c r="U136" s="1" t="s">
        <v>1923</v>
      </c>
      <c r="V136" s="4">
        <v>1</v>
      </c>
      <c r="W136" s="6">
        <v>42000</v>
      </c>
      <c r="X136" s="1" t="s">
        <v>1459</v>
      </c>
      <c r="Y136" s="4">
        <v>3</v>
      </c>
      <c r="Z136" s="6">
        <v>14000</v>
      </c>
      <c r="AA136" s="1" t="s">
        <v>2024</v>
      </c>
      <c r="AB136" s="6">
        <v>210</v>
      </c>
      <c r="AC136" s="1" t="s">
        <v>1124</v>
      </c>
      <c r="AD136" s="1" t="s">
        <v>1800</v>
      </c>
      <c r="AE136" s="1" t="s">
        <v>1286</v>
      </c>
      <c r="AF136" s="1" t="s">
        <v>1463</v>
      </c>
      <c r="AG136" s="6">
        <v>39450</v>
      </c>
      <c r="AH136" s="6">
        <v>13150</v>
      </c>
      <c r="AI136" s="1" t="s">
        <v>1852</v>
      </c>
      <c r="AJ136" s="6">
        <v>2550</v>
      </c>
      <c r="AK136" s="6">
        <v>6.0714285714285714E-2</v>
      </c>
      <c r="AL136" s="1"/>
      <c r="AM136" s="1"/>
      <c r="AN136" s="1"/>
      <c r="AO136" s="1"/>
      <c r="AP136" s="1"/>
      <c r="AQ136" s="1"/>
      <c r="AR136" s="2"/>
      <c r="AS136" s="7">
        <v>44012.448807574998</v>
      </c>
      <c r="AT136" s="1"/>
      <c r="AU136" s="1"/>
      <c r="AV136" s="1" t="s">
        <v>1942</v>
      </c>
      <c r="AW136" s="7">
        <v>44014.449112700335</v>
      </c>
      <c r="AX136" s="1"/>
      <c r="AY136" s="1"/>
      <c r="AZ136" s="1"/>
      <c r="BA136" s="5">
        <v>44043</v>
      </c>
      <c r="BB136" s="1"/>
      <c r="BC136" s="1"/>
      <c r="BD136" s="1"/>
      <c r="BE136" s="1"/>
      <c r="BF136" s="1" t="s">
        <v>775</v>
      </c>
    </row>
    <row r="137" spans="1:58">
      <c r="A137" s="4">
        <v>132</v>
      </c>
      <c r="B137" s="2" t="str">
        <f>HYPERLINK("https://my.zakupki.prom.ua/remote/dispatcher/state_purchase_view/9777902", "UA-2019-01-14-001765-c")</f>
        <v>UA-2019-01-14-001765-c</v>
      </c>
      <c r="C137" s="2" t="s">
        <v>1459</v>
      </c>
      <c r="D137" s="1" t="s">
        <v>1372</v>
      </c>
      <c r="E137" s="1" t="s">
        <v>1626</v>
      </c>
      <c r="F137" s="1" t="s">
        <v>768</v>
      </c>
      <c r="G137" s="1" t="s">
        <v>1346</v>
      </c>
      <c r="H137" s="1" t="s">
        <v>1800</v>
      </c>
      <c r="I137" s="1" t="s">
        <v>1379</v>
      </c>
      <c r="J137" s="1" t="s">
        <v>819</v>
      </c>
      <c r="K137" s="1" t="s">
        <v>1287</v>
      </c>
      <c r="L137" s="1" t="s">
        <v>1224</v>
      </c>
      <c r="M137" s="1" t="s">
        <v>119</v>
      </c>
      <c r="N137" s="1" t="s">
        <v>119</v>
      </c>
      <c r="O137" s="1" t="s">
        <v>119</v>
      </c>
      <c r="P137" s="5">
        <v>43479</v>
      </c>
      <c r="Q137" s="5">
        <v>43479</v>
      </c>
      <c r="R137" s="5">
        <v>43483</v>
      </c>
      <c r="S137" s="5">
        <v>43483</v>
      </c>
      <c r="T137" s="5">
        <v>43489</v>
      </c>
      <c r="U137" s="1" t="s">
        <v>1923</v>
      </c>
      <c r="V137" s="4">
        <v>0</v>
      </c>
      <c r="W137" s="6">
        <v>46272</v>
      </c>
      <c r="X137" s="1" t="s">
        <v>1459</v>
      </c>
      <c r="Y137" s="1" t="s">
        <v>1956</v>
      </c>
      <c r="Z137" s="1" t="s">
        <v>1956</v>
      </c>
      <c r="AA137" s="1" t="s">
        <v>1956</v>
      </c>
      <c r="AB137" s="6">
        <v>231.36</v>
      </c>
      <c r="AC137" s="1" t="s">
        <v>1124</v>
      </c>
      <c r="AD137" s="1" t="s">
        <v>1800</v>
      </c>
      <c r="AE137" s="1" t="s">
        <v>1286</v>
      </c>
      <c r="AF137" s="1" t="s">
        <v>1463</v>
      </c>
      <c r="AG137" s="1"/>
      <c r="AH137" s="1" t="s">
        <v>1956</v>
      </c>
      <c r="AI137" s="1"/>
      <c r="AJ137" s="1"/>
      <c r="AK137" s="1"/>
      <c r="AL137" s="1"/>
      <c r="AM137" s="1"/>
      <c r="AN137" s="1"/>
      <c r="AO137" s="1"/>
      <c r="AP137" s="1"/>
      <c r="AQ137" s="1"/>
      <c r="AR137" s="2"/>
      <c r="AS137" s="1"/>
      <c r="AT137" s="1"/>
      <c r="AU137" s="1"/>
      <c r="AV137" s="1" t="s">
        <v>1942</v>
      </c>
      <c r="AW137" s="7">
        <v>43489.682076213692</v>
      </c>
      <c r="AX137" s="1"/>
      <c r="AY137" s="1"/>
      <c r="AZ137" s="1"/>
      <c r="BA137" s="5">
        <v>43830</v>
      </c>
      <c r="BB137" s="1"/>
      <c r="BC137" s="1"/>
      <c r="BD137" s="1"/>
      <c r="BE137" s="1"/>
      <c r="BF137" s="1"/>
    </row>
    <row r="138" spans="1:58">
      <c r="A138" s="4">
        <v>133</v>
      </c>
      <c r="B138" s="2" t="str">
        <f>HYPERLINK("https://my.zakupki.prom.ua/remote/dispatcher/state_purchase_view/10512041", "UA-2019-02-12-000214-b")</f>
        <v>UA-2019-02-12-000214-b</v>
      </c>
      <c r="C138" s="2" t="s">
        <v>1459</v>
      </c>
      <c r="D138" s="1" t="s">
        <v>706</v>
      </c>
      <c r="E138" s="1" t="s">
        <v>1114</v>
      </c>
      <c r="F138" s="1" t="s">
        <v>704</v>
      </c>
      <c r="G138" s="1" t="s">
        <v>1280</v>
      </c>
      <c r="H138" s="1" t="s">
        <v>1800</v>
      </c>
      <c r="I138" s="1" t="s">
        <v>1379</v>
      </c>
      <c r="J138" s="1" t="s">
        <v>819</v>
      </c>
      <c r="K138" s="1" t="s">
        <v>1287</v>
      </c>
      <c r="L138" s="1" t="s">
        <v>1224</v>
      </c>
      <c r="M138" s="1" t="s">
        <v>119</v>
      </c>
      <c r="N138" s="1" t="s">
        <v>119</v>
      </c>
      <c r="O138" s="1" t="s">
        <v>119</v>
      </c>
      <c r="P138" s="5">
        <v>43508</v>
      </c>
      <c r="Q138" s="5">
        <v>43508</v>
      </c>
      <c r="R138" s="5">
        <v>43513</v>
      </c>
      <c r="S138" s="5">
        <v>43508</v>
      </c>
      <c r="T138" s="5">
        <v>43523</v>
      </c>
      <c r="U138" s="1" t="s">
        <v>1923</v>
      </c>
      <c r="V138" s="4">
        <v>0</v>
      </c>
      <c r="W138" s="6">
        <v>95130</v>
      </c>
      <c r="X138" s="1" t="s">
        <v>1459</v>
      </c>
      <c r="Y138" s="1" t="s">
        <v>1956</v>
      </c>
      <c r="Z138" s="1" t="s">
        <v>1956</v>
      </c>
      <c r="AA138" s="1" t="s">
        <v>1956</v>
      </c>
      <c r="AB138" s="6">
        <v>475.65</v>
      </c>
      <c r="AC138" s="1" t="s">
        <v>1124</v>
      </c>
      <c r="AD138" s="1" t="s">
        <v>1800</v>
      </c>
      <c r="AE138" s="1" t="s">
        <v>1286</v>
      </c>
      <c r="AF138" s="1" t="s">
        <v>1463</v>
      </c>
      <c r="AG138" s="1"/>
      <c r="AH138" s="1" t="s">
        <v>1956</v>
      </c>
      <c r="AI138" s="1"/>
      <c r="AJ138" s="1"/>
      <c r="AK138" s="1"/>
      <c r="AL138" s="1"/>
      <c r="AM138" s="1"/>
      <c r="AN138" s="1"/>
      <c r="AO138" s="1"/>
      <c r="AP138" s="1"/>
      <c r="AQ138" s="1"/>
      <c r="AR138" s="2"/>
      <c r="AS138" s="1"/>
      <c r="AT138" s="1"/>
      <c r="AU138" s="1"/>
      <c r="AV138" s="1" t="s">
        <v>2002</v>
      </c>
      <c r="AW138" s="7">
        <v>43514.646776655951</v>
      </c>
      <c r="AX138" s="1"/>
      <c r="AY138" s="1"/>
      <c r="AZ138" s="5">
        <v>43539</v>
      </c>
      <c r="BA138" s="5">
        <v>43630</v>
      </c>
      <c r="BB138" s="1"/>
      <c r="BC138" s="1"/>
      <c r="BD138" s="1" t="s">
        <v>2015</v>
      </c>
      <c r="BE138" s="1"/>
      <c r="BF138" s="1"/>
    </row>
    <row r="139" spans="1:58">
      <c r="A139" s="4">
        <v>134</v>
      </c>
      <c r="B139" s="2" t="str">
        <f>HYPERLINK("https://my.zakupki.prom.ua/remote/dispatcher/state_purchase_view/11959920", "UA-2019-06-18-001426-c")</f>
        <v>UA-2019-06-18-001426-c</v>
      </c>
      <c r="C139" s="2" t="s">
        <v>1459</v>
      </c>
      <c r="D139" s="1" t="s">
        <v>1310</v>
      </c>
      <c r="E139" s="1" t="s">
        <v>834</v>
      </c>
      <c r="F139" s="1" t="s">
        <v>833</v>
      </c>
      <c r="G139" s="1" t="s">
        <v>1346</v>
      </c>
      <c r="H139" s="1" t="s">
        <v>1800</v>
      </c>
      <c r="I139" s="1" t="s">
        <v>1379</v>
      </c>
      <c r="J139" s="1" t="s">
        <v>819</v>
      </c>
      <c r="K139" s="1" t="s">
        <v>1287</v>
      </c>
      <c r="L139" s="1" t="s">
        <v>1224</v>
      </c>
      <c r="M139" s="1" t="s">
        <v>119</v>
      </c>
      <c r="N139" s="1" t="s">
        <v>119</v>
      </c>
      <c r="O139" s="1" t="s">
        <v>119</v>
      </c>
      <c r="P139" s="5">
        <v>43634</v>
      </c>
      <c r="Q139" s="5">
        <v>43634</v>
      </c>
      <c r="R139" s="5">
        <v>43636</v>
      </c>
      <c r="S139" s="5">
        <v>43636</v>
      </c>
      <c r="T139" s="5">
        <v>43640</v>
      </c>
      <c r="U139" s="1" t="s">
        <v>1923</v>
      </c>
      <c r="V139" s="4">
        <v>1</v>
      </c>
      <c r="W139" s="6">
        <v>37050</v>
      </c>
      <c r="X139" s="1" t="s">
        <v>1459</v>
      </c>
      <c r="Y139" s="1" t="s">
        <v>1956</v>
      </c>
      <c r="Z139" s="1" t="s">
        <v>1956</v>
      </c>
      <c r="AA139" s="1" t="s">
        <v>1956</v>
      </c>
      <c r="AB139" s="6">
        <v>185.25</v>
      </c>
      <c r="AC139" s="1" t="s">
        <v>1124</v>
      </c>
      <c r="AD139" s="1" t="s">
        <v>1800</v>
      </c>
      <c r="AE139" s="1" t="s">
        <v>1286</v>
      </c>
      <c r="AF139" s="1" t="s">
        <v>1463</v>
      </c>
      <c r="AG139" s="6">
        <v>37003.199999999997</v>
      </c>
      <c r="AH139" s="1" t="s">
        <v>1956</v>
      </c>
      <c r="AI139" s="1" t="s">
        <v>1709</v>
      </c>
      <c r="AJ139" s="6">
        <v>46.80000000000291</v>
      </c>
      <c r="AK139" s="6">
        <v>1.2631578947369206E-3</v>
      </c>
      <c r="AL139" s="1" t="s">
        <v>1709</v>
      </c>
      <c r="AM139" s="1" t="s">
        <v>963</v>
      </c>
      <c r="AN139" s="1" t="s">
        <v>1149</v>
      </c>
      <c r="AO139" s="1" t="s">
        <v>73</v>
      </c>
      <c r="AP139" s="6">
        <v>46.80000000000291</v>
      </c>
      <c r="AQ139" s="6">
        <v>1.2631578947369206E-3</v>
      </c>
      <c r="AR139" s="2"/>
      <c r="AS139" s="7">
        <v>43642.363836858727</v>
      </c>
      <c r="AT139" s="5">
        <v>43647</v>
      </c>
      <c r="AU139" s="5">
        <v>43666</v>
      </c>
      <c r="AV139" s="1" t="s">
        <v>1941</v>
      </c>
      <c r="AW139" s="7">
        <v>43649.361288125234</v>
      </c>
      <c r="AX139" s="1" t="s">
        <v>1010</v>
      </c>
      <c r="AY139" s="6">
        <v>37003.199999999997</v>
      </c>
      <c r="AZ139" s="1"/>
      <c r="BA139" s="5">
        <v>43669</v>
      </c>
      <c r="BB139" s="7">
        <v>43830</v>
      </c>
      <c r="BC139" s="1" t="s">
        <v>1997</v>
      </c>
      <c r="BD139" s="1"/>
      <c r="BE139" s="1"/>
      <c r="BF139" s="1" t="s">
        <v>964</v>
      </c>
    </row>
    <row r="140" spans="1:58">
      <c r="A140" s="4">
        <v>135</v>
      </c>
      <c r="B140" s="2" t="str">
        <f>HYPERLINK("https://my.zakupki.prom.ua/remote/dispatcher/state_purchase_view/11935992", "UA-2019-06-14-000241-b")</f>
        <v>UA-2019-06-14-000241-b</v>
      </c>
      <c r="C140" s="2" t="s">
        <v>1459</v>
      </c>
      <c r="D140" s="1" t="s">
        <v>367</v>
      </c>
      <c r="E140" s="1" t="s">
        <v>1211</v>
      </c>
      <c r="F140" s="1" t="s">
        <v>364</v>
      </c>
      <c r="G140" s="1" t="s">
        <v>1280</v>
      </c>
      <c r="H140" s="1" t="s">
        <v>1800</v>
      </c>
      <c r="I140" s="1" t="s">
        <v>1379</v>
      </c>
      <c r="J140" s="1" t="s">
        <v>819</v>
      </c>
      <c r="K140" s="1" t="s">
        <v>1287</v>
      </c>
      <c r="L140" s="1" t="s">
        <v>1224</v>
      </c>
      <c r="M140" s="1" t="s">
        <v>119</v>
      </c>
      <c r="N140" s="1" t="s">
        <v>119</v>
      </c>
      <c r="O140" s="1" t="s">
        <v>119</v>
      </c>
      <c r="P140" s="5">
        <v>43630</v>
      </c>
      <c r="Q140" s="5">
        <v>43630</v>
      </c>
      <c r="R140" s="5">
        <v>43637</v>
      </c>
      <c r="S140" s="5">
        <v>43630</v>
      </c>
      <c r="T140" s="5">
        <v>43647</v>
      </c>
      <c r="U140" s="1" t="s">
        <v>1923</v>
      </c>
      <c r="V140" s="4">
        <v>1</v>
      </c>
      <c r="W140" s="6">
        <v>9300</v>
      </c>
      <c r="X140" s="1" t="s">
        <v>1459</v>
      </c>
      <c r="Y140" s="4">
        <v>160</v>
      </c>
      <c r="Z140" s="6">
        <v>58.12</v>
      </c>
      <c r="AA140" s="1" t="s">
        <v>2023</v>
      </c>
      <c r="AB140" s="6">
        <v>93</v>
      </c>
      <c r="AC140" s="1" t="s">
        <v>1124</v>
      </c>
      <c r="AD140" s="1" t="s">
        <v>1800</v>
      </c>
      <c r="AE140" s="1" t="s">
        <v>1286</v>
      </c>
      <c r="AF140" s="1" t="s">
        <v>1463</v>
      </c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2"/>
      <c r="AS140" s="1"/>
      <c r="AT140" s="1"/>
      <c r="AU140" s="1"/>
      <c r="AV140" s="1" t="s">
        <v>1942</v>
      </c>
      <c r="AW140" s="7">
        <v>43647.459296059707</v>
      </c>
      <c r="AX140" s="1"/>
      <c r="AY140" s="1"/>
      <c r="AZ140" s="1"/>
      <c r="BA140" s="5">
        <v>43830</v>
      </c>
      <c r="BB140" s="1"/>
      <c r="BC140" s="1"/>
      <c r="BD140" s="1"/>
      <c r="BE140" s="1"/>
      <c r="BF140" s="1" t="s">
        <v>653</v>
      </c>
    </row>
    <row r="141" spans="1:58">
      <c r="A141" s="4">
        <v>136</v>
      </c>
      <c r="B141" s="2" t="str">
        <f>HYPERLINK("https://my.zakupki.prom.ua/remote/dispatcher/state_purchase_view/12840205", "UA-2019-09-13-001217-b")</f>
        <v>UA-2019-09-13-001217-b</v>
      </c>
      <c r="C141" s="2" t="s">
        <v>1459</v>
      </c>
      <c r="D141" s="1" t="s">
        <v>1321</v>
      </c>
      <c r="E141" s="1" t="s">
        <v>1320</v>
      </c>
      <c r="F141" s="1" t="s">
        <v>908</v>
      </c>
      <c r="G141" s="1" t="s">
        <v>1346</v>
      </c>
      <c r="H141" s="1" t="s">
        <v>1800</v>
      </c>
      <c r="I141" s="1" t="s">
        <v>1379</v>
      </c>
      <c r="J141" s="1" t="s">
        <v>819</v>
      </c>
      <c r="K141" s="1" t="s">
        <v>1287</v>
      </c>
      <c r="L141" s="1" t="s">
        <v>1658</v>
      </c>
      <c r="M141" s="1" t="s">
        <v>119</v>
      </c>
      <c r="N141" s="1" t="s">
        <v>119</v>
      </c>
      <c r="O141" s="1" t="s">
        <v>119</v>
      </c>
      <c r="P141" s="5">
        <v>43721</v>
      </c>
      <c r="Q141" s="5">
        <v>43721</v>
      </c>
      <c r="R141" s="5">
        <v>43724</v>
      </c>
      <c r="S141" s="5">
        <v>43724</v>
      </c>
      <c r="T141" s="5">
        <v>43725</v>
      </c>
      <c r="U141" s="7">
        <v>43726.644687499997</v>
      </c>
      <c r="V141" s="4">
        <v>5</v>
      </c>
      <c r="W141" s="6">
        <v>10410</v>
      </c>
      <c r="X141" s="1" t="s">
        <v>1459</v>
      </c>
      <c r="Y141" s="4">
        <v>490</v>
      </c>
      <c r="Z141" s="6">
        <v>21.24</v>
      </c>
      <c r="AA141" s="1" t="s">
        <v>2023</v>
      </c>
      <c r="AB141" s="6">
        <v>52.05</v>
      </c>
      <c r="AC141" s="1" t="s">
        <v>1124</v>
      </c>
      <c r="AD141" s="1" t="s">
        <v>1800</v>
      </c>
      <c r="AE141" s="1" t="s">
        <v>1286</v>
      </c>
      <c r="AF141" s="1" t="s">
        <v>1463</v>
      </c>
      <c r="AG141" s="6">
        <v>6348.59</v>
      </c>
      <c r="AH141" s="6">
        <v>12.95630612244898</v>
      </c>
      <c r="AI141" s="1" t="s">
        <v>1850</v>
      </c>
      <c r="AJ141" s="6">
        <v>4061.41</v>
      </c>
      <c r="AK141" s="6">
        <v>0.39014505283381362</v>
      </c>
      <c r="AL141" s="1" t="s">
        <v>1887</v>
      </c>
      <c r="AM141" s="1" t="s">
        <v>691</v>
      </c>
      <c r="AN141" s="1" t="s">
        <v>1191</v>
      </c>
      <c r="AO141" s="1" t="s">
        <v>115</v>
      </c>
      <c r="AP141" s="6">
        <v>2927.7</v>
      </c>
      <c r="AQ141" s="6">
        <v>0.28123919308357348</v>
      </c>
      <c r="AR141" s="2" t="str">
        <f>HYPERLINK("https://auction.openprocurement.org/tenders/d832dbaf2277409daaad725fe114b781")</f>
        <v>https://auction.openprocurement.org/tenders/d832dbaf2277409daaad725fe114b781</v>
      </c>
      <c r="AS141" s="7">
        <v>43731.664965572949</v>
      </c>
      <c r="AT141" s="5">
        <v>43733</v>
      </c>
      <c r="AU141" s="5">
        <v>43754</v>
      </c>
      <c r="AV141" s="1" t="s">
        <v>1941</v>
      </c>
      <c r="AW141" s="7">
        <v>43746.455333422906</v>
      </c>
      <c r="AX141" s="1" t="s">
        <v>269</v>
      </c>
      <c r="AY141" s="6">
        <v>7482.3</v>
      </c>
      <c r="AZ141" s="1"/>
      <c r="BA141" s="5">
        <v>43830</v>
      </c>
      <c r="BB141" s="7">
        <v>43830</v>
      </c>
      <c r="BC141" s="1" t="s">
        <v>1997</v>
      </c>
      <c r="BD141" s="1"/>
      <c r="BE141" s="1"/>
      <c r="BF141" s="1" t="s">
        <v>458</v>
      </c>
    </row>
    <row r="142" spans="1:58">
      <c r="A142" s="4">
        <v>137</v>
      </c>
      <c r="B142" s="2" t="str">
        <f>HYPERLINK("https://my.zakupki.prom.ua/remote/dispatcher/state_purchase_view/19692117", "UA-2020-09-29-005776-a")</f>
        <v>UA-2020-09-29-005776-a</v>
      </c>
      <c r="C142" s="2" t="s">
        <v>1459</v>
      </c>
      <c r="D142" s="1" t="s">
        <v>1455</v>
      </c>
      <c r="E142" s="1" t="s">
        <v>1455</v>
      </c>
      <c r="F142" s="1" t="s">
        <v>1047</v>
      </c>
      <c r="G142" s="1" t="s">
        <v>1364</v>
      </c>
      <c r="H142" s="1" t="s">
        <v>1800</v>
      </c>
      <c r="I142" s="1" t="s">
        <v>1379</v>
      </c>
      <c r="J142" s="1" t="s">
        <v>819</v>
      </c>
      <c r="K142" s="1" t="s">
        <v>1287</v>
      </c>
      <c r="L142" s="1" t="s">
        <v>1216</v>
      </c>
      <c r="M142" s="1" t="s">
        <v>119</v>
      </c>
      <c r="N142" s="1" t="s">
        <v>119</v>
      </c>
      <c r="O142" s="1" t="s">
        <v>119</v>
      </c>
      <c r="P142" s="5">
        <v>44103</v>
      </c>
      <c r="Q142" s="1"/>
      <c r="R142" s="1"/>
      <c r="S142" s="1"/>
      <c r="T142" s="1"/>
      <c r="U142" s="1" t="s">
        <v>1922</v>
      </c>
      <c r="V142" s="4">
        <v>1</v>
      </c>
      <c r="W142" s="6">
        <v>4764</v>
      </c>
      <c r="X142" s="1" t="s">
        <v>1459</v>
      </c>
      <c r="Y142" s="4">
        <v>1</v>
      </c>
      <c r="Z142" s="6">
        <v>4764</v>
      </c>
      <c r="AA142" s="1" t="s">
        <v>1976</v>
      </c>
      <c r="AB142" s="1" t="s">
        <v>1964</v>
      </c>
      <c r="AC142" s="1" t="s">
        <v>1124</v>
      </c>
      <c r="AD142" s="1" t="s">
        <v>1800</v>
      </c>
      <c r="AE142" s="1" t="s">
        <v>1286</v>
      </c>
      <c r="AF142" s="1" t="s">
        <v>1463</v>
      </c>
      <c r="AG142" s="6">
        <v>4764</v>
      </c>
      <c r="AH142" s="6">
        <v>4764</v>
      </c>
      <c r="AI142" s="1"/>
      <c r="AJ142" s="1"/>
      <c r="AK142" s="1"/>
      <c r="AL142" s="1" t="s">
        <v>1781</v>
      </c>
      <c r="AM142" s="1" t="s">
        <v>957</v>
      </c>
      <c r="AN142" s="1"/>
      <c r="AO142" s="1" t="s">
        <v>312</v>
      </c>
      <c r="AP142" s="1"/>
      <c r="AQ142" s="1"/>
      <c r="AR142" s="2"/>
      <c r="AS142" s="1"/>
      <c r="AT142" s="1"/>
      <c r="AU142" s="1"/>
      <c r="AV142" s="1" t="s">
        <v>1941</v>
      </c>
      <c r="AW142" s="7">
        <v>44103.617368817948</v>
      </c>
      <c r="AX142" s="1" t="s">
        <v>1652</v>
      </c>
      <c r="AY142" s="6">
        <v>4764</v>
      </c>
      <c r="AZ142" s="1"/>
      <c r="BA142" s="5">
        <v>44196</v>
      </c>
      <c r="BB142" s="7">
        <v>44196</v>
      </c>
      <c r="BC142" s="1" t="s">
        <v>1997</v>
      </c>
      <c r="BD142" s="1"/>
      <c r="BE142" s="1"/>
      <c r="BF142" s="1" t="s">
        <v>118</v>
      </c>
    </row>
    <row r="143" spans="1:58">
      <c r="A143" s="4">
        <v>138</v>
      </c>
      <c r="B143" s="2" t="str">
        <f>HYPERLINK("https://my.zakupki.prom.ua/remote/dispatcher/state_purchase_view/18792893", "UA-2020-08-26-004379-a")</f>
        <v>UA-2020-08-26-004379-a</v>
      </c>
      <c r="C143" s="2" t="s">
        <v>1459</v>
      </c>
      <c r="D143" s="1" t="s">
        <v>1816</v>
      </c>
      <c r="E143" s="1" t="s">
        <v>1816</v>
      </c>
      <c r="F143" s="1" t="s">
        <v>1080</v>
      </c>
      <c r="G143" s="1" t="s">
        <v>1364</v>
      </c>
      <c r="H143" s="1" t="s">
        <v>1800</v>
      </c>
      <c r="I143" s="1" t="s">
        <v>1379</v>
      </c>
      <c r="J143" s="1" t="s">
        <v>819</v>
      </c>
      <c r="K143" s="1" t="s">
        <v>1287</v>
      </c>
      <c r="L143" s="1" t="s">
        <v>1216</v>
      </c>
      <c r="M143" s="1" t="s">
        <v>119</v>
      </c>
      <c r="N143" s="1" t="s">
        <v>119</v>
      </c>
      <c r="O143" s="1" t="s">
        <v>119</v>
      </c>
      <c r="P143" s="5">
        <v>44069</v>
      </c>
      <c r="Q143" s="1"/>
      <c r="R143" s="1"/>
      <c r="S143" s="1"/>
      <c r="T143" s="1"/>
      <c r="U143" s="1" t="s">
        <v>1922</v>
      </c>
      <c r="V143" s="4">
        <v>1</v>
      </c>
      <c r="W143" s="6">
        <v>6000</v>
      </c>
      <c r="X143" s="1" t="s">
        <v>1459</v>
      </c>
      <c r="Y143" s="4">
        <v>1</v>
      </c>
      <c r="Z143" s="6">
        <v>6000</v>
      </c>
      <c r="AA143" s="1" t="s">
        <v>1976</v>
      </c>
      <c r="AB143" s="1" t="s">
        <v>1964</v>
      </c>
      <c r="AC143" s="1" t="s">
        <v>1124</v>
      </c>
      <c r="AD143" s="1" t="s">
        <v>1800</v>
      </c>
      <c r="AE143" s="1" t="s">
        <v>1286</v>
      </c>
      <c r="AF143" s="1" t="s">
        <v>1463</v>
      </c>
      <c r="AG143" s="6">
        <v>6000</v>
      </c>
      <c r="AH143" s="6">
        <v>6000</v>
      </c>
      <c r="AI143" s="1"/>
      <c r="AJ143" s="1"/>
      <c r="AK143" s="1"/>
      <c r="AL143" s="1" t="s">
        <v>1752</v>
      </c>
      <c r="AM143" s="1" t="s">
        <v>694</v>
      </c>
      <c r="AN143" s="1"/>
      <c r="AO143" s="1" t="s">
        <v>205</v>
      </c>
      <c r="AP143" s="1"/>
      <c r="AQ143" s="1"/>
      <c r="AR143" s="2"/>
      <c r="AS143" s="1"/>
      <c r="AT143" s="1"/>
      <c r="AU143" s="1"/>
      <c r="AV143" s="1" t="s">
        <v>1941</v>
      </c>
      <c r="AW143" s="7">
        <v>44069.558623760073</v>
      </c>
      <c r="AX143" s="1" t="s">
        <v>1250</v>
      </c>
      <c r="AY143" s="6">
        <v>6000</v>
      </c>
      <c r="AZ143" s="1"/>
      <c r="BA143" s="5">
        <v>44196</v>
      </c>
      <c r="BB143" s="7">
        <v>44196</v>
      </c>
      <c r="BC143" s="1" t="s">
        <v>1997</v>
      </c>
      <c r="BD143" s="1"/>
      <c r="BE143" s="1"/>
      <c r="BF143" s="1" t="s">
        <v>118</v>
      </c>
    </row>
    <row r="144" spans="1:58">
      <c r="A144" s="4">
        <v>139</v>
      </c>
      <c r="B144" s="2" t="str">
        <f>HYPERLINK("https://my.zakupki.prom.ua/remote/dispatcher/state_purchase_view/18152161", "UA-2020-07-28-001114-c")</f>
        <v>UA-2020-07-28-001114-c</v>
      </c>
      <c r="C144" s="2" t="s">
        <v>1459</v>
      </c>
      <c r="D144" s="1" t="s">
        <v>1925</v>
      </c>
      <c r="E144" s="1" t="s">
        <v>1925</v>
      </c>
      <c r="F144" s="1" t="s">
        <v>836</v>
      </c>
      <c r="G144" s="1" t="s">
        <v>1346</v>
      </c>
      <c r="H144" s="1" t="s">
        <v>1800</v>
      </c>
      <c r="I144" s="1" t="s">
        <v>1379</v>
      </c>
      <c r="J144" s="1" t="s">
        <v>819</v>
      </c>
      <c r="K144" s="1" t="s">
        <v>1287</v>
      </c>
      <c r="L144" s="1" t="s">
        <v>1216</v>
      </c>
      <c r="M144" s="1" t="s">
        <v>119</v>
      </c>
      <c r="N144" s="1" t="s">
        <v>119</v>
      </c>
      <c r="O144" s="1" t="s">
        <v>119</v>
      </c>
      <c r="P144" s="5">
        <v>44040</v>
      </c>
      <c r="Q144" s="5">
        <v>44040</v>
      </c>
      <c r="R144" s="5">
        <v>44046</v>
      </c>
      <c r="S144" s="5">
        <v>44046</v>
      </c>
      <c r="T144" s="5">
        <v>44049</v>
      </c>
      <c r="U144" s="7">
        <v>44050.495868055557</v>
      </c>
      <c r="V144" s="4">
        <v>4</v>
      </c>
      <c r="W144" s="6">
        <v>15000</v>
      </c>
      <c r="X144" s="1" t="s">
        <v>1459</v>
      </c>
      <c r="Y144" s="4">
        <v>10</v>
      </c>
      <c r="Z144" s="6">
        <v>1500</v>
      </c>
      <c r="AA144" s="1" t="s">
        <v>2024</v>
      </c>
      <c r="AB144" s="6">
        <v>150</v>
      </c>
      <c r="AC144" s="1" t="s">
        <v>1124</v>
      </c>
      <c r="AD144" s="1" t="s">
        <v>1800</v>
      </c>
      <c r="AE144" s="1" t="s">
        <v>1286</v>
      </c>
      <c r="AF144" s="1" t="s">
        <v>1463</v>
      </c>
      <c r="AG144" s="6">
        <v>5649</v>
      </c>
      <c r="AH144" s="6">
        <v>564.9</v>
      </c>
      <c r="AI144" s="1" t="s">
        <v>1712</v>
      </c>
      <c r="AJ144" s="6">
        <v>9351</v>
      </c>
      <c r="AK144" s="6">
        <v>0.62339999999999995</v>
      </c>
      <c r="AL144" s="1" t="s">
        <v>1712</v>
      </c>
      <c r="AM144" s="1" t="s">
        <v>938</v>
      </c>
      <c r="AN144" s="1" t="s">
        <v>1175</v>
      </c>
      <c r="AO144" s="1" t="s">
        <v>829</v>
      </c>
      <c r="AP144" s="6">
        <v>9351</v>
      </c>
      <c r="AQ144" s="6">
        <v>0.62339999999999995</v>
      </c>
      <c r="AR144" s="2" t="str">
        <f>HYPERLINK("https://auction.openprocurement.org/tenders/2f6c7406111d45cf89500e4684e912bb")</f>
        <v>https://auction.openprocurement.org/tenders/2f6c7406111d45cf89500e4684e912bb</v>
      </c>
      <c r="AS144" s="7">
        <v>44050.579439924957</v>
      </c>
      <c r="AT144" s="5">
        <v>44054</v>
      </c>
      <c r="AU144" s="5">
        <v>44076</v>
      </c>
      <c r="AV144" s="1" t="s">
        <v>1941</v>
      </c>
      <c r="AW144" s="7">
        <v>44060.537126930125</v>
      </c>
      <c r="AX144" s="1" t="s">
        <v>320</v>
      </c>
      <c r="AY144" s="6">
        <v>5649</v>
      </c>
      <c r="AZ144" s="1"/>
      <c r="BA144" s="5">
        <v>44089</v>
      </c>
      <c r="BB144" s="7">
        <v>44196</v>
      </c>
      <c r="BC144" s="1" t="s">
        <v>1997</v>
      </c>
      <c r="BD144" s="1"/>
      <c r="BE144" s="1"/>
      <c r="BF144" s="1" t="s">
        <v>939</v>
      </c>
    </row>
    <row r="145" spans="1:58">
      <c r="A145" s="4">
        <v>140</v>
      </c>
      <c r="B145" s="2" t="str">
        <f>HYPERLINK("https://my.zakupki.prom.ua/remote/dispatcher/state_purchase_view/18636062", "UA-2020-08-18-007986-a")</f>
        <v>UA-2020-08-18-007986-a</v>
      </c>
      <c r="C145" s="2" t="s">
        <v>1459</v>
      </c>
      <c r="D145" s="1" t="s">
        <v>1895</v>
      </c>
      <c r="E145" s="1" t="s">
        <v>1894</v>
      </c>
      <c r="F145" s="1" t="s">
        <v>1002</v>
      </c>
      <c r="G145" s="1" t="s">
        <v>1364</v>
      </c>
      <c r="H145" s="1" t="s">
        <v>1800</v>
      </c>
      <c r="I145" s="1" t="s">
        <v>1379</v>
      </c>
      <c r="J145" s="1" t="s">
        <v>819</v>
      </c>
      <c r="K145" s="1" t="s">
        <v>1287</v>
      </c>
      <c r="L145" s="1" t="s">
        <v>1216</v>
      </c>
      <c r="M145" s="1" t="s">
        <v>119</v>
      </c>
      <c r="N145" s="1" t="s">
        <v>119</v>
      </c>
      <c r="O145" s="1" t="s">
        <v>119</v>
      </c>
      <c r="P145" s="5">
        <v>44061</v>
      </c>
      <c r="Q145" s="1"/>
      <c r="R145" s="1"/>
      <c r="S145" s="1"/>
      <c r="T145" s="1"/>
      <c r="U145" s="1" t="s">
        <v>1922</v>
      </c>
      <c r="V145" s="4">
        <v>1</v>
      </c>
      <c r="W145" s="6">
        <v>2480</v>
      </c>
      <c r="X145" s="1" t="s">
        <v>1459</v>
      </c>
      <c r="Y145" s="4">
        <v>20</v>
      </c>
      <c r="Z145" s="6">
        <v>124</v>
      </c>
      <c r="AA145" s="1" t="s">
        <v>2024</v>
      </c>
      <c r="AB145" s="1" t="s">
        <v>1964</v>
      </c>
      <c r="AC145" s="1" t="s">
        <v>1124</v>
      </c>
      <c r="AD145" s="1" t="s">
        <v>1463</v>
      </c>
      <c r="AE145" s="1" t="s">
        <v>1286</v>
      </c>
      <c r="AF145" s="1" t="s">
        <v>1463</v>
      </c>
      <c r="AG145" s="6">
        <v>2480</v>
      </c>
      <c r="AH145" s="6">
        <v>124</v>
      </c>
      <c r="AI145" s="1"/>
      <c r="AJ145" s="1"/>
      <c r="AK145" s="1"/>
      <c r="AL145" s="1" t="s">
        <v>1634</v>
      </c>
      <c r="AM145" s="1" t="s">
        <v>574</v>
      </c>
      <c r="AN145" s="1"/>
      <c r="AO145" s="1" t="s">
        <v>244</v>
      </c>
      <c r="AP145" s="1"/>
      <c r="AQ145" s="1"/>
      <c r="AR145" s="2"/>
      <c r="AS145" s="1"/>
      <c r="AT145" s="1"/>
      <c r="AU145" s="1"/>
      <c r="AV145" s="1" t="s">
        <v>1941</v>
      </c>
      <c r="AW145" s="7">
        <v>44062.349119225742</v>
      </c>
      <c r="AX145" s="1" t="s">
        <v>548</v>
      </c>
      <c r="AY145" s="6">
        <v>2480</v>
      </c>
      <c r="AZ145" s="5">
        <v>44061</v>
      </c>
      <c r="BA145" s="5">
        <v>44196</v>
      </c>
      <c r="BB145" s="7">
        <v>44196</v>
      </c>
      <c r="BC145" s="1" t="s">
        <v>1997</v>
      </c>
      <c r="BD145" s="1"/>
      <c r="BE145" s="1"/>
      <c r="BF145" s="1" t="s">
        <v>118</v>
      </c>
    </row>
    <row r="146" spans="1:58">
      <c r="A146" s="4">
        <v>141</v>
      </c>
      <c r="B146" s="2" t="str">
        <f>HYPERLINK("https://my.zakupki.prom.ua/remote/dispatcher/state_purchase_view/16597476", "UA-2020-05-08-000589-b")</f>
        <v>UA-2020-05-08-000589-b</v>
      </c>
      <c r="C146" s="2" t="s">
        <v>1459</v>
      </c>
      <c r="D146" s="1" t="s">
        <v>1283</v>
      </c>
      <c r="E146" s="1" t="s">
        <v>1284</v>
      </c>
      <c r="F146" s="1" t="s">
        <v>879</v>
      </c>
      <c r="G146" s="1" t="s">
        <v>1346</v>
      </c>
      <c r="H146" s="1" t="s">
        <v>1800</v>
      </c>
      <c r="I146" s="1" t="s">
        <v>1379</v>
      </c>
      <c r="J146" s="1" t="s">
        <v>819</v>
      </c>
      <c r="K146" s="1" t="s">
        <v>1287</v>
      </c>
      <c r="L146" s="1" t="s">
        <v>1216</v>
      </c>
      <c r="M146" s="1" t="s">
        <v>119</v>
      </c>
      <c r="N146" s="1" t="s">
        <v>119</v>
      </c>
      <c r="O146" s="1" t="s">
        <v>119</v>
      </c>
      <c r="P146" s="5">
        <v>43959</v>
      </c>
      <c r="Q146" s="5">
        <v>43959</v>
      </c>
      <c r="R146" s="5">
        <v>43966</v>
      </c>
      <c r="S146" s="5">
        <v>43966</v>
      </c>
      <c r="T146" s="5">
        <v>43971</v>
      </c>
      <c r="U146" s="7">
        <v>43971.497650462959</v>
      </c>
      <c r="V146" s="4">
        <v>3</v>
      </c>
      <c r="W146" s="6">
        <v>5000</v>
      </c>
      <c r="X146" s="1" t="s">
        <v>1459</v>
      </c>
      <c r="Y146" s="4">
        <v>8</v>
      </c>
      <c r="Z146" s="6">
        <v>625</v>
      </c>
      <c r="AA146" s="1" t="s">
        <v>2024</v>
      </c>
      <c r="AB146" s="6">
        <v>25</v>
      </c>
      <c r="AC146" s="1" t="s">
        <v>1124</v>
      </c>
      <c r="AD146" s="1" t="s">
        <v>1800</v>
      </c>
      <c r="AE146" s="1" t="s">
        <v>1286</v>
      </c>
      <c r="AF146" s="1" t="s">
        <v>1463</v>
      </c>
      <c r="AG146" s="6">
        <v>1718</v>
      </c>
      <c r="AH146" s="6">
        <v>214.75</v>
      </c>
      <c r="AI146" s="1" t="s">
        <v>1885</v>
      </c>
      <c r="AJ146" s="6">
        <v>3282</v>
      </c>
      <c r="AK146" s="6">
        <v>0.65639999999999998</v>
      </c>
      <c r="AL146" s="1" t="s">
        <v>1885</v>
      </c>
      <c r="AM146" s="1" t="s">
        <v>477</v>
      </c>
      <c r="AN146" s="1" t="s">
        <v>1141</v>
      </c>
      <c r="AO146" s="1" t="s">
        <v>77</v>
      </c>
      <c r="AP146" s="6">
        <v>3282</v>
      </c>
      <c r="AQ146" s="6">
        <v>0.65639999999999998</v>
      </c>
      <c r="AR146" s="2" t="str">
        <f>HYPERLINK("https://auction.openprocurement.org/tenders/a24cd1e6ed354c8c84e05c06cc338344")</f>
        <v>https://auction.openprocurement.org/tenders/a24cd1e6ed354c8c84e05c06cc338344</v>
      </c>
      <c r="AS146" s="7">
        <v>43971.60914464292</v>
      </c>
      <c r="AT146" s="5">
        <v>43973</v>
      </c>
      <c r="AU146" s="5">
        <v>43996</v>
      </c>
      <c r="AV146" s="1" t="s">
        <v>1941</v>
      </c>
      <c r="AW146" s="7">
        <v>43979.581777625368</v>
      </c>
      <c r="AX146" s="1" t="s">
        <v>563</v>
      </c>
      <c r="AY146" s="6">
        <v>1718</v>
      </c>
      <c r="AZ146" s="1"/>
      <c r="BA146" s="5">
        <v>44012</v>
      </c>
      <c r="BB146" s="7">
        <v>44196</v>
      </c>
      <c r="BC146" s="1" t="s">
        <v>1997</v>
      </c>
      <c r="BD146" s="1"/>
      <c r="BE146" s="1"/>
      <c r="BF146" s="1" t="s">
        <v>478</v>
      </c>
    </row>
    <row r="147" spans="1:58">
      <c r="A147" s="4">
        <v>142</v>
      </c>
      <c r="B147" s="2" t="str">
        <f>HYPERLINK("https://my.zakupki.prom.ua/remote/dispatcher/state_purchase_view/15798408", "UA-2020-03-17-000960-b")</f>
        <v>UA-2020-03-17-000960-b</v>
      </c>
      <c r="C147" s="2" t="s">
        <v>1459</v>
      </c>
      <c r="D147" s="1" t="s">
        <v>1349</v>
      </c>
      <c r="E147" s="1" t="s">
        <v>1349</v>
      </c>
      <c r="F147" s="1" t="s">
        <v>664</v>
      </c>
      <c r="G147" s="1" t="s">
        <v>1346</v>
      </c>
      <c r="H147" s="1" t="s">
        <v>1800</v>
      </c>
      <c r="I147" s="1" t="s">
        <v>1379</v>
      </c>
      <c r="J147" s="1" t="s">
        <v>819</v>
      </c>
      <c r="K147" s="1" t="s">
        <v>1287</v>
      </c>
      <c r="L147" s="1" t="s">
        <v>1216</v>
      </c>
      <c r="M147" s="1" t="s">
        <v>119</v>
      </c>
      <c r="N147" s="1" t="s">
        <v>119</v>
      </c>
      <c r="O147" s="1" t="s">
        <v>119</v>
      </c>
      <c r="P147" s="5">
        <v>43907</v>
      </c>
      <c r="Q147" s="5">
        <v>43907</v>
      </c>
      <c r="R147" s="5">
        <v>43909</v>
      </c>
      <c r="S147" s="5">
        <v>43909</v>
      </c>
      <c r="T147" s="5">
        <v>43913</v>
      </c>
      <c r="U147" s="1" t="s">
        <v>1923</v>
      </c>
      <c r="V147" s="4">
        <v>1</v>
      </c>
      <c r="W147" s="6">
        <v>5725</v>
      </c>
      <c r="X147" s="1" t="s">
        <v>1459</v>
      </c>
      <c r="Y147" s="4">
        <v>161</v>
      </c>
      <c r="Z147" s="6">
        <v>35.56</v>
      </c>
      <c r="AA147" s="1" t="s">
        <v>2024</v>
      </c>
      <c r="AB147" s="6">
        <v>57.25</v>
      </c>
      <c r="AC147" s="1" t="s">
        <v>1124</v>
      </c>
      <c r="AD147" s="1" t="s">
        <v>1800</v>
      </c>
      <c r="AE147" s="1" t="s">
        <v>1286</v>
      </c>
      <c r="AF147" s="1" t="s">
        <v>1463</v>
      </c>
      <c r="AG147" s="6">
        <v>4974</v>
      </c>
      <c r="AH147" s="6">
        <v>30.894409937888199</v>
      </c>
      <c r="AI147" s="1" t="s">
        <v>1861</v>
      </c>
      <c r="AJ147" s="6">
        <v>751</v>
      </c>
      <c r="AK147" s="6">
        <v>0.13117903930131006</v>
      </c>
      <c r="AL147" s="1" t="s">
        <v>1861</v>
      </c>
      <c r="AM147" s="1" t="s">
        <v>790</v>
      </c>
      <c r="AN147" s="1" t="s">
        <v>1188</v>
      </c>
      <c r="AO147" s="1" t="s">
        <v>93</v>
      </c>
      <c r="AP147" s="6">
        <v>751</v>
      </c>
      <c r="AQ147" s="6">
        <v>0.13117903930131006</v>
      </c>
      <c r="AR147" s="2"/>
      <c r="AS147" s="7">
        <v>43914.52734780316</v>
      </c>
      <c r="AT147" s="5">
        <v>43916</v>
      </c>
      <c r="AU147" s="5">
        <v>43939</v>
      </c>
      <c r="AV147" s="1" t="s">
        <v>1941</v>
      </c>
      <c r="AW147" s="7">
        <v>43920.666565319538</v>
      </c>
      <c r="AX147" s="1" t="s">
        <v>614</v>
      </c>
      <c r="AY147" s="6">
        <v>4974</v>
      </c>
      <c r="AZ147" s="1"/>
      <c r="BA147" s="5">
        <v>44196</v>
      </c>
      <c r="BB147" s="7">
        <v>44196</v>
      </c>
      <c r="BC147" s="1" t="s">
        <v>1997</v>
      </c>
      <c r="BD147" s="1"/>
      <c r="BE147" s="1"/>
      <c r="BF147" s="1" t="s">
        <v>791</v>
      </c>
    </row>
    <row r="148" spans="1:58">
      <c r="A148" s="4">
        <v>143</v>
      </c>
      <c r="B148" s="2" t="str">
        <f>HYPERLINK("https://my.zakupki.prom.ua/remote/dispatcher/state_purchase_view/15785895", "UA-2020-03-16-002877-b")</f>
        <v>UA-2020-03-16-002877-b</v>
      </c>
      <c r="C148" s="2" t="s">
        <v>1459</v>
      </c>
      <c r="D148" s="1" t="s">
        <v>1657</v>
      </c>
      <c r="E148" s="1" t="s">
        <v>1657</v>
      </c>
      <c r="F148" s="1" t="s">
        <v>953</v>
      </c>
      <c r="G148" s="1" t="s">
        <v>1346</v>
      </c>
      <c r="H148" s="1" t="s">
        <v>1800</v>
      </c>
      <c r="I148" s="1" t="s">
        <v>1379</v>
      </c>
      <c r="J148" s="1" t="s">
        <v>819</v>
      </c>
      <c r="K148" s="1" t="s">
        <v>1287</v>
      </c>
      <c r="L148" s="1" t="s">
        <v>1216</v>
      </c>
      <c r="M148" s="1" t="s">
        <v>119</v>
      </c>
      <c r="N148" s="1" t="s">
        <v>119</v>
      </c>
      <c r="O148" s="1" t="s">
        <v>119</v>
      </c>
      <c r="P148" s="5">
        <v>43906</v>
      </c>
      <c r="Q148" s="5">
        <v>43906</v>
      </c>
      <c r="R148" s="5">
        <v>43908</v>
      </c>
      <c r="S148" s="5">
        <v>43908</v>
      </c>
      <c r="T148" s="5">
        <v>43910</v>
      </c>
      <c r="U148" s="1" t="s">
        <v>1923</v>
      </c>
      <c r="V148" s="4">
        <v>1</v>
      </c>
      <c r="W148" s="6">
        <v>3000</v>
      </c>
      <c r="X148" s="1" t="s">
        <v>1459</v>
      </c>
      <c r="Y148" s="4">
        <v>64</v>
      </c>
      <c r="Z148" s="6">
        <v>46.88</v>
      </c>
      <c r="AA148" s="1" t="s">
        <v>2024</v>
      </c>
      <c r="AB148" s="6">
        <v>30</v>
      </c>
      <c r="AC148" s="1" t="s">
        <v>1124</v>
      </c>
      <c r="AD148" s="1" t="s">
        <v>1800</v>
      </c>
      <c r="AE148" s="1" t="s">
        <v>1286</v>
      </c>
      <c r="AF148" s="1" t="s">
        <v>1463</v>
      </c>
      <c r="AG148" s="6">
        <v>2460</v>
      </c>
      <c r="AH148" s="6">
        <v>38.4375</v>
      </c>
      <c r="AI148" s="1" t="s">
        <v>1753</v>
      </c>
      <c r="AJ148" s="6">
        <v>540</v>
      </c>
      <c r="AK148" s="6">
        <v>0.18</v>
      </c>
      <c r="AL148" s="1" t="s">
        <v>1753</v>
      </c>
      <c r="AM148" s="1" t="s">
        <v>772</v>
      </c>
      <c r="AN148" s="1" t="s">
        <v>1204</v>
      </c>
      <c r="AO148" s="1" t="s">
        <v>821</v>
      </c>
      <c r="AP148" s="6">
        <v>540</v>
      </c>
      <c r="AQ148" s="6">
        <v>0.18</v>
      </c>
      <c r="AR148" s="2"/>
      <c r="AS148" s="7">
        <v>43913.453307884192</v>
      </c>
      <c r="AT148" s="5">
        <v>43915</v>
      </c>
      <c r="AU148" s="5">
        <v>43938</v>
      </c>
      <c r="AV148" s="1" t="s">
        <v>1941</v>
      </c>
      <c r="AW148" s="7">
        <v>43929.537089490463</v>
      </c>
      <c r="AX148" s="1" t="s">
        <v>274</v>
      </c>
      <c r="AY148" s="6">
        <v>2460</v>
      </c>
      <c r="AZ148" s="1"/>
      <c r="BA148" s="5">
        <v>44196</v>
      </c>
      <c r="BB148" s="7">
        <v>44196</v>
      </c>
      <c r="BC148" s="1" t="s">
        <v>1997</v>
      </c>
      <c r="BD148" s="1"/>
      <c r="BE148" s="1"/>
      <c r="BF148" s="1" t="s">
        <v>773</v>
      </c>
    </row>
    <row r="149" spans="1:58">
      <c r="A149" s="4">
        <v>144</v>
      </c>
      <c r="B149" s="2" t="str">
        <f>HYPERLINK("https://my.zakupki.prom.ua/remote/dispatcher/state_purchase_view/14708087", "UA-2020-01-22-001516-b")</f>
        <v>UA-2020-01-22-001516-b</v>
      </c>
      <c r="C149" s="2" t="s">
        <v>1459</v>
      </c>
      <c r="D149" s="1" t="s">
        <v>1302</v>
      </c>
      <c r="E149" s="1" t="s">
        <v>1302</v>
      </c>
      <c r="F149" s="1" t="s">
        <v>402</v>
      </c>
      <c r="G149" s="1" t="s">
        <v>1364</v>
      </c>
      <c r="H149" s="1" t="s">
        <v>1800</v>
      </c>
      <c r="I149" s="1" t="s">
        <v>1379</v>
      </c>
      <c r="J149" s="1" t="s">
        <v>819</v>
      </c>
      <c r="K149" s="1" t="s">
        <v>1287</v>
      </c>
      <c r="L149" s="1" t="s">
        <v>1915</v>
      </c>
      <c r="M149" s="1" t="s">
        <v>119</v>
      </c>
      <c r="N149" s="1" t="s">
        <v>119</v>
      </c>
      <c r="O149" s="1" t="s">
        <v>119</v>
      </c>
      <c r="P149" s="5">
        <v>43852</v>
      </c>
      <c r="Q149" s="1"/>
      <c r="R149" s="1"/>
      <c r="S149" s="1"/>
      <c r="T149" s="1"/>
      <c r="U149" s="1" t="s">
        <v>1922</v>
      </c>
      <c r="V149" s="4">
        <v>1</v>
      </c>
      <c r="W149" s="6">
        <v>1029.5999999999999</v>
      </c>
      <c r="X149" s="1" t="s">
        <v>1459</v>
      </c>
      <c r="Y149" s="4">
        <v>3</v>
      </c>
      <c r="Z149" s="6">
        <v>343.2</v>
      </c>
      <c r="AA149" s="1" t="s">
        <v>1961</v>
      </c>
      <c r="AB149" s="1" t="s">
        <v>1964</v>
      </c>
      <c r="AC149" s="1" t="s">
        <v>1124</v>
      </c>
      <c r="AD149" s="1" t="s">
        <v>1463</v>
      </c>
      <c r="AE149" s="1" t="s">
        <v>1286</v>
      </c>
      <c r="AF149" s="1" t="s">
        <v>1463</v>
      </c>
      <c r="AG149" s="6">
        <v>1029</v>
      </c>
      <c r="AH149" s="6">
        <v>343</v>
      </c>
      <c r="AI149" s="1"/>
      <c r="AJ149" s="6">
        <v>0.59999999999990905</v>
      </c>
      <c r="AK149" s="6">
        <v>5.827505827504945E-4</v>
      </c>
      <c r="AL149" s="1" t="s">
        <v>1420</v>
      </c>
      <c r="AM149" s="1" t="s">
        <v>693</v>
      </c>
      <c r="AN149" s="1"/>
      <c r="AO149" s="1" t="s">
        <v>272</v>
      </c>
      <c r="AP149" s="6">
        <v>0.59999999999990905</v>
      </c>
      <c r="AQ149" s="6">
        <v>5.827505827504945E-4</v>
      </c>
      <c r="AR149" s="2"/>
      <c r="AS149" s="1"/>
      <c r="AT149" s="1"/>
      <c r="AU149" s="1"/>
      <c r="AV149" s="1" t="s">
        <v>1941</v>
      </c>
      <c r="AW149" s="7">
        <v>43853.350776343956</v>
      </c>
      <c r="AX149" s="1" t="s">
        <v>137</v>
      </c>
      <c r="AY149" s="6">
        <v>1029</v>
      </c>
      <c r="AZ149" s="1"/>
      <c r="BA149" s="5">
        <v>44196</v>
      </c>
      <c r="BB149" s="7">
        <v>44196</v>
      </c>
      <c r="BC149" s="1" t="s">
        <v>1997</v>
      </c>
      <c r="BD149" s="1"/>
      <c r="BE149" s="1"/>
      <c r="BF149" s="1" t="s">
        <v>118</v>
      </c>
    </row>
    <row r="150" spans="1:58">
      <c r="A150" s="4">
        <v>145</v>
      </c>
      <c r="B150" s="2" t="str">
        <f>HYPERLINK("https://my.zakupki.prom.ua/remote/dispatcher/state_purchase_view/14696825", "UA-2020-01-22-000525-a")</f>
        <v>UA-2020-01-22-000525-a</v>
      </c>
      <c r="C150" s="2" t="s">
        <v>1459</v>
      </c>
      <c r="D150" s="1" t="s">
        <v>367</v>
      </c>
      <c r="E150" s="1" t="s">
        <v>1340</v>
      </c>
      <c r="F150" s="1" t="s">
        <v>364</v>
      </c>
      <c r="G150" s="1" t="s">
        <v>1280</v>
      </c>
      <c r="H150" s="1" t="s">
        <v>1800</v>
      </c>
      <c r="I150" s="1" t="s">
        <v>1379</v>
      </c>
      <c r="J150" s="1" t="s">
        <v>819</v>
      </c>
      <c r="K150" s="1" t="s">
        <v>1287</v>
      </c>
      <c r="L150" s="1" t="s">
        <v>1915</v>
      </c>
      <c r="M150" s="1" t="s">
        <v>119</v>
      </c>
      <c r="N150" s="1" t="s">
        <v>119</v>
      </c>
      <c r="O150" s="1" t="s">
        <v>119</v>
      </c>
      <c r="P150" s="5">
        <v>43852</v>
      </c>
      <c r="Q150" s="5">
        <v>43852</v>
      </c>
      <c r="R150" s="5">
        <v>43861</v>
      </c>
      <c r="S150" s="5">
        <v>43852</v>
      </c>
      <c r="T150" s="5">
        <v>43871</v>
      </c>
      <c r="U150" s="7">
        <v>43872.592083333337</v>
      </c>
      <c r="V150" s="4">
        <v>2</v>
      </c>
      <c r="W150" s="6">
        <v>13900</v>
      </c>
      <c r="X150" s="1" t="s">
        <v>1459</v>
      </c>
      <c r="Y150" s="4">
        <v>210</v>
      </c>
      <c r="Z150" s="6">
        <v>66.19</v>
      </c>
      <c r="AA150" s="1" t="s">
        <v>2017</v>
      </c>
      <c r="AB150" s="6">
        <v>139</v>
      </c>
      <c r="AC150" s="1" t="s">
        <v>1124</v>
      </c>
      <c r="AD150" s="1" t="s">
        <v>1800</v>
      </c>
      <c r="AE150" s="1" t="s">
        <v>1286</v>
      </c>
      <c r="AF150" s="1" t="s">
        <v>1463</v>
      </c>
      <c r="AG150" s="6">
        <v>13894.8</v>
      </c>
      <c r="AH150" s="6">
        <v>66.165714285714287</v>
      </c>
      <c r="AI150" s="1" t="s">
        <v>1736</v>
      </c>
      <c r="AJ150" s="6">
        <v>5.2000000000007276</v>
      </c>
      <c r="AK150" s="6">
        <v>3.7410071942451279E-4</v>
      </c>
      <c r="AL150" s="1" t="s">
        <v>1736</v>
      </c>
      <c r="AM150" s="1" t="s">
        <v>652</v>
      </c>
      <c r="AN150" s="1" t="s">
        <v>1209</v>
      </c>
      <c r="AO150" s="1" t="s">
        <v>63</v>
      </c>
      <c r="AP150" s="6">
        <v>5.2000000000007276</v>
      </c>
      <c r="AQ150" s="6">
        <v>3.7410071942451279E-4</v>
      </c>
      <c r="AR150" s="2" t="str">
        <f>HYPERLINK("https://auction.openprocurement.org/tenders/745575255ebd4d9484b81de916a6ba7f")</f>
        <v>https://auction.openprocurement.org/tenders/745575255ebd4d9484b81de916a6ba7f</v>
      </c>
      <c r="AS150" s="7">
        <v>43874.530983258839</v>
      </c>
      <c r="AT150" s="5">
        <v>43885</v>
      </c>
      <c r="AU150" s="5">
        <v>43895</v>
      </c>
      <c r="AV150" s="1" t="s">
        <v>1941</v>
      </c>
      <c r="AW150" s="7">
        <v>43886.641285130208</v>
      </c>
      <c r="AX150" s="1" t="s">
        <v>522</v>
      </c>
      <c r="AY150" s="6">
        <v>13894.8</v>
      </c>
      <c r="AZ150" s="1"/>
      <c r="BA150" s="5">
        <v>43921</v>
      </c>
      <c r="BB150" s="7">
        <v>44196</v>
      </c>
      <c r="BC150" s="1" t="s">
        <v>1997</v>
      </c>
      <c r="BD150" s="1"/>
      <c r="BE150" s="1"/>
      <c r="BF150" s="1" t="s">
        <v>655</v>
      </c>
    </row>
    <row r="151" spans="1:58">
      <c r="A151" s="4">
        <v>146</v>
      </c>
      <c r="B151" s="2" t="str">
        <f>HYPERLINK("https://my.zakupki.prom.ua/remote/dispatcher/state_purchase_view/22635393", "UA-2020-12-24-005917-c")</f>
        <v>UA-2020-12-24-005917-c</v>
      </c>
      <c r="C151" s="2" t="s">
        <v>1459</v>
      </c>
      <c r="D151" s="1" t="s">
        <v>1977</v>
      </c>
      <c r="E151" s="1" t="s">
        <v>1978</v>
      </c>
      <c r="F151" s="1" t="s">
        <v>1030</v>
      </c>
      <c r="G151" s="1" t="s">
        <v>1364</v>
      </c>
      <c r="H151" s="1" t="s">
        <v>1800</v>
      </c>
      <c r="I151" s="1" t="s">
        <v>1379</v>
      </c>
      <c r="J151" s="1" t="s">
        <v>819</v>
      </c>
      <c r="K151" s="1" t="s">
        <v>1287</v>
      </c>
      <c r="L151" s="1" t="s">
        <v>1216</v>
      </c>
      <c r="M151" s="1" t="s">
        <v>119</v>
      </c>
      <c r="N151" s="1" t="s">
        <v>119</v>
      </c>
      <c r="O151" s="1" t="s">
        <v>119</v>
      </c>
      <c r="P151" s="5">
        <v>44189</v>
      </c>
      <c r="Q151" s="1"/>
      <c r="R151" s="1"/>
      <c r="S151" s="1"/>
      <c r="T151" s="1"/>
      <c r="U151" s="1" t="s">
        <v>1922</v>
      </c>
      <c r="V151" s="4">
        <v>1</v>
      </c>
      <c r="W151" s="6">
        <v>19994.240000000002</v>
      </c>
      <c r="X151" s="1" t="s">
        <v>1459</v>
      </c>
      <c r="Y151" s="4">
        <v>1</v>
      </c>
      <c r="Z151" s="6">
        <v>19994.240000000002</v>
      </c>
      <c r="AA151" s="1" t="s">
        <v>1976</v>
      </c>
      <c r="AB151" s="1" t="s">
        <v>1964</v>
      </c>
      <c r="AC151" s="1" t="s">
        <v>1124</v>
      </c>
      <c r="AD151" s="1" t="s">
        <v>1800</v>
      </c>
      <c r="AE151" s="1" t="s">
        <v>1286</v>
      </c>
      <c r="AF151" s="1" t="s">
        <v>1463</v>
      </c>
      <c r="AG151" s="6">
        <v>19994.240000000002</v>
      </c>
      <c r="AH151" s="6">
        <v>19994.240000000002</v>
      </c>
      <c r="AI151" s="1"/>
      <c r="AJ151" s="1"/>
      <c r="AK151" s="1"/>
      <c r="AL151" s="1" t="s">
        <v>1773</v>
      </c>
      <c r="AM151" s="1" t="s">
        <v>910</v>
      </c>
      <c r="AN151" s="1"/>
      <c r="AO151" s="1" t="s">
        <v>217</v>
      </c>
      <c r="AP151" s="1"/>
      <c r="AQ151" s="1"/>
      <c r="AR151" s="2"/>
      <c r="AS151" s="1"/>
      <c r="AT151" s="1"/>
      <c r="AU151" s="1"/>
      <c r="AV151" s="1" t="s">
        <v>1941</v>
      </c>
      <c r="AW151" s="7">
        <v>44189.490845674343</v>
      </c>
      <c r="AX151" s="1" t="s">
        <v>332</v>
      </c>
      <c r="AY151" s="6">
        <v>19994.240000000002</v>
      </c>
      <c r="AZ151" s="1"/>
      <c r="BA151" s="5">
        <v>44196</v>
      </c>
      <c r="BB151" s="7">
        <v>44196</v>
      </c>
      <c r="BC151" s="1" t="s">
        <v>1997</v>
      </c>
      <c r="BD151" s="1"/>
      <c r="BE151" s="1"/>
      <c r="BF151" s="1" t="s">
        <v>118</v>
      </c>
    </row>
    <row r="152" spans="1:58">
      <c r="A152" s="4">
        <v>147</v>
      </c>
      <c r="B152" s="2" t="str">
        <f>HYPERLINK("https://my.zakupki.prom.ua/remote/dispatcher/state_purchase_view/22445445", "UA-2020-12-21-007883-c")</f>
        <v>UA-2020-12-21-007883-c</v>
      </c>
      <c r="C152" s="2" t="s">
        <v>1459</v>
      </c>
      <c r="D152" s="1" t="s">
        <v>1816</v>
      </c>
      <c r="E152" s="1" t="s">
        <v>1823</v>
      </c>
      <c r="F152" s="1" t="s">
        <v>1080</v>
      </c>
      <c r="G152" s="1" t="s">
        <v>1364</v>
      </c>
      <c r="H152" s="1" t="s">
        <v>1800</v>
      </c>
      <c r="I152" s="1" t="s">
        <v>1379</v>
      </c>
      <c r="J152" s="1" t="s">
        <v>819</v>
      </c>
      <c r="K152" s="1" t="s">
        <v>1287</v>
      </c>
      <c r="L152" s="1" t="s">
        <v>1216</v>
      </c>
      <c r="M152" s="1" t="s">
        <v>119</v>
      </c>
      <c r="N152" s="1" t="s">
        <v>119</v>
      </c>
      <c r="O152" s="1" t="s">
        <v>119</v>
      </c>
      <c r="P152" s="5">
        <v>44186</v>
      </c>
      <c r="Q152" s="1"/>
      <c r="R152" s="1"/>
      <c r="S152" s="1"/>
      <c r="T152" s="1"/>
      <c r="U152" s="1" t="s">
        <v>1922</v>
      </c>
      <c r="V152" s="4">
        <v>1</v>
      </c>
      <c r="W152" s="6">
        <v>430</v>
      </c>
      <c r="X152" s="1" t="s">
        <v>1459</v>
      </c>
      <c r="Y152" s="4">
        <v>1</v>
      </c>
      <c r="Z152" s="6">
        <v>430</v>
      </c>
      <c r="AA152" s="1" t="s">
        <v>1976</v>
      </c>
      <c r="AB152" s="1" t="s">
        <v>1964</v>
      </c>
      <c r="AC152" s="1" t="s">
        <v>1124</v>
      </c>
      <c r="AD152" s="1" t="s">
        <v>1800</v>
      </c>
      <c r="AE152" s="1" t="s">
        <v>1286</v>
      </c>
      <c r="AF152" s="1" t="s">
        <v>1463</v>
      </c>
      <c r="AG152" s="6">
        <v>430</v>
      </c>
      <c r="AH152" s="6">
        <v>430</v>
      </c>
      <c r="AI152" s="1"/>
      <c r="AJ152" s="1"/>
      <c r="AK152" s="1"/>
      <c r="AL152" s="1" t="s">
        <v>1752</v>
      </c>
      <c r="AM152" s="1" t="s">
        <v>694</v>
      </c>
      <c r="AN152" s="1"/>
      <c r="AO152" s="1" t="s">
        <v>205</v>
      </c>
      <c r="AP152" s="1"/>
      <c r="AQ152" s="1"/>
      <c r="AR152" s="2"/>
      <c r="AS152" s="1"/>
      <c r="AT152" s="1"/>
      <c r="AU152" s="1"/>
      <c r="AV152" s="1" t="s">
        <v>1941</v>
      </c>
      <c r="AW152" s="7">
        <v>44186.568038351448</v>
      </c>
      <c r="AX152" s="1" t="s">
        <v>1254</v>
      </c>
      <c r="AY152" s="6">
        <v>430</v>
      </c>
      <c r="AZ152" s="1"/>
      <c r="BA152" s="5">
        <v>44196</v>
      </c>
      <c r="BB152" s="7">
        <v>44196</v>
      </c>
      <c r="BC152" s="1" t="s">
        <v>1997</v>
      </c>
      <c r="BD152" s="1"/>
      <c r="BE152" s="1"/>
      <c r="BF152" s="1" t="s">
        <v>118</v>
      </c>
    </row>
    <row r="153" spans="1:58">
      <c r="A153" s="4">
        <v>148</v>
      </c>
      <c r="B153" s="2" t="str">
        <f>HYPERLINK("https://my.zakupki.prom.ua/remote/dispatcher/state_purchase_view/22132404", "UA-2020-12-14-010325-c")</f>
        <v>UA-2020-12-14-010325-c</v>
      </c>
      <c r="C153" s="2" t="s">
        <v>1459</v>
      </c>
      <c r="D153" s="1" t="s">
        <v>1967</v>
      </c>
      <c r="E153" s="1" t="s">
        <v>1967</v>
      </c>
      <c r="F153" s="1" t="s">
        <v>1020</v>
      </c>
      <c r="G153" s="1" t="s">
        <v>1364</v>
      </c>
      <c r="H153" s="1" t="s">
        <v>1800</v>
      </c>
      <c r="I153" s="1" t="s">
        <v>1379</v>
      </c>
      <c r="J153" s="1" t="s">
        <v>819</v>
      </c>
      <c r="K153" s="1" t="s">
        <v>1287</v>
      </c>
      <c r="L153" s="1" t="s">
        <v>1216</v>
      </c>
      <c r="M153" s="1" t="s">
        <v>119</v>
      </c>
      <c r="N153" s="1" t="s">
        <v>119</v>
      </c>
      <c r="O153" s="1" t="s">
        <v>119</v>
      </c>
      <c r="P153" s="5">
        <v>44179</v>
      </c>
      <c r="Q153" s="1"/>
      <c r="R153" s="1"/>
      <c r="S153" s="1"/>
      <c r="T153" s="1"/>
      <c r="U153" s="1" t="s">
        <v>1922</v>
      </c>
      <c r="V153" s="4">
        <v>1</v>
      </c>
      <c r="W153" s="6">
        <v>937.94</v>
      </c>
      <c r="X153" s="1" t="s">
        <v>1459</v>
      </c>
      <c r="Y153" s="4">
        <v>1</v>
      </c>
      <c r="Z153" s="6">
        <v>937.94</v>
      </c>
      <c r="AA153" s="1" t="s">
        <v>1976</v>
      </c>
      <c r="AB153" s="1" t="s">
        <v>1964</v>
      </c>
      <c r="AC153" s="1" t="s">
        <v>1124</v>
      </c>
      <c r="AD153" s="1" t="s">
        <v>1800</v>
      </c>
      <c r="AE153" s="1" t="s">
        <v>1286</v>
      </c>
      <c r="AF153" s="1" t="s">
        <v>1463</v>
      </c>
      <c r="AG153" s="6">
        <v>937.94</v>
      </c>
      <c r="AH153" s="6">
        <v>937.94</v>
      </c>
      <c r="AI153" s="1"/>
      <c r="AJ153" s="1"/>
      <c r="AK153" s="1"/>
      <c r="AL153" s="1" t="s">
        <v>1493</v>
      </c>
      <c r="AM153" s="1" t="s">
        <v>665</v>
      </c>
      <c r="AN153" s="1"/>
      <c r="AO153" s="1" t="s">
        <v>191</v>
      </c>
      <c r="AP153" s="1"/>
      <c r="AQ153" s="1"/>
      <c r="AR153" s="2"/>
      <c r="AS153" s="1"/>
      <c r="AT153" s="1"/>
      <c r="AU153" s="1"/>
      <c r="AV153" s="1" t="s">
        <v>1941</v>
      </c>
      <c r="AW153" s="7">
        <v>44179.637448387788</v>
      </c>
      <c r="AX153" s="1" t="s">
        <v>1343</v>
      </c>
      <c r="AY153" s="6">
        <v>937.94</v>
      </c>
      <c r="AZ153" s="1"/>
      <c r="BA153" s="5">
        <v>44196</v>
      </c>
      <c r="BB153" s="7">
        <v>44196</v>
      </c>
      <c r="BC153" s="1" t="s">
        <v>1997</v>
      </c>
      <c r="BD153" s="1"/>
      <c r="BE153" s="1"/>
      <c r="BF153" s="1" t="s">
        <v>118</v>
      </c>
    </row>
    <row r="154" spans="1:58">
      <c r="A154" s="4">
        <v>149</v>
      </c>
      <c r="B154" s="2" t="str">
        <f>HYPERLINK("https://my.zakupki.prom.ua/remote/dispatcher/state_purchase_view/23446284", "UA-2021-01-29-008958-b")</f>
        <v>UA-2021-01-29-008958-b</v>
      </c>
      <c r="C154" s="2" t="s">
        <v>1459</v>
      </c>
      <c r="D154" s="1" t="s">
        <v>1234</v>
      </c>
      <c r="E154" s="1" t="s">
        <v>1234</v>
      </c>
      <c r="F154" s="1" t="s">
        <v>721</v>
      </c>
      <c r="G154" s="1" t="s">
        <v>1364</v>
      </c>
      <c r="H154" s="1" t="s">
        <v>1800</v>
      </c>
      <c r="I154" s="1" t="s">
        <v>1379</v>
      </c>
      <c r="J154" s="1" t="s">
        <v>819</v>
      </c>
      <c r="K154" s="1" t="s">
        <v>1287</v>
      </c>
      <c r="L154" s="1" t="s">
        <v>1216</v>
      </c>
      <c r="M154" s="1" t="s">
        <v>119</v>
      </c>
      <c r="N154" s="1" t="s">
        <v>119</v>
      </c>
      <c r="O154" s="1" t="s">
        <v>119</v>
      </c>
      <c r="P154" s="5">
        <v>44225</v>
      </c>
      <c r="Q154" s="1"/>
      <c r="R154" s="1"/>
      <c r="S154" s="1"/>
      <c r="T154" s="1"/>
      <c r="U154" s="1" t="s">
        <v>1922</v>
      </c>
      <c r="V154" s="4">
        <v>1</v>
      </c>
      <c r="W154" s="6">
        <v>8000</v>
      </c>
      <c r="X154" s="1" t="s">
        <v>1459</v>
      </c>
      <c r="Y154" s="4">
        <v>2000</v>
      </c>
      <c r="Z154" s="6">
        <v>4</v>
      </c>
      <c r="AA154" s="1" t="s">
        <v>2024</v>
      </c>
      <c r="AB154" s="1" t="s">
        <v>1964</v>
      </c>
      <c r="AC154" s="1" t="s">
        <v>1124</v>
      </c>
      <c r="AD154" s="1" t="s">
        <v>1800</v>
      </c>
      <c r="AE154" s="1" t="s">
        <v>1286</v>
      </c>
      <c r="AF154" s="1" t="s">
        <v>1463</v>
      </c>
      <c r="AG154" s="6">
        <v>8000</v>
      </c>
      <c r="AH154" s="6">
        <v>4</v>
      </c>
      <c r="AI154" s="1"/>
      <c r="AJ154" s="1"/>
      <c r="AK154" s="1"/>
      <c r="AL154" s="1" t="s">
        <v>1651</v>
      </c>
      <c r="AM154" s="1" t="s">
        <v>770</v>
      </c>
      <c r="AN154" s="1"/>
      <c r="AO154" s="1" t="s">
        <v>235</v>
      </c>
      <c r="AP154" s="1"/>
      <c r="AQ154" s="1"/>
      <c r="AR154" s="2"/>
      <c r="AS154" s="1"/>
      <c r="AT154" s="1"/>
      <c r="AU154" s="1"/>
      <c r="AV154" s="1" t="s">
        <v>1941</v>
      </c>
      <c r="AW154" s="7">
        <v>44225.643030678366</v>
      </c>
      <c r="AX154" s="1" t="s">
        <v>450</v>
      </c>
      <c r="AY154" s="6">
        <v>8000</v>
      </c>
      <c r="AZ154" s="1"/>
      <c r="BA154" s="5">
        <v>44561</v>
      </c>
      <c r="BB154" s="7">
        <v>44561</v>
      </c>
      <c r="BC154" s="1" t="s">
        <v>1997</v>
      </c>
      <c r="BD154" s="1"/>
      <c r="BE154" s="1"/>
      <c r="BF154" s="1" t="s">
        <v>118</v>
      </c>
    </row>
    <row r="155" spans="1:58">
      <c r="A155" s="4">
        <v>150</v>
      </c>
      <c r="B155" s="2" t="str">
        <f>HYPERLINK("https://my.zakupki.prom.ua/remote/dispatcher/state_purchase_view/22910405", "UA-2021-01-12-000654-a")</f>
        <v>UA-2021-01-12-000654-a</v>
      </c>
      <c r="C155" s="2" t="s">
        <v>1459</v>
      </c>
      <c r="D155" s="1" t="s">
        <v>1820</v>
      </c>
      <c r="E155" s="1" t="s">
        <v>1820</v>
      </c>
      <c r="F155" s="1" t="s">
        <v>1080</v>
      </c>
      <c r="G155" s="1" t="s">
        <v>1364</v>
      </c>
      <c r="H155" s="1" t="s">
        <v>1800</v>
      </c>
      <c r="I155" s="1" t="s">
        <v>1379</v>
      </c>
      <c r="J155" s="1" t="s">
        <v>819</v>
      </c>
      <c r="K155" s="1" t="s">
        <v>1287</v>
      </c>
      <c r="L155" s="1" t="s">
        <v>1216</v>
      </c>
      <c r="M155" s="1" t="s">
        <v>119</v>
      </c>
      <c r="N155" s="1" t="s">
        <v>119</v>
      </c>
      <c r="O155" s="1" t="s">
        <v>119</v>
      </c>
      <c r="P155" s="5">
        <v>44208</v>
      </c>
      <c r="Q155" s="1"/>
      <c r="R155" s="1"/>
      <c r="S155" s="1"/>
      <c r="T155" s="1"/>
      <c r="U155" s="1" t="s">
        <v>1922</v>
      </c>
      <c r="V155" s="4">
        <v>1</v>
      </c>
      <c r="W155" s="6">
        <v>10800</v>
      </c>
      <c r="X155" s="1" t="s">
        <v>1459</v>
      </c>
      <c r="Y155" s="4">
        <v>1</v>
      </c>
      <c r="Z155" s="6">
        <v>10800</v>
      </c>
      <c r="AA155" s="1" t="s">
        <v>1976</v>
      </c>
      <c r="AB155" s="1" t="s">
        <v>1964</v>
      </c>
      <c r="AC155" s="1" t="s">
        <v>1124</v>
      </c>
      <c r="AD155" s="1" t="s">
        <v>1800</v>
      </c>
      <c r="AE155" s="1" t="s">
        <v>1286</v>
      </c>
      <c r="AF155" s="1" t="s">
        <v>1463</v>
      </c>
      <c r="AG155" s="6">
        <v>10800</v>
      </c>
      <c r="AH155" s="6">
        <v>10800</v>
      </c>
      <c r="AI155" s="1"/>
      <c r="AJ155" s="1"/>
      <c r="AK155" s="1"/>
      <c r="AL155" s="1" t="s">
        <v>1752</v>
      </c>
      <c r="AM155" s="1" t="s">
        <v>694</v>
      </c>
      <c r="AN155" s="1"/>
      <c r="AO155" s="1" t="s">
        <v>253</v>
      </c>
      <c r="AP155" s="1"/>
      <c r="AQ155" s="1"/>
      <c r="AR155" s="2"/>
      <c r="AS155" s="1"/>
      <c r="AT155" s="1"/>
      <c r="AU155" s="1"/>
      <c r="AV155" s="1" t="s">
        <v>1941</v>
      </c>
      <c r="AW155" s="7">
        <v>44208.459795781899</v>
      </c>
      <c r="AX155" s="1" t="s">
        <v>683</v>
      </c>
      <c r="AY155" s="6">
        <v>10800</v>
      </c>
      <c r="AZ155" s="1"/>
      <c r="BA155" s="5">
        <v>44561</v>
      </c>
      <c r="BB155" s="7">
        <v>44561</v>
      </c>
      <c r="BC155" s="1" t="s">
        <v>1997</v>
      </c>
      <c r="BD155" s="1"/>
      <c r="BE155" s="1"/>
      <c r="BF155" s="1" t="s">
        <v>118</v>
      </c>
    </row>
    <row r="156" spans="1:58">
      <c r="A156" s="4">
        <v>151</v>
      </c>
      <c r="B156" s="2" t="str">
        <f>HYPERLINK("https://my.zakupki.prom.ua/remote/dispatcher/state_purchase_view/22874450", "UA-2021-01-06-000615-c")</f>
        <v>UA-2021-01-06-000615-c</v>
      </c>
      <c r="C156" s="2" t="s">
        <v>1459</v>
      </c>
      <c r="D156" s="1" t="s">
        <v>1981</v>
      </c>
      <c r="E156" s="1" t="s">
        <v>1982</v>
      </c>
      <c r="F156" s="1" t="s">
        <v>1007</v>
      </c>
      <c r="G156" s="1" t="s">
        <v>1364</v>
      </c>
      <c r="H156" s="1" t="s">
        <v>1800</v>
      </c>
      <c r="I156" s="1" t="s">
        <v>1379</v>
      </c>
      <c r="J156" s="1" t="s">
        <v>819</v>
      </c>
      <c r="K156" s="1" t="s">
        <v>1287</v>
      </c>
      <c r="L156" s="1" t="s">
        <v>1216</v>
      </c>
      <c r="M156" s="1" t="s">
        <v>119</v>
      </c>
      <c r="N156" s="1" t="s">
        <v>119</v>
      </c>
      <c r="O156" s="1" t="s">
        <v>119</v>
      </c>
      <c r="P156" s="5">
        <v>44202</v>
      </c>
      <c r="Q156" s="1"/>
      <c r="R156" s="1"/>
      <c r="S156" s="1"/>
      <c r="T156" s="1"/>
      <c r="U156" s="1" t="s">
        <v>1922</v>
      </c>
      <c r="V156" s="4">
        <v>1</v>
      </c>
      <c r="W156" s="6">
        <v>13032.79</v>
      </c>
      <c r="X156" s="1" t="s">
        <v>1459</v>
      </c>
      <c r="Y156" s="4">
        <v>1</v>
      </c>
      <c r="Z156" s="6">
        <v>13032.79</v>
      </c>
      <c r="AA156" s="1" t="s">
        <v>1976</v>
      </c>
      <c r="AB156" s="1" t="s">
        <v>1964</v>
      </c>
      <c r="AC156" s="1" t="s">
        <v>1124</v>
      </c>
      <c r="AD156" s="1" t="s">
        <v>1800</v>
      </c>
      <c r="AE156" s="1" t="s">
        <v>1286</v>
      </c>
      <c r="AF156" s="1" t="s">
        <v>1463</v>
      </c>
      <c r="AG156" s="6">
        <v>13032.79</v>
      </c>
      <c r="AH156" s="6">
        <v>13032.79</v>
      </c>
      <c r="AI156" s="1"/>
      <c r="AJ156" s="1"/>
      <c r="AK156" s="1"/>
      <c r="AL156" s="1" t="s">
        <v>1897</v>
      </c>
      <c r="AM156" s="1" t="s">
        <v>489</v>
      </c>
      <c r="AN156" s="1"/>
      <c r="AO156" s="1" t="s">
        <v>182</v>
      </c>
      <c r="AP156" s="1"/>
      <c r="AQ156" s="1"/>
      <c r="AR156" s="2"/>
      <c r="AS156" s="1"/>
      <c r="AT156" s="1"/>
      <c r="AU156" s="1"/>
      <c r="AV156" s="1" t="s">
        <v>1941</v>
      </c>
      <c r="AW156" s="7">
        <v>44202.433030542721</v>
      </c>
      <c r="AX156" s="1" t="s">
        <v>912</v>
      </c>
      <c r="AY156" s="6">
        <v>13032.79</v>
      </c>
      <c r="AZ156" s="1"/>
      <c r="BA156" s="5">
        <v>44202</v>
      </c>
      <c r="BB156" s="7">
        <v>44561</v>
      </c>
      <c r="BC156" s="1" t="s">
        <v>1997</v>
      </c>
      <c r="BD156" s="1"/>
      <c r="BE156" s="1"/>
      <c r="BF156" s="1" t="s">
        <v>118</v>
      </c>
    </row>
    <row r="157" spans="1:58">
      <c r="A157" s="4">
        <v>152</v>
      </c>
      <c r="B157" s="2" t="str">
        <f>HYPERLINK("https://my.zakupki.prom.ua/remote/dispatcher/state_purchase_view/14994678", "UA-2020-01-31-001459-a")</f>
        <v>UA-2020-01-31-001459-a</v>
      </c>
      <c r="C157" s="2" t="s">
        <v>1459</v>
      </c>
      <c r="D157" s="1" t="s">
        <v>1436</v>
      </c>
      <c r="E157" s="1" t="s">
        <v>1436</v>
      </c>
      <c r="F157" s="1" t="s">
        <v>1020</v>
      </c>
      <c r="G157" s="1" t="s">
        <v>1346</v>
      </c>
      <c r="H157" s="1" t="s">
        <v>1800</v>
      </c>
      <c r="I157" s="1" t="s">
        <v>1379</v>
      </c>
      <c r="J157" s="1" t="s">
        <v>819</v>
      </c>
      <c r="K157" s="1" t="s">
        <v>1287</v>
      </c>
      <c r="L157" s="1" t="s">
        <v>1915</v>
      </c>
      <c r="M157" s="1" t="s">
        <v>119</v>
      </c>
      <c r="N157" s="1" t="s">
        <v>119</v>
      </c>
      <c r="O157" s="1" t="s">
        <v>119</v>
      </c>
      <c r="P157" s="5">
        <v>43861</v>
      </c>
      <c r="Q157" s="5">
        <v>43861</v>
      </c>
      <c r="R157" s="5">
        <v>43866</v>
      </c>
      <c r="S157" s="5">
        <v>43866</v>
      </c>
      <c r="T157" s="5">
        <v>43868</v>
      </c>
      <c r="U157" s="1" t="s">
        <v>1923</v>
      </c>
      <c r="V157" s="4">
        <v>1</v>
      </c>
      <c r="W157" s="6">
        <v>72882.95</v>
      </c>
      <c r="X157" s="1" t="s">
        <v>1459</v>
      </c>
      <c r="Y157" s="4">
        <v>1</v>
      </c>
      <c r="Z157" s="6">
        <v>72882.95</v>
      </c>
      <c r="AA157" s="1" t="s">
        <v>1976</v>
      </c>
      <c r="AB157" s="6">
        <v>364.41</v>
      </c>
      <c r="AC157" s="1" t="s">
        <v>1124</v>
      </c>
      <c r="AD157" s="1" t="s">
        <v>1800</v>
      </c>
      <c r="AE157" s="1" t="s">
        <v>1286</v>
      </c>
      <c r="AF157" s="1" t="s">
        <v>1463</v>
      </c>
      <c r="AG157" s="6">
        <v>72882.95</v>
      </c>
      <c r="AH157" s="6">
        <v>72882.95</v>
      </c>
      <c r="AI157" s="1" t="s">
        <v>1323</v>
      </c>
      <c r="AJ157" s="1"/>
      <c r="AK157" s="1"/>
      <c r="AL157" s="1" t="s">
        <v>1323</v>
      </c>
      <c r="AM157" s="1" t="s">
        <v>168</v>
      </c>
      <c r="AN157" s="1" t="s">
        <v>1039</v>
      </c>
      <c r="AO157" s="1" t="s">
        <v>35</v>
      </c>
      <c r="AP157" s="1"/>
      <c r="AQ157" s="1"/>
      <c r="AR157" s="2"/>
      <c r="AS157" s="7">
        <v>43871.435866663727</v>
      </c>
      <c r="AT157" s="5">
        <v>43873</v>
      </c>
      <c r="AU157" s="5">
        <v>43896</v>
      </c>
      <c r="AV157" s="1" t="s">
        <v>1941</v>
      </c>
      <c r="AW157" s="7">
        <v>43875.5935553534</v>
      </c>
      <c r="AX157" s="1" t="s">
        <v>228</v>
      </c>
      <c r="AY157" s="6">
        <v>72882.95</v>
      </c>
      <c r="AZ157" s="1"/>
      <c r="BA157" s="5">
        <v>44196</v>
      </c>
      <c r="BB157" s="7">
        <v>44196</v>
      </c>
      <c r="BC157" s="1" t="s">
        <v>1997</v>
      </c>
      <c r="BD157" s="1"/>
      <c r="BE157" s="1"/>
      <c r="BF157" s="1" t="s">
        <v>169</v>
      </c>
    </row>
    <row r="158" spans="1:58">
      <c r="A158" s="4">
        <v>153</v>
      </c>
      <c r="B158" s="2" t="str">
        <f>HYPERLINK("https://my.zakupki.prom.ua/remote/dispatcher/state_purchase_view/15635227", "UA-2020-03-05-002333-b")</f>
        <v>UA-2020-03-05-002333-b</v>
      </c>
      <c r="C158" s="2" t="s">
        <v>1459</v>
      </c>
      <c r="D158" s="1" t="s">
        <v>1223</v>
      </c>
      <c r="E158" s="1" t="s">
        <v>1223</v>
      </c>
      <c r="F158" s="1" t="s">
        <v>1065</v>
      </c>
      <c r="G158" s="1" t="s">
        <v>1364</v>
      </c>
      <c r="H158" s="1" t="s">
        <v>1800</v>
      </c>
      <c r="I158" s="1" t="s">
        <v>1379</v>
      </c>
      <c r="J158" s="1" t="s">
        <v>819</v>
      </c>
      <c r="K158" s="1" t="s">
        <v>1287</v>
      </c>
      <c r="L158" s="1" t="s">
        <v>1216</v>
      </c>
      <c r="M158" s="1" t="s">
        <v>119</v>
      </c>
      <c r="N158" s="1" t="s">
        <v>119</v>
      </c>
      <c r="O158" s="1" t="s">
        <v>119</v>
      </c>
      <c r="P158" s="5">
        <v>43895</v>
      </c>
      <c r="Q158" s="1"/>
      <c r="R158" s="1"/>
      <c r="S158" s="1"/>
      <c r="T158" s="1"/>
      <c r="U158" s="1" t="s">
        <v>1922</v>
      </c>
      <c r="V158" s="4">
        <v>1</v>
      </c>
      <c r="W158" s="6">
        <v>300</v>
      </c>
      <c r="X158" s="1" t="s">
        <v>1459</v>
      </c>
      <c r="Y158" s="4">
        <v>1</v>
      </c>
      <c r="Z158" s="6">
        <v>300</v>
      </c>
      <c r="AA158" s="1" t="s">
        <v>1976</v>
      </c>
      <c r="AB158" s="1" t="s">
        <v>1964</v>
      </c>
      <c r="AC158" s="1" t="s">
        <v>1124</v>
      </c>
      <c r="AD158" s="1" t="s">
        <v>1463</v>
      </c>
      <c r="AE158" s="1" t="s">
        <v>1286</v>
      </c>
      <c r="AF158" s="1" t="s">
        <v>1463</v>
      </c>
      <c r="AG158" s="6">
        <v>300</v>
      </c>
      <c r="AH158" s="6">
        <v>300</v>
      </c>
      <c r="AI158" s="1"/>
      <c r="AJ158" s="1"/>
      <c r="AK158" s="1"/>
      <c r="AL158" s="1" t="s">
        <v>1914</v>
      </c>
      <c r="AM158" s="1" t="s">
        <v>543</v>
      </c>
      <c r="AN158" s="1"/>
      <c r="AO158" s="1" t="s">
        <v>202</v>
      </c>
      <c r="AP158" s="1"/>
      <c r="AQ158" s="1"/>
      <c r="AR158" s="2"/>
      <c r="AS158" s="1"/>
      <c r="AT158" s="1"/>
      <c r="AU158" s="1"/>
      <c r="AV158" s="1" t="s">
        <v>1941</v>
      </c>
      <c r="AW158" s="7">
        <v>43895.603803291531</v>
      </c>
      <c r="AX158" s="1" t="s">
        <v>490</v>
      </c>
      <c r="AY158" s="6">
        <v>300</v>
      </c>
      <c r="AZ158" s="1"/>
      <c r="BA158" s="5">
        <v>44196</v>
      </c>
      <c r="BB158" s="7">
        <v>44196</v>
      </c>
      <c r="BC158" s="1" t="s">
        <v>1997</v>
      </c>
      <c r="BD158" s="1"/>
      <c r="BE158" s="1"/>
      <c r="BF158" s="1" t="s">
        <v>118</v>
      </c>
    </row>
    <row r="159" spans="1:58">
      <c r="A159" s="4">
        <v>154</v>
      </c>
      <c r="B159" s="2" t="str">
        <f>HYPERLINK("https://my.zakupki.prom.ua/remote/dispatcher/state_purchase_view/25507036", "UA-2021-04-05-000195-a")</f>
        <v>UA-2021-04-05-000195-a</v>
      </c>
      <c r="C159" s="2" t="s">
        <v>1459</v>
      </c>
      <c r="D159" s="1" t="s">
        <v>1589</v>
      </c>
      <c r="E159" s="1" t="s">
        <v>1589</v>
      </c>
      <c r="F159" s="1" t="s">
        <v>1047</v>
      </c>
      <c r="G159" s="1" t="s">
        <v>1364</v>
      </c>
      <c r="H159" s="1" t="s">
        <v>1800</v>
      </c>
      <c r="I159" s="1" t="s">
        <v>1379</v>
      </c>
      <c r="J159" s="1" t="s">
        <v>819</v>
      </c>
      <c r="K159" s="1" t="s">
        <v>1287</v>
      </c>
      <c r="L159" s="1" t="s">
        <v>1216</v>
      </c>
      <c r="M159" s="1" t="s">
        <v>119</v>
      </c>
      <c r="N159" s="1" t="s">
        <v>119</v>
      </c>
      <c r="O159" s="1" t="s">
        <v>119</v>
      </c>
      <c r="P159" s="5">
        <v>44291</v>
      </c>
      <c r="Q159" s="1"/>
      <c r="R159" s="1"/>
      <c r="S159" s="1"/>
      <c r="T159" s="1"/>
      <c r="U159" s="1" t="s">
        <v>1922</v>
      </c>
      <c r="V159" s="4">
        <v>1</v>
      </c>
      <c r="W159" s="6">
        <v>19116</v>
      </c>
      <c r="X159" s="1" t="s">
        <v>1459</v>
      </c>
      <c r="Y159" s="4">
        <v>1</v>
      </c>
      <c r="Z159" s="6">
        <v>19116</v>
      </c>
      <c r="AA159" s="1" t="s">
        <v>1976</v>
      </c>
      <c r="AB159" s="1" t="s">
        <v>1964</v>
      </c>
      <c r="AC159" s="1" t="s">
        <v>1124</v>
      </c>
      <c r="AD159" s="1" t="s">
        <v>1800</v>
      </c>
      <c r="AE159" s="1" t="s">
        <v>1286</v>
      </c>
      <c r="AF159" s="1" t="s">
        <v>1463</v>
      </c>
      <c r="AG159" s="6">
        <v>19116</v>
      </c>
      <c r="AH159" s="6">
        <v>19116</v>
      </c>
      <c r="AI159" s="1"/>
      <c r="AJ159" s="1"/>
      <c r="AK159" s="1"/>
      <c r="AL159" s="1" t="s">
        <v>1781</v>
      </c>
      <c r="AM159" s="1" t="s">
        <v>957</v>
      </c>
      <c r="AN159" s="1"/>
      <c r="AO159" s="1" t="s">
        <v>78</v>
      </c>
      <c r="AP159" s="1"/>
      <c r="AQ159" s="1"/>
      <c r="AR159" s="2"/>
      <c r="AS159" s="1"/>
      <c r="AT159" s="1"/>
      <c r="AU159" s="1"/>
      <c r="AV159" s="1" t="s">
        <v>1941</v>
      </c>
      <c r="AW159" s="7">
        <v>44291.364258577327</v>
      </c>
      <c r="AX159" s="1" t="s">
        <v>1656</v>
      </c>
      <c r="AY159" s="6">
        <v>19116</v>
      </c>
      <c r="AZ159" s="1"/>
      <c r="BA159" s="5">
        <v>44561</v>
      </c>
      <c r="BB159" s="7">
        <v>44561</v>
      </c>
      <c r="BC159" s="1" t="s">
        <v>1997</v>
      </c>
      <c r="BD159" s="1"/>
      <c r="BE159" s="1"/>
      <c r="BF159" s="1" t="s">
        <v>118</v>
      </c>
    </row>
    <row r="160" spans="1:58">
      <c r="A160" s="4">
        <v>155</v>
      </c>
      <c r="B160" s="2" t="str">
        <f>HYPERLINK("https://my.zakupki.prom.ua/remote/dispatcher/state_purchase_view/26005999", "UA-2021-04-21-001529-c")</f>
        <v>UA-2021-04-21-001529-c</v>
      </c>
      <c r="C160" s="2" t="s">
        <v>1459</v>
      </c>
      <c r="D160" s="1" t="s">
        <v>1517</v>
      </c>
      <c r="E160" s="1" t="s">
        <v>1973</v>
      </c>
      <c r="F160" s="1" t="s">
        <v>1080</v>
      </c>
      <c r="G160" s="1" t="s">
        <v>1364</v>
      </c>
      <c r="H160" s="1" t="s">
        <v>1800</v>
      </c>
      <c r="I160" s="1" t="s">
        <v>1379</v>
      </c>
      <c r="J160" s="1" t="s">
        <v>819</v>
      </c>
      <c r="K160" s="1" t="s">
        <v>1287</v>
      </c>
      <c r="L160" s="1" t="s">
        <v>1216</v>
      </c>
      <c r="M160" s="1" t="s">
        <v>119</v>
      </c>
      <c r="N160" s="1" t="s">
        <v>119</v>
      </c>
      <c r="O160" s="1" t="s">
        <v>119</v>
      </c>
      <c r="P160" s="5">
        <v>44307</v>
      </c>
      <c r="Q160" s="1"/>
      <c r="R160" s="1"/>
      <c r="S160" s="1"/>
      <c r="T160" s="1"/>
      <c r="U160" s="1" t="s">
        <v>1922</v>
      </c>
      <c r="V160" s="4">
        <v>1</v>
      </c>
      <c r="W160" s="6">
        <v>4800</v>
      </c>
      <c r="X160" s="1" t="s">
        <v>1459</v>
      </c>
      <c r="Y160" s="4">
        <v>1</v>
      </c>
      <c r="Z160" s="6">
        <v>4800</v>
      </c>
      <c r="AA160" s="1" t="s">
        <v>1976</v>
      </c>
      <c r="AB160" s="1" t="s">
        <v>1964</v>
      </c>
      <c r="AC160" s="1" t="s">
        <v>1124</v>
      </c>
      <c r="AD160" s="1" t="s">
        <v>1800</v>
      </c>
      <c r="AE160" s="1" t="s">
        <v>1286</v>
      </c>
      <c r="AF160" s="1" t="s">
        <v>1463</v>
      </c>
      <c r="AG160" s="6">
        <v>4800</v>
      </c>
      <c r="AH160" s="6">
        <v>4800</v>
      </c>
      <c r="AI160" s="1"/>
      <c r="AJ160" s="1"/>
      <c r="AK160" s="1"/>
      <c r="AL160" s="1" t="s">
        <v>1752</v>
      </c>
      <c r="AM160" s="1" t="s">
        <v>694</v>
      </c>
      <c r="AN160" s="1"/>
      <c r="AO160" s="1" t="s">
        <v>1062</v>
      </c>
      <c r="AP160" s="1"/>
      <c r="AQ160" s="1"/>
      <c r="AR160" s="2"/>
      <c r="AS160" s="1"/>
      <c r="AT160" s="1"/>
      <c r="AU160" s="1"/>
      <c r="AV160" s="1" t="s">
        <v>1941</v>
      </c>
      <c r="AW160" s="7">
        <v>44307.417974937292</v>
      </c>
      <c r="AX160" s="1" t="s">
        <v>1247</v>
      </c>
      <c r="AY160" s="6">
        <v>4800</v>
      </c>
      <c r="AZ160" s="1"/>
      <c r="BA160" s="5">
        <v>44561</v>
      </c>
      <c r="BB160" s="7">
        <v>44561</v>
      </c>
      <c r="BC160" s="1" t="s">
        <v>1997</v>
      </c>
      <c r="BD160" s="1"/>
      <c r="BE160" s="1"/>
      <c r="BF160" s="1" t="s">
        <v>118</v>
      </c>
    </row>
    <row r="161" spans="1:58">
      <c r="A161" s="4">
        <v>156</v>
      </c>
      <c r="B161" s="2" t="str">
        <f>HYPERLINK("https://my.zakupki.prom.ua/remote/dispatcher/state_purchase_view/25107503", "UA-2021-03-22-001344-a")</f>
        <v>UA-2021-03-22-001344-a</v>
      </c>
      <c r="C161" s="2" t="s">
        <v>1459</v>
      </c>
      <c r="D161" s="1" t="s">
        <v>1574</v>
      </c>
      <c r="E161" s="1" t="s">
        <v>1574</v>
      </c>
      <c r="F161" s="1" t="s">
        <v>1020</v>
      </c>
      <c r="G161" s="1" t="s">
        <v>1364</v>
      </c>
      <c r="H161" s="1" t="s">
        <v>1800</v>
      </c>
      <c r="I161" s="1" t="s">
        <v>1379</v>
      </c>
      <c r="J161" s="1" t="s">
        <v>819</v>
      </c>
      <c r="K161" s="1" t="s">
        <v>1287</v>
      </c>
      <c r="L161" s="1" t="s">
        <v>1216</v>
      </c>
      <c r="M161" s="1" t="s">
        <v>119</v>
      </c>
      <c r="N161" s="1" t="s">
        <v>119</v>
      </c>
      <c r="O161" s="1" t="s">
        <v>119</v>
      </c>
      <c r="P161" s="5">
        <v>44277</v>
      </c>
      <c r="Q161" s="1"/>
      <c r="R161" s="1"/>
      <c r="S161" s="1"/>
      <c r="T161" s="1"/>
      <c r="U161" s="1" t="s">
        <v>1922</v>
      </c>
      <c r="V161" s="4">
        <v>1</v>
      </c>
      <c r="W161" s="6">
        <v>40</v>
      </c>
      <c r="X161" s="1" t="s">
        <v>1459</v>
      </c>
      <c r="Y161" s="4">
        <v>1</v>
      </c>
      <c r="Z161" s="6">
        <v>40</v>
      </c>
      <c r="AA161" s="1" t="s">
        <v>1976</v>
      </c>
      <c r="AB161" s="1" t="s">
        <v>1964</v>
      </c>
      <c r="AC161" s="1" t="s">
        <v>1124</v>
      </c>
      <c r="AD161" s="1" t="s">
        <v>1800</v>
      </c>
      <c r="AE161" s="1" t="s">
        <v>1286</v>
      </c>
      <c r="AF161" s="1" t="s">
        <v>1463</v>
      </c>
      <c r="AG161" s="6">
        <v>40</v>
      </c>
      <c r="AH161" s="6">
        <v>40</v>
      </c>
      <c r="AI161" s="1"/>
      <c r="AJ161" s="1"/>
      <c r="AK161" s="1"/>
      <c r="AL161" s="1" t="s">
        <v>1383</v>
      </c>
      <c r="AM161" s="1" t="s">
        <v>156</v>
      </c>
      <c r="AN161" s="1"/>
      <c r="AO161" s="1" t="s">
        <v>208</v>
      </c>
      <c r="AP161" s="1"/>
      <c r="AQ161" s="1"/>
      <c r="AR161" s="2"/>
      <c r="AS161" s="1"/>
      <c r="AT161" s="1"/>
      <c r="AU161" s="1"/>
      <c r="AV161" s="1" t="s">
        <v>1941</v>
      </c>
      <c r="AW161" s="7">
        <v>44277.415632083597</v>
      </c>
      <c r="AX161" s="1" t="s">
        <v>387</v>
      </c>
      <c r="AY161" s="6">
        <v>40</v>
      </c>
      <c r="AZ161" s="1"/>
      <c r="BA161" s="5">
        <v>44561</v>
      </c>
      <c r="BB161" s="7">
        <v>44273</v>
      </c>
      <c r="BC161" s="1" t="s">
        <v>1997</v>
      </c>
      <c r="BD161" s="1"/>
      <c r="BE161" s="1"/>
      <c r="BF161" s="1" t="s">
        <v>118</v>
      </c>
    </row>
    <row r="162" spans="1:58">
      <c r="A162" s="4">
        <v>157</v>
      </c>
      <c r="B162" s="2" t="str">
        <f>HYPERLINK("https://my.zakupki.prom.ua/remote/dispatcher/state_purchase_view/25217729", "UA-2021-03-25-000758-c")</f>
        <v>UA-2021-03-25-000758-c</v>
      </c>
      <c r="C162" s="2" t="s">
        <v>1459</v>
      </c>
      <c r="D162" s="1" t="s">
        <v>1563</v>
      </c>
      <c r="E162" s="1" t="s">
        <v>1990</v>
      </c>
      <c r="F162" s="1" t="s">
        <v>1026</v>
      </c>
      <c r="G162" s="1" t="s">
        <v>1364</v>
      </c>
      <c r="H162" s="1" t="s">
        <v>1800</v>
      </c>
      <c r="I162" s="1" t="s">
        <v>1379</v>
      </c>
      <c r="J162" s="1" t="s">
        <v>819</v>
      </c>
      <c r="K162" s="1" t="s">
        <v>1287</v>
      </c>
      <c r="L162" s="1" t="s">
        <v>1216</v>
      </c>
      <c r="M162" s="1" t="s">
        <v>119</v>
      </c>
      <c r="N162" s="1" t="s">
        <v>119</v>
      </c>
      <c r="O162" s="1" t="s">
        <v>119</v>
      </c>
      <c r="P162" s="5">
        <v>44280</v>
      </c>
      <c r="Q162" s="1"/>
      <c r="R162" s="1"/>
      <c r="S162" s="1"/>
      <c r="T162" s="1"/>
      <c r="U162" s="1" t="s">
        <v>1922</v>
      </c>
      <c r="V162" s="4">
        <v>1</v>
      </c>
      <c r="W162" s="6">
        <v>2000</v>
      </c>
      <c r="X162" s="1" t="s">
        <v>1459</v>
      </c>
      <c r="Y162" s="4">
        <v>1</v>
      </c>
      <c r="Z162" s="6">
        <v>2000</v>
      </c>
      <c r="AA162" s="1" t="s">
        <v>1976</v>
      </c>
      <c r="AB162" s="1" t="s">
        <v>1964</v>
      </c>
      <c r="AC162" s="1" t="s">
        <v>1124</v>
      </c>
      <c r="AD162" s="1" t="s">
        <v>1800</v>
      </c>
      <c r="AE162" s="1" t="s">
        <v>1286</v>
      </c>
      <c r="AF162" s="1" t="s">
        <v>1463</v>
      </c>
      <c r="AG162" s="6">
        <v>2000</v>
      </c>
      <c r="AH162" s="6">
        <v>2000</v>
      </c>
      <c r="AI162" s="1"/>
      <c r="AJ162" s="1"/>
      <c r="AK162" s="1"/>
      <c r="AL162" s="1" t="s">
        <v>1505</v>
      </c>
      <c r="AM162" s="1" t="s">
        <v>814</v>
      </c>
      <c r="AN162" s="1"/>
      <c r="AO162" s="1" t="s">
        <v>176</v>
      </c>
      <c r="AP162" s="1"/>
      <c r="AQ162" s="1"/>
      <c r="AR162" s="2"/>
      <c r="AS162" s="1"/>
      <c r="AT162" s="1"/>
      <c r="AU162" s="1"/>
      <c r="AV162" s="1" t="s">
        <v>1941</v>
      </c>
      <c r="AW162" s="7">
        <v>44280.402918654399</v>
      </c>
      <c r="AX162" s="1" t="s">
        <v>496</v>
      </c>
      <c r="AY162" s="6">
        <v>2000</v>
      </c>
      <c r="AZ162" s="1"/>
      <c r="BA162" s="5">
        <v>44288</v>
      </c>
      <c r="BB162" s="7">
        <v>44561</v>
      </c>
      <c r="BC162" s="1" t="s">
        <v>1997</v>
      </c>
      <c r="BD162" s="1"/>
      <c r="BE162" s="1"/>
      <c r="BF162" s="1" t="s">
        <v>118</v>
      </c>
    </row>
    <row r="163" spans="1:58">
      <c r="A163" s="4">
        <v>158</v>
      </c>
      <c r="B163" s="2" t="str">
        <f>HYPERLINK("https://my.zakupki.prom.ua/remote/dispatcher/state_purchase_view/25752376", "UA-2021-04-13-000904-c")</f>
        <v>UA-2021-04-13-000904-c</v>
      </c>
      <c r="C163" s="2" t="s">
        <v>1459</v>
      </c>
      <c r="D163" s="1" t="s">
        <v>1221</v>
      </c>
      <c r="E163" s="1" t="s">
        <v>1810</v>
      </c>
      <c r="F163" s="1" t="s">
        <v>704</v>
      </c>
      <c r="G163" s="1" t="s">
        <v>1280</v>
      </c>
      <c r="H163" s="1" t="s">
        <v>1800</v>
      </c>
      <c r="I163" s="1" t="s">
        <v>1379</v>
      </c>
      <c r="J163" s="1" t="s">
        <v>819</v>
      </c>
      <c r="K163" s="1" t="s">
        <v>1287</v>
      </c>
      <c r="L163" s="1" t="s">
        <v>1216</v>
      </c>
      <c r="M163" s="1" t="s">
        <v>119</v>
      </c>
      <c r="N163" s="1" t="s">
        <v>119</v>
      </c>
      <c r="O163" s="1" t="s">
        <v>119</v>
      </c>
      <c r="P163" s="5">
        <v>44299</v>
      </c>
      <c r="Q163" s="5">
        <v>44299</v>
      </c>
      <c r="R163" s="5">
        <v>44306</v>
      </c>
      <c r="S163" s="5">
        <v>44299</v>
      </c>
      <c r="T163" s="5">
        <v>44316</v>
      </c>
      <c r="U163" s="7">
        <v>44321.659201388888</v>
      </c>
      <c r="V163" s="4">
        <v>2</v>
      </c>
      <c r="W163" s="6">
        <v>446400</v>
      </c>
      <c r="X163" s="1" t="s">
        <v>1459</v>
      </c>
      <c r="Y163" s="1" t="s">
        <v>1956</v>
      </c>
      <c r="Z163" s="1" t="s">
        <v>1956</v>
      </c>
      <c r="AA163" s="1" t="s">
        <v>1956</v>
      </c>
      <c r="AB163" s="6">
        <v>2232</v>
      </c>
      <c r="AC163" s="1" t="s">
        <v>1124</v>
      </c>
      <c r="AD163" s="1" t="s">
        <v>1800</v>
      </c>
      <c r="AE163" s="1" t="s">
        <v>1286</v>
      </c>
      <c r="AF163" s="1" t="s">
        <v>1463</v>
      </c>
      <c r="AG163" s="6">
        <v>446398</v>
      </c>
      <c r="AH163" s="1" t="s">
        <v>1956</v>
      </c>
      <c r="AI163" s="1" t="s">
        <v>1865</v>
      </c>
      <c r="AJ163" s="6">
        <v>2</v>
      </c>
      <c r="AK163" s="6">
        <v>4.4802867383512545E-6</v>
      </c>
      <c r="AL163" s="1" t="s">
        <v>1865</v>
      </c>
      <c r="AM163" s="1" t="s">
        <v>581</v>
      </c>
      <c r="AN163" s="1" t="s">
        <v>1136</v>
      </c>
      <c r="AO163" s="1" t="s">
        <v>99</v>
      </c>
      <c r="AP163" s="6">
        <v>2</v>
      </c>
      <c r="AQ163" s="6">
        <v>4.4802867383512545E-6</v>
      </c>
      <c r="AR163" s="2" t="str">
        <f>HYPERLINK("https://auction.openprocurement.org/tenders/34943092fabd4340a3e09854dce067f1")</f>
        <v>https://auction.openprocurement.org/tenders/34943092fabd4340a3e09854dce067f1</v>
      </c>
      <c r="AS163" s="7">
        <v>44322.518253282557</v>
      </c>
      <c r="AT163" s="5">
        <v>44333</v>
      </c>
      <c r="AU163" s="5">
        <v>44343</v>
      </c>
      <c r="AV163" s="1" t="s">
        <v>1941</v>
      </c>
      <c r="AW163" s="7">
        <v>44336.56549704654</v>
      </c>
      <c r="AX163" s="1" t="s">
        <v>415</v>
      </c>
      <c r="AY163" s="6">
        <v>446398</v>
      </c>
      <c r="AZ163" s="1"/>
      <c r="BA163" s="5">
        <v>44561</v>
      </c>
      <c r="BB163" s="7">
        <v>44561</v>
      </c>
      <c r="BC163" s="1" t="s">
        <v>1997</v>
      </c>
      <c r="BD163" s="1"/>
      <c r="BE163" s="1"/>
      <c r="BF163" s="1" t="s">
        <v>586</v>
      </c>
    </row>
    <row r="164" spans="1:58">
      <c r="A164" s="4">
        <v>159</v>
      </c>
      <c r="B164" s="2" t="str">
        <f>HYPERLINK("https://my.zakupki.prom.ua/remote/dispatcher/state_purchase_view/26754888", "UA-2021-05-21-001443-b")</f>
        <v>UA-2021-05-21-001443-b</v>
      </c>
      <c r="C164" s="2" t="s">
        <v>1459</v>
      </c>
      <c r="D164" s="1" t="s">
        <v>1671</v>
      </c>
      <c r="E164" s="1" t="s">
        <v>1120</v>
      </c>
      <c r="F164" s="1" t="s">
        <v>364</v>
      </c>
      <c r="G164" s="1" t="s">
        <v>1280</v>
      </c>
      <c r="H164" s="1" t="s">
        <v>1800</v>
      </c>
      <c r="I164" s="1" t="s">
        <v>1379</v>
      </c>
      <c r="J164" s="1" t="s">
        <v>819</v>
      </c>
      <c r="K164" s="1" t="s">
        <v>1287</v>
      </c>
      <c r="L164" s="1" t="s">
        <v>1216</v>
      </c>
      <c r="M164" s="1" t="s">
        <v>119</v>
      </c>
      <c r="N164" s="1" t="s">
        <v>119</v>
      </c>
      <c r="O164" s="1" t="s">
        <v>317</v>
      </c>
      <c r="P164" s="5">
        <v>44337</v>
      </c>
      <c r="Q164" s="5">
        <v>44337</v>
      </c>
      <c r="R164" s="5">
        <v>44344</v>
      </c>
      <c r="S164" s="5">
        <v>44337</v>
      </c>
      <c r="T164" s="5">
        <v>44354</v>
      </c>
      <c r="U164" s="7">
        <v>44355.50068287037</v>
      </c>
      <c r="V164" s="4">
        <v>3</v>
      </c>
      <c r="W164" s="6">
        <v>636505</v>
      </c>
      <c r="X164" s="1" t="s">
        <v>1459</v>
      </c>
      <c r="Y164" s="1" t="s">
        <v>1956</v>
      </c>
      <c r="Z164" s="1" t="s">
        <v>1956</v>
      </c>
      <c r="AA164" s="1" t="s">
        <v>1956</v>
      </c>
      <c r="AB164" s="6">
        <v>3182.53</v>
      </c>
      <c r="AC164" s="1" t="s">
        <v>1124</v>
      </c>
      <c r="AD164" s="1" t="s">
        <v>1800</v>
      </c>
      <c r="AE164" s="1" t="s">
        <v>1286</v>
      </c>
      <c r="AF164" s="1" t="s">
        <v>1463</v>
      </c>
      <c r="AG164" s="6">
        <v>582750</v>
      </c>
      <c r="AH164" s="1" t="s">
        <v>1956</v>
      </c>
      <c r="AI164" s="1" t="s">
        <v>1703</v>
      </c>
      <c r="AJ164" s="6">
        <v>53755</v>
      </c>
      <c r="AK164" s="6">
        <v>8.4453382141538552E-2</v>
      </c>
      <c r="AL164" s="1"/>
      <c r="AM164" s="1"/>
      <c r="AN164" s="1"/>
      <c r="AO164" s="1"/>
      <c r="AP164" s="1"/>
      <c r="AQ164" s="1"/>
      <c r="AR164" s="2" t="str">
        <f>HYPERLINK("https://auction.openprocurement.org/tenders/444b24436e1749e797af040f63b62016")</f>
        <v>https://auction.openprocurement.org/tenders/444b24436e1749e797af040f63b62016</v>
      </c>
      <c r="AS164" s="7">
        <v>44356.540869983241</v>
      </c>
      <c r="AT164" s="1"/>
      <c r="AU164" s="1"/>
      <c r="AV164" s="1" t="s">
        <v>1942</v>
      </c>
      <c r="AW164" s="7">
        <v>44367.002081283877</v>
      </c>
      <c r="AX164" s="1"/>
      <c r="AY164" s="1"/>
      <c r="AZ164" s="1"/>
      <c r="BA164" s="5">
        <v>44561</v>
      </c>
      <c r="BB164" s="1"/>
      <c r="BC164" s="1"/>
      <c r="BD164" s="1"/>
      <c r="BE164" s="1"/>
      <c r="BF164" s="1" t="s">
        <v>917</v>
      </c>
    </row>
    <row r="165" spans="1:58">
      <c r="A165" s="4">
        <v>160</v>
      </c>
      <c r="B165" s="2" t="str">
        <f>HYPERLINK("https://my.zakupki.prom.ua/remote/dispatcher/state_purchase_view/8987172", "UA-2018-11-21-003162-c")</f>
        <v>UA-2018-11-21-003162-c</v>
      </c>
      <c r="C165" s="2" t="s">
        <v>1459</v>
      </c>
      <c r="D165" s="1" t="s">
        <v>1486</v>
      </c>
      <c r="E165" s="1" t="s">
        <v>1487</v>
      </c>
      <c r="F165" s="1" t="s">
        <v>294</v>
      </c>
      <c r="G165" s="1" t="s">
        <v>1514</v>
      </c>
      <c r="H165" s="1" t="s">
        <v>1800</v>
      </c>
      <c r="I165" s="1" t="s">
        <v>1379</v>
      </c>
      <c r="J165" s="1" t="s">
        <v>819</v>
      </c>
      <c r="K165" s="1" t="s">
        <v>1287</v>
      </c>
      <c r="L165" s="1" t="s">
        <v>1224</v>
      </c>
      <c r="M165" s="1" t="s">
        <v>119</v>
      </c>
      <c r="N165" s="1" t="s">
        <v>119</v>
      </c>
      <c r="O165" s="1" t="s">
        <v>119</v>
      </c>
      <c r="P165" s="5">
        <v>43425</v>
      </c>
      <c r="Q165" s="1"/>
      <c r="R165" s="1"/>
      <c r="S165" s="1"/>
      <c r="T165" s="1"/>
      <c r="U165" s="1" t="s">
        <v>1922</v>
      </c>
      <c r="V165" s="4">
        <v>1</v>
      </c>
      <c r="W165" s="6">
        <v>527591.93999999994</v>
      </c>
      <c r="X165" s="1" t="s">
        <v>1459</v>
      </c>
      <c r="Y165" s="4">
        <v>391</v>
      </c>
      <c r="Z165" s="6">
        <v>1349.34</v>
      </c>
      <c r="AA165" s="1" t="s">
        <v>1933</v>
      </c>
      <c r="AB165" s="1" t="s">
        <v>1964</v>
      </c>
      <c r="AC165" s="1" t="s">
        <v>1124</v>
      </c>
      <c r="AD165" s="1" t="s">
        <v>1800</v>
      </c>
      <c r="AE165" s="1" t="s">
        <v>1286</v>
      </c>
      <c r="AF165" s="1" t="s">
        <v>1463</v>
      </c>
      <c r="AG165" s="6">
        <v>527591.93999999994</v>
      </c>
      <c r="AH165" s="6">
        <v>1349.34</v>
      </c>
      <c r="AI165" s="1"/>
      <c r="AJ165" s="1"/>
      <c r="AK165" s="1"/>
      <c r="AL165" s="1" t="s">
        <v>1385</v>
      </c>
      <c r="AM165" s="1" t="s">
        <v>696</v>
      </c>
      <c r="AN165" s="1"/>
      <c r="AO165" s="1" t="s">
        <v>37</v>
      </c>
      <c r="AP165" s="1"/>
      <c r="AQ165" s="1"/>
      <c r="AR165" s="2"/>
      <c r="AS165" s="1"/>
      <c r="AT165" s="5">
        <v>43431</v>
      </c>
      <c r="AU165" s="5">
        <v>43446</v>
      </c>
      <c r="AV165" s="1" t="s">
        <v>1941</v>
      </c>
      <c r="AW165" s="7">
        <v>43441.378068967606</v>
      </c>
      <c r="AX165" s="1" t="s">
        <v>271</v>
      </c>
      <c r="AY165" s="6">
        <v>527591.93999999994</v>
      </c>
      <c r="AZ165" s="1"/>
      <c r="BA165" s="5">
        <v>43465</v>
      </c>
      <c r="BB165" s="7">
        <v>43465</v>
      </c>
      <c r="BC165" s="1" t="s">
        <v>1997</v>
      </c>
      <c r="BD165" s="1"/>
      <c r="BE165" s="1"/>
      <c r="BF165" s="1" t="s">
        <v>118</v>
      </c>
    </row>
    <row r="166" spans="1:58">
      <c r="A166" s="4">
        <v>161</v>
      </c>
      <c r="B166" s="2" t="str">
        <f>HYPERLINK("https://my.zakupki.prom.ua/remote/dispatcher/state_purchase_view/13491559", "UA-2019-11-08-001733-b")</f>
        <v>UA-2019-11-08-001733-b</v>
      </c>
      <c r="C166" s="2" t="s">
        <v>1459</v>
      </c>
      <c r="D166" s="1" t="s">
        <v>1556</v>
      </c>
      <c r="E166" s="1" t="s">
        <v>1555</v>
      </c>
      <c r="F166" s="1" t="s">
        <v>1058</v>
      </c>
      <c r="G166" s="1" t="s">
        <v>1364</v>
      </c>
      <c r="H166" s="1" t="s">
        <v>1800</v>
      </c>
      <c r="I166" s="1" t="s">
        <v>1379</v>
      </c>
      <c r="J166" s="1" t="s">
        <v>819</v>
      </c>
      <c r="K166" s="1" t="s">
        <v>1287</v>
      </c>
      <c r="L166" s="1" t="s">
        <v>1915</v>
      </c>
      <c r="M166" s="1" t="s">
        <v>119</v>
      </c>
      <c r="N166" s="1" t="s">
        <v>119</v>
      </c>
      <c r="O166" s="1" t="s">
        <v>119</v>
      </c>
      <c r="P166" s="5">
        <v>43777</v>
      </c>
      <c r="Q166" s="1"/>
      <c r="R166" s="1"/>
      <c r="S166" s="1"/>
      <c r="T166" s="1"/>
      <c r="U166" s="1" t="s">
        <v>1922</v>
      </c>
      <c r="V166" s="4">
        <v>1</v>
      </c>
      <c r="W166" s="6">
        <v>4948.91</v>
      </c>
      <c r="X166" s="1" t="s">
        <v>1459</v>
      </c>
      <c r="Y166" s="4">
        <v>1</v>
      </c>
      <c r="Z166" s="6">
        <v>4948.91</v>
      </c>
      <c r="AA166" s="1" t="s">
        <v>1976</v>
      </c>
      <c r="AB166" s="1" t="s">
        <v>1964</v>
      </c>
      <c r="AC166" s="1" t="s">
        <v>1124</v>
      </c>
      <c r="AD166" s="1" t="s">
        <v>1463</v>
      </c>
      <c r="AE166" s="1" t="s">
        <v>1286</v>
      </c>
      <c r="AF166" s="1" t="s">
        <v>1463</v>
      </c>
      <c r="AG166" s="6">
        <v>4948.91</v>
      </c>
      <c r="AH166" s="6">
        <v>4948.91</v>
      </c>
      <c r="AI166" s="1"/>
      <c r="AJ166" s="1"/>
      <c r="AK166" s="1"/>
      <c r="AL166" s="1" t="s">
        <v>1779</v>
      </c>
      <c r="AM166" s="1" t="s">
        <v>854</v>
      </c>
      <c r="AN166" s="1"/>
      <c r="AO166" s="1" t="s">
        <v>46</v>
      </c>
      <c r="AP166" s="1"/>
      <c r="AQ166" s="1"/>
      <c r="AR166" s="2"/>
      <c r="AS166" s="1"/>
      <c r="AT166" s="1"/>
      <c r="AU166" s="1"/>
      <c r="AV166" s="1" t="s">
        <v>1941</v>
      </c>
      <c r="AW166" s="7">
        <v>43777.561305000949</v>
      </c>
      <c r="AX166" s="1" t="s">
        <v>1085</v>
      </c>
      <c r="AY166" s="6">
        <v>4948.91</v>
      </c>
      <c r="AZ166" s="5">
        <v>43777</v>
      </c>
      <c r="BA166" s="5">
        <v>43830</v>
      </c>
      <c r="BB166" s="7">
        <v>43830</v>
      </c>
      <c r="BC166" s="1" t="s">
        <v>1997</v>
      </c>
      <c r="BD166" s="1"/>
      <c r="BE166" s="1"/>
      <c r="BF166" s="1" t="s">
        <v>118</v>
      </c>
    </row>
    <row r="167" spans="1:58">
      <c r="A167" s="4">
        <v>162</v>
      </c>
      <c r="B167" s="2" t="str">
        <f>HYPERLINK("https://my.zakupki.prom.ua/remote/dispatcher/state_purchase_view/9532929", "UA-2018-12-22-001985-b")</f>
        <v>UA-2018-12-22-001985-b</v>
      </c>
      <c r="C167" s="2" t="s">
        <v>1459</v>
      </c>
      <c r="D167" s="1" t="s">
        <v>1993</v>
      </c>
      <c r="E167" s="1" t="s">
        <v>1993</v>
      </c>
      <c r="F167" s="1" t="s">
        <v>1093</v>
      </c>
      <c r="G167" s="1" t="s">
        <v>1513</v>
      </c>
      <c r="H167" s="1" t="s">
        <v>1800</v>
      </c>
      <c r="I167" s="1" t="s">
        <v>1379</v>
      </c>
      <c r="J167" s="1" t="s">
        <v>819</v>
      </c>
      <c r="K167" s="1" t="s">
        <v>1287</v>
      </c>
      <c r="L167" s="1" t="s">
        <v>1224</v>
      </c>
      <c r="M167" s="1" t="s">
        <v>119</v>
      </c>
      <c r="N167" s="1" t="s">
        <v>119</v>
      </c>
      <c r="O167" s="1" t="s">
        <v>119</v>
      </c>
      <c r="P167" s="5">
        <v>43456</v>
      </c>
      <c r="Q167" s="1"/>
      <c r="R167" s="1"/>
      <c r="S167" s="1"/>
      <c r="T167" s="1"/>
      <c r="U167" s="1" t="s">
        <v>1922</v>
      </c>
      <c r="V167" s="4">
        <v>1</v>
      </c>
      <c r="W167" s="6">
        <v>3330952.32</v>
      </c>
      <c r="X167" s="1" t="s">
        <v>1459</v>
      </c>
      <c r="Y167" s="4">
        <v>1</v>
      </c>
      <c r="Z167" s="6">
        <v>3330952.32</v>
      </c>
      <c r="AA167" s="1" t="s">
        <v>1976</v>
      </c>
      <c r="AB167" s="1" t="s">
        <v>1964</v>
      </c>
      <c r="AC167" s="1" t="s">
        <v>1124</v>
      </c>
      <c r="AD167" s="1" t="s">
        <v>1463</v>
      </c>
      <c r="AE167" s="1" t="s">
        <v>1286</v>
      </c>
      <c r="AF167" s="1" t="s">
        <v>1463</v>
      </c>
      <c r="AG167" s="6">
        <v>3330952.32</v>
      </c>
      <c r="AH167" s="6">
        <v>3330952.32</v>
      </c>
      <c r="AI167" s="1"/>
      <c r="AJ167" s="1"/>
      <c r="AK167" s="1"/>
      <c r="AL167" s="1" t="s">
        <v>1382</v>
      </c>
      <c r="AM167" s="1" t="s">
        <v>143</v>
      </c>
      <c r="AN167" s="1"/>
      <c r="AO167" s="1" t="s">
        <v>61</v>
      </c>
      <c r="AP167" s="1"/>
      <c r="AQ167" s="1"/>
      <c r="AR167" s="2"/>
      <c r="AS167" s="1"/>
      <c r="AT167" s="5">
        <v>43467</v>
      </c>
      <c r="AU167" s="5">
        <v>43492</v>
      </c>
      <c r="AV167" s="1" t="s">
        <v>1941</v>
      </c>
      <c r="AW167" s="7">
        <v>43483.638131574065</v>
      </c>
      <c r="AX167" s="1" t="s">
        <v>912</v>
      </c>
      <c r="AY167" s="6">
        <v>3330952.32</v>
      </c>
      <c r="AZ167" s="1"/>
      <c r="BA167" s="5">
        <v>43830</v>
      </c>
      <c r="BB167" s="7">
        <v>43830</v>
      </c>
      <c r="BC167" s="1" t="s">
        <v>1997</v>
      </c>
      <c r="BD167" s="1"/>
      <c r="BE167" s="1"/>
      <c r="BF167" s="1" t="s">
        <v>118</v>
      </c>
    </row>
    <row r="168" spans="1:58">
      <c r="A168" s="4">
        <v>163</v>
      </c>
      <c r="B168" s="2" t="str">
        <f>HYPERLINK("https://my.zakupki.prom.ua/remote/dispatcher/state_purchase_view/8484655", "UA-2018-10-08-001732-c")</f>
        <v>UA-2018-10-08-001732-c</v>
      </c>
      <c r="C168" s="2" t="s">
        <v>1459</v>
      </c>
      <c r="D168" s="1" t="s">
        <v>1347</v>
      </c>
      <c r="E168" s="1" t="s">
        <v>1347</v>
      </c>
      <c r="F168" s="1" t="s">
        <v>464</v>
      </c>
      <c r="G168" s="1" t="s">
        <v>1346</v>
      </c>
      <c r="H168" s="1" t="s">
        <v>1800</v>
      </c>
      <c r="I168" s="1" t="s">
        <v>1379</v>
      </c>
      <c r="J168" s="1" t="s">
        <v>819</v>
      </c>
      <c r="K168" s="1" t="s">
        <v>1287</v>
      </c>
      <c r="L168" s="1" t="s">
        <v>1469</v>
      </c>
      <c r="M168" s="1" t="s">
        <v>119</v>
      </c>
      <c r="N168" s="1" t="s">
        <v>119</v>
      </c>
      <c r="O168" s="1" t="s">
        <v>119</v>
      </c>
      <c r="P168" s="5">
        <v>43381</v>
      </c>
      <c r="Q168" s="5">
        <v>43381</v>
      </c>
      <c r="R168" s="5">
        <v>43383</v>
      </c>
      <c r="S168" s="5">
        <v>43383</v>
      </c>
      <c r="T168" s="5">
        <v>43386</v>
      </c>
      <c r="U168" s="7">
        <v>43389.50277777778</v>
      </c>
      <c r="V168" s="4">
        <v>5</v>
      </c>
      <c r="W168" s="6">
        <v>40112</v>
      </c>
      <c r="X168" s="1" t="s">
        <v>1459</v>
      </c>
      <c r="Y168" s="4">
        <v>6945</v>
      </c>
      <c r="Z168" s="6">
        <v>5.78</v>
      </c>
      <c r="AA168" s="1" t="s">
        <v>2023</v>
      </c>
      <c r="AB168" s="6">
        <v>200.56</v>
      </c>
      <c r="AC168" s="1" t="s">
        <v>1124</v>
      </c>
      <c r="AD168" s="1" t="s">
        <v>1800</v>
      </c>
      <c r="AE168" s="1" t="s">
        <v>1286</v>
      </c>
      <c r="AF168" s="1" t="s">
        <v>1463</v>
      </c>
      <c r="AG168" s="6">
        <v>19299</v>
      </c>
      <c r="AH168" s="6">
        <v>2.7788336933045357</v>
      </c>
      <c r="AI168" s="1" t="s">
        <v>1896</v>
      </c>
      <c r="AJ168" s="6">
        <v>20813</v>
      </c>
      <c r="AK168" s="6">
        <v>0.51887215795771835</v>
      </c>
      <c r="AL168" s="1" t="s">
        <v>1896</v>
      </c>
      <c r="AM168" s="1" t="s">
        <v>587</v>
      </c>
      <c r="AN168" s="1" t="s">
        <v>1129</v>
      </c>
      <c r="AO168" s="1" t="s">
        <v>828</v>
      </c>
      <c r="AP168" s="6">
        <v>20813</v>
      </c>
      <c r="AQ168" s="6">
        <v>0.51887215795771835</v>
      </c>
      <c r="AR168" s="2" t="str">
        <f>HYPERLINK("https://auction.openprocurement.org/tenders/32fc8a50bdca499ca9b1371566d73e7a")</f>
        <v>https://auction.openprocurement.org/tenders/32fc8a50bdca499ca9b1371566d73e7a</v>
      </c>
      <c r="AS168" s="7">
        <v>43395.667028953867</v>
      </c>
      <c r="AT168" s="5">
        <v>43397</v>
      </c>
      <c r="AU168" s="5">
        <v>43413</v>
      </c>
      <c r="AV168" s="1" t="s">
        <v>1941</v>
      </c>
      <c r="AW168" s="7">
        <v>43404.698924324279</v>
      </c>
      <c r="AX168" s="1" t="s">
        <v>621</v>
      </c>
      <c r="AY168" s="6">
        <v>19299</v>
      </c>
      <c r="AZ168" s="5">
        <v>43395</v>
      </c>
      <c r="BA168" s="5">
        <v>43434</v>
      </c>
      <c r="BB168" s="7">
        <v>43465</v>
      </c>
      <c r="BC168" s="1" t="s">
        <v>1997</v>
      </c>
      <c r="BD168" s="1"/>
      <c r="BE168" s="1"/>
      <c r="BF168" s="1" t="s">
        <v>589</v>
      </c>
    </row>
    <row r="169" spans="1:58">
      <c r="A169" s="4">
        <v>164</v>
      </c>
      <c r="B169" s="2" t="str">
        <f>HYPERLINK("https://my.zakupki.prom.ua/remote/dispatcher/state_purchase_view/13624615", "UA-2019-11-19-001555-b")</f>
        <v>UA-2019-11-19-001555-b</v>
      </c>
      <c r="C169" s="2" t="s">
        <v>1459</v>
      </c>
      <c r="D169" s="1" t="s">
        <v>900</v>
      </c>
      <c r="E169" s="1" t="s">
        <v>1357</v>
      </c>
      <c r="F169" s="1" t="s">
        <v>899</v>
      </c>
      <c r="G169" s="1" t="s">
        <v>1346</v>
      </c>
      <c r="H169" s="1" t="s">
        <v>1800</v>
      </c>
      <c r="I169" s="1" t="s">
        <v>1379</v>
      </c>
      <c r="J169" s="1" t="s">
        <v>819</v>
      </c>
      <c r="K169" s="1" t="s">
        <v>1287</v>
      </c>
      <c r="L169" s="1" t="s">
        <v>1915</v>
      </c>
      <c r="M169" s="1" t="s">
        <v>316</v>
      </c>
      <c r="N169" s="1" t="s">
        <v>119</v>
      </c>
      <c r="O169" s="1" t="s">
        <v>119</v>
      </c>
      <c r="P169" s="5">
        <v>43788</v>
      </c>
      <c r="Q169" s="5">
        <v>43788</v>
      </c>
      <c r="R169" s="5">
        <v>43794</v>
      </c>
      <c r="S169" s="5">
        <v>43794</v>
      </c>
      <c r="T169" s="5">
        <v>43796</v>
      </c>
      <c r="U169" s="1" t="s">
        <v>1923</v>
      </c>
      <c r="V169" s="4">
        <v>1</v>
      </c>
      <c r="W169" s="6">
        <v>6550</v>
      </c>
      <c r="X169" s="1" t="s">
        <v>1459</v>
      </c>
      <c r="Y169" s="1" t="s">
        <v>1956</v>
      </c>
      <c r="Z169" s="1" t="s">
        <v>1956</v>
      </c>
      <c r="AA169" s="1" t="s">
        <v>1956</v>
      </c>
      <c r="AB169" s="6">
        <v>65.5</v>
      </c>
      <c r="AC169" s="1" t="s">
        <v>1124</v>
      </c>
      <c r="AD169" s="1" t="s">
        <v>1800</v>
      </c>
      <c r="AE169" s="1" t="s">
        <v>1286</v>
      </c>
      <c r="AF169" s="1" t="s">
        <v>1463</v>
      </c>
      <c r="AG169" s="6">
        <v>6400</v>
      </c>
      <c r="AH169" s="1" t="s">
        <v>1956</v>
      </c>
      <c r="AI169" s="1" t="s">
        <v>1879</v>
      </c>
      <c r="AJ169" s="6">
        <v>150</v>
      </c>
      <c r="AK169" s="6">
        <v>2.2900763358778626E-2</v>
      </c>
      <c r="AL169" s="1"/>
      <c r="AM169" s="1"/>
      <c r="AN169" s="1"/>
      <c r="AO169" s="1"/>
      <c r="AP169" s="1"/>
      <c r="AQ169" s="1"/>
      <c r="AR169" s="2"/>
      <c r="AS169" s="7">
        <v>43796.61178852927</v>
      </c>
      <c r="AT169" s="1"/>
      <c r="AU169" s="1"/>
      <c r="AV169" s="1" t="s">
        <v>1942</v>
      </c>
      <c r="AW169" s="7">
        <v>43798.613598700336</v>
      </c>
      <c r="AX169" s="1"/>
      <c r="AY169" s="1"/>
      <c r="AZ169" s="1"/>
      <c r="BA169" s="5">
        <v>43830</v>
      </c>
      <c r="BB169" s="1"/>
      <c r="BC169" s="1"/>
      <c r="BD169" s="1"/>
      <c r="BE169" s="1"/>
      <c r="BF169" s="1" t="s">
        <v>603</v>
      </c>
    </row>
    <row r="170" spans="1:58">
      <c r="A170" s="4">
        <v>165</v>
      </c>
      <c r="B170" s="2" t="str">
        <f>HYPERLINK("https://my.zakupki.prom.ua/remote/dispatcher/state_purchase_view/13606136", "UA-2019-11-18-001537-b")</f>
        <v>UA-2019-11-18-001537-b</v>
      </c>
      <c r="C170" s="2" t="s">
        <v>1459</v>
      </c>
      <c r="D170" s="1" t="s">
        <v>865</v>
      </c>
      <c r="E170" s="1" t="s">
        <v>865</v>
      </c>
      <c r="F170" s="1" t="s">
        <v>863</v>
      </c>
      <c r="G170" s="1" t="s">
        <v>1346</v>
      </c>
      <c r="H170" s="1" t="s">
        <v>1800</v>
      </c>
      <c r="I170" s="1" t="s">
        <v>1379</v>
      </c>
      <c r="J170" s="1" t="s">
        <v>819</v>
      </c>
      <c r="K170" s="1" t="s">
        <v>1287</v>
      </c>
      <c r="L170" s="1" t="s">
        <v>1915</v>
      </c>
      <c r="M170" s="1" t="s">
        <v>119</v>
      </c>
      <c r="N170" s="1" t="s">
        <v>119</v>
      </c>
      <c r="O170" s="1" t="s">
        <v>119</v>
      </c>
      <c r="P170" s="5">
        <v>43787</v>
      </c>
      <c r="Q170" s="5">
        <v>43787</v>
      </c>
      <c r="R170" s="5">
        <v>43790</v>
      </c>
      <c r="S170" s="5">
        <v>43790</v>
      </c>
      <c r="T170" s="5">
        <v>43794</v>
      </c>
      <c r="U170" s="7">
        <v>43795.645104166666</v>
      </c>
      <c r="V170" s="4">
        <v>4</v>
      </c>
      <c r="W170" s="6">
        <v>166900</v>
      </c>
      <c r="X170" s="1" t="s">
        <v>1459</v>
      </c>
      <c r="Y170" s="4">
        <v>82</v>
      </c>
      <c r="Z170" s="6">
        <v>2035.37</v>
      </c>
      <c r="AA170" s="1" t="s">
        <v>2023</v>
      </c>
      <c r="AB170" s="6">
        <v>834.5</v>
      </c>
      <c r="AC170" s="1" t="s">
        <v>1124</v>
      </c>
      <c r="AD170" s="1" t="s">
        <v>1800</v>
      </c>
      <c r="AE170" s="1" t="s">
        <v>1286</v>
      </c>
      <c r="AF170" s="1" t="s">
        <v>1463</v>
      </c>
      <c r="AG170" s="6">
        <v>87499</v>
      </c>
      <c r="AH170" s="6">
        <v>1067.060975609756</v>
      </c>
      <c r="AI170" s="1" t="s">
        <v>1710</v>
      </c>
      <c r="AJ170" s="6">
        <v>79401</v>
      </c>
      <c r="AK170" s="6">
        <v>0.47573996405032953</v>
      </c>
      <c r="AL170" s="1" t="s">
        <v>1710</v>
      </c>
      <c r="AM170" s="1" t="s">
        <v>794</v>
      </c>
      <c r="AN170" s="1" t="s">
        <v>1210</v>
      </c>
      <c r="AO170" s="1" t="s">
        <v>95</v>
      </c>
      <c r="AP170" s="6">
        <v>79401</v>
      </c>
      <c r="AQ170" s="6">
        <v>0.47573996405032953</v>
      </c>
      <c r="AR170" s="2" t="str">
        <f>HYPERLINK("https://auction.openprocurement.org/tenders/b99bb9002e6142fc86a119e8745f2d4f")</f>
        <v>https://auction.openprocurement.org/tenders/b99bb9002e6142fc86a119e8745f2d4f</v>
      </c>
      <c r="AS170" s="7">
        <v>43796.608702780686</v>
      </c>
      <c r="AT170" s="5">
        <v>43798</v>
      </c>
      <c r="AU170" s="5">
        <v>43820</v>
      </c>
      <c r="AV170" s="1" t="s">
        <v>1941</v>
      </c>
      <c r="AW170" s="7">
        <v>43803.662120404384</v>
      </c>
      <c r="AX170" s="1" t="s">
        <v>159</v>
      </c>
      <c r="AY170" s="6">
        <v>87499</v>
      </c>
      <c r="AZ170" s="1"/>
      <c r="BA170" s="5">
        <v>43830</v>
      </c>
      <c r="BB170" s="7">
        <v>43830</v>
      </c>
      <c r="BC170" s="1" t="s">
        <v>1997</v>
      </c>
      <c r="BD170" s="1"/>
      <c r="BE170" s="1"/>
      <c r="BF170" s="1" t="s">
        <v>795</v>
      </c>
    </row>
    <row r="171" spans="1:58">
      <c r="A171" s="4">
        <v>166</v>
      </c>
      <c r="B171" s="2" t="str">
        <f>HYPERLINK("https://my.zakupki.prom.ua/remote/dispatcher/state_purchase_view/11055594", "UA-2019-03-25-001373-b")</f>
        <v>UA-2019-03-25-001373-b</v>
      </c>
      <c r="C171" s="2" t="s">
        <v>1459</v>
      </c>
      <c r="D171" s="1" t="s">
        <v>1666</v>
      </c>
      <c r="E171" s="1" t="s">
        <v>1670</v>
      </c>
      <c r="F171" s="1" t="s">
        <v>364</v>
      </c>
      <c r="G171" s="1" t="s">
        <v>1280</v>
      </c>
      <c r="H171" s="1" t="s">
        <v>1800</v>
      </c>
      <c r="I171" s="1" t="s">
        <v>1379</v>
      </c>
      <c r="J171" s="1" t="s">
        <v>819</v>
      </c>
      <c r="K171" s="1" t="s">
        <v>1287</v>
      </c>
      <c r="L171" s="1" t="s">
        <v>1224</v>
      </c>
      <c r="M171" s="1" t="s">
        <v>407</v>
      </c>
      <c r="N171" s="1" t="s">
        <v>317</v>
      </c>
      <c r="O171" s="1" t="s">
        <v>119</v>
      </c>
      <c r="P171" s="5">
        <v>43549</v>
      </c>
      <c r="Q171" s="5">
        <v>43549</v>
      </c>
      <c r="R171" s="5">
        <v>43577</v>
      </c>
      <c r="S171" s="5">
        <v>43549</v>
      </c>
      <c r="T171" s="5">
        <v>43587</v>
      </c>
      <c r="U171" s="1" t="s">
        <v>1923</v>
      </c>
      <c r="V171" s="4">
        <v>1</v>
      </c>
      <c r="W171" s="6">
        <v>230900</v>
      </c>
      <c r="X171" s="1" t="s">
        <v>1459</v>
      </c>
      <c r="Y171" s="4">
        <v>78</v>
      </c>
      <c r="Z171" s="6">
        <v>2960.26</v>
      </c>
      <c r="AA171" s="1" t="s">
        <v>2023</v>
      </c>
      <c r="AB171" s="6">
        <v>1154.5</v>
      </c>
      <c r="AC171" s="1" t="s">
        <v>1124</v>
      </c>
      <c r="AD171" s="1" t="s">
        <v>1800</v>
      </c>
      <c r="AE171" s="1" t="s">
        <v>1286</v>
      </c>
      <c r="AF171" s="1" t="s">
        <v>1463</v>
      </c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2"/>
      <c r="AS171" s="1"/>
      <c r="AT171" s="1"/>
      <c r="AU171" s="1"/>
      <c r="AV171" s="1" t="s">
        <v>1942</v>
      </c>
      <c r="AW171" s="7">
        <v>43587.667172529909</v>
      </c>
      <c r="AX171" s="1"/>
      <c r="AY171" s="1"/>
      <c r="AZ171" s="1"/>
      <c r="BA171" s="5">
        <v>43830</v>
      </c>
      <c r="BB171" s="1"/>
      <c r="BC171" s="1"/>
      <c r="BD171" s="1"/>
      <c r="BE171" s="1"/>
      <c r="BF171" s="1" t="s">
        <v>806</v>
      </c>
    </row>
    <row r="172" spans="1:58">
      <c r="A172" s="4">
        <v>167</v>
      </c>
      <c r="B172" s="2" t="str">
        <f>HYPERLINK("https://my.zakupki.prom.ua/remote/dispatcher/state_purchase_view/11069170", "UA-2019-03-26-001005-b")</f>
        <v>UA-2019-03-26-001005-b</v>
      </c>
      <c r="C172" s="2" t="s">
        <v>1459</v>
      </c>
      <c r="D172" s="1" t="s">
        <v>1543</v>
      </c>
      <c r="E172" s="1" t="s">
        <v>1022</v>
      </c>
      <c r="F172" s="1" t="s">
        <v>1023</v>
      </c>
      <c r="G172" s="1" t="s">
        <v>1346</v>
      </c>
      <c r="H172" s="1" t="s">
        <v>1800</v>
      </c>
      <c r="I172" s="1" t="s">
        <v>1379</v>
      </c>
      <c r="J172" s="1" t="s">
        <v>819</v>
      </c>
      <c r="K172" s="1" t="s">
        <v>1287</v>
      </c>
      <c r="L172" s="1" t="s">
        <v>1224</v>
      </c>
      <c r="M172" s="1" t="s">
        <v>119</v>
      </c>
      <c r="N172" s="1" t="s">
        <v>119</v>
      </c>
      <c r="O172" s="1" t="s">
        <v>119</v>
      </c>
      <c r="P172" s="5">
        <v>43550</v>
      </c>
      <c r="Q172" s="5">
        <v>43550</v>
      </c>
      <c r="R172" s="5">
        <v>43552</v>
      </c>
      <c r="S172" s="5">
        <v>43552</v>
      </c>
      <c r="T172" s="5">
        <v>43557</v>
      </c>
      <c r="U172" s="1" t="s">
        <v>1923</v>
      </c>
      <c r="V172" s="4">
        <v>1</v>
      </c>
      <c r="W172" s="6">
        <v>6010</v>
      </c>
      <c r="X172" s="1" t="s">
        <v>1459</v>
      </c>
      <c r="Y172" s="4">
        <v>1</v>
      </c>
      <c r="Z172" s="6">
        <v>6010</v>
      </c>
      <c r="AA172" s="1" t="s">
        <v>1976</v>
      </c>
      <c r="AB172" s="6">
        <v>30.05</v>
      </c>
      <c r="AC172" s="1" t="s">
        <v>1124</v>
      </c>
      <c r="AD172" s="1" t="s">
        <v>1800</v>
      </c>
      <c r="AE172" s="1" t="s">
        <v>1286</v>
      </c>
      <c r="AF172" s="1" t="s">
        <v>1463</v>
      </c>
      <c r="AG172" s="6">
        <v>6006.81</v>
      </c>
      <c r="AH172" s="6">
        <v>6006.81</v>
      </c>
      <c r="AI172" s="1" t="s">
        <v>1727</v>
      </c>
      <c r="AJ172" s="6">
        <v>3.1899999999995998</v>
      </c>
      <c r="AK172" s="6">
        <v>5.3078202995001658E-4</v>
      </c>
      <c r="AL172" s="1" t="s">
        <v>1727</v>
      </c>
      <c r="AM172" s="1" t="s">
        <v>849</v>
      </c>
      <c r="AN172" s="1" t="s">
        <v>1137</v>
      </c>
      <c r="AO172" s="1" t="s">
        <v>52</v>
      </c>
      <c r="AP172" s="6">
        <v>3.1899999999995998</v>
      </c>
      <c r="AQ172" s="6">
        <v>5.3078202995001658E-4</v>
      </c>
      <c r="AR172" s="2"/>
      <c r="AS172" s="7">
        <v>43558.394563996415</v>
      </c>
      <c r="AT172" s="5">
        <v>43560</v>
      </c>
      <c r="AU172" s="5">
        <v>43582</v>
      </c>
      <c r="AV172" s="1" t="s">
        <v>1941</v>
      </c>
      <c r="AW172" s="7">
        <v>43566.638654405026</v>
      </c>
      <c r="AX172" s="1" t="s">
        <v>777</v>
      </c>
      <c r="AY172" s="6">
        <v>6006.81</v>
      </c>
      <c r="AZ172" s="1"/>
      <c r="BA172" s="5">
        <v>43830</v>
      </c>
      <c r="BB172" s="7">
        <v>43830</v>
      </c>
      <c r="BC172" s="1" t="s">
        <v>1997</v>
      </c>
      <c r="BD172" s="1"/>
      <c r="BE172" s="1"/>
      <c r="BF172" s="1" t="s">
        <v>850</v>
      </c>
    </row>
    <row r="173" spans="1:58">
      <c r="A173" s="4">
        <v>168</v>
      </c>
      <c r="B173" s="2" t="str">
        <f>HYPERLINK("https://my.zakupki.prom.ua/remote/dispatcher/state_purchase_view/12447051", "UA-2019-08-06-001515-b")</f>
        <v>UA-2019-08-06-001515-b</v>
      </c>
      <c r="C173" s="2" t="s">
        <v>1459</v>
      </c>
      <c r="D173" s="1" t="s">
        <v>741</v>
      </c>
      <c r="E173" s="1" t="s">
        <v>1238</v>
      </c>
      <c r="F173" s="1" t="s">
        <v>733</v>
      </c>
      <c r="G173" s="1" t="s">
        <v>1280</v>
      </c>
      <c r="H173" s="1" t="s">
        <v>1800</v>
      </c>
      <c r="I173" s="1" t="s">
        <v>1379</v>
      </c>
      <c r="J173" s="1" t="s">
        <v>819</v>
      </c>
      <c r="K173" s="1" t="s">
        <v>1287</v>
      </c>
      <c r="L173" s="1" t="s">
        <v>1658</v>
      </c>
      <c r="M173" s="1" t="s">
        <v>316</v>
      </c>
      <c r="N173" s="1" t="s">
        <v>119</v>
      </c>
      <c r="O173" s="1" t="s">
        <v>119</v>
      </c>
      <c r="P173" s="5">
        <v>43683</v>
      </c>
      <c r="Q173" s="5">
        <v>43683</v>
      </c>
      <c r="R173" s="5">
        <v>43688</v>
      </c>
      <c r="S173" s="5">
        <v>43683</v>
      </c>
      <c r="T173" s="5">
        <v>43698</v>
      </c>
      <c r="U173" s="7">
        <v>43699.636979166666</v>
      </c>
      <c r="V173" s="4">
        <v>3</v>
      </c>
      <c r="W173" s="6">
        <v>291680</v>
      </c>
      <c r="X173" s="1" t="s">
        <v>1459</v>
      </c>
      <c r="Y173" s="4">
        <v>1813</v>
      </c>
      <c r="Z173" s="6">
        <v>160.88</v>
      </c>
      <c r="AA173" s="1" t="s">
        <v>2017</v>
      </c>
      <c r="AB173" s="6">
        <v>1458.4</v>
      </c>
      <c r="AC173" s="1" t="s">
        <v>1124</v>
      </c>
      <c r="AD173" s="1" t="s">
        <v>1800</v>
      </c>
      <c r="AE173" s="1" t="s">
        <v>1286</v>
      </c>
      <c r="AF173" s="1" t="s">
        <v>1463</v>
      </c>
      <c r="AG173" s="6">
        <v>262234.43</v>
      </c>
      <c r="AH173" s="6">
        <v>144.64116381687811</v>
      </c>
      <c r="AI173" s="1" t="s">
        <v>1702</v>
      </c>
      <c r="AJ173" s="6">
        <v>29445.570000000007</v>
      </c>
      <c r="AK173" s="6">
        <v>0.10095162506856832</v>
      </c>
      <c r="AL173" s="1" t="s">
        <v>1702</v>
      </c>
      <c r="AM173" s="1" t="s">
        <v>882</v>
      </c>
      <c r="AN173" s="1" t="s">
        <v>1157</v>
      </c>
      <c r="AO173" s="1" t="s">
        <v>67</v>
      </c>
      <c r="AP173" s="6">
        <v>29445.570000000007</v>
      </c>
      <c r="AQ173" s="6">
        <v>0.10095162506856832</v>
      </c>
      <c r="AR173" s="2" t="str">
        <f>HYPERLINK("https://auction.openprocurement.org/tenders/956874b3479840ffbe6035b253f1bfdc")</f>
        <v>https://auction.openprocurement.org/tenders/956874b3479840ffbe6035b253f1bfdc</v>
      </c>
      <c r="AS173" s="7">
        <v>43704.434632073207</v>
      </c>
      <c r="AT173" s="5">
        <v>43715</v>
      </c>
      <c r="AU173" s="5">
        <v>43725</v>
      </c>
      <c r="AV173" s="1" t="s">
        <v>1941</v>
      </c>
      <c r="AW173" s="7">
        <v>43717.486071981933</v>
      </c>
      <c r="AX173" s="1" t="s">
        <v>283</v>
      </c>
      <c r="AY173" s="6">
        <v>262234.43</v>
      </c>
      <c r="AZ173" s="1"/>
      <c r="BA173" s="5">
        <v>43830</v>
      </c>
      <c r="BB173" s="7">
        <v>43830</v>
      </c>
      <c r="BC173" s="1" t="s">
        <v>1997</v>
      </c>
      <c r="BD173" s="1"/>
      <c r="BE173" s="1"/>
      <c r="BF173" s="1" t="s">
        <v>883</v>
      </c>
    </row>
    <row r="174" spans="1:58">
      <c r="A174" s="4">
        <v>169</v>
      </c>
      <c r="B174" s="2" t="str">
        <f>HYPERLINK("https://my.zakupki.prom.ua/remote/dispatcher/state_purchase_view/19450168", "UA-2020-09-21-008646-b")</f>
        <v>UA-2020-09-21-008646-b</v>
      </c>
      <c r="C174" s="2" t="s">
        <v>1459</v>
      </c>
      <c r="D174" s="1" t="s">
        <v>1929</v>
      </c>
      <c r="E174" s="1" t="s">
        <v>1305</v>
      </c>
      <c r="F174" s="1" t="s">
        <v>733</v>
      </c>
      <c r="G174" s="1" t="s">
        <v>1280</v>
      </c>
      <c r="H174" s="1" t="s">
        <v>1800</v>
      </c>
      <c r="I174" s="1" t="s">
        <v>1379</v>
      </c>
      <c r="J174" s="1" t="s">
        <v>819</v>
      </c>
      <c r="K174" s="1" t="s">
        <v>1287</v>
      </c>
      <c r="L174" s="1" t="s">
        <v>1216</v>
      </c>
      <c r="M174" s="1" t="s">
        <v>119</v>
      </c>
      <c r="N174" s="1" t="s">
        <v>119</v>
      </c>
      <c r="O174" s="1" t="s">
        <v>119</v>
      </c>
      <c r="P174" s="5">
        <v>44095</v>
      </c>
      <c r="Q174" s="5">
        <v>44095</v>
      </c>
      <c r="R174" s="5">
        <v>44102</v>
      </c>
      <c r="S174" s="5">
        <v>44095</v>
      </c>
      <c r="T174" s="5">
        <v>44112</v>
      </c>
      <c r="U174" s="1" t="s">
        <v>1923</v>
      </c>
      <c r="V174" s="4">
        <v>0</v>
      </c>
      <c r="W174" s="6">
        <v>27500</v>
      </c>
      <c r="X174" s="1" t="s">
        <v>1459</v>
      </c>
      <c r="Y174" s="1" t="s">
        <v>1956</v>
      </c>
      <c r="Z174" s="1" t="s">
        <v>1956</v>
      </c>
      <c r="AA174" s="1" t="s">
        <v>1956</v>
      </c>
      <c r="AB174" s="6">
        <v>275</v>
      </c>
      <c r="AC174" s="1" t="s">
        <v>1124</v>
      </c>
      <c r="AD174" s="1" t="s">
        <v>1800</v>
      </c>
      <c r="AE174" s="1" t="s">
        <v>1286</v>
      </c>
      <c r="AF174" s="1" t="s">
        <v>1463</v>
      </c>
      <c r="AG174" s="1"/>
      <c r="AH174" s="1" t="s">
        <v>1956</v>
      </c>
      <c r="AI174" s="1"/>
      <c r="AJ174" s="1"/>
      <c r="AK174" s="1"/>
      <c r="AL174" s="1"/>
      <c r="AM174" s="1"/>
      <c r="AN174" s="1"/>
      <c r="AO174" s="1"/>
      <c r="AP174" s="1"/>
      <c r="AQ174" s="1"/>
      <c r="AR174" s="2"/>
      <c r="AS174" s="1"/>
      <c r="AT174" s="1"/>
      <c r="AU174" s="1"/>
      <c r="AV174" s="1" t="s">
        <v>1942</v>
      </c>
      <c r="AW174" s="7">
        <v>44112.627986193103</v>
      </c>
      <c r="AX174" s="1"/>
      <c r="AY174" s="1"/>
      <c r="AZ174" s="1"/>
      <c r="BA174" s="5">
        <v>44196</v>
      </c>
      <c r="BB174" s="1"/>
      <c r="BC174" s="1"/>
      <c r="BD174" s="1"/>
      <c r="BE174" s="1"/>
      <c r="BF174" s="1"/>
    </row>
    <row r="175" spans="1:58">
      <c r="A175" s="4">
        <v>170</v>
      </c>
      <c r="B175" s="2" t="str">
        <f>HYPERLINK("https://my.zakupki.prom.ua/remote/dispatcher/state_purchase_view/12508788", "UA-2019-08-12-001411-a")</f>
        <v>UA-2019-08-12-001411-a</v>
      </c>
      <c r="C175" s="2" t="s">
        <v>1459</v>
      </c>
      <c r="D175" s="1" t="s">
        <v>1270</v>
      </c>
      <c r="E175" s="1" t="s">
        <v>1269</v>
      </c>
      <c r="F175" s="1" t="s">
        <v>997</v>
      </c>
      <c r="G175" s="1" t="s">
        <v>1346</v>
      </c>
      <c r="H175" s="1" t="s">
        <v>1800</v>
      </c>
      <c r="I175" s="1" t="s">
        <v>1379</v>
      </c>
      <c r="J175" s="1" t="s">
        <v>819</v>
      </c>
      <c r="K175" s="1" t="s">
        <v>1287</v>
      </c>
      <c r="L175" s="1" t="s">
        <v>1658</v>
      </c>
      <c r="M175" s="1" t="s">
        <v>119</v>
      </c>
      <c r="N175" s="1" t="s">
        <v>119</v>
      </c>
      <c r="O175" s="1" t="s">
        <v>119</v>
      </c>
      <c r="P175" s="5">
        <v>43689</v>
      </c>
      <c r="Q175" s="5">
        <v>43689</v>
      </c>
      <c r="R175" s="5">
        <v>43691</v>
      </c>
      <c r="S175" s="5">
        <v>43691</v>
      </c>
      <c r="T175" s="5">
        <v>43692</v>
      </c>
      <c r="U175" s="1" t="s">
        <v>1923</v>
      </c>
      <c r="V175" s="4">
        <v>1</v>
      </c>
      <c r="W175" s="6">
        <v>3000</v>
      </c>
      <c r="X175" s="1" t="s">
        <v>1459</v>
      </c>
      <c r="Y175" s="4">
        <v>10</v>
      </c>
      <c r="Z175" s="6">
        <v>300</v>
      </c>
      <c r="AA175" s="1" t="s">
        <v>2023</v>
      </c>
      <c r="AB175" s="6">
        <v>30</v>
      </c>
      <c r="AC175" s="1" t="s">
        <v>1124</v>
      </c>
      <c r="AD175" s="1" t="s">
        <v>1800</v>
      </c>
      <c r="AE175" s="1" t="s">
        <v>1286</v>
      </c>
      <c r="AF175" s="1" t="s">
        <v>1463</v>
      </c>
      <c r="AG175" s="6">
        <v>2242</v>
      </c>
      <c r="AH175" s="6">
        <v>224.2</v>
      </c>
      <c r="AI175" s="1" t="s">
        <v>1888</v>
      </c>
      <c r="AJ175" s="6">
        <v>758</v>
      </c>
      <c r="AK175" s="6">
        <v>0.25266666666666665</v>
      </c>
      <c r="AL175" s="1" t="s">
        <v>1888</v>
      </c>
      <c r="AM175" s="1" t="s">
        <v>596</v>
      </c>
      <c r="AN175" s="1" t="s">
        <v>1186</v>
      </c>
      <c r="AO175" s="1" t="s">
        <v>90</v>
      </c>
      <c r="AP175" s="6">
        <v>758</v>
      </c>
      <c r="AQ175" s="6">
        <v>0.25266666666666665</v>
      </c>
      <c r="AR175" s="2"/>
      <c r="AS175" s="7">
        <v>43697.399231410149</v>
      </c>
      <c r="AT175" s="5">
        <v>43699</v>
      </c>
      <c r="AU175" s="5">
        <v>43721</v>
      </c>
      <c r="AV175" s="1" t="s">
        <v>1941</v>
      </c>
      <c r="AW175" s="7">
        <v>43707.429483092383</v>
      </c>
      <c r="AX175" s="1" t="s">
        <v>1924</v>
      </c>
      <c r="AY175" s="6">
        <v>2242</v>
      </c>
      <c r="AZ175" s="1"/>
      <c r="BA175" s="5">
        <v>43708</v>
      </c>
      <c r="BB175" s="7">
        <v>43830</v>
      </c>
      <c r="BC175" s="1" t="s">
        <v>1997</v>
      </c>
      <c r="BD175" s="1"/>
      <c r="BE175" s="1"/>
      <c r="BF175" s="1" t="s">
        <v>598</v>
      </c>
    </row>
    <row r="176" spans="1:58">
      <c r="A176" s="4">
        <v>171</v>
      </c>
      <c r="B176" s="2" t="str">
        <f>HYPERLINK("https://my.zakupki.prom.ua/remote/dispatcher/state_purchase_view/20312985", "UA-2020-10-21-006071-a")</f>
        <v>UA-2020-10-21-006071-a</v>
      </c>
      <c r="C176" s="2" t="s">
        <v>1459</v>
      </c>
      <c r="D176" s="1" t="s">
        <v>1927</v>
      </c>
      <c r="E176" s="1" t="s">
        <v>1927</v>
      </c>
      <c r="F176" s="1" t="s">
        <v>1104</v>
      </c>
      <c r="G176" s="1" t="s">
        <v>1346</v>
      </c>
      <c r="H176" s="1" t="s">
        <v>1800</v>
      </c>
      <c r="I176" s="1" t="s">
        <v>1379</v>
      </c>
      <c r="J176" s="1" t="s">
        <v>819</v>
      </c>
      <c r="K176" s="1" t="s">
        <v>1287</v>
      </c>
      <c r="L176" s="1" t="s">
        <v>1216</v>
      </c>
      <c r="M176" s="1" t="s">
        <v>119</v>
      </c>
      <c r="N176" s="1" t="s">
        <v>119</v>
      </c>
      <c r="O176" s="1" t="s">
        <v>119</v>
      </c>
      <c r="P176" s="5">
        <v>44125</v>
      </c>
      <c r="Q176" s="5">
        <v>44125</v>
      </c>
      <c r="R176" s="5">
        <v>44131</v>
      </c>
      <c r="S176" s="5">
        <v>44131</v>
      </c>
      <c r="T176" s="5">
        <v>44134</v>
      </c>
      <c r="U176" s="1" t="s">
        <v>1923</v>
      </c>
      <c r="V176" s="4">
        <v>1</v>
      </c>
      <c r="W176" s="6">
        <v>15000</v>
      </c>
      <c r="X176" s="1" t="s">
        <v>1459</v>
      </c>
      <c r="Y176" s="4">
        <v>9</v>
      </c>
      <c r="Z176" s="6">
        <v>1666.67</v>
      </c>
      <c r="AA176" s="1" t="s">
        <v>1976</v>
      </c>
      <c r="AB176" s="6">
        <v>75</v>
      </c>
      <c r="AC176" s="1" t="s">
        <v>1124</v>
      </c>
      <c r="AD176" s="1" t="s">
        <v>1800</v>
      </c>
      <c r="AE176" s="1" t="s">
        <v>1286</v>
      </c>
      <c r="AF176" s="1" t="s">
        <v>1463</v>
      </c>
      <c r="AG176" s="6">
        <v>15000</v>
      </c>
      <c r="AH176" s="6">
        <v>1666.6666666666667</v>
      </c>
      <c r="AI176" s="1" t="s">
        <v>1841</v>
      </c>
      <c r="AJ176" s="1"/>
      <c r="AK176" s="1"/>
      <c r="AL176" s="1"/>
      <c r="AM176" s="1"/>
      <c r="AN176" s="1"/>
      <c r="AO176" s="1"/>
      <c r="AP176" s="1"/>
      <c r="AQ176" s="1"/>
      <c r="AR176" s="2"/>
      <c r="AS176" s="7">
        <v>44137.501875577764</v>
      </c>
      <c r="AT176" s="1"/>
      <c r="AU176" s="1"/>
      <c r="AV176" s="1" t="s">
        <v>1942</v>
      </c>
      <c r="AW176" s="7">
        <v>44140.001230400165</v>
      </c>
      <c r="AX176" s="1"/>
      <c r="AY176" s="1"/>
      <c r="AZ176" s="1"/>
      <c r="BA176" s="5">
        <v>44196</v>
      </c>
      <c r="BB176" s="1"/>
      <c r="BC176" s="1"/>
      <c r="BD176" s="1"/>
      <c r="BE176" s="1"/>
      <c r="BF176" s="1" t="s">
        <v>641</v>
      </c>
    </row>
    <row r="177" spans="1:58">
      <c r="A177" s="4">
        <v>172</v>
      </c>
      <c r="B177" s="2" t="str">
        <f>HYPERLINK("https://my.zakupki.prom.ua/remote/dispatcher/state_purchase_view/9109528", "UA-2018-11-30-000541-c")</f>
        <v>UA-2018-11-30-000541-c</v>
      </c>
      <c r="C177" s="2" t="s">
        <v>1459</v>
      </c>
      <c r="D177" s="1" t="s">
        <v>1348</v>
      </c>
      <c r="E177" s="1" t="s">
        <v>1307</v>
      </c>
      <c r="F177" s="1" t="s">
        <v>293</v>
      </c>
      <c r="G177" s="1" t="s">
        <v>1280</v>
      </c>
      <c r="H177" s="1" t="s">
        <v>1800</v>
      </c>
      <c r="I177" s="1" t="s">
        <v>1379</v>
      </c>
      <c r="J177" s="1" t="s">
        <v>819</v>
      </c>
      <c r="K177" s="1" t="s">
        <v>1287</v>
      </c>
      <c r="L177" s="1" t="s">
        <v>1224</v>
      </c>
      <c r="M177" s="1" t="s">
        <v>119</v>
      </c>
      <c r="N177" s="1" t="s">
        <v>119</v>
      </c>
      <c r="O177" s="1" t="s">
        <v>119</v>
      </c>
      <c r="P177" s="5">
        <v>43434</v>
      </c>
      <c r="Q177" s="5">
        <v>43434</v>
      </c>
      <c r="R177" s="5">
        <v>43439</v>
      </c>
      <c r="S177" s="5">
        <v>43434</v>
      </c>
      <c r="T177" s="5">
        <v>43449</v>
      </c>
      <c r="U177" s="1" t="s">
        <v>1923</v>
      </c>
      <c r="V177" s="4">
        <v>0</v>
      </c>
      <c r="W177" s="6">
        <v>321450</v>
      </c>
      <c r="X177" s="1" t="s">
        <v>1459</v>
      </c>
      <c r="Y177" s="4">
        <v>131200</v>
      </c>
      <c r="Z177" s="6">
        <v>2.4500000000000002</v>
      </c>
      <c r="AA177" s="1" t="s">
        <v>1954</v>
      </c>
      <c r="AB177" s="6">
        <v>1607.25</v>
      </c>
      <c r="AC177" s="1" t="s">
        <v>1124</v>
      </c>
      <c r="AD177" s="1" t="s">
        <v>1800</v>
      </c>
      <c r="AE177" s="1" t="s">
        <v>1286</v>
      </c>
      <c r="AF177" s="1" t="s">
        <v>1463</v>
      </c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2"/>
      <c r="AS177" s="1"/>
      <c r="AT177" s="1"/>
      <c r="AU177" s="1"/>
      <c r="AV177" s="1" t="s">
        <v>1942</v>
      </c>
      <c r="AW177" s="7">
        <v>43449.481738227129</v>
      </c>
      <c r="AX177" s="1"/>
      <c r="AY177" s="1"/>
      <c r="AZ177" s="5">
        <v>43466</v>
      </c>
      <c r="BA177" s="5">
        <v>43830</v>
      </c>
      <c r="BB177" s="1"/>
      <c r="BC177" s="1"/>
      <c r="BD177" s="1"/>
      <c r="BE177" s="1"/>
      <c r="BF177" s="1"/>
    </row>
    <row r="178" spans="1:58">
      <c r="A178" s="4">
        <v>173</v>
      </c>
      <c r="B178" s="2" t="str">
        <f>HYPERLINK("https://my.zakupki.prom.ua/remote/dispatcher/state_purchase_view/9595073", "UA-2018-12-28-000133-b")</f>
        <v>UA-2018-12-28-000133-b</v>
      </c>
      <c r="C178" s="2" t="s">
        <v>1459</v>
      </c>
      <c r="D178" s="1" t="s">
        <v>1609</v>
      </c>
      <c r="E178" s="1" t="s">
        <v>1609</v>
      </c>
      <c r="F178" s="1" t="s">
        <v>292</v>
      </c>
      <c r="G178" s="1" t="s">
        <v>1346</v>
      </c>
      <c r="H178" s="1" t="s">
        <v>1800</v>
      </c>
      <c r="I178" s="1" t="s">
        <v>1379</v>
      </c>
      <c r="J178" s="1" t="s">
        <v>819</v>
      </c>
      <c r="K178" s="1" t="s">
        <v>1287</v>
      </c>
      <c r="L178" s="1" t="s">
        <v>1224</v>
      </c>
      <c r="M178" s="1" t="s">
        <v>119</v>
      </c>
      <c r="N178" s="1" t="s">
        <v>119</v>
      </c>
      <c r="O178" s="1" t="s">
        <v>119</v>
      </c>
      <c r="P178" s="5">
        <v>43462</v>
      </c>
      <c r="Q178" s="5">
        <v>43462</v>
      </c>
      <c r="R178" s="5">
        <v>43468</v>
      </c>
      <c r="S178" s="5">
        <v>43468</v>
      </c>
      <c r="T178" s="5">
        <v>43474</v>
      </c>
      <c r="U178" s="1" t="s">
        <v>1923</v>
      </c>
      <c r="V178" s="4">
        <v>0</v>
      </c>
      <c r="W178" s="6">
        <v>126494</v>
      </c>
      <c r="X178" s="1" t="s">
        <v>1459</v>
      </c>
      <c r="Y178" s="4">
        <v>9022</v>
      </c>
      <c r="Z178" s="6">
        <v>14.02</v>
      </c>
      <c r="AA178" s="1" t="s">
        <v>1962</v>
      </c>
      <c r="AB178" s="6">
        <v>632.47</v>
      </c>
      <c r="AC178" s="1" t="s">
        <v>1124</v>
      </c>
      <c r="AD178" s="1" t="s">
        <v>1800</v>
      </c>
      <c r="AE178" s="1" t="s">
        <v>1286</v>
      </c>
      <c r="AF178" s="1" t="s">
        <v>1463</v>
      </c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2"/>
      <c r="AS178" s="1"/>
      <c r="AT178" s="1"/>
      <c r="AU178" s="1"/>
      <c r="AV178" s="1" t="s">
        <v>2002</v>
      </c>
      <c r="AW178" s="7">
        <v>43462.656896270695</v>
      </c>
      <c r="AX178" s="1"/>
      <c r="AY178" s="1"/>
      <c r="AZ178" s="5">
        <v>43466</v>
      </c>
      <c r="BA178" s="5">
        <v>43830</v>
      </c>
      <c r="BB178" s="1"/>
      <c r="BC178" s="1"/>
      <c r="BD178" s="1" t="s">
        <v>2003</v>
      </c>
      <c r="BE178" s="1"/>
      <c r="BF178" s="1"/>
    </row>
    <row r="179" spans="1:58">
      <c r="A179" s="4">
        <v>174</v>
      </c>
      <c r="B179" s="2" t="str">
        <f>HYPERLINK("https://my.zakupki.prom.ua/remote/dispatcher/state_purchase_view/10565266", "UA-2019-02-14-001543-b")</f>
        <v>UA-2019-02-14-001543-b</v>
      </c>
      <c r="C179" s="2" t="s">
        <v>1459</v>
      </c>
      <c r="D179" s="1" t="s">
        <v>738</v>
      </c>
      <c r="E179" s="1" t="s">
        <v>1449</v>
      </c>
      <c r="F179" s="1" t="s">
        <v>733</v>
      </c>
      <c r="G179" s="1" t="s">
        <v>1280</v>
      </c>
      <c r="H179" s="1" t="s">
        <v>1800</v>
      </c>
      <c r="I179" s="1" t="s">
        <v>1379</v>
      </c>
      <c r="J179" s="1" t="s">
        <v>819</v>
      </c>
      <c r="K179" s="1" t="s">
        <v>1287</v>
      </c>
      <c r="L179" s="1" t="s">
        <v>1224</v>
      </c>
      <c r="M179" s="1" t="s">
        <v>119</v>
      </c>
      <c r="N179" s="1" t="s">
        <v>119</v>
      </c>
      <c r="O179" s="1" t="s">
        <v>119</v>
      </c>
      <c r="P179" s="5">
        <v>43510</v>
      </c>
      <c r="Q179" s="5">
        <v>43510</v>
      </c>
      <c r="R179" s="5">
        <v>43515</v>
      </c>
      <c r="S179" s="5">
        <v>43510</v>
      </c>
      <c r="T179" s="5">
        <v>43525</v>
      </c>
      <c r="U179" s="7">
        <v>43528.491423611114</v>
      </c>
      <c r="V179" s="4">
        <v>2</v>
      </c>
      <c r="W179" s="6">
        <v>336862</v>
      </c>
      <c r="X179" s="1" t="s">
        <v>1459</v>
      </c>
      <c r="Y179" s="1" t="s">
        <v>1956</v>
      </c>
      <c r="Z179" s="1" t="s">
        <v>1956</v>
      </c>
      <c r="AA179" s="1" t="s">
        <v>1956</v>
      </c>
      <c r="AB179" s="6">
        <v>3368.62</v>
      </c>
      <c r="AC179" s="1" t="s">
        <v>1124</v>
      </c>
      <c r="AD179" s="1" t="s">
        <v>1800</v>
      </c>
      <c r="AE179" s="1" t="s">
        <v>1286</v>
      </c>
      <c r="AF179" s="1" t="s">
        <v>1463</v>
      </c>
      <c r="AG179" s="6">
        <v>331884.15000000002</v>
      </c>
      <c r="AH179" s="1" t="s">
        <v>1956</v>
      </c>
      <c r="AI179" s="1" t="s">
        <v>1704</v>
      </c>
      <c r="AJ179" s="6">
        <v>4977.8499999999767</v>
      </c>
      <c r="AK179" s="6">
        <v>1.4777119413884548E-2</v>
      </c>
      <c r="AL179" s="1" t="s">
        <v>1704</v>
      </c>
      <c r="AM179" s="1" t="s">
        <v>666</v>
      </c>
      <c r="AN179" s="1" t="s">
        <v>1157</v>
      </c>
      <c r="AO179" s="1" t="s">
        <v>67</v>
      </c>
      <c r="AP179" s="6">
        <v>4977.8499999999767</v>
      </c>
      <c r="AQ179" s="6">
        <v>1.4777119413884548E-2</v>
      </c>
      <c r="AR179" s="2" t="str">
        <f>HYPERLINK("https://auction.openprocurement.org/tenders/5958a980ad414d63af7b6406fdd015e5")</f>
        <v>https://auction.openprocurement.org/tenders/5958a980ad414d63af7b6406fdd015e5</v>
      </c>
      <c r="AS179" s="7">
        <v>43529.665819226444</v>
      </c>
      <c r="AT179" s="5">
        <v>43540</v>
      </c>
      <c r="AU179" s="5">
        <v>43550</v>
      </c>
      <c r="AV179" s="1" t="s">
        <v>1941</v>
      </c>
      <c r="AW179" s="7">
        <v>43542.630979852162</v>
      </c>
      <c r="AX179" s="1" t="s">
        <v>391</v>
      </c>
      <c r="AY179" s="6">
        <v>331884.15000000002</v>
      </c>
      <c r="AZ179" s="1"/>
      <c r="BA179" s="5">
        <v>43819</v>
      </c>
      <c r="BB179" s="7">
        <v>43830</v>
      </c>
      <c r="BC179" s="1" t="s">
        <v>1997</v>
      </c>
      <c r="BD179" s="1"/>
      <c r="BE179" s="1"/>
      <c r="BF179" s="1" t="s">
        <v>668</v>
      </c>
    </row>
    <row r="180" spans="1:58">
      <c r="A180" s="4">
        <v>175</v>
      </c>
      <c r="B180" s="2" t="str">
        <f>HYPERLINK("https://my.zakupki.prom.ua/remote/dispatcher/state_purchase_view/18297087", "UA-2020-08-04-004414-a")</f>
        <v>UA-2020-08-04-004414-a</v>
      </c>
      <c r="C180" s="2" t="s">
        <v>1459</v>
      </c>
      <c r="D180" s="1" t="s">
        <v>1931</v>
      </c>
      <c r="E180" s="1" t="s">
        <v>1931</v>
      </c>
      <c r="F180" s="1" t="s">
        <v>879</v>
      </c>
      <c r="G180" s="1" t="s">
        <v>1346</v>
      </c>
      <c r="H180" s="1" t="s">
        <v>1800</v>
      </c>
      <c r="I180" s="1" t="s">
        <v>1379</v>
      </c>
      <c r="J180" s="1" t="s">
        <v>819</v>
      </c>
      <c r="K180" s="1" t="s">
        <v>1287</v>
      </c>
      <c r="L180" s="1" t="s">
        <v>1216</v>
      </c>
      <c r="M180" s="1" t="s">
        <v>119</v>
      </c>
      <c r="N180" s="1" t="s">
        <v>119</v>
      </c>
      <c r="O180" s="1" t="s">
        <v>119</v>
      </c>
      <c r="P180" s="5">
        <v>44047</v>
      </c>
      <c r="Q180" s="5">
        <v>44047</v>
      </c>
      <c r="R180" s="5">
        <v>44053</v>
      </c>
      <c r="S180" s="5">
        <v>44053</v>
      </c>
      <c r="T180" s="5">
        <v>44057</v>
      </c>
      <c r="U180" s="1" t="s">
        <v>1923</v>
      </c>
      <c r="V180" s="4">
        <v>0</v>
      </c>
      <c r="W180" s="6">
        <v>4000</v>
      </c>
      <c r="X180" s="1" t="s">
        <v>1459</v>
      </c>
      <c r="Y180" s="4">
        <v>33</v>
      </c>
      <c r="Z180" s="6">
        <v>121.21</v>
      </c>
      <c r="AA180" s="1" t="s">
        <v>2024</v>
      </c>
      <c r="AB180" s="6">
        <v>20</v>
      </c>
      <c r="AC180" s="1" t="s">
        <v>1124</v>
      </c>
      <c r="AD180" s="1" t="s">
        <v>1800</v>
      </c>
      <c r="AE180" s="1" t="s">
        <v>1286</v>
      </c>
      <c r="AF180" s="1" t="s">
        <v>1463</v>
      </c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2"/>
      <c r="AS180" s="1"/>
      <c r="AT180" s="1"/>
      <c r="AU180" s="1"/>
      <c r="AV180" s="1" t="s">
        <v>1942</v>
      </c>
      <c r="AW180" s="7">
        <v>44057.667629647047</v>
      </c>
      <c r="AX180" s="1"/>
      <c r="AY180" s="1"/>
      <c r="AZ180" s="1"/>
      <c r="BA180" s="5">
        <v>44196</v>
      </c>
      <c r="BB180" s="1"/>
      <c r="BC180" s="1"/>
      <c r="BD180" s="1"/>
      <c r="BE180" s="1"/>
      <c r="BF180" s="1"/>
    </row>
    <row r="181" spans="1:58">
      <c r="A181" s="4">
        <v>176</v>
      </c>
      <c r="B181" s="2" t="str">
        <f>HYPERLINK("https://my.zakupki.prom.ua/remote/dispatcher/state_purchase_view/21782361", "UA-2020-12-04-014196-b")</f>
        <v>UA-2020-12-04-014196-b</v>
      </c>
      <c r="C181" s="2" t="s">
        <v>1459</v>
      </c>
      <c r="D181" s="1" t="s">
        <v>1348</v>
      </c>
      <c r="E181" s="1" t="s">
        <v>1348</v>
      </c>
      <c r="F181" s="1" t="s">
        <v>293</v>
      </c>
      <c r="G181" s="1" t="s">
        <v>1280</v>
      </c>
      <c r="H181" s="1" t="s">
        <v>1800</v>
      </c>
      <c r="I181" s="1" t="s">
        <v>1379</v>
      </c>
      <c r="J181" s="1" t="s">
        <v>819</v>
      </c>
      <c r="K181" s="1" t="s">
        <v>1287</v>
      </c>
      <c r="L181" s="1" t="s">
        <v>1216</v>
      </c>
      <c r="M181" s="1" t="s">
        <v>119</v>
      </c>
      <c r="N181" s="1" t="s">
        <v>119</v>
      </c>
      <c r="O181" s="1" t="s">
        <v>119</v>
      </c>
      <c r="P181" s="5">
        <v>44169</v>
      </c>
      <c r="Q181" s="5">
        <v>44169</v>
      </c>
      <c r="R181" s="5">
        <v>44175</v>
      </c>
      <c r="S181" s="5">
        <v>44169</v>
      </c>
      <c r="T181" s="5">
        <v>44185</v>
      </c>
      <c r="U181" s="1" t="s">
        <v>1923</v>
      </c>
      <c r="V181" s="4">
        <v>1</v>
      </c>
      <c r="W181" s="6">
        <v>414246.82</v>
      </c>
      <c r="X181" s="1" t="s">
        <v>1459</v>
      </c>
      <c r="Y181" s="4">
        <v>139009</v>
      </c>
      <c r="Z181" s="6">
        <v>2.98</v>
      </c>
      <c r="AA181" s="1" t="s">
        <v>1954</v>
      </c>
      <c r="AB181" s="6">
        <v>4142.47</v>
      </c>
      <c r="AC181" s="1" t="s">
        <v>1124</v>
      </c>
      <c r="AD181" s="1" t="s">
        <v>1800</v>
      </c>
      <c r="AE181" s="1" t="s">
        <v>1286</v>
      </c>
      <c r="AF181" s="1" t="s">
        <v>1463</v>
      </c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2"/>
      <c r="AS181" s="1"/>
      <c r="AT181" s="1"/>
      <c r="AU181" s="1"/>
      <c r="AV181" s="1" t="s">
        <v>1942</v>
      </c>
      <c r="AW181" s="7">
        <v>44185.000677373995</v>
      </c>
      <c r="AX181" s="1"/>
      <c r="AY181" s="1"/>
      <c r="AZ181" s="5">
        <v>44197</v>
      </c>
      <c r="BA181" s="5">
        <v>44561</v>
      </c>
      <c r="BB181" s="1"/>
      <c r="BC181" s="1"/>
      <c r="BD181" s="1"/>
      <c r="BE181" s="1"/>
      <c r="BF181" s="1" t="s">
        <v>952</v>
      </c>
    </row>
    <row r="182" spans="1:58">
      <c r="A182" s="4">
        <v>177</v>
      </c>
      <c r="B182" s="2" t="str">
        <f>HYPERLINK("https://my.zakupki.prom.ua/remote/dispatcher/state_purchase_view/14927334", "UA-2020-01-29-001686-b")</f>
        <v>UA-2020-01-29-001686-b</v>
      </c>
      <c r="C182" s="2" t="s">
        <v>1459</v>
      </c>
      <c r="D182" s="1" t="s">
        <v>1912</v>
      </c>
      <c r="E182" s="1" t="s">
        <v>1622</v>
      </c>
      <c r="F182" s="1" t="s">
        <v>626</v>
      </c>
      <c r="G182" s="1" t="s">
        <v>1364</v>
      </c>
      <c r="H182" s="1" t="s">
        <v>1800</v>
      </c>
      <c r="I182" s="1" t="s">
        <v>1379</v>
      </c>
      <c r="J182" s="1" t="s">
        <v>819</v>
      </c>
      <c r="K182" s="1" t="s">
        <v>1287</v>
      </c>
      <c r="L182" s="1" t="s">
        <v>1915</v>
      </c>
      <c r="M182" s="1" t="s">
        <v>119</v>
      </c>
      <c r="N182" s="1" t="s">
        <v>119</v>
      </c>
      <c r="O182" s="1" t="s">
        <v>119</v>
      </c>
      <c r="P182" s="5">
        <v>43859</v>
      </c>
      <c r="Q182" s="1"/>
      <c r="R182" s="1"/>
      <c r="S182" s="1"/>
      <c r="T182" s="1"/>
      <c r="U182" s="1" t="s">
        <v>1922</v>
      </c>
      <c r="V182" s="4">
        <v>1</v>
      </c>
      <c r="W182" s="6">
        <v>830</v>
      </c>
      <c r="X182" s="1" t="s">
        <v>1459</v>
      </c>
      <c r="Y182" s="4">
        <v>6</v>
      </c>
      <c r="Z182" s="6">
        <v>138.33000000000001</v>
      </c>
      <c r="AA182" s="1" t="s">
        <v>2024</v>
      </c>
      <c r="AB182" s="1" t="s">
        <v>1964</v>
      </c>
      <c r="AC182" s="1" t="s">
        <v>1124</v>
      </c>
      <c r="AD182" s="1" t="s">
        <v>1463</v>
      </c>
      <c r="AE182" s="1" t="s">
        <v>1286</v>
      </c>
      <c r="AF182" s="1" t="s">
        <v>1463</v>
      </c>
      <c r="AG182" s="6">
        <v>830</v>
      </c>
      <c r="AH182" s="6">
        <v>138.33333333333334</v>
      </c>
      <c r="AI182" s="1"/>
      <c r="AJ182" s="1"/>
      <c r="AK182" s="1"/>
      <c r="AL182" s="1" t="s">
        <v>1488</v>
      </c>
      <c r="AM182" s="1" t="s">
        <v>532</v>
      </c>
      <c r="AN182" s="1"/>
      <c r="AO182" s="1" t="s">
        <v>307</v>
      </c>
      <c r="AP182" s="1"/>
      <c r="AQ182" s="1"/>
      <c r="AR182" s="2"/>
      <c r="AS182" s="1"/>
      <c r="AT182" s="1"/>
      <c r="AU182" s="1"/>
      <c r="AV182" s="1" t="s">
        <v>1941</v>
      </c>
      <c r="AW182" s="7">
        <v>43859.51711328161</v>
      </c>
      <c r="AX182" s="1" t="s">
        <v>580</v>
      </c>
      <c r="AY182" s="6">
        <v>830</v>
      </c>
      <c r="AZ182" s="1"/>
      <c r="BA182" s="5">
        <v>43861</v>
      </c>
      <c r="BB182" s="7">
        <v>44196</v>
      </c>
      <c r="BC182" s="1" t="s">
        <v>1997</v>
      </c>
      <c r="BD182" s="1"/>
      <c r="BE182" s="1"/>
      <c r="BF182" s="1" t="s">
        <v>118</v>
      </c>
    </row>
    <row r="183" spans="1:58">
      <c r="A183" s="4">
        <v>178</v>
      </c>
      <c r="B183" s="2" t="str">
        <f>HYPERLINK("https://my.zakupki.prom.ua/remote/dispatcher/state_purchase_view/15416260", "UA-2020-02-21-001113-b")</f>
        <v>UA-2020-02-21-001113-b</v>
      </c>
      <c r="C183" s="2" t="s">
        <v>1459</v>
      </c>
      <c r="D183" s="1" t="s">
        <v>1425</v>
      </c>
      <c r="E183" s="1" t="s">
        <v>1613</v>
      </c>
      <c r="F183" s="1" t="s">
        <v>721</v>
      </c>
      <c r="G183" s="1" t="s">
        <v>1280</v>
      </c>
      <c r="H183" s="1" t="s">
        <v>1800</v>
      </c>
      <c r="I183" s="1" t="s">
        <v>1379</v>
      </c>
      <c r="J183" s="1" t="s">
        <v>819</v>
      </c>
      <c r="K183" s="1" t="s">
        <v>1287</v>
      </c>
      <c r="L183" s="1" t="s">
        <v>1216</v>
      </c>
      <c r="M183" s="1" t="s">
        <v>119</v>
      </c>
      <c r="N183" s="1" t="s">
        <v>119</v>
      </c>
      <c r="O183" s="1" t="s">
        <v>119</v>
      </c>
      <c r="P183" s="5">
        <v>43882</v>
      </c>
      <c r="Q183" s="5">
        <v>43882</v>
      </c>
      <c r="R183" s="5">
        <v>43891</v>
      </c>
      <c r="S183" s="5">
        <v>43882</v>
      </c>
      <c r="T183" s="5">
        <v>43901</v>
      </c>
      <c r="U183" s="7">
        <v>43902.474664351852</v>
      </c>
      <c r="V183" s="4">
        <v>2</v>
      </c>
      <c r="W183" s="6">
        <v>175464</v>
      </c>
      <c r="X183" s="1" t="s">
        <v>1459</v>
      </c>
      <c r="Y183" s="1" t="s">
        <v>1956</v>
      </c>
      <c r="Z183" s="1" t="s">
        <v>1956</v>
      </c>
      <c r="AA183" s="1" t="s">
        <v>1956</v>
      </c>
      <c r="AB183" s="6">
        <v>877.32</v>
      </c>
      <c r="AC183" s="1" t="s">
        <v>1124</v>
      </c>
      <c r="AD183" s="1" t="s">
        <v>1800</v>
      </c>
      <c r="AE183" s="1" t="s">
        <v>1286</v>
      </c>
      <c r="AF183" s="1" t="s">
        <v>1463</v>
      </c>
      <c r="AG183" s="6">
        <v>172898.8</v>
      </c>
      <c r="AH183" s="1" t="s">
        <v>1956</v>
      </c>
      <c r="AI183" s="1" t="s">
        <v>1865</v>
      </c>
      <c r="AJ183" s="6">
        <v>2565.2000000000116</v>
      </c>
      <c r="AK183" s="6">
        <v>1.4619523093056192E-2</v>
      </c>
      <c r="AL183" s="1" t="s">
        <v>1865</v>
      </c>
      <c r="AM183" s="1" t="s">
        <v>581</v>
      </c>
      <c r="AN183" s="1" t="s">
        <v>1136</v>
      </c>
      <c r="AO183" s="1" t="s">
        <v>99</v>
      </c>
      <c r="AP183" s="6">
        <v>2565.2000000000116</v>
      </c>
      <c r="AQ183" s="6">
        <v>1.4619523093056192E-2</v>
      </c>
      <c r="AR183" s="2" t="str">
        <f>HYPERLINK("https://auction.openprocurement.org/tenders/cea9deb46a514740bd584c28efecc018")</f>
        <v>https://auction.openprocurement.org/tenders/cea9deb46a514740bd584c28efecc018</v>
      </c>
      <c r="AS183" s="7">
        <v>43903.535294976238</v>
      </c>
      <c r="AT183" s="5">
        <v>43914</v>
      </c>
      <c r="AU183" s="5">
        <v>43924</v>
      </c>
      <c r="AV183" s="1" t="s">
        <v>1941</v>
      </c>
      <c r="AW183" s="7">
        <v>43916.52180235491</v>
      </c>
      <c r="AX183" s="1" t="s">
        <v>535</v>
      </c>
      <c r="AY183" s="6">
        <v>172898.8</v>
      </c>
      <c r="AZ183" s="1"/>
      <c r="BA183" s="5">
        <v>44196</v>
      </c>
      <c r="BB183" s="7">
        <v>44196</v>
      </c>
      <c r="BC183" s="1" t="s">
        <v>1997</v>
      </c>
      <c r="BD183" s="1"/>
      <c r="BE183" s="1"/>
      <c r="BF183" s="1" t="s">
        <v>585</v>
      </c>
    </row>
    <row r="184" spans="1:58">
      <c r="A184" s="4">
        <v>179</v>
      </c>
      <c r="B184" s="2" t="str">
        <f>HYPERLINK("https://my.zakupki.prom.ua/remote/dispatcher/state_purchase_view/15729806", "UA-2020-03-12-002526-b")</f>
        <v>UA-2020-03-12-002526-b</v>
      </c>
      <c r="C184" s="2" t="s">
        <v>1459</v>
      </c>
      <c r="D184" s="1" t="s">
        <v>1638</v>
      </c>
      <c r="E184" s="1" t="s">
        <v>1638</v>
      </c>
      <c r="F184" s="1" t="s">
        <v>1081</v>
      </c>
      <c r="G184" s="1" t="s">
        <v>1364</v>
      </c>
      <c r="H184" s="1" t="s">
        <v>1800</v>
      </c>
      <c r="I184" s="1" t="s">
        <v>1379</v>
      </c>
      <c r="J184" s="1" t="s">
        <v>819</v>
      </c>
      <c r="K184" s="1" t="s">
        <v>1287</v>
      </c>
      <c r="L184" s="1" t="s">
        <v>1216</v>
      </c>
      <c r="M184" s="1" t="s">
        <v>119</v>
      </c>
      <c r="N184" s="1" t="s">
        <v>119</v>
      </c>
      <c r="O184" s="1" t="s">
        <v>119</v>
      </c>
      <c r="P184" s="5">
        <v>43902</v>
      </c>
      <c r="Q184" s="1"/>
      <c r="R184" s="1"/>
      <c r="S184" s="1"/>
      <c r="T184" s="1"/>
      <c r="U184" s="1" t="s">
        <v>1922</v>
      </c>
      <c r="V184" s="4">
        <v>1</v>
      </c>
      <c r="W184" s="6">
        <v>2195.9299999999998</v>
      </c>
      <c r="X184" s="1" t="s">
        <v>1459</v>
      </c>
      <c r="Y184" s="4">
        <v>1</v>
      </c>
      <c r="Z184" s="6">
        <v>2195.9299999999998</v>
      </c>
      <c r="AA184" s="1" t="s">
        <v>1976</v>
      </c>
      <c r="AB184" s="1" t="s">
        <v>1964</v>
      </c>
      <c r="AC184" s="1" t="s">
        <v>1124</v>
      </c>
      <c r="AD184" s="1" t="s">
        <v>1800</v>
      </c>
      <c r="AE184" s="1" t="s">
        <v>1286</v>
      </c>
      <c r="AF184" s="1" t="s">
        <v>1463</v>
      </c>
      <c r="AG184" s="6">
        <v>2195.9299999999998</v>
      </c>
      <c r="AH184" s="6">
        <v>2195.9299999999998</v>
      </c>
      <c r="AI184" s="1"/>
      <c r="AJ184" s="1"/>
      <c r="AK184" s="1"/>
      <c r="AL184" s="1" t="s">
        <v>1743</v>
      </c>
      <c r="AM184" s="1" t="s">
        <v>778</v>
      </c>
      <c r="AN184" s="1"/>
      <c r="AO184" s="1" t="s">
        <v>214</v>
      </c>
      <c r="AP184" s="1"/>
      <c r="AQ184" s="1"/>
      <c r="AR184" s="2"/>
      <c r="AS184" s="1"/>
      <c r="AT184" s="1"/>
      <c r="AU184" s="1"/>
      <c r="AV184" s="1" t="s">
        <v>1941</v>
      </c>
      <c r="AW184" s="7">
        <v>43902.620054878244</v>
      </c>
      <c r="AX184" s="1" t="s">
        <v>342</v>
      </c>
      <c r="AY184" s="6">
        <v>2195.9299999999998</v>
      </c>
      <c r="AZ184" s="1"/>
      <c r="BA184" s="5">
        <v>43951</v>
      </c>
      <c r="BB184" s="7">
        <v>44196</v>
      </c>
      <c r="BC184" s="1" t="s">
        <v>1997</v>
      </c>
      <c r="BD184" s="1"/>
      <c r="BE184" s="1"/>
      <c r="BF184" s="1" t="s">
        <v>118</v>
      </c>
    </row>
    <row r="185" spans="1:58">
      <c r="A185" s="4">
        <v>180</v>
      </c>
      <c r="B185" s="2" t="str">
        <f>HYPERLINK("https://my.zakupki.prom.ua/remote/dispatcher/state_purchase_view/14473611", "UA-2020-01-14-001059-c")</f>
        <v>UA-2020-01-14-001059-c</v>
      </c>
      <c r="C185" s="2" t="s">
        <v>1459</v>
      </c>
      <c r="D185" s="1" t="s">
        <v>1480</v>
      </c>
      <c r="E185" s="1" t="s">
        <v>1080</v>
      </c>
      <c r="F185" s="1" t="s">
        <v>1080</v>
      </c>
      <c r="G185" s="1" t="s">
        <v>1364</v>
      </c>
      <c r="H185" s="1" t="s">
        <v>1800</v>
      </c>
      <c r="I185" s="1" t="s">
        <v>1379</v>
      </c>
      <c r="J185" s="1" t="s">
        <v>819</v>
      </c>
      <c r="K185" s="1" t="s">
        <v>1287</v>
      </c>
      <c r="L185" s="1" t="s">
        <v>1915</v>
      </c>
      <c r="M185" s="1" t="s">
        <v>119</v>
      </c>
      <c r="N185" s="1" t="s">
        <v>119</v>
      </c>
      <c r="O185" s="1" t="s">
        <v>119</v>
      </c>
      <c r="P185" s="5">
        <v>43844</v>
      </c>
      <c r="Q185" s="1"/>
      <c r="R185" s="1"/>
      <c r="S185" s="1"/>
      <c r="T185" s="1"/>
      <c r="U185" s="1" t="s">
        <v>1922</v>
      </c>
      <c r="V185" s="4">
        <v>1</v>
      </c>
      <c r="W185" s="6">
        <v>3960</v>
      </c>
      <c r="X185" s="1" t="s">
        <v>1459</v>
      </c>
      <c r="Y185" s="4">
        <v>1</v>
      </c>
      <c r="Z185" s="6">
        <v>3960</v>
      </c>
      <c r="AA185" s="1" t="s">
        <v>1976</v>
      </c>
      <c r="AB185" s="1" t="s">
        <v>1964</v>
      </c>
      <c r="AC185" s="1" t="s">
        <v>1124</v>
      </c>
      <c r="AD185" s="1" t="s">
        <v>1800</v>
      </c>
      <c r="AE185" s="1" t="s">
        <v>1286</v>
      </c>
      <c r="AF185" s="1" t="s">
        <v>1463</v>
      </c>
      <c r="AG185" s="6">
        <v>3960</v>
      </c>
      <c r="AH185" s="6">
        <v>3960</v>
      </c>
      <c r="AI185" s="1"/>
      <c r="AJ185" s="1"/>
      <c r="AK185" s="1"/>
      <c r="AL185" s="1" t="s">
        <v>1778</v>
      </c>
      <c r="AM185" s="1" t="s">
        <v>792</v>
      </c>
      <c r="AN185" s="1"/>
      <c r="AO185" s="1" t="s">
        <v>207</v>
      </c>
      <c r="AP185" s="1"/>
      <c r="AQ185" s="1"/>
      <c r="AR185" s="2"/>
      <c r="AS185" s="1"/>
      <c r="AT185" s="1"/>
      <c r="AU185" s="1"/>
      <c r="AV185" s="1" t="s">
        <v>1941</v>
      </c>
      <c r="AW185" s="7">
        <v>43844.51690482413</v>
      </c>
      <c r="AX185" s="1" t="s">
        <v>1389</v>
      </c>
      <c r="AY185" s="6">
        <v>3960</v>
      </c>
      <c r="AZ185" s="1"/>
      <c r="BA185" s="5">
        <v>44196</v>
      </c>
      <c r="BB185" s="7">
        <v>44196</v>
      </c>
      <c r="BC185" s="1" t="s">
        <v>1997</v>
      </c>
      <c r="BD185" s="1"/>
      <c r="BE185" s="1"/>
      <c r="BF185" s="1" t="s">
        <v>118</v>
      </c>
    </row>
    <row r="186" spans="1:58">
      <c r="A186" s="4">
        <v>181</v>
      </c>
      <c r="B186" s="2" t="str">
        <f>HYPERLINK("https://my.zakupki.prom.ua/remote/dispatcher/state_purchase_view/20026222", "UA-2020-10-12-004628-b")</f>
        <v>UA-2020-10-12-004628-b</v>
      </c>
      <c r="C186" s="2" t="s">
        <v>1459</v>
      </c>
      <c r="D186" s="1" t="s">
        <v>2022</v>
      </c>
      <c r="E186" s="1" t="s">
        <v>2022</v>
      </c>
      <c r="F186" s="1" t="s">
        <v>626</v>
      </c>
      <c r="G186" s="1" t="s">
        <v>1364</v>
      </c>
      <c r="H186" s="1" t="s">
        <v>1800</v>
      </c>
      <c r="I186" s="1" t="s">
        <v>1379</v>
      </c>
      <c r="J186" s="1" t="s">
        <v>819</v>
      </c>
      <c r="K186" s="1" t="s">
        <v>1287</v>
      </c>
      <c r="L186" s="1" t="s">
        <v>1216</v>
      </c>
      <c r="M186" s="1" t="s">
        <v>119</v>
      </c>
      <c r="N186" s="1" t="s">
        <v>119</v>
      </c>
      <c r="O186" s="1" t="s">
        <v>119</v>
      </c>
      <c r="P186" s="5">
        <v>44116</v>
      </c>
      <c r="Q186" s="1"/>
      <c r="R186" s="1"/>
      <c r="S186" s="1"/>
      <c r="T186" s="1"/>
      <c r="U186" s="1" t="s">
        <v>1922</v>
      </c>
      <c r="V186" s="4">
        <v>1</v>
      </c>
      <c r="W186" s="6">
        <v>400</v>
      </c>
      <c r="X186" s="1" t="s">
        <v>1459</v>
      </c>
      <c r="Y186" s="4">
        <v>3</v>
      </c>
      <c r="Z186" s="6">
        <v>133.33000000000001</v>
      </c>
      <c r="AA186" s="1" t="s">
        <v>2024</v>
      </c>
      <c r="AB186" s="1" t="s">
        <v>1964</v>
      </c>
      <c r="AC186" s="1" t="s">
        <v>1124</v>
      </c>
      <c r="AD186" s="1" t="s">
        <v>1463</v>
      </c>
      <c r="AE186" s="1" t="s">
        <v>1286</v>
      </c>
      <c r="AF186" s="1" t="s">
        <v>1463</v>
      </c>
      <c r="AG186" s="6">
        <v>400</v>
      </c>
      <c r="AH186" s="6">
        <v>133.33333333333334</v>
      </c>
      <c r="AI186" s="1"/>
      <c r="AJ186" s="1"/>
      <c r="AK186" s="1"/>
      <c r="AL186" s="1" t="s">
        <v>1488</v>
      </c>
      <c r="AM186" s="1" t="s">
        <v>532</v>
      </c>
      <c r="AN186" s="1"/>
      <c r="AO186" s="1" t="s">
        <v>307</v>
      </c>
      <c r="AP186" s="1"/>
      <c r="AQ186" s="1"/>
      <c r="AR186" s="2"/>
      <c r="AS186" s="1"/>
      <c r="AT186" s="1"/>
      <c r="AU186" s="1"/>
      <c r="AV186" s="1" t="s">
        <v>1941</v>
      </c>
      <c r="AW186" s="7">
        <v>44116.527198576448</v>
      </c>
      <c r="AX186" s="1" t="s">
        <v>287</v>
      </c>
      <c r="AY186" s="6">
        <v>400</v>
      </c>
      <c r="AZ186" s="1"/>
      <c r="BA186" s="5">
        <v>44134</v>
      </c>
      <c r="BB186" s="7">
        <v>44196</v>
      </c>
      <c r="BC186" s="1" t="s">
        <v>1997</v>
      </c>
      <c r="BD186" s="1"/>
      <c r="BE186" s="1"/>
      <c r="BF186" s="1" t="s">
        <v>118</v>
      </c>
    </row>
    <row r="187" spans="1:58">
      <c r="A187" s="4">
        <v>182</v>
      </c>
      <c r="B187" s="2" t="str">
        <f>HYPERLINK("https://my.zakupki.prom.ua/remote/dispatcher/state_purchase_view/19252892", "UA-2020-09-14-006543-b")</f>
        <v>UA-2020-09-14-006543-b</v>
      </c>
      <c r="C187" s="2" t="s">
        <v>1459</v>
      </c>
      <c r="D187" s="1" t="s">
        <v>1932</v>
      </c>
      <c r="E187" s="1" t="s">
        <v>1931</v>
      </c>
      <c r="F187" s="1" t="s">
        <v>879</v>
      </c>
      <c r="G187" s="1" t="s">
        <v>1364</v>
      </c>
      <c r="H187" s="1" t="s">
        <v>1800</v>
      </c>
      <c r="I187" s="1" t="s">
        <v>1379</v>
      </c>
      <c r="J187" s="1" t="s">
        <v>819</v>
      </c>
      <c r="K187" s="1" t="s">
        <v>1287</v>
      </c>
      <c r="L187" s="1" t="s">
        <v>1216</v>
      </c>
      <c r="M187" s="1" t="s">
        <v>119</v>
      </c>
      <c r="N187" s="1" t="s">
        <v>119</v>
      </c>
      <c r="O187" s="1" t="s">
        <v>119</v>
      </c>
      <c r="P187" s="5">
        <v>44088</v>
      </c>
      <c r="Q187" s="1"/>
      <c r="R187" s="1"/>
      <c r="S187" s="1"/>
      <c r="T187" s="1"/>
      <c r="U187" s="1" t="s">
        <v>1922</v>
      </c>
      <c r="V187" s="4">
        <v>1</v>
      </c>
      <c r="W187" s="6">
        <v>3665</v>
      </c>
      <c r="X187" s="1" t="s">
        <v>1459</v>
      </c>
      <c r="Y187" s="4">
        <v>33</v>
      </c>
      <c r="Z187" s="6">
        <v>111.06</v>
      </c>
      <c r="AA187" s="1" t="s">
        <v>2024</v>
      </c>
      <c r="AB187" s="1" t="s">
        <v>1964</v>
      </c>
      <c r="AC187" s="1" t="s">
        <v>1124</v>
      </c>
      <c r="AD187" s="1" t="s">
        <v>1463</v>
      </c>
      <c r="AE187" s="1" t="s">
        <v>1286</v>
      </c>
      <c r="AF187" s="1" t="s">
        <v>1463</v>
      </c>
      <c r="AG187" s="6">
        <v>3665</v>
      </c>
      <c r="AH187" s="6">
        <v>111.06060606060606</v>
      </c>
      <c r="AI187" s="1"/>
      <c r="AJ187" s="1"/>
      <c r="AK187" s="1"/>
      <c r="AL187" s="1" t="s">
        <v>1466</v>
      </c>
      <c r="AM187" s="1" t="s">
        <v>723</v>
      </c>
      <c r="AN187" s="1"/>
      <c r="AO187" s="1" t="s">
        <v>254</v>
      </c>
      <c r="AP187" s="1"/>
      <c r="AQ187" s="1"/>
      <c r="AR187" s="2"/>
      <c r="AS187" s="1"/>
      <c r="AT187" s="1"/>
      <c r="AU187" s="1"/>
      <c r="AV187" s="1" t="s">
        <v>1941</v>
      </c>
      <c r="AW187" s="7">
        <v>44088.626509835325</v>
      </c>
      <c r="AX187" s="1" t="s">
        <v>352</v>
      </c>
      <c r="AY187" s="6">
        <v>3665</v>
      </c>
      <c r="AZ187" s="1"/>
      <c r="BA187" s="5">
        <v>44196</v>
      </c>
      <c r="BB187" s="7">
        <v>44196</v>
      </c>
      <c r="BC187" s="1" t="s">
        <v>1997</v>
      </c>
      <c r="BD187" s="1"/>
      <c r="BE187" s="1"/>
      <c r="BF187" s="1" t="s">
        <v>118</v>
      </c>
    </row>
    <row r="188" spans="1:58">
      <c r="A188" s="4">
        <v>183</v>
      </c>
      <c r="B188" s="2" t="str">
        <f>HYPERLINK("https://my.zakupki.prom.ua/remote/dispatcher/state_purchase_view/22361488", "UA-2020-12-18-004180-c")</f>
        <v>UA-2020-12-18-004180-c</v>
      </c>
      <c r="C188" s="2" t="s">
        <v>1459</v>
      </c>
      <c r="D188" s="1" t="s">
        <v>1222</v>
      </c>
      <c r="E188" s="1" t="s">
        <v>1222</v>
      </c>
      <c r="F188" s="1" t="s">
        <v>403</v>
      </c>
      <c r="G188" s="1" t="s">
        <v>1364</v>
      </c>
      <c r="H188" s="1" t="s">
        <v>1800</v>
      </c>
      <c r="I188" s="1" t="s">
        <v>1379</v>
      </c>
      <c r="J188" s="1" t="s">
        <v>819</v>
      </c>
      <c r="K188" s="1" t="s">
        <v>1287</v>
      </c>
      <c r="L188" s="1" t="s">
        <v>1216</v>
      </c>
      <c r="M188" s="1" t="s">
        <v>119</v>
      </c>
      <c r="N188" s="1" t="s">
        <v>119</v>
      </c>
      <c r="O188" s="1" t="s">
        <v>119</v>
      </c>
      <c r="P188" s="5">
        <v>44183</v>
      </c>
      <c r="Q188" s="1"/>
      <c r="R188" s="1"/>
      <c r="S188" s="1"/>
      <c r="T188" s="1"/>
      <c r="U188" s="1" t="s">
        <v>1922</v>
      </c>
      <c r="V188" s="4">
        <v>1</v>
      </c>
      <c r="W188" s="6">
        <v>12285.6</v>
      </c>
      <c r="X188" s="1" t="s">
        <v>1459</v>
      </c>
      <c r="Y188" s="4">
        <v>6</v>
      </c>
      <c r="Z188" s="6">
        <v>2047.6</v>
      </c>
      <c r="AA188" s="1" t="s">
        <v>2024</v>
      </c>
      <c r="AB188" s="1" t="s">
        <v>1964</v>
      </c>
      <c r="AC188" s="1" t="s">
        <v>1124</v>
      </c>
      <c r="AD188" s="1" t="s">
        <v>1800</v>
      </c>
      <c r="AE188" s="1" t="s">
        <v>1286</v>
      </c>
      <c r="AF188" s="1" t="s">
        <v>1463</v>
      </c>
      <c r="AG188" s="6">
        <v>12285.6</v>
      </c>
      <c r="AH188" s="6">
        <v>2047.6000000000001</v>
      </c>
      <c r="AI188" s="1"/>
      <c r="AJ188" s="1"/>
      <c r="AK188" s="1"/>
      <c r="AL188" s="1" t="s">
        <v>1261</v>
      </c>
      <c r="AM188" s="1" t="s">
        <v>642</v>
      </c>
      <c r="AN188" s="1"/>
      <c r="AO188" s="1" t="s">
        <v>214</v>
      </c>
      <c r="AP188" s="1"/>
      <c r="AQ188" s="1"/>
      <c r="AR188" s="2"/>
      <c r="AS188" s="1"/>
      <c r="AT188" s="1"/>
      <c r="AU188" s="1"/>
      <c r="AV188" s="1" t="s">
        <v>1941</v>
      </c>
      <c r="AW188" s="7">
        <v>44183.464624449989</v>
      </c>
      <c r="AX188" s="1" t="s">
        <v>377</v>
      </c>
      <c r="AY188" s="6">
        <v>12285.6</v>
      </c>
      <c r="AZ188" s="1"/>
      <c r="BA188" s="5">
        <v>44187</v>
      </c>
      <c r="BB188" s="7">
        <v>44196</v>
      </c>
      <c r="BC188" s="1" t="s">
        <v>1997</v>
      </c>
      <c r="BD188" s="1"/>
      <c r="BE188" s="1"/>
      <c r="BF188" s="1" t="s">
        <v>118</v>
      </c>
    </row>
    <row r="189" spans="1:58">
      <c r="A189" s="4">
        <v>184</v>
      </c>
      <c r="B189" s="2" t="str">
        <f>HYPERLINK("https://my.zakupki.prom.ua/remote/dispatcher/state_purchase_view/22050067", "UA-2020-12-11-005950-c")</f>
        <v>UA-2020-12-11-005950-c</v>
      </c>
      <c r="C189" s="2" t="s">
        <v>1459</v>
      </c>
      <c r="D189" s="1" t="s">
        <v>1947</v>
      </c>
      <c r="E189" s="1" t="s">
        <v>1947</v>
      </c>
      <c r="F189" s="1" t="s">
        <v>624</v>
      </c>
      <c r="G189" s="1" t="s">
        <v>1364</v>
      </c>
      <c r="H189" s="1" t="s">
        <v>1800</v>
      </c>
      <c r="I189" s="1" t="s">
        <v>1379</v>
      </c>
      <c r="J189" s="1" t="s">
        <v>819</v>
      </c>
      <c r="K189" s="1" t="s">
        <v>1287</v>
      </c>
      <c r="L189" s="1" t="s">
        <v>1216</v>
      </c>
      <c r="M189" s="1" t="s">
        <v>119</v>
      </c>
      <c r="N189" s="1" t="s">
        <v>119</v>
      </c>
      <c r="O189" s="1" t="s">
        <v>119</v>
      </c>
      <c r="P189" s="5">
        <v>44176</v>
      </c>
      <c r="Q189" s="1"/>
      <c r="R189" s="1"/>
      <c r="S189" s="1"/>
      <c r="T189" s="1"/>
      <c r="U189" s="1" t="s">
        <v>1922</v>
      </c>
      <c r="V189" s="4">
        <v>1</v>
      </c>
      <c r="W189" s="6">
        <v>21984.48</v>
      </c>
      <c r="X189" s="1" t="s">
        <v>1459</v>
      </c>
      <c r="Y189" s="4">
        <v>12</v>
      </c>
      <c r="Z189" s="6">
        <v>1832.04</v>
      </c>
      <c r="AA189" s="1" t="s">
        <v>2024</v>
      </c>
      <c r="AB189" s="1" t="s">
        <v>1964</v>
      </c>
      <c r="AC189" s="1" t="s">
        <v>1124</v>
      </c>
      <c r="AD189" s="1" t="s">
        <v>1800</v>
      </c>
      <c r="AE189" s="1" t="s">
        <v>1286</v>
      </c>
      <c r="AF189" s="1" t="s">
        <v>1463</v>
      </c>
      <c r="AG189" s="6">
        <v>21984.48</v>
      </c>
      <c r="AH189" s="6">
        <v>1832.04</v>
      </c>
      <c r="AI189" s="1"/>
      <c r="AJ189" s="1"/>
      <c r="AK189" s="1"/>
      <c r="AL189" s="1" t="s">
        <v>1503</v>
      </c>
      <c r="AM189" s="1" t="s">
        <v>798</v>
      </c>
      <c r="AN189" s="1"/>
      <c r="AO189" s="1" t="s">
        <v>260</v>
      </c>
      <c r="AP189" s="1"/>
      <c r="AQ189" s="1"/>
      <c r="AR189" s="2"/>
      <c r="AS189" s="1"/>
      <c r="AT189" s="1"/>
      <c r="AU189" s="1"/>
      <c r="AV189" s="1" t="s">
        <v>1941</v>
      </c>
      <c r="AW189" s="7">
        <v>44176.500773773645</v>
      </c>
      <c r="AX189" s="1" t="s">
        <v>124</v>
      </c>
      <c r="AY189" s="6">
        <v>21984.48</v>
      </c>
      <c r="AZ189" s="1"/>
      <c r="BA189" s="5">
        <v>44186</v>
      </c>
      <c r="BB189" s="7">
        <v>44196</v>
      </c>
      <c r="BC189" s="1" t="s">
        <v>1997</v>
      </c>
      <c r="BD189" s="1"/>
      <c r="BE189" s="1"/>
      <c r="BF189" s="1" t="s">
        <v>118</v>
      </c>
    </row>
    <row r="190" spans="1:58">
      <c r="A190" s="4">
        <v>185</v>
      </c>
      <c r="B190" s="2" t="str">
        <f>HYPERLINK("https://my.zakupki.prom.ua/remote/dispatcher/state_purchase_view/22356035", "UA-2020-12-18-002633-c")</f>
        <v>UA-2020-12-18-002633-c</v>
      </c>
      <c r="C190" s="2" t="s">
        <v>1459</v>
      </c>
      <c r="D190" s="1" t="s">
        <v>1518</v>
      </c>
      <c r="E190" s="1" t="s">
        <v>1519</v>
      </c>
      <c r="F190" s="1" t="s">
        <v>721</v>
      </c>
      <c r="G190" s="1" t="s">
        <v>1364</v>
      </c>
      <c r="H190" s="1" t="s">
        <v>1800</v>
      </c>
      <c r="I190" s="1" t="s">
        <v>1379</v>
      </c>
      <c r="J190" s="1" t="s">
        <v>819</v>
      </c>
      <c r="K190" s="1" t="s">
        <v>1287</v>
      </c>
      <c r="L190" s="1" t="s">
        <v>1216</v>
      </c>
      <c r="M190" s="1" t="s">
        <v>119</v>
      </c>
      <c r="N190" s="1" t="s">
        <v>119</v>
      </c>
      <c r="O190" s="1" t="s">
        <v>119</v>
      </c>
      <c r="P190" s="5">
        <v>44183</v>
      </c>
      <c r="Q190" s="1"/>
      <c r="R190" s="1"/>
      <c r="S190" s="1"/>
      <c r="T190" s="1"/>
      <c r="U190" s="1" t="s">
        <v>1922</v>
      </c>
      <c r="V190" s="4">
        <v>1</v>
      </c>
      <c r="W190" s="6">
        <v>24400</v>
      </c>
      <c r="X190" s="1" t="s">
        <v>1459</v>
      </c>
      <c r="Y190" s="4">
        <v>2</v>
      </c>
      <c r="Z190" s="6">
        <v>12200</v>
      </c>
      <c r="AA190" s="1" t="s">
        <v>2024</v>
      </c>
      <c r="AB190" s="1" t="s">
        <v>1964</v>
      </c>
      <c r="AC190" s="1" t="s">
        <v>1124</v>
      </c>
      <c r="AD190" s="1" t="s">
        <v>1800</v>
      </c>
      <c r="AE190" s="1" t="s">
        <v>1286</v>
      </c>
      <c r="AF190" s="1" t="s">
        <v>1463</v>
      </c>
      <c r="AG190" s="6">
        <v>24400</v>
      </c>
      <c r="AH190" s="6">
        <v>12200</v>
      </c>
      <c r="AI190" s="1"/>
      <c r="AJ190" s="1"/>
      <c r="AK190" s="1"/>
      <c r="AL190" s="1" t="s">
        <v>1500</v>
      </c>
      <c r="AM190" s="1" t="s">
        <v>934</v>
      </c>
      <c r="AN190" s="1"/>
      <c r="AO190" s="1" t="s">
        <v>177</v>
      </c>
      <c r="AP190" s="1"/>
      <c r="AQ190" s="1"/>
      <c r="AR190" s="2"/>
      <c r="AS190" s="1"/>
      <c r="AT190" s="1"/>
      <c r="AU190" s="1"/>
      <c r="AV190" s="1" t="s">
        <v>1941</v>
      </c>
      <c r="AW190" s="7">
        <v>44183.426738217175</v>
      </c>
      <c r="AX190" s="1" t="s">
        <v>421</v>
      </c>
      <c r="AY190" s="6">
        <v>24400</v>
      </c>
      <c r="AZ190" s="1"/>
      <c r="BA190" s="5">
        <v>44187</v>
      </c>
      <c r="BB190" s="7">
        <v>44196</v>
      </c>
      <c r="BC190" s="1" t="s">
        <v>1997</v>
      </c>
      <c r="BD190" s="1"/>
      <c r="BE190" s="1"/>
      <c r="BF190" s="1" t="s">
        <v>118</v>
      </c>
    </row>
    <row r="191" spans="1:58">
      <c r="A191" s="4">
        <v>186</v>
      </c>
      <c r="B191" s="2" t="str">
        <f>HYPERLINK("https://my.zakupki.prom.ua/remote/dispatcher/state_purchase_view/23039677", "UA-2021-01-19-000035-a")</f>
        <v>UA-2021-01-19-000035-a</v>
      </c>
      <c r="C191" s="2" t="s">
        <v>1459</v>
      </c>
      <c r="D191" s="1" t="s">
        <v>1572</v>
      </c>
      <c r="E191" s="1" t="s">
        <v>1572</v>
      </c>
      <c r="F191" s="1" t="s">
        <v>1020</v>
      </c>
      <c r="G191" s="1" t="s">
        <v>1364</v>
      </c>
      <c r="H191" s="1" t="s">
        <v>1800</v>
      </c>
      <c r="I191" s="1" t="s">
        <v>1379</v>
      </c>
      <c r="J191" s="1" t="s">
        <v>819</v>
      </c>
      <c r="K191" s="1" t="s">
        <v>1287</v>
      </c>
      <c r="L191" s="1" t="s">
        <v>1216</v>
      </c>
      <c r="M191" s="1" t="s">
        <v>119</v>
      </c>
      <c r="N191" s="1" t="s">
        <v>119</v>
      </c>
      <c r="O191" s="1" t="s">
        <v>119</v>
      </c>
      <c r="P191" s="5">
        <v>44215</v>
      </c>
      <c r="Q191" s="1"/>
      <c r="R191" s="1"/>
      <c r="S191" s="1"/>
      <c r="T191" s="1"/>
      <c r="U191" s="1" t="s">
        <v>1922</v>
      </c>
      <c r="V191" s="4">
        <v>1</v>
      </c>
      <c r="W191" s="6">
        <v>732.6</v>
      </c>
      <c r="X191" s="1" t="s">
        <v>1459</v>
      </c>
      <c r="Y191" s="4">
        <v>1</v>
      </c>
      <c r="Z191" s="6">
        <v>732.6</v>
      </c>
      <c r="AA191" s="1" t="s">
        <v>1976</v>
      </c>
      <c r="AB191" s="1" t="s">
        <v>1964</v>
      </c>
      <c r="AC191" s="1" t="s">
        <v>1124</v>
      </c>
      <c r="AD191" s="1" t="s">
        <v>1800</v>
      </c>
      <c r="AE191" s="1" t="s">
        <v>1286</v>
      </c>
      <c r="AF191" s="1" t="s">
        <v>1463</v>
      </c>
      <c r="AG191" s="6">
        <v>732.6</v>
      </c>
      <c r="AH191" s="6">
        <v>732.6</v>
      </c>
      <c r="AI191" s="1"/>
      <c r="AJ191" s="1"/>
      <c r="AK191" s="1"/>
      <c r="AL191" s="1" t="s">
        <v>1225</v>
      </c>
      <c r="AM191" s="1" t="s">
        <v>480</v>
      </c>
      <c r="AN191" s="1"/>
      <c r="AO191" s="1" t="s">
        <v>198</v>
      </c>
      <c r="AP191" s="1"/>
      <c r="AQ191" s="1"/>
      <c r="AR191" s="2"/>
      <c r="AS191" s="1"/>
      <c r="AT191" s="1"/>
      <c r="AU191" s="1"/>
      <c r="AV191" s="1" t="s">
        <v>1941</v>
      </c>
      <c r="AW191" s="7">
        <v>44215.343262051647</v>
      </c>
      <c r="AX191" s="1" t="s">
        <v>1017</v>
      </c>
      <c r="AY191" s="6">
        <v>732.6</v>
      </c>
      <c r="AZ191" s="1"/>
      <c r="BA191" s="5">
        <v>44243</v>
      </c>
      <c r="BB191" s="7">
        <v>44561</v>
      </c>
      <c r="BC191" s="1" t="s">
        <v>1997</v>
      </c>
      <c r="BD191" s="1"/>
      <c r="BE191" s="1"/>
      <c r="BF191" s="1" t="s">
        <v>118</v>
      </c>
    </row>
    <row r="192" spans="1:58">
      <c r="A192" s="4">
        <v>187</v>
      </c>
      <c r="B192" s="2" t="str">
        <f>HYPERLINK("https://my.zakupki.prom.ua/remote/dispatcher/state_purchase_view/21393000", "UA-2020-11-24-012432-c")</f>
        <v>UA-2020-11-24-012432-c</v>
      </c>
      <c r="C192" s="2" t="s">
        <v>1459</v>
      </c>
      <c r="D192" s="1" t="s">
        <v>2010</v>
      </c>
      <c r="E192" s="1" t="s">
        <v>2010</v>
      </c>
      <c r="F192" s="1" t="s">
        <v>1080</v>
      </c>
      <c r="G192" s="1" t="s">
        <v>1364</v>
      </c>
      <c r="H192" s="1" t="s">
        <v>1800</v>
      </c>
      <c r="I192" s="1" t="s">
        <v>1379</v>
      </c>
      <c r="J192" s="1" t="s">
        <v>819</v>
      </c>
      <c r="K192" s="1" t="s">
        <v>1287</v>
      </c>
      <c r="L192" s="1" t="s">
        <v>1216</v>
      </c>
      <c r="M192" s="1" t="s">
        <v>119</v>
      </c>
      <c r="N192" s="1" t="s">
        <v>119</v>
      </c>
      <c r="O192" s="1" t="s">
        <v>119</v>
      </c>
      <c r="P192" s="5">
        <v>44159</v>
      </c>
      <c r="Q192" s="1"/>
      <c r="R192" s="1"/>
      <c r="S192" s="1"/>
      <c r="T192" s="1"/>
      <c r="U192" s="1" t="s">
        <v>1922</v>
      </c>
      <c r="V192" s="4">
        <v>1</v>
      </c>
      <c r="W192" s="6">
        <v>1200</v>
      </c>
      <c r="X192" s="1" t="s">
        <v>1459</v>
      </c>
      <c r="Y192" s="4">
        <v>1</v>
      </c>
      <c r="Z192" s="6">
        <v>1200</v>
      </c>
      <c r="AA192" s="1" t="s">
        <v>1976</v>
      </c>
      <c r="AB192" s="1" t="s">
        <v>1964</v>
      </c>
      <c r="AC192" s="1" t="s">
        <v>1124</v>
      </c>
      <c r="AD192" s="1" t="s">
        <v>1800</v>
      </c>
      <c r="AE192" s="1" t="s">
        <v>1286</v>
      </c>
      <c r="AF192" s="1" t="s">
        <v>1463</v>
      </c>
      <c r="AG192" s="6">
        <v>1200</v>
      </c>
      <c r="AH192" s="6">
        <v>1200</v>
      </c>
      <c r="AI192" s="1"/>
      <c r="AJ192" s="1"/>
      <c r="AK192" s="1"/>
      <c r="AL192" s="1" t="s">
        <v>1752</v>
      </c>
      <c r="AM192" s="1" t="s">
        <v>694</v>
      </c>
      <c r="AN192" s="1"/>
      <c r="AO192" s="1" t="s">
        <v>185</v>
      </c>
      <c r="AP192" s="1"/>
      <c r="AQ192" s="1"/>
      <c r="AR192" s="2"/>
      <c r="AS192" s="1"/>
      <c r="AT192" s="1"/>
      <c r="AU192" s="1"/>
      <c r="AV192" s="1" t="s">
        <v>1941</v>
      </c>
      <c r="AW192" s="7">
        <v>44159.656103898087</v>
      </c>
      <c r="AX192" s="1" t="s">
        <v>1253</v>
      </c>
      <c r="AY192" s="6">
        <v>1200</v>
      </c>
      <c r="AZ192" s="1"/>
      <c r="BA192" s="5">
        <v>44196</v>
      </c>
      <c r="BB192" s="7">
        <v>44196</v>
      </c>
      <c r="BC192" s="1" t="s">
        <v>1997</v>
      </c>
      <c r="BD192" s="1"/>
      <c r="BE192" s="1"/>
      <c r="BF192" s="1" t="s">
        <v>118</v>
      </c>
    </row>
    <row r="193" spans="1:58">
      <c r="A193" s="4">
        <v>188</v>
      </c>
      <c r="B193" s="2" t="str">
        <f>HYPERLINK("https://my.zakupki.prom.ua/remote/dispatcher/state_purchase_view/21037754", "UA-2020-11-13-000620-c")</f>
        <v>UA-2020-11-13-000620-c</v>
      </c>
      <c r="C193" s="2" t="s">
        <v>1459</v>
      </c>
      <c r="D193" s="1" t="s">
        <v>1586</v>
      </c>
      <c r="E193" s="1" t="s">
        <v>1586</v>
      </c>
      <c r="F193" s="1" t="s">
        <v>1047</v>
      </c>
      <c r="G193" s="1" t="s">
        <v>1364</v>
      </c>
      <c r="H193" s="1" t="s">
        <v>1800</v>
      </c>
      <c r="I193" s="1" t="s">
        <v>1379</v>
      </c>
      <c r="J193" s="1" t="s">
        <v>819</v>
      </c>
      <c r="K193" s="1" t="s">
        <v>1287</v>
      </c>
      <c r="L193" s="1" t="s">
        <v>1216</v>
      </c>
      <c r="M193" s="1" t="s">
        <v>119</v>
      </c>
      <c r="N193" s="1" t="s">
        <v>119</v>
      </c>
      <c r="O193" s="1" t="s">
        <v>119</v>
      </c>
      <c r="P193" s="5">
        <v>44148</v>
      </c>
      <c r="Q193" s="1"/>
      <c r="R193" s="1"/>
      <c r="S193" s="1"/>
      <c r="T193" s="1"/>
      <c r="U193" s="1" t="s">
        <v>1922</v>
      </c>
      <c r="V193" s="4">
        <v>1</v>
      </c>
      <c r="W193" s="6">
        <v>6330</v>
      </c>
      <c r="X193" s="1" t="s">
        <v>1459</v>
      </c>
      <c r="Y193" s="4">
        <v>1</v>
      </c>
      <c r="Z193" s="6">
        <v>6330</v>
      </c>
      <c r="AA193" s="1" t="s">
        <v>1976</v>
      </c>
      <c r="AB193" s="1" t="s">
        <v>1964</v>
      </c>
      <c r="AC193" s="1" t="s">
        <v>1124</v>
      </c>
      <c r="AD193" s="1" t="s">
        <v>1800</v>
      </c>
      <c r="AE193" s="1" t="s">
        <v>1286</v>
      </c>
      <c r="AF193" s="1" t="s">
        <v>1463</v>
      </c>
      <c r="AG193" s="6">
        <v>6330</v>
      </c>
      <c r="AH193" s="6">
        <v>6330</v>
      </c>
      <c r="AI193" s="1"/>
      <c r="AJ193" s="1"/>
      <c r="AK193" s="1"/>
      <c r="AL193" s="1" t="s">
        <v>1781</v>
      </c>
      <c r="AM193" s="1" t="s">
        <v>957</v>
      </c>
      <c r="AN193" s="1"/>
      <c r="AO193" s="1" t="s">
        <v>312</v>
      </c>
      <c r="AP193" s="1"/>
      <c r="AQ193" s="1"/>
      <c r="AR193" s="2"/>
      <c r="AS193" s="1"/>
      <c r="AT193" s="1"/>
      <c r="AU193" s="1"/>
      <c r="AV193" s="1" t="s">
        <v>1941</v>
      </c>
      <c r="AW193" s="7">
        <v>44148.37906739911</v>
      </c>
      <c r="AX193" s="1" t="s">
        <v>1653</v>
      </c>
      <c r="AY193" s="6">
        <v>6330</v>
      </c>
      <c r="AZ193" s="1"/>
      <c r="BA193" s="5">
        <v>44196</v>
      </c>
      <c r="BB193" s="7">
        <v>44196</v>
      </c>
      <c r="BC193" s="1" t="s">
        <v>1997</v>
      </c>
      <c r="BD193" s="1"/>
      <c r="BE193" s="1"/>
      <c r="BF193" s="1" t="s">
        <v>118</v>
      </c>
    </row>
    <row r="194" spans="1:58">
      <c r="A194" s="4">
        <v>189</v>
      </c>
      <c r="B194" s="2" t="str">
        <f>HYPERLINK("https://my.zakupki.prom.ua/remote/dispatcher/state_purchase_view/14196610", "UA-2019-12-20-002904-b")</f>
        <v>UA-2019-12-20-002904-b</v>
      </c>
      <c r="C194" s="2" t="s">
        <v>1459</v>
      </c>
      <c r="D194" s="1" t="s">
        <v>1806</v>
      </c>
      <c r="E194" s="1" t="s">
        <v>295</v>
      </c>
      <c r="F194" s="1" t="s">
        <v>294</v>
      </c>
      <c r="G194" s="1" t="s">
        <v>1513</v>
      </c>
      <c r="H194" s="1" t="s">
        <v>1800</v>
      </c>
      <c r="I194" s="1" t="s">
        <v>1379</v>
      </c>
      <c r="J194" s="1" t="s">
        <v>819</v>
      </c>
      <c r="K194" s="1" t="s">
        <v>1287</v>
      </c>
      <c r="L194" s="1" t="s">
        <v>1915</v>
      </c>
      <c r="M194" s="1" t="s">
        <v>119</v>
      </c>
      <c r="N194" s="1" t="s">
        <v>119</v>
      </c>
      <c r="O194" s="1" t="s">
        <v>119</v>
      </c>
      <c r="P194" s="5">
        <v>43819</v>
      </c>
      <c r="Q194" s="1"/>
      <c r="R194" s="1"/>
      <c r="S194" s="1"/>
      <c r="T194" s="1"/>
      <c r="U194" s="1" t="s">
        <v>1922</v>
      </c>
      <c r="V194" s="4">
        <v>1</v>
      </c>
      <c r="W194" s="6">
        <v>749653.77</v>
      </c>
      <c r="X194" s="1" t="s">
        <v>1459</v>
      </c>
      <c r="Y194" s="4">
        <v>478</v>
      </c>
      <c r="Z194" s="6">
        <v>1568.31</v>
      </c>
      <c r="AA194" s="1" t="s">
        <v>1933</v>
      </c>
      <c r="AB194" s="1" t="s">
        <v>1964</v>
      </c>
      <c r="AC194" s="1" t="s">
        <v>1124</v>
      </c>
      <c r="AD194" s="1" t="s">
        <v>1800</v>
      </c>
      <c r="AE194" s="1" t="s">
        <v>1286</v>
      </c>
      <c r="AF194" s="1" t="s">
        <v>1463</v>
      </c>
      <c r="AG194" s="6">
        <v>749653.77</v>
      </c>
      <c r="AH194" s="6">
        <v>1568.3133263598327</v>
      </c>
      <c r="AI194" s="1"/>
      <c r="AJ194" s="1"/>
      <c r="AK194" s="1"/>
      <c r="AL194" s="1" t="s">
        <v>1385</v>
      </c>
      <c r="AM194" s="1" t="s">
        <v>696</v>
      </c>
      <c r="AN194" s="1"/>
      <c r="AO194" s="1" t="s">
        <v>3</v>
      </c>
      <c r="AP194" s="1"/>
      <c r="AQ194" s="1"/>
      <c r="AR194" s="2"/>
      <c r="AS194" s="1"/>
      <c r="AT194" s="5">
        <v>43830</v>
      </c>
      <c r="AU194" s="5">
        <v>43855</v>
      </c>
      <c r="AV194" s="1" t="s">
        <v>1941</v>
      </c>
      <c r="AW194" s="7">
        <v>43839.487250388876</v>
      </c>
      <c r="AX194" s="1" t="s">
        <v>271</v>
      </c>
      <c r="AY194" s="6">
        <v>749653.77</v>
      </c>
      <c r="AZ194" s="5">
        <v>43831</v>
      </c>
      <c r="BA194" s="5">
        <v>44196</v>
      </c>
      <c r="BB194" s="7">
        <v>43861</v>
      </c>
      <c r="BC194" s="1" t="s">
        <v>1997</v>
      </c>
      <c r="BD194" s="1"/>
      <c r="BE194" s="1"/>
      <c r="BF194" s="1" t="s">
        <v>118</v>
      </c>
    </row>
    <row r="195" spans="1:58">
      <c r="A195" s="4">
        <v>190</v>
      </c>
      <c r="B195" s="2" t="str">
        <f>HYPERLINK("https://my.zakupki.prom.ua/remote/dispatcher/state_purchase_view/23252822", "UA-2021-01-26-001420-b")</f>
        <v>UA-2021-01-26-001420-b</v>
      </c>
      <c r="C195" s="2" t="s">
        <v>1459</v>
      </c>
      <c r="D195" s="1" t="s">
        <v>1576</v>
      </c>
      <c r="E195" s="1" t="s">
        <v>1576</v>
      </c>
      <c r="F195" s="1" t="s">
        <v>1065</v>
      </c>
      <c r="G195" s="1" t="s">
        <v>1364</v>
      </c>
      <c r="H195" s="1" t="s">
        <v>1800</v>
      </c>
      <c r="I195" s="1" t="s">
        <v>1379</v>
      </c>
      <c r="J195" s="1" t="s">
        <v>819</v>
      </c>
      <c r="K195" s="1" t="s">
        <v>1287</v>
      </c>
      <c r="L195" s="1" t="s">
        <v>1216</v>
      </c>
      <c r="M195" s="1" t="s">
        <v>119</v>
      </c>
      <c r="N195" s="1" t="s">
        <v>119</v>
      </c>
      <c r="O195" s="1" t="s">
        <v>119</v>
      </c>
      <c r="P195" s="5">
        <v>44222</v>
      </c>
      <c r="Q195" s="1"/>
      <c r="R195" s="1"/>
      <c r="S195" s="1"/>
      <c r="T195" s="1"/>
      <c r="U195" s="1" t="s">
        <v>1922</v>
      </c>
      <c r="V195" s="4">
        <v>1</v>
      </c>
      <c r="W195" s="6">
        <v>4300</v>
      </c>
      <c r="X195" s="1" t="s">
        <v>1459</v>
      </c>
      <c r="Y195" s="4">
        <v>4</v>
      </c>
      <c r="Z195" s="6">
        <v>1075</v>
      </c>
      <c r="AA195" s="1" t="s">
        <v>1976</v>
      </c>
      <c r="AB195" s="1" t="s">
        <v>1964</v>
      </c>
      <c r="AC195" s="1" t="s">
        <v>1124</v>
      </c>
      <c r="AD195" s="1" t="s">
        <v>1800</v>
      </c>
      <c r="AE195" s="1" t="s">
        <v>1286</v>
      </c>
      <c r="AF195" s="1" t="s">
        <v>1463</v>
      </c>
      <c r="AG195" s="6">
        <v>4300</v>
      </c>
      <c r="AH195" s="6">
        <v>1075</v>
      </c>
      <c r="AI195" s="1"/>
      <c r="AJ195" s="1"/>
      <c r="AK195" s="1"/>
      <c r="AL195" s="1" t="s">
        <v>1914</v>
      </c>
      <c r="AM195" s="1" t="s">
        <v>543</v>
      </c>
      <c r="AN195" s="1"/>
      <c r="AO195" s="1" t="s">
        <v>248</v>
      </c>
      <c r="AP195" s="1"/>
      <c r="AQ195" s="1"/>
      <c r="AR195" s="2"/>
      <c r="AS195" s="1"/>
      <c r="AT195" s="1"/>
      <c r="AU195" s="1"/>
      <c r="AV195" s="1" t="s">
        <v>1941</v>
      </c>
      <c r="AW195" s="7">
        <v>44222.415010161436</v>
      </c>
      <c r="AX195" s="1" t="s">
        <v>1096</v>
      </c>
      <c r="AY195" s="6">
        <v>4300</v>
      </c>
      <c r="AZ195" s="1"/>
      <c r="BA195" s="5">
        <v>44561</v>
      </c>
      <c r="BB195" s="7">
        <v>44561</v>
      </c>
      <c r="BC195" s="1" t="s">
        <v>1997</v>
      </c>
      <c r="BD195" s="1"/>
      <c r="BE195" s="1"/>
      <c r="BF195" s="1" t="s">
        <v>118</v>
      </c>
    </row>
    <row r="196" spans="1:58">
      <c r="A196" s="4">
        <v>191</v>
      </c>
      <c r="B196" s="2" t="str">
        <f>HYPERLINK("https://my.zakupki.prom.ua/remote/dispatcher/state_purchase_view/22527713", "UA-2020-12-22-017215-c")</f>
        <v>UA-2020-12-22-017215-c</v>
      </c>
      <c r="C196" s="2" t="s">
        <v>1459</v>
      </c>
      <c r="D196" s="1" t="s">
        <v>1957</v>
      </c>
      <c r="E196" s="1" t="s">
        <v>1637</v>
      </c>
      <c r="F196" s="1" t="s">
        <v>750</v>
      </c>
      <c r="G196" s="1" t="s">
        <v>1280</v>
      </c>
      <c r="H196" s="1" t="s">
        <v>1800</v>
      </c>
      <c r="I196" s="1" t="s">
        <v>1379</v>
      </c>
      <c r="J196" s="1" t="s">
        <v>819</v>
      </c>
      <c r="K196" s="1" t="s">
        <v>1287</v>
      </c>
      <c r="L196" s="1" t="s">
        <v>1216</v>
      </c>
      <c r="M196" s="1" t="s">
        <v>119</v>
      </c>
      <c r="N196" s="1" t="s">
        <v>119</v>
      </c>
      <c r="O196" s="1" t="s">
        <v>119</v>
      </c>
      <c r="P196" s="5">
        <v>44187</v>
      </c>
      <c r="Q196" s="5">
        <v>44187</v>
      </c>
      <c r="R196" s="5">
        <v>44193</v>
      </c>
      <c r="S196" s="5">
        <v>44187</v>
      </c>
      <c r="T196" s="5">
        <v>44203</v>
      </c>
      <c r="U196" s="7">
        <v>44207.603402777779</v>
      </c>
      <c r="V196" s="4">
        <v>2</v>
      </c>
      <c r="W196" s="6">
        <v>38000</v>
      </c>
      <c r="X196" s="1" t="s">
        <v>1459</v>
      </c>
      <c r="Y196" s="1" t="s">
        <v>1956</v>
      </c>
      <c r="Z196" s="1" t="s">
        <v>1956</v>
      </c>
      <c r="AA196" s="1" t="s">
        <v>1956</v>
      </c>
      <c r="AB196" s="6">
        <v>380</v>
      </c>
      <c r="AC196" s="1" t="s">
        <v>1124</v>
      </c>
      <c r="AD196" s="1" t="s">
        <v>1800</v>
      </c>
      <c r="AE196" s="1" t="s">
        <v>1286</v>
      </c>
      <c r="AF196" s="1" t="s">
        <v>1463</v>
      </c>
      <c r="AG196" s="6">
        <v>36689.910000000003</v>
      </c>
      <c r="AH196" s="1" t="s">
        <v>1956</v>
      </c>
      <c r="AI196" s="1" t="s">
        <v>1764</v>
      </c>
      <c r="AJ196" s="6">
        <v>1310.0899999999965</v>
      </c>
      <c r="AK196" s="6">
        <v>3.4476052631578859E-2</v>
      </c>
      <c r="AL196" s="1" t="s">
        <v>1764</v>
      </c>
      <c r="AM196" s="1" t="s">
        <v>842</v>
      </c>
      <c r="AN196" s="1" t="s">
        <v>1122</v>
      </c>
      <c r="AO196" s="1" t="s">
        <v>18</v>
      </c>
      <c r="AP196" s="6">
        <v>1310.0899999999965</v>
      </c>
      <c r="AQ196" s="6">
        <v>3.4476052631578859E-2</v>
      </c>
      <c r="AR196" s="2" t="str">
        <f>HYPERLINK("https://auction.openprocurement.org/tenders/a65107e13ee447978561c5ccfc3eb6a2")</f>
        <v>https://auction.openprocurement.org/tenders/a65107e13ee447978561c5ccfc3eb6a2</v>
      </c>
      <c r="AS196" s="7">
        <v>44208.580819425937</v>
      </c>
      <c r="AT196" s="5">
        <v>44219</v>
      </c>
      <c r="AU196" s="5">
        <v>44229</v>
      </c>
      <c r="AV196" s="1" t="s">
        <v>1941</v>
      </c>
      <c r="AW196" s="7">
        <v>44221.601455785174</v>
      </c>
      <c r="AX196" s="1" t="s">
        <v>521</v>
      </c>
      <c r="AY196" s="6">
        <v>36689.9</v>
      </c>
      <c r="AZ196" s="1"/>
      <c r="BA196" s="5">
        <v>44255</v>
      </c>
      <c r="BB196" s="7">
        <v>44561</v>
      </c>
      <c r="BC196" s="1" t="s">
        <v>1997</v>
      </c>
      <c r="BD196" s="1"/>
      <c r="BE196" s="1"/>
      <c r="BF196" s="1" t="s">
        <v>844</v>
      </c>
    </row>
    <row r="197" spans="1:58">
      <c r="A197" s="4">
        <v>192</v>
      </c>
      <c r="B197" s="2" t="str">
        <f>HYPERLINK("https://my.zakupki.prom.ua/remote/dispatcher/state_purchase_view/23030330", "UA-2021-01-18-004424-a")</f>
        <v>UA-2021-01-18-004424-a</v>
      </c>
      <c r="C197" s="2" t="s">
        <v>1459</v>
      </c>
      <c r="D197" s="1" t="s">
        <v>1943</v>
      </c>
      <c r="E197" s="1" t="s">
        <v>1943</v>
      </c>
      <c r="F197" s="1" t="s">
        <v>1019</v>
      </c>
      <c r="G197" s="1" t="s">
        <v>1346</v>
      </c>
      <c r="H197" s="1" t="s">
        <v>1800</v>
      </c>
      <c r="I197" s="1" t="s">
        <v>1379</v>
      </c>
      <c r="J197" s="1" t="s">
        <v>819</v>
      </c>
      <c r="K197" s="1" t="s">
        <v>1287</v>
      </c>
      <c r="L197" s="1" t="s">
        <v>1216</v>
      </c>
      <c r="M197" s="1" t="s">
        <v>119</v>
      </c>
      <c r="N197" s="1" t="s">
        <v>119</v>
      </c>
      <c r="O197" s="1" t="s">
        <v>119</v>
      </c>
      <c r="P197" s="5">
        <v>44214</v>
      </c>
      <c r="Q197" s="5">
        <v>44214</v>
      </c>
      <c r="R197" s="5">
        <v>44218</v>
      </c>
      <c r="S197" s="5">
        <v>44218</v>
      </c>
      <c r="T197" s="5">
        <v>44223</v>
      </c>
      <c r="U197" s="7">
        <v>44224.665381944447</v>
      </c>
      <c r="V197" s="4">
        <v>2</v>
      </c>
      <c r="W197" s="6">
        <v>16500</v>
      </c>
      <c r="X197" s="1" t="s">
        <v>1459</v>
      </c>
      <c r="Y197" s="4">
        <v>1</v>
      </c>
      <c r="Z197" s="6">
        <v>16500</v>
      </c>
      <c r="AA197" s="1" t="s">
        <v>1976</v>
      </c>
      <c r="AB197" s="6">
        <v>82.5</v>
      </c>
      <c r="AC197" s="1" t="s">
        <v>1124</v>
      </c>
      <c r="AD197" s="1" t="s">
        <v>1800</v>
      </c>
      <c r="AE197" s="1" t="s">
        <v>1286</v>
      </c>
      <c r="AF197" s="1" t="s">
        <v>1463</v>
      </c>
      <c r="AG197" s="6">
        <v>13755</v>
      </c>
      <c r="AH197" s="6">
        <v>13755</v>
      </c>
      <c r="AI197" s="1" t="s">
        <v>1844</v>
      </c>
      <c r="AJ197" s="6">
        <v>2745</v>
      </c>
      <c r="AK197" s="6">
        <v>0.16636363636363635</v>
      </c>
      <c r="AL197" s="1" t="s">
        <v>1844</v>
      </c>
      <c r="AM197" s="1" t="s">
        <v>678</v>
      </c>
      <c r="AN197" s="1" t="s">
        <v>1176</v>
      </c>
      <c r="AO197" s="1" t="s">
        <v>44</v>
      </c>
      <c r="AP197" s="6">
        <v>2745</v>
      </c>
      <c r="AQ197" s="6">
        <v>0.16636363636363635</v>
      </c>
      <c r="AR197" s="2" t="str">
        <f>HYPERLINK("https://auction.openprocurement.org/tenders/ace04d4128984009b1726d129625304f")</f>
        <v>https://auction.openprocurement.org/tenders/ace04d4128984009b1726d129625304f</v>
      </c>
      <c r="AS197" s="7">
        <v>44225.44347535714</v>
      </c>
      <c r="AT197" s="5">
        <v>44230</v>
      </c>
      <c r="AU197" s="5">
        <v>44248</v>
      </c>
      <c r="AV197" s="1" t="s">
        <v>1941</v>
      </c>
      <c r="AW197" s="7">
        <v>44230.656745603221</v>
      </c>
      <c r="AX197" s="1" t="s">
        <v>410</v>
      </c>
      <c r="AY197" s="6">
        <v>13755</v>
      </c>
      <c r="AZ197" s="1"/>
      <c r="BA197" s="5">
        <v>44561</v>
      </c>
      <c r="BB197" s="7">
        <v>44561</v>
      </c>
      <c r="BC197" s="1" t="s">
        <v>1997</v>
      </c>
      <c r="BD197" s="1"/>
      <c r="BE197" s="1"/>
      <c r="BF197" s="1" t="s">
        <v>680</v>
      </c>
    </row>
    <row r="198" spans="1:58">
      <c r="A198" s="4">
        <v>193</v>
      </c>
      <c r="B198" s="2" t="str">
        <f>HYPERLINK("https://my.zakupki.prom.ua/remote/dispatcher/state_purchase_view/17888984", "UA-2020-07-15-003375-c")</f>
        <v>UA-2020-07-15-003375-c</v>
      </c>
      <c r="C198" s="2" t="s">
        <v>1459</v>
      </c>
      <c r="D198" s="1" t="s">
        <v>1421</v>
      </c>
      <c r="E198" s="1" t="s">
        <v>1421</v>
      </c>
      <c r="F198" s="1" t="s">
        <v>837</v>
      </c>
      <c r="G198" s="1" t="s">
        <v>1364</v>
      </c>
      <c r="H198" s="1" t="s">
        <v>1800</v>
      </c>
      <c r="I198" s="1" t="s">
        <v>1379</v>
      </c>
      <c r="J198" s="1" t="s">
        <v>819</v>
      </c>
      <c r="K198" s="1" t="s">
        <v>1287</v>
      </c>
      <c r="L198" s="1" t="s">
        <v>1216</v>
      </c>
      <c r="M198" s="1" t="s">
        <v>119</v>
      </c>
      <c r="N198" s="1" t="s">
        <v>119</v>
      </c>
      <c r="O198" s="1" t="s">
        <v>119</v>
      </c>
      <c r="P198" s="5">
        <v>44027</v>
      </c>
      <c r="Q198" s="1"/>
      <c r="R198" s="1"/>
      <c r="S198" s="1"/>
      <c r="T198" s="1"/>
      <c r="U198" s="1" t="s">
        <v>1922</v>
      </c>
      <c r="V198" s="4">
        <v>1</v>
      </c>
      <c r="W198" s="6">
        <v>2500</v>
      </c>
      <c r="X198" s="1" t="s">
        <v>1459</v>
      </c>
      <c r="Y198" s="4">
        <v>1</v>
      </c>
      <c r="Z198" s="6">
        <v>2500</v>
      </c>
      <c r="AA198" s="1" t="s">
        <v>2024</v>
      </c>
      <c r="AB198" s="1" t="s">
        <v>1964</v>
      </c>
      <c r="AC198" s="1" t="s">
        <v>1124</v>
      </c>
      <c r="AD198" s="1" t="s">
        <v>1800</v>
      </c>
      <c r="AE198" s="1" t="s">
        <v>1286</v>
      </c>
      <c r="AF198" s="1" t="s">
        <v>1463</v>
      </c>
      <c r="AG198" s="6">
        <v>2500</v>
      </c>
      <c r="AH198" s="6">
        <v>2500</v>
      </c>
      <c r="AI198" s="1"/>
      <c r="AJ198" s="1"/>
      <c r="AK198" s="1"/>
      <c r="AL198" s="1" t="s">
        <v>1752</v>
      </c>
      <c r="AM198" s="1" t="s">
        <v>694</v>
      </c>
      <c r="AN198" s="1"/>
      <c r="AO198" s="1" t="s">
        <v>205</v>
      </c>
      <c r="AP198" s="1"/>
      <c r="AQ198" s="1"/>
      <c r="AR198" s="2"/>
      <c r="AS198" s="1"/>
      <c r="AT198" s="1"/>
      <c r="AU198" s="1"/>
      <c r="AV198" s="1" t="s">
        <v>1941</v>
      </c>
      <c r="AW198" s="7">
        <v>44027.523790531217</v>
      </c>
      <c r="AX198" s="1" t="s">
        <v>1249</v>
      </c>
      <c r="AY198" s="6">
        <v>2500</v>
      </c>
      <c r="AZ198" s="1"/>
      <c r="BA198" s="5">
        <v>44032</v>
      </c>
      <c r="BB198" s="7">
        <v>44196</v>
      </c>
      <c r="BC198" s="1" t="s">
        <v>1997</v>
      </c>
      <c r="BD198" s="1"/>
      <c r="BE198" s="1"/>
      <c r="BF198" s="1" t="s">
        <v>118</v>
      </c>
    </row>
    <row r="199" spans="1:58">
      <c r="A199" s="4">
        <v>194</v>
      </c>
      <c r="B199" s="2" t="str">
        <f>HYPERLINK("https://my.zakupki.prom.ua/remote/dispatcher/state_purchase_view/17891516", "UA-2020-07-15-003995-c")</f>
        <v>UA-2020-07-15-003995-c</v>
      </c>
      <c r="C199" s="2" t="s">
        <v>1459</v>
      </c>
      <c r="D199" s="1" t="s">
        <v>1524</v>
      </c>
      <c r="E199" s="1" t="s">
        <v>1524</v>
      </c>
      <c r="F199" s="1" t="s">
        <v>1087</v>
      </c>
      <c r="G199" s="1" t="s">
        <v>1364</v>
      </c>
      <c r="H199" s="1" t="s">
        <v>1800</v>
      </c>
      <c r="I199" s="1" t="s">
        <v>1379</v>
      </c>
      <c r="J199" s="1" t="s">
        <v>819</v>
      </c>
      <c r="K199" s="1" t="s">
        <v>1287</v>
      </c>
      <c r="L199" s="1" t="s">
        <v>1216</v>
      </c>
      <c r="M199" s="1" t="s">
        <v>119</v>
      </c>
      <c r="N199" s="1" t="s">
        <v>119</v>
      </c>
      <c r="O199" s="1" t="s">
        <v>119</v>
      </c>
      <c r="P199" s="5">
        <v>44027</v>
      </c>
      <c r="Q199" s="1"/>
      <c r="R199" s="1"/>
      <c r="S199" s="1"/>
      <c r="T199" s="1"/>
      <c r="U199" s="1" t="s">
        <v>1922</v>
      </c>
      <c r="V199" s="4">
        <v>1</v>
      </c>
      <c r="W199" s="6">
        <v>650</v>
      </c>
      <c r="X199" s="1" t="s">
        <v>1459</v>
      </c>
      <c r="Y199" s="4">
        <v>1</v>
      </c>
      <c r="Z199" s="6">
        <v>650</v>
      </c>
      <c r="AA199" s="1" t="s">
        <v>1976</v>
      </c>
      <c r="AB199" s="1" t="s">
        <v>1964</v>
      </c>
      <c r="AC199" s="1" t="s">
        <v>1124</v>
      </c>
      <c r="AD199" s="1" t="s">
        <v>1463</v>
      </c>
      <c r="AE199" s="1" t="s">
        <v>1286</v>
      </c>
      <c r="AF199" s="1" t="s">
        <v>1463</v>
      </c>
      <c r="AG199" s="6">
        <v>650</v>
      </c>
      <c r="AH199" s="6">
        <v>650</v>
      </c>
      <c r="AI199" s="1"/>
      <c r="AJ199" s="1"/>
      <c r="AK199" s="1"/>
      <c r="AL199" s="1" t="s">
        <v>1484</v>
      </c>
      <c r="AM199" s="1" t="s">
        <v>398</v>
      </c>
      <c r="AN199" s="1"/>
      <c r="AO199" s="1" t="s">
        <v>264</v>
      </c>
      <c r="AP199" s="1"/>
      <c r="AQ199" s="1"/>
      <c r="AR199" s="2"/>
      <c r="AS199" s="1"/>
      <c r="AT199" s="1"/>
      <c r="AU199" s="1"/>
      <c r="AV199" s="1" t="s">
        <v>1941</v>
      </c>
      <c r="AW199" s="7">
        <v>44027.560782376364</v>
      </c>
      <c r="AX199" s="1" t="s">
        <v>980</v>
      </c>
      <c r="AY199" s="6">
        <v>650</v>
      </c>
      <c r="AZ199" s="1"/>
      <c r="BA199" s="5">
        <v>44027</v>
      </c>
      <c r="BB199" s="7">
        <v>44196</v>
      </c>
      <c r="BC199" s="1" t="s">
        <v>1997</v>
      </c>
      <c r="BD199" s="1"/>
      <c r="BE199" s="1"/>
      <c r="BF199" s="1" t="s">
        <v>118</v>
      </c>
    </row>
    <row r="200" spans="1:58">
      <c r="A200" s="4">
        <v>195</v>
      </c>
      <c r="B200" s="2" t="str">
        <f>HYPERLINK("https://my.zakupki.prom.ua/remote/dispatcher/state_purchase_view/24588649", "UA-2021-03-04-001094-c")</f>
        <v>UA-2021-03-04-001094-c</v>
      </c>
      <c r="C200" s="2" t="s">
        <v>1459</v>
      </c>
      <c r="D200" s="1" t="s">
        <v>1577</v>
      </c>
      <c r="E200" s="1" t="s">
        <v>1577</v>
      </c>
      <c r="F200" s="1" t="s">
        <v>1065</v>
      </c>
      <c r="G200" s="1" t="s">
        <v>1364</v>
      </c>
      <c r="H200" s="1" t="s">
        <v>1800</v>
      </c>
      <c r="I200" s="1" t="s">
        <v>1379</v>
      </c>
      <c r="J200" s="1" t="s">
        <v>819</v>
      </c>
      <c r="K200" s="1" t="s">
        <v>1287</v>
      </c>
      <c r="L200" s="1" t="s">
        <v>1216</v>
      </c>
      <c r="M200" s="1" t="s">
        <v>119</v>
      </c>
      <c r="N200" s="1" t="s">
        <v>119</v>
      </c>
      <c r="O200" s="1" t="s">
        <v>119</v>
      </c>
      <c r="P200" s="5">
        <v>44259</v>
      </c>
      <c r="Q200" s="1"/>
      <c r="R200" s="1"/>
      <c r="S200" s="1"/>
      <c r="T200" s="1"/>
      <c r="U200" s="1" t="s">
        <v>1922</v>
      </c>
      <c r="V200" s="4">
        <v>1</v>
      </c>
      <c r="W200" s="6">
        <v>1200</v>
      </c>
      <c r="X200" s="1" t="s">
        <v>1459</v>
      </c>
      <c r="Y200" s="4">
        <v>1</v>
      </c>
      <c r="Z200" s="6">
        <v>1200</v>
      </c>
      <c r="AA200" s="1" t="s">
        <v>1976</v>
      </c>
      <c r="AB200" s="1" t="s">
        <v>1964</v>
      </c>
      <c r="AC200" s="1" t="s">
        <v>1124</v>
      </c>
      <c r="AD200" s="1" t="s">
        <v>1800</v>
      </c>
      <c r="AE200" s="1" t="s">
        <v>1286</v>
      </c>
      <c r="AF200" s="1" t="s">
        <v>1463</v>
      </c>
      <c r="AG200" s="6">
        <v>1200</v>
      </c>
      <c r="AH200" s="6">
        <v>1200</v>
      </c>
      <c r="AI200" s="1"/>
      <c r="AJ200" s="1"/>
      <c r="AK200" s="1"/>
      <c r="AL200" s="1" t="s">
        <v>1504</v>
      </c>
      <c r="AM200" s="1" t="s">
        <v>800</v>
      </c>
      <c r="AN200" s="1"/>
      <c r="AO200" s="1" t="s">
        <v>167</v>
      </c>
      <c r="AP200" s="1"/>
      <c r="AQ200" s="1"/>
      <c r="AR200" s="2"/>
      <c r="AS200" s="1"/>
      <c r="AT200" s="1"/>
      <c r="AU200" s="1"/>
      <c r="AV200" s="1" t="s">
        <v>1941</v>
      </c>
      <c r="AW200" s="7">
        <v>44259.396436780451</v>
      </c>
      <c r="AX200" s="1" t="s">
        <v>150</v>
      </c>
      <c r="AY200" s="6">
        <v>1200</v>
      </c>
      <c r="AZ200" s="1"/>
      <c r="BA200" s="5">
        <v>44561</v>
      </c>
      <c r="BB200" s="7">
        <v>44561</v>
      </c>
      <c r="BC200" s="1" t="s">
        <v>1997</v>
      </c>
      <c r="BD200" s="1"/>
      <c r="BE200" s="1"/>
      <c r="BF200" s="1" t="s">
        <v>118</v>
      </c>
    </row>
    <row r="201" spans="1:58">
      <c r="A201" s="4">
        <v>196</v>
      </c>
      <c r="B201" s="2" t="str">
        <f>HYPERLINK("https://my.zakupki.prom.ua/remote/dispatcher/state_purchase_view/22984449", "UA-2021-01-15-005752-a")</f>
        <v>UA-2021-01-15-005752-a</v>
      </c>
      <c r="C201" s="2" t="s">
        <v>1459</v>
      </c>
      <c r="D201" s="1" t="s">
        <v>1348</v>
      </c>
      <c r="E201" s="1" t="s">
        <v>1348</v>
      </c>
      <c r="F201" s="1" t="s">
        <v>293</v>
      </c>
      <c r="G201" s="1" t="s">
        <v>1513</v>
      </c>
      <c r="H201" s="1" t="s">
        <v>1800</v>
      </c>
      <c r="I201" s="1" t="s">
        <v>1379</v>
      </c>
      <c r="J201" s="1" t="s">
        <v>819</v>
      </c>
      <c r="K201" s="1" t="s">
        <v>1287</v>
      </c>
      <c r="L201" s="1" t="s">
        <v>1216</v>
      </c>
      <c r="M201" s="1" t="s">
        <v>119</v>
      </c>
      <c r="N201" s="1" t="s">
        <v>119</v>
      </c>
      <c r="O201" s="1" t="s">
        <v>119</v>
      </c>
      <c r="P201" s="5">
        <v>44211</v>
      </c>
      <c r="Q201" s="1"/>
      <c r="R201" s="1"/>
      <c r="S201" s="1"/>
      <c r="T201" s="1"/>
      <c r="U201" s="1" t="s">
        <v>1922</v>
      </c>
      <c r="V201" s="4">
        <v>1</v>
      </c>
      <c r="W201" s="6">
        <v>414246.82</v>
      </c>
      <c r="X201" s="1" t="s">
        <v>1459</v>
      </c>
      <c r="Y201" s="4">
        <v>139009</v>
      </c>
      <c r="Z201" s="6">
        <v>2.98</v>
      </c>
      <c r="AA201" s="1" t="s">
        <v>1954</v>
      </c>
      <c r="AB201" s="1" t="s">
        <v>1964</v>
      </c>
      <c r="AC201" s="1" t="s">
        <v>1124</v>
      </c>
      <c r="AD201" s="1" t="s">
        <v>1800</v>
      </c>
      <c r="AE201" s="1" t="s">
        <v>1286</v>
      </c>
      <c r="AF201" s="1" t="s">
        <v>1463</v>
      </c>
      <c r="AG201" s="6">
        <v>411466.64</v>
      </c>
      <c r="AH201" s="6">
        <v>2.96</v>
      </c>
      <c r="AI201" s="1"/>
      <c r="AJ201" s="6">
        <v>2780.179999999993</v>
      </c>
      <c r="AK201" s="6">
        <v>6.7114093959731377E-3</v>
      </c>
      <c r="AL201" s="1" t="s">
        <v>1756</v>
      </c>
      <c r="AM201" s="1" t="s">
        <v>951</v>
      </c>
      <c r="AN201" s="1"/>
      <c r="AO201" s="1" t="s">
        <v>245</v>
      </c>
      <c r="AP201" s="6">
        <v>2780.179999999993</v>
      </c>
      <c r="AQ201" s="6">
        <v>6.7114093959731377E-3</v>
      </c>
      <c r="AR201" s="2"/>
      <c r="AS201" s="1"/>
      <c r="AT201" s="5">
        <v>44222</v>
      </c>
      <c r="AU201" s="5">
        <v>44247</v>
      </c>
      <c r="AV201" s="1" t="s">
        <v>1941</v>
      </c>
      <c r="AW201" s="7">
        <v>44225.612583608287</v>
      </c>
      <c r="AX201" s="1" t="s">
        <v>233</v>
      </c>
      <c r="AY201" s="6">
        <v>411466.64</v>
      </c>
      <c r="AZ201" s="1"/>
      <c r="BA201" s="5">
        <v>44561</v>
      </c>
      <c r="BB201" s="7">
        <v>44561</v>
      </c>
      <c r="BC201" s="1" t="s">
        <v>1997</v>
      </c>
      <c r="BD201" s="1"/>
      <c r="BE201" s="1"/>
      <c r="BF201" s="1" t="s">
        <v>118</v>
      </c>
    </row>
    <row r="202" spans="1:58">
      <c r="A202" s="4">
        <v>197</v>
      </c>
      <c r="B202" s="2" t="str">
        <f>HYPERLINK("https://my.zakupki.prom.ua/remote/dispatcher/state_purchase_view/24006186", "UA-2021-02-15-003711-c")</f>
        <v>UA-2021-02-15-003711-c</v>
      </c>
      <c r="C202" s="2" t="s">
        <v>1459</v>
      </c>
      <c r="D202" s="1" t="s">
        <v>1526</v>
      </c>
      <c r="E202" s="1" t="s">
        <v>1526</v>
      </c>
      <c r="F202" s="1" t="s">
        <v>1004</v>
      </c>
      <c r="G202" s="1" t="s">
        <v>1675</v>
      </c>
      <c r="H202" s="1" t="s">
        <v>1800</v>
      </c>
      <c r="I202" s="1" t="s">
        <v>1379</v>
      </c>
      <c r="J202" s="1" t="s">
        <v>819</v>
      </c>
      <c r="K202" s="1" t="s">
        <v>1287</v>
      </c>
      <c r="L202" s="1" t="s">
        <v>1216</v>
      </c>
      <c r="M202" s="1" t="s">
        <v>119</v>
      </c>
      <c r="N202" s="1" t="s">
        <v>119</v>
      </c>
      <c r="O202" s="1" t="s">
        <v>119</v>
      </c>
      <c r="P202" s="5">
        <v>44242</v>
      </c>
      <c r="Q202" s="5">
        <v>44242</v>
      </c>
      <c r="R202" s="5">
        <v>44246</v>
      </c>
      <c r="S202" s="5">
        <v>44246</v>
      </c>
      <c r="T202" s="5">
        <v>44251</v>
      </c>
      <c r="U202" s="7">
        <v>44253.642974537041</v>
      </c>
      <c r="V202" s="4">
        <v>5</v>
      </c>
      <c r="W202" s="6">
        <v>195000</v>
      </c>
      <c r="X202" s="1" t="s">
        <v>1459</v>
      </c>
      <c r="Y202" s="4">
        <v>1</v>
      </c>
      <c r="Z202" s="6">
        <v>195000</v>
      </c>
      <c r="AA202" s="1" t="s">
        <v>1976</v>
      </c>
      <c r="AB202" s="6">
        <v>1950</v>
      </c>
      <c r="AC202" s="1" t="s">
        <v>1124</v>
      </c>
      <c r="AD202" s="1" t="s">
        <v>1800</v>
      </c>
      <c r="AE202" s="1" t="s">
        <v>1286</v>
      </c>
      <c r="AF202" s="1" t="s">
        <v>1463</v>
      </c>
      <c r="AG202" s="6">
        <v>102000</v>
      </c>
      <c r="AH202" s="6">
        <v>102000</v>
      </c>
      <c r="AI202" s="1" t="s">
        <v>1490</v>
      </c>
      <c r="AJ202" s="6">
        <v>93000</v>
      </c>
      <c r="AK202" s="6">
        <v>0.47692307692307695</v>
      </c>
      <c r="AL202" s="1" t="s">
        <v>1490</v>
      </c>
      <c r="AM202" s="1" t="s">
        <v>928</v>
      </c>
      <c r="AN202" s="1" t="s">
        <v>1130</v>
      </c>
      <c r="AO202" s="1" t="s">
        <v>81</v>
      </c>
      <c r="AP202" s="6">
        <v>93000</v>
      </c>
      <c r="AQ202" s="6">
        <v>0.47692307692307695</v>
      </c>
      <c r="AR202" s="2" t="str">
        <f>HYPERLINK("https://auction.openprocurement.org/tenders/491058dfcea545509a671428992d98e4")</f>
        <v>https://auction.openprocurement.org/tenders/491058dfcea545509a671428992d98e4</v>
      </c>
      <c r="AS202" s="7">
        <v>44257.588664100476</v>
      </c>
      <c r="AT202" s="5">
        <v>44260</v>
      </c>
      <c r="AU202" s="5">
        <v>44276</v>
      </c>
      <c r="AV202" s="1" t="s">
        <v>1941</v>
      </c>
      <c r="AW202" s="7">
        <v>44260.522568817694</v>
      </c>
      <c r="AX202" s="1" t="s">
        <v>172</v>
      </c>
      <c r="AY202" s="6">
        <v>102000</v>
      </c>
      <c r="AZ202" s="1"/>
      <c r="BA202" s="5">
        <v>44286</v>
      </c>
      <c r="BB202" s="7">
        <v>44561</v>
      </c>
      <c r="BC202" s="1" t="s">
        <v>1997</v>
      </c>
      <c r="BD202" s="1"/>
      <c r="BE202" s="1"/>
      <c r="BF202" s="1" t="s">
        <v>929</v>
      </c>
    </row>
    <row r="203" spans="1:58">
      <c r="A203" s="4">
        <v>198</v>
      </c>
      <c r="B203" s="2" t="str">
        <f>HYPERLINK("https://my.zakupki.prom.ua/remote/dispatcher/state_purchase_view/26941302", "UA-2021-05-27-004131-b")</f>
        <v>UA-2021-05-27-004131-b</v>
      </c>
      <c r="C203" s="2" t="s">
        <v>1459</v>
      </c>
      <c r="D203" s="1" t="s">
        <v>838</v>
      </c>
      <c r="E203" s="1" t="s">
        <v>1231</v>
      </c>
      <c r="F203" s="1" t="s">
        <v>837</v>
      </c>
      <c r="G203" s="1" t="s">
        <v>1280</v>
      </c>
      <c r="H203" s="1" t="s">
        <v>1800</v>
      </c>
      <c r="I203" s="1" t="s">
        <v>1379</v>
      </c>
      <c r="J203" s="1" t="s">
        <v>819</v>
      </c>
      <c r="K203" s="1" t="s">
        <v>1287</v>
      </c>
      <c r="L203" s="1" t="s">
        <v>1216</v>
      </c>
      <c r="M203" s="1" t="s">
        <v>119</v>
      </c>
      <c r="N203" s="1" t="s">
        <v>119</v>
      </c>
      <c r="O203" s="1" t="s">
        <v>119</v>
      </c>
      <c r="P203" s="5">
        <v>44343</v>
      </c>
      <c r="Q203" s="5">
        <v>44343</v>
      </c>
      <c r="R203" s="5">
        <v>44349</v>
      </c>
      <c r="S203" s="5">
        <v>44343</v>
      </c>
      <c r="T203" s="5">
        <v>44359</v>
      </c>
      <c r="U203" s="7">
        <v>44361.534212962964</v>
      </c>
      <c r="V203" s="4">
        <v>3</v>
      </c>
      <c r="W203" s="6">
        <v>230000</v>
      </c>
      <c r="X203" s="1" t="s">
        <v>1459</v>
      </c>
      <c r="Y203" s="1" t="s">
        <v>1956</v>
      </c>
      <c r="Z203" s="1" t="s">
        <v>1956</v>
      </c>
      <c r="AA203" s="1" t="s">
        <v>1956</v>
      </c>
      <c r="AB203" s="6">
        <v>1150</v>
      </c>
      <c r="AC203" s="1" t="s">
        <v>1124</v>
      </c>
      <c r="AD203" s="1" t="s">
        <v>1800</v>
      </c>
      <c r="AE203" s="1" t="s">
        <v>1286</v>
      </c>
      <c r="AF203" s="1" t="s">
        <v>1463</v>
      </c>
      <c r="AG203" s="6">
        <v>198900</v>
      </c>
      <c r="AH203" s="1" t="s">
        <v>1956</v>
      </c>
      <c r="AI203" s="1" t="s">
        <v>1873</v>
      </c>
      <c r="AJ203" s="6">
        <v>31100</v>
      </c>
      <c r="AK203" s="6">
        <v>0.13521739130434782</v>
      </c>
      <c r="AL203" s="1"/>
      <c r="AM203" s="1"/>
      <c r="AN203" s="1"/>
      <c r="AO203" s="1"/>
      <c r="AP203" s="1"/>
      <c r="AQ203" s="1"/>
      <c r="AR203" s="2" t="str">
        <f>HYPERLINK("https://auction.openprocurement.org/tenders/d46defff14d74e37b8a4be23aa4b77c8")</f>
        <v>https://auction.openprocurement.org/tenders/d46defff14d74e37b8a4be23aa4b77c8</v>
      </c>
      <c r="AS203" s="1"/>
      <c r="AT203" s="1"/>
      <c r="AU203" s="1"/>
      <c r="AV203" s="1" t="s">
        <v>1948</v>
      </c>
      <c r="AW203" s="1"/>
      <c r="AX203" s="1"/>
      <c r="AY203" s="1"/>
      <c r="AZ203" s="1"/>
      <c r="BA203" s="5">
        <v>44561</v>
      </c>
      <c r="BB203" s="1"/>
      <c r="BC203" s="1"/>
      <c r="BD203" s="1"/>
      <c r="BE203" s="1" t="s">
        <v>1904</v>
      </c>
      <c r="BF203" s="1" t="s">
        <v>486</v>
      </c>
    </row>
    <row r="204" spans="1:58">
      <c r="A204" s="4">
        <v>199</v>
      </c>
      <c r="B204" s="2" t="str">
        <f>HYPERLINK("https://my.zakupki.prom.ua/remote/dispatcher/state_purchase_view/18122268", "UA-2020-07-27-000494-b")</f>
        <v>UA-2020-07-27-000494-b</v>
      </c>
      <c r="C204" s="2" t="s">
        <v>1459</v>
      </c>
      <c r="D204" s="1" t="s">
        <v>1401</v>
      </c>
      <c r="E204" s="1" t="s">
        <v>1401</v>
      </c>
      <c r="F204" s="1" t="s">
        <v>961</v>
      </c>
      <c r="G204" s="1" t="s">
        <v>1346</v>
      </c>
      <c r="H204" s="1" t="s">
        <v>1800</v>
      </c>
      <c r="I204" s="1" t="s">
        <v>1379</v>
      </c>
      <c r="J204" s="1" t="s">
        <v>819</v>
      </c>
      <c r="K204" s="1" t="s">
        <v>1287</v>
      </c>
      <c r="L204" s="1" t="s">
        <v>1216</v>
      </c>
      <c r="M204" s="1" t="s">
        <v>316</v>
      </c>
      <c r="N204" s="1" t="s">
        <v>119</v>
      </c>
      <c r="O204" s="1" t="s">
        <v>119</v>
      </c>
      <c r="P204" s="5">
        <v>44039</v>
      </c>
      <c r="Q204" s="5">
        <v>44039</v>
      </c>
      <c r="R204" s="5">
        <v>44043</v>
      </c>
      <c r="S204" s="5">
        <v>44043</v>
      </c>
      <c r="T204" s="5">
        <v>44048</v>
      </c>
      <c r="U204" s="7">
        <v>44049.547199074077</v>
      </c>
      <c r="V204" s="4">
        <v>5</v>
      </c>
      <c r="W204" s="6">
        <v>49500</v>
      </c>
      <c r="X204" s="1" t="s">
        <v>1459</v>
      </c>
      <c r="Y204" s="4">
        <v>3</v>
      </c>
      <c r="Z204" s="6">
        <v>16500</v>
      </c>
      <c r="AA204" s="1" t="s">
        <v>2024</v>
      </c>
      <c r="AB204" s="6">
        <v>495</v>
      </c>
      <c r="AC204" s="1" t="s">
        <v>1124</v>
      </c>
      <c r="AD204" s="1" t="s">
        <v>1800</v>
      </c>
      <c r="AE204" s="1" t="s">
        <v>1286</v>
      </c>
      <c r="AF204" s="1" t="s">
        <v>1463</v>
      </c>
      <c r="AG204" s="6">
        <v>40810</v>
      </c>
      <c r="AH204" s="6">
        <v>13603.333333333334</v>
      </c>
      <c r="AI204" s="1" t="s">
        <v>1838</v>
      </c>
      <c r="AJ204" s="6">
        <v>8690</v>
      </c>
      <c r="AK204" s="6">
        <v>0.17555555555555555</v>
      </c>
      <c r="AL204" s="1" t="s">
        <v>1852</v>
      </c>
      <c r="AM204" s="1" t="s">
        <v>774</v>
      </c>
      <c r="AN204" s="1" t="s">
        <v>1179</v>
      </c>
      <c r="AO204" s="1" t="s">
        <v>83</v>
      </c>
      <c r="AP204" s="6">
        <v>5010</v>
      </c>
      <c r="AQ204" s="6">
        <v>0.10121212121212121</v>
      </c>
      <c r="AR204" s="2" t="str">
        <f>HYPERLINK("https://auction.openprocurement.org/tenders/95edfef19eb044b88ce7f5094865c8ca")</f>
        <v>https://auction.openprocurement.org/tenders/95edfef19eb044b88ce7f5094865c8ca</v>
      </c>
      <c r="AS204" s="7">
        <v>44050.433601616554</v>
      </c>
      <c r="AT204" s="5">
        <v>44054</v>
      </c>
      <c r="AU204" s="5">
        <v>44073</v>
      </c>
      <c r="AV204" s="1" t="s">
        <v>1941</v>
      </c>
      <c r="AW204" s="7">
        <v>44060.536598996761</v>
      </c>
      <c r="AX204" s="1" t="s">
        <v>378</v>
      </c>
      <c r="AY204" s="6">
        <v>44490</v>
      </c>
      <c r="AZ204" s="1"/>
      <c r="BA204" s="5">
        <v>44104</v>
      </c>
      <c r="BB204" s="7">
        <v>44196</v>
      </c>
      <c r="BC204" s="1" t="s">
        <v>1997</v>
      </c>
      <c r="BD204" s="1"/>
      <c r="BE204" s="1"/>
      <c r="BF204" s="1" t="s">
        <v>638</v>
      </c>
    </row>
    <row r="205" spans="1:58">
      <c r="A205" s="4">
        <v>200</v>
      </c>
      <c r="B205" s="2" t="str">
        <f>HYPERLINK("https://my.zakupki.prom.ua/remote/dispatcher/state_purchase_view/14191350", "UA-2019-12-20-001497-b")</f>
        <v>UA-2019-12-20-001497-b</v>
      </c>
      <c r="C205" s="2" t="s">
        <v>1459</v>
      </c>
      <c r="D205" s="1" t="s">
        <v>1937</v>
      </c>
      <c r="E205" s="1" t="s">
        <v>902</v>
      </c>
      <c r="F205" s="1" t="s">
        <v>899</v>
      </c>
      <c r="G205" s="1" t="s">
        <v>1364</v>
      </c>
      <c r="H205" s="1" t="s">
        <v>1800</v>
      </c>
      <c r="I205" s="1" t="s">
        <v>1379</v>
      </c>
      <c r="J205" s="1" t="s">
        <v>819</v>
      </c>
      <c r="K205" s="1" t="s">
        <v>1287</v>
      </c>
      <c r="L205" s="1" t="s">
        <v>1915</v>
      </c>
      <c r="M205" s="1" t="s">
        <v>119</v>
      </c>
      <c r="N205" s="1" t="s">
        <v>119</v>
      </c>
      <c r="O205" s="1" t="s">
        <v>119</v>
      </c>
      <c r="P205" s="5">
        <v>43819</v>
      </c>
      <c r="Q205" s="1"/>
      <c r="R205" s="1"/>
      <c r="S205" s="1"/>
      <c r="T205" s="1"/>
      <c r="U205" s="1" t="s">
        <v>1922</v>
      </c>
      <c r="V205" s="4">
        <v>1</v>
      </c>
      <c r="W205" s="6">
        <v>3218.97</v>
      </c>
      <c r="X205" s="1" t="s">
        <v>1459</v>
      </c>
      <c r="Y205" s="4">
        <v>12</v>
      </c>
      <c r="Z205" s="6">
        <v>268.25</v>
      </c>
      <c r="AA205" s="1" t="s">
        <v>1961</v>
      </c>
      <c r="AB205" s="1" t="s">
        <v>1964</v>
      </c>
      <c r="AC205" s="1" t="s">
        <v>1124</v>
      </c>
      <c r="AD205" s="1" t="s">
        <v>1463</v>
      </c>
      <c r="AE205" s="1" t="s">
        <v>1286</v>
      </c>
      <c r="AF205" s="1" t="s">
        <v>1463</v>
      </c>
      <c r="AG205" s="6">
        <v>3218.97</v>
      </c>
      <c r="AH205" s="6">
        <v>268.2475</v>
      </c>
      <c r="AI205" s="1"/>
      <c r="AJ205" s="1"/>
      <c r="AK205" s="1"/>
      <c r="AL205" s="1" t="s">
        <v>1905</v>
      </c>
      <c r="AM205" s="1" t="s">
        <v>531</v>
      </c>
      <c r="AN205" s="1"/>
      <c r="AO205" s="1" t="s">
        <v>238</v>
      </c>
      <c r="AP205" s="1"/>
      <c r="AQ205" s="1"/>
      <c r="AR205" s="2"/>
      <c r="AS205" s="1"/>
      <c r="AT205" s="1"/>
      <c r="AU205" s="1"/>
      <c r="AV205" s="1" t="s">
        <v>1941</v>
      </c>
      <c r="AW205" s="7">
        <v>43819.470269875535</v>
      </c>
      <c r="AX205" s="1" t="s">
        <v>358</v>
      </c>
      <c r="AY205" s="6">
        <v>3218.97</v>
      </c>
      <c r="AZ205" s="5">
        <v>43819</v>
      </c>
      <c r="BA205" s="5">
        <v>43830</v>
      </c>
      <c r="BB205" s="7">
        <v>43830</v>
      </c>
      <c r="BC205" s="1" t="s">
        <v>1997</v>
      </c>
      <c r="BD205" s="1"/>
      <c r="BE205" s="1"/>
      <c r="BF205" s="1" t="s">
        <v>118</v>
      </c>
    </row>
    <row r="206" spans="1:58">
      <c r="A206" s="4">
        <v>201</v>
      </c>
      <c r="B206" s="2" t="str">
        <f>HYPERLINK("https://my.zakupki.prom.ua/remote/dispatcher/state_purchase_view/9614727", "UA-2018-12-29-000074-b")</f>
        <v>UA-2018-12-29-000074-b</v>
      </c>
      <c r="C206" s="2" t="s">
        <v>1459</v>
      </c>
      <c r="D206" s="1" t="s">
        <v>1486</v>
      </c>
      <c r="E206" s="1" t="s">
        <v>1487</v>
      </c>
      <c r="F206" s="1" t="s">
        <v>294</v>
      </c>
      <c r="G206" s="1" t="s">
        <v>1513</v>
      </c>
      <c r="H206" s="1" t="s">
        <v>1800</v>
      </c>
      <c r="I206" s="1" t="s">
        <v>1379</v>
      </c>
      <c r="J206" s="1" t="s">
        <v>819</v>
      </c>
      <c r="K206" s="1" t="s">
        <v>1287</v>
      </c>
      <c r="L206" s="1" t="s">
        <v>1224</v>
      </c>
      <c r="M206" s="1" t="s">
        <v>119</v>
      </c>
      <c r="N206" s="1" t="s">
        <v>119</v>
      </c>
      <c r="O206" s="1" t="s">
        <v>119</v>
      </c>
      <c r="P206" s="5">
        <v>43463</v>
      </c>
      <c r="Q206" s="1"/>
      <c r="R206" s="1"/>
      <c r="S206" s="1"/>
      <c r="T206" s="1"/>
      <c r="U206" s="1" t="s">
        <v>1922</v>
      </c>
      <c r="V206" s="4">
        <v>1</v>
      </c>
      <c r="W206" s="6">
        <v>610747.80000000005</v>
      </c>
      <c r="X206" s="1" t="s">
        <v>1459</v>
      </c>
      <c r="Y206" s="4">
        <v>390</v>
      </c>
      <c r="Z206" s="6">
        <v>1566.02</v>
      </c>
      <c r="AA206" s="1" t="s">
        <v>1933</v>
      </c>
      <c r="AB206" s="1" t="s">
        <v>1964</v>
      </c>
      <c r="AC206" s="1" t="s">
        <v>1124</v>
      </c>
      <c r="AD206" s="1" t="s">
        <v>1800</v>
      </c>
      <c r="AE206" s="1" t="s">
        <v>1286</v>
      </c>
      <c r="AF206" s="1" t="s">
        <v>1463</v>
      </c>
      <c r="AG206" s="6">
        <v>610747.80000000005</v>
      </c>
      <c r="AH206" s="6">
        <v>1566.0200000000002</v>
      </c>
      <c r="AI206" s="1"/>
      <c r="AJ206" s="1"/>
      <c r="AK206" s="1"/>
      <c r="AL206" s="1" t="s">
        <v>1385</v>
      </c>
      <c r="AM206" s="1" t="s">
        <v>696</v>
      </c>
      <c r="AN206" s="1"/>
      <c r="AO206" s="1" t="s">
        <v>37</v>
      </c>
      <c r="AP206" s="1"/>
      <c r="AQ206" s="1"/>
      <c r="AR206" s="2"/>
      <c r="AS206" s="1"/>
      <c r="AT206" s="5">
        <v>43474</v>
      </c>
      <c r="AU206" s="5">
        <v>43499</v>
      </c>
      <c r="AV206" s="1" t="s">
        <v>1941</v>
      </c>
      <c r="AW206" s="7">
        <v>43490.411473617249</v>
      </c>
      <c r="AX206" s="1" t="s">
        <v>271</v>
      </c>
      <c r="AY206" s="6">
        <v>610747.80000000005</v>
      </c>
      <c r="AZ206" s="5">
        <v>43466</v>
      </c>
      <c r="BA206" s="5">
        <v>43830</v>
      </c>
      <c r="BB206" s="7">
        <v>43830</v>
      </c>
      <c r="BC206" s="1" t="s">
        <v>1997</v>
      </c>
      <c r="BD206" s="1"/>
      <c r="BE206" s="1"/>
      <c r="BF206" s="1" t="s">
        <v>118</v>
      </c>
    </row>
    <row r="207" spans="1:58">
      <c r="A207" s="4">
        <v>202</v>
      </c>
      <c r="B207" s="2" t="str">
        <f>HYPERLINK("https://my.zakupki.prom.ua/remote/dispatcher/state_purchase_view/15030249", "UA-2020-02-03-000755-a")</f>
        <v>UA-2020-02-03-000755-a</v>
      </c>
      <c r="C207" s="2" t="s">
        <v>1459</v>
      </c>
      <c r="D207" s="1" t="s">
        <v>508</v>
      </c>
      <c r="E207" s="1" t="s">
        <v>1331</v>
      </c>
      <c r="F207" s="1" t="s">
        <v>507</v>
      </c>
      <c r="G207" s="1" t="s">
        <v>1346</v>
      </c>
      <c r="H207" s="1" t="s">
        <v>1800</v>
      </c>
      <c r="I207" s="1" t="s">
        <v>1379</v>
      </c>
      <c r="J207" s="1" t="s">
        <v>819</v>
      </c>
      <c r="K207" s="1" t="s">
        <v>1287</v>
      </c>
      <c r="L207" s="1" t="s">
        <v>1915</v>
      </c>
      <c r="M207" s="1" t="s">
        <v>119</v>
      </c>
      <c r="N207" s="1" t="s">
        <v>119</v>
      </c>
      <c r="O207" s="1" t="s">
        <v>317</v>
      </c>
      <c r="P207" s="5">
        <v>43864</v>
      </c>
      <c r="Q207" s="5">
        <v>43864</v>
      </c>
      <c r="R207" s="5">
        <v>43867</v>
      </c>
      <c r="S207" s="5">
        <v>43867</v>
      </c>
      <c r="T207" s="5">
        <v>43875</v>
      </c>
      <c r="U207" s="7">
        <v>43878.581365740742</v>
      </c>
      <c r="V207" s="4">
        <v>2</v>
      </c>
      <c r="W207" s="6">
        <v>51200</v>
      </c>
      <c r="X207" s="1" t="s">
        <v>1459</v>
      </c>
      <c r="Y207" s="4">
        <v>280</v>
      </c>
      <c r="Z207" s="6">
        <v>182.86</v>
      </c>
      <c r="AA207" s="1" t="s">
        <v>2024</v>
      </c>
      <c r="AB207" s="6">
        <v>512</v>
      </c>
      <c r="AC207" s="1" t="s">
        <v>1124</v>
      </c>
      <c r="AD207" s="1" t="s">
        <v>1800</v>
      </c>
      <c r="AE207" s="1" t="s">
        <v>1286</v>
      </c>
      <c r="AF207" s="1" t="s">
        <v>1463</v>
      </c>
      <c r="AG207" s="6">
        <v>42138.6</v>
      </c>
      <c r="AH207" s="6">
        <v>150.495</v>
      </c>
      <c r="AI207" s="1" t="s">
        <v>1695</v>
      </c>
      <c r="AJ207" s="6">
        <v>9061.4000000000015</v>
      </c>
      <c r="AK207" s="6">
        <v>0.17698046875000004</v>
      </c>
      <c r="AL207" s="1" t="s">
        <v>1876</v>
      </c>
      <c r="AM207" s="1" t="s">
        <v>622</v>
      </c>
      <c r="AN207" s="1" t="s">
        <v>1126</v>
      </c>
      <c r="AO207" s="1" t="s">
        <v>62</v>
      </c>
      <c r="AP207" s="6">
        <v>100</v>
      </c>
      <c r="AQ207" s="6">
        <v>1.953125E-3</v>
      </c>
      <c r="AR207" s="2" t="str">
        <f>HYPERLINK("https://auction.openprocurement.org/tenders/d992d4f5bdee40358e7ee71b4d397845")</f>
        <v>https://auction.openprocurement.org/tenders/d992d4f5bdee40358e7ee71b4d397845</v>
      </c>
      <c r="AS207" s="7">
        <v>43882.386511905592</v>
      </c>
      <c r="AT207" s="5">
        <v>43886</v>
      </c>
      <c r="AU207" s="5">
        <v>43897</v>
      </c>
      <c r="AV207" s="1" t="s">
        <v>1941</v>
      </c>
      <c r="AW207" s="7">
        <v>43886.594350667641</v>
      </c>
      <c r="AX207" s="1" t="s">
        <v>495</v>
      </c>
      <c r="AY207" s="6">
        <v>51100</v>
      </c>
      <c r="AZ207" s="1"/>
      <c r="BA207" s="5">
        <v>43900</v>
      </c>
      <c r="BB207" s="7">
        <v>44196</v>
      </c>
      <c r="BC207" s="1" t="s">
        <v>1997</v>
      </c>
      <c r="BD207" s="1"/>
      <c r="BE207" s="1"/>
      <c r="BF207" s="1" t="s">
        <v>847</v>
      </c>
    </row>
    <row r="208" spans="1:58">
      <c r="A208" s="4">
        <v>203</v>
      </c>
      <c r="B208" s="2" t="str">
        <f>HYPERLINK("https://my.zakupki.prom.ua/remote/dispatcher/state_purchase_view/15634732", "UA-2020-03-05-002257-b")</f>
        <v>UA-2020-03-05-002257-b</v>
      </c>
      <c r="C208" s="2" t="s">
        <v>1459</v>
      </c>
      <c r="D208" s="1" t="s">
        <v>1536</v>
      </c>
      <c r="E208" s="1" t="s">
        <v>1536</v>
      </c>
      <c r="F208" s="1" t="s">
        <v>1066</v>
      </c>
      <c r="G208" s="1" t="s">
        <v>1364</v>
      </c>
      <c r="H208" s="1" t="s">
        <v>1800</v>
      </c>
      <c r="I208" s="1" t="s">
        <v>1379</v>
      </c>
      <c r="J208" s="1" t="s">
        <v>819</v>
      </c>
      <c r="K208" s="1" t="s">
        <v>1287</v>
      </c>
      <c r="L208" s="1" t="s">
        <v>1216</v>
      </c>
      <c r="M208" s="1" t="s">
        <v>119</v>
      </c>
      <c r="N208" s="1" t="s">
        <v>119</v>
      </c>
      <c r="O208" s="1" t="s">
        <v>119</v>
      </c>
      <c r="P208" s="5">
        <v>43895</v>
      </c>
      <c r="Q208" s="1"/>
      <c r="R208" s="1"/>
      <c r="S208" s="1"/>
      <c r="T208" s="1"/>
      <c r="U208" s="1" t="s">
        <v>1922</v>
      </c>
      <c r="V208" s="4">
        <v>1</v>
      </c>
      <c r="W208" s="6">
        <v>92</v>
      </c>
      <c r="X208" s="1" t="s">
        <v>1459</v>
      </c>
      <c r="Y208" s="4">
        <v>1</v>
      </c>
      <c r="Z208" s="6">
        <v>92</v>
      </c>
      <c r="AA208" s="1" t="s">
        <v>1976</v>
      </c>
      <c r="AB208" s="1" t="s">
        <v>1964</v>
      </c>
      <c r="AC208" s="1" t="s">
        <v>1124</v>
      </c>
      <c r="AD208" s="1" t="s">
        <v>1800</v>
      </c>
      <c r="AE208" s="1" t="s">
        <v>1286</v>
      </c>
      <c r="AF208" s="1" t="s">
        <v>1463</v>
      </c>
      <c r="AG208" s="6">
        <v>92</v>
      </c>
      <c r="AH208" s="6">
        <v>92</v>
      </c>
      <c r="AI208" s="1"/>
      <c r="AJ208" s="1"/>
      <c r="AK208" s="1"/>
      <c r="AL208" s="1" t="s">
        <v>1794</v>
      </c>
      <c r="AM208" s="1" t="s">
        <v>809</v>
      </c>
      <c r="AN208" s="1"/>
      <c r="AO208" s="1" t="s">
        <v>429</v>
      </c>
      <c r="AP208" s="1"/>
      <c r="AQ208" s="1"/>
      <c r="AR208" s="2"/>
      <c r="AS208" s="1"/>
      <c r="AT208" s="1"/>
      <c r="AU208" s="1"/>
      <c r="AV208" s="1" t="s">
        <v>1941</v>
      </c>
      <c r="AW208" s="7">
        <v>43895.59915674822</v>
      </c>
      <c r="AX208" s="1" t="s">
        <v>819</v>
      </c>
      <c r="AY208" s="6">
        <v>92</v>
      </c>
      <c r="AZ208" s="1"/>
      <c r="BA208" s="5">
        <v>44259</v>
      </c>
      <c r="BB208" s="7">
        <v>44259</v>
      </c>
      <c r="BC208" s="1" t="s">
        <v>1997</v>
      </c>
      <c r="BD208" s="1"/>
      <c r="BE208" s="1"/>
      <c r="BF208" s="1" t="s">
        <v>118</v>
      </c>
    </row>
    <row r="209" spans="1:58">
      <c r="A209" s="4">
        <v>204</v>
      </c>
      <c r="B209" s="2" t="str">
        <f>HYPERLINK("https://my.zakupki.prom.ua/remote/dispatcher/state_purchase_view/17689504", "UA-2020-07-07-000694-a")</f>
        <v>UA-2020-07-07-000694-a</v>
      </c>
      <c r="C209" s="2" t="s">
        <v>1459</v>
      </c>
      <c r="D209" s="1" t="s">
        <v>2</v>
      </c>
      <c r="E209" s="1" t="s">
        <v>2</v>
      </c>
      <c r="F209" s="1" t="s">
        <v>1065</v>
      </c>
      <c r="G209" s="1" t="s">
        <v>1364</v>
      </c>
      <c r="H209" s="1" t="s">
        <v>1800</v>
      </c>
      <c r="I209" s="1" t="s">
        <v>1379</v>
      </c>
      <c r="J209" s="1" t="s">
        <v>819</v>
      </c>
      <c r="K209" s="1" t="s">
        <v>1287</v>
      </c>
      <c r="L209" s="1" t="s">
        <v>1216</v>
      </c>
      <c r="M209" s="1" t="s">
        <v>119</v>
      </c>
      <c r="N209" s="1" t="s">
        <v>119</v>
      </c>
      <c r="O209" s="1" t="s">
        <v>119</v>
      </c>
      <c r="P209" s="5">
        <v>44019</v>
      </c>
      <c r="Q209" s="1"/>
      <c r="R209" s="1"/>
      <c r="S209" s="1"/>
      <c r="T209" s="1"/>
      <c r="U209" s="1" t="s">
        <v>1922</v>
      </c>
      <c r="V209" s="4">
        <v>1</v>
      </c>
      <c r="W209" s="6">
        <v>600</v>
      </c>
      <c r="X209" s="1" t="s">
        <v>1459</v>
      </c>
      <c r="Y209" s="4">
        <v>1</v>
      </c>
      <c r="Z209" s="6">
        <v>600</v>
      </c>
      <c r="AA209" s="1" t="s">
        <v>1976</v>
      </c>
      <c r="AB209" s="1" t="s">
        <v>1964</v>
      </c>
      <c r="AC209" s="1" t="s">
        <v>1124</v>
      </c>
      <c r="AD209" s="1" t="s">
        <v>1463</v>
      </c>
      <c r="AE209" s="1" t="s">
        <v>1286</v>
      </c>
      <c r="AF209" s="1" t="s">
        <v>1463</v>
      </c>
      <c r="AG209" s="6">
        <v>600</v>
      </c>
      <c r="AH209" s="6">
        <v>600</v>
      </c>
      <c r="AI209" s="1"/>
      <c r="AJ209" s="1"/>
      <c r="AK209" s="1"/>
      <c r="AL209" s="1" t="s">
        <v>1914</v>
      </c>
      <c r="AM209" s="1" t="s">
        <v>543</v>
      </c>
      <c r="AN209" s="1"/>
      <c r="AO209" s="1" t="s">
        <v>202</v>
      </c>
      <c r="AP209" s="1"/>
      <c r="AQ209" s="1"/>
      <c r="AR209" s="2"/>
      <c r="AS209" s="1"/>
      <c r="AT209" s="1"/>
      <c r="AU209" s="1"/>
      <c r="AV209" s="1" t="s">
        <v>1941</v>
      </c>
      <c r="AW209" s="7">
        <v>44019.399687934121</v>
      </c>
      <c r="AX209" s="1" t="s">
        <v>1013</v>
      </c>
      <c r="AY209" s="6">
        <v>600</v>
      </c>
      <c r="AZ209" s="5">
        <v>44019</v>
      </c>
      <c r="BA209" s="5">
        <v>44196</v>
      </c>
      <c r="BB209" s="7">
        <v>44196</v>
      </c>
      <c r="BC209" s="1" t="s">
        <v>1997</v>
      </c>
      <c r="BD209" s="1"/>
      <c r="BE209" s="1"/>
      <c r="BF209" s="1" t="s">
        <v>118</v>
      </c>
    </row>
    <row r="210" spans="1:58">
      <c r="A210" s="4">
        <v>205</v>
      </c>
      <c r="B210" s="2" t="str">
        <f>HYPERLINK("https://my.zakupki.prom.ua/remote/dispatcher/state_purchase_view/16534678", "UA-2020-05-04-002311-b")</f>
        <v>UA-2020-05-04-002311-b</v>
      </c>
      <c r="C210" s="2" t="s">
        <v>1459</v>
      </c>
      <c r="D210" s="1" t="s">
        <v>404</v>
      </c>
      <c r="E210" s="1" t="s">
        <v>2025</v>
      </c>
      <c r="F210" s="1" t="s">
        <v>403</v>
      </c>
      <c r="G210" s="1" t="s">
        <v>1346</v>
      </c>
      <c r="H210" s="1" t="s">
        <v>1800</v>
      </c>
      <c r="I210" s="1" t="s">
        <v>1379</v>
      </c>
      <c r="J210" s="1" t="s">
        <v>819</v>
      </c>
      <c r="K210" s="1" t="s">
        <v>1287</v>
      </c>
      <c r="L210" s="1" t="s">
        <v>1216</v>
      </c>
      <c r="M210" s="1" t="s">
        <v>316</v>
      </c>
      <c r="N210" s="1" t="s">
        <v>119</v>
      </c>
      <c r="O210" s="1" t="s">
        <v>119</v>
      </c>
      <c r="P210" s="5">
        <v>43955</v>
      </c>
      <c r="Q210" s="5">
        <v>43955</v>
      </c>
      <c r="R210" s="5">
        <v>43959</v>
      </c>
      <c r="S210" s="5">
        <v>43959</v>
      </c>
      <c r="T210" s="5">
        <v>43965</v>
      </c>
      <c r="U210" s="7">
        <v>43966.459629629629</v>
      </c>
      <c r="V210" s="4">
        <v>2</v>
      </c>
      <c r="W210" s="6">
        <v>5000</v>
      </c>
      <c r="X210" s="1" t="s">
        <v>1459</v>
      </c>
      <c r="Y210" s="4">
        <v>39</v>
      </c>
      <c r="Z210" s="6">
        <v>128.21</v>
      </c>
      <c r="AA210" s="1" t="s">
        <v>2024</v>
      </c>
      <c r="AB210" s="6">
        <v>25</v>
      </c>
      <c r="AC210" s="1" t="s">
        <v>1124</v>
      </c>
      <c r="AD210" s="1" t="s">
        <v>1800</v>
      </c>
      <c r="AE210" s="1" t="s">
        <v>1286</v>
      </c>
      <c r="AF210" s="1" t="s">
        <v>1463</v>
      </c>
      <c r="AG210" s="6">
        <v>2570</v>
      </c>
      <c r="AH210" s="6">
        <v>65.897435897435898</v>
      </c>
      <c r="AI210" s="1" t="s">
        <v>1725</v>
      </c>
      <c r="AJ210" s="6">
        <v>2430</v>
      </c>
      <c r="AK210" s="6">
        <v>0.48599999999999999</v>
      </c>
      <c r="AL210" s="1" t="s">
        <v>1725</v>
      </c>
      <c r="AM210" s="1" t="s">
        <v>745</v>
      </c>
      <c r="AN210" s="1" t="s">
        <v>1148</v>
      </c>
      <c r="AO210" s="1" t="s">
        <v>826</v>
      </c>
      <c r="AP210" s="6">
        <v>2430</v>
      </c>
      <c r="AQ210" s="6">
        <v>0.48599999999999999</v>
      </c>
      <c r="AR210" s="2" t="str">
        <f>HYPERLINK("https://auction.openprocurement.org/tenders/2acead8d0ea24dbd9c68093a03d50e39")</f>
        <v>https://auction.openprocurement.org/tenders/2acead8d0ea24dbd9c68093a03d50e39</v>
      </c>
      <c r="AS210" s="7">
        <v>43970.597972232405</v>
      </c>
      <c r="AT210" s="5">
        <v>43972</v>
      </c>
      <c r="AU210" s="5">
        <v>43989</v>
      </c>
      <c r="AV210" s="1" t="s">
        <v>1941</v>
      </c>
      <c r="AW210" s="7">
        <v>43991.488166691161</v>
      </c>
      <c r="AX210" s="1" t="s">
        <v>132</v>
      </c>
      <c r="AY210" s="6">
        <v>2570</v>
      </c>
      <c r="AZ210" s="1"/>
      <c r="BA210" s="5">
        <v>44012</v>
      </c>
      <c r="BB210" s="7">
        <v>44196</v>
      </c>
      <c r="BC210" s="1" t="s">
        <v>1997</v>
      </c>
      <c r="BD210" s="1"/>
      <c r="BE210" s="1"/>
      <c r="BF210" s="1" t="s">
        <v>746</v>
      </c>
    </row>
    <row r="211" spans="1:58">
      <c r="A211" s="4">
        <v>206</v>
      </c>
      <c r="B211" s="2" t="str">
        <f>HYPERLINK("https://my.zakupki.prom.ua/remote/dispatcher/state_purchase_view/14108292", "UA-2019-12-17-002829-b")</f>
        <v>UA-2019-12-17-002829-b</v>
      </c>
      <c r="C211" s="2" t="s">
        <v>1459</v>
      </c>
      <c r="D211" s="1" t="s">
        <v>292</v>
      </c>
      <c r="E211" s="1" t="s">
        <v>11</v>
      </c>
      <c r="F211" s="1" t="s">
        <v>292</v>
      </c>
      <c r="G211" s="1" t="s">
        <v>1346</v>
      </c>
      <c r="H211" s="1" t="s">
        <v>1800</v>
      </c>
      <c r="I211" s="1" t="s">
        <v>1379</v>
      </c>
      <c r="J211" s="1" t="s">
        <v>819</v>
      </c>
      <c r="K211" s="1" t="s">
        <v>1287</v>
      </c>
      <c r="L211" s="1" t="s">
        <v>1915</v>
      </c>
      <c r="M211" s="1" t="s">
        <v>119</v>
      </c>
      <c r="N211" s="1" t="s">
        <v>119</v>
      </c>
      <c r="O211" s="1" t="s">
        <v>119</v>
      </c>
      <c r="P211" s="5">
        <v>43816</v>
      </c>
      <c r="Q211" s="5">
        <v>43816</v>
      </c>
      <c r="R211" s="5">
        <v>43819</v>
      </c>
      <c r="S211" s="5">
        <v>43819</v>
      </c>
      <c r="T211" s="5">
        <v>43822</v>
      </c>
      <c r="U211" s="7">
        <v>43823.502939814818</v>
      </c>
      <c r="V211" s="4">
        <v>2</v>
      </c>
      <c r="W211" s="6">
        <v>63542.2</v>
      </c>
      <c r="X211" s="1" t="s">
        <v>1459</v>
      </c>
      <c r="Y211" s="4">
        <v>7760</v>
      </c>
      <c r="Z211" s="6">
        <v>8.19</v>
      </c>
      <c r="AA211" s="1" t="s">
        <v>1962</v>
      </c>
      <c r="AB211" s="6">
        <v>317.70999999999998</v>
      </c>
      <c r="AC211" s="1" t="s">
        <v>1124</v>
      </c>
      <c r="AD211" s="1" t="s">
        <v>1800</v>
      </c>
      <c r="AE211" s="1" t="s">
        <v>1286</v>
      </c>
      <c r="AF211" s="1" t="s">
        <v>1463</v>
      </c>
      <c r="AG211" s="6">
        <v>39576</v>
      </c>
      <c r="AH211" s="6">
        <v>5.0999999999999996</v>
      </c>
      <c r="AI211" s="1" t="s">
        <v>1830</v>
      </c>
      <c r="AJ211" s="6">
        <v>23966.199999999997</v>
      </c>
      <c r="AK211" s="6">
        <v>0.37716981785333209</v>
      </c>
      <c r="AL211" s="1" t="s">
        <v>1830</v>
      </c>
      <c r="AM211" s="1" t="s">
        <v>904</v>
      </c>
      <c r="AN211" s="1" t="s">
        <v>1112</v>
      </c>
      <c r="AO211" s="1" t="s">
        <v>822</v>
      </c>
      <c r="AP211" s="6">
        <v>23966.199999999997</v>
      </c>
      <c r="AQ211" s="6">
        <v>0.37716981785333209</v>
      </c>
      <c r="AR211" s="2" t="str">
        <f>HYPERLINK("https://auction.openprocurement.org/tenders/cdff23e79d18431b84dde9da0fcf4c06")</f>
        <v>https://auction.openprocurement.org/tenders/cdff23e79d18431b84dde9da0fcf4c06</v>
      </c>
      <c r="AS211" s="7">
        <v>43823.597352534998</v>
      </c>
      <c r="AT211" s="5">
        <v>43826</v>
      </c>
      <c r="AU211" s="5">
        <v>43849</v>
      </c>
      <c r="AV211" s="1" t="s">
        <v>1941</v>
      </c>
      <c r="AW211" s="7">
        <v>43843.40881137229</v>
      </c>
      <c r="AX211" s="1" t="s">
        <v>948</v>
      </c>
      <c r="AY211" s="6">
        <v>39576</v>
      </c>
      <c r="AZ211" s="5">
        <v>43831</v>
      </c>
      <c r="BA211" s="5">
        <v>44196</v>
      </c>
      <c r="BB211" s="7">
        <v>44196</v>
      </c>
      <c r="BC211" s="1" t="s">
        <v>1997</v>
      </c>
      <c r="BD211" s="1"/>
      <c r="BE211" s="1"/>
      <c r="BF211" s="1" t="s">
        <v>906</v>
      </c>
    </row>
    <row r="212" spans="1:58">
      <c r="A212" s="4">
        <v>207</v>
      </c>
      <c r="B212" s="2" t="str">
        <f>HYPERLINK("https://my.zakupki.prom.ua/remote/dispatcher/state_purchase_view/14373476", "UA-2020-01-03-000419-a")</f>
        <v>UA-2020-01-03-000419-a</v>
      </c>
      <c r="C212" s="2" t="s">
        <v>1459</v>
      </c>
      <c r="D212" s="1" t="s">
        <v>1530</v>
      </c>
      <c r="E212" s="1" t="s">
        <v>1102</v>
      </c>
      <c r="F212" s="1" t="s">
        <v>1101</v>
      </c>
      <c r="G212" s="1" t="s">
        <v>1364</v>
      </c>
      <c r="H212" s="1" t="s">
        <v>1800</v>
      </c>
      <c r="I212" s="1" t="s">
        <v>1379</v>
      </c>
      <c r="J212" s="1" t="s">
        <v>819</v>
      </c>
      <c r="K212" s="1" t="s">
        <v>1287</v>
      </c>
      <c r="L212" s="1" t="s">
        <v>1915</v>
      </c>
      <c r="M212" s="1" t="s">
        <v>119</v>
      </c>
      <c r="N212" s="1" t="s">
        <v>119</v>
      </c>
      <c r="O212" s="1" t="s">
        <v>119</v>
      </c>
      <c r="P212" s="5">
        <v>43833</v>
      </c>
      <c r="Q212" s="1"/>
      <c r="R212" s="1"/>
      <c r="S212" s="1"/>
      <c r="T212" s="1"/>
      <c r="U212" s="1" t="s">
        <v>1922</v>
      </c>
      <c r="V212" s="4">
        <v>1</v>
      </c>
      <c r="W212" s="6">
        <v>2968.2</v>
      </c>
      <c r="X212" s="1" t="s">
        <v>1459</v>
      </c>
      <c r="Y212" s="4">
        <v>1</v>
      </c>
      <c r="Z212" s="6">
        <v>2968.2</v>
      </c>
      <c r="AA212" s="1" t="s">
        <v>1976</v>
      </c>
      <c r="AB212" s="1" t="s">
        <v>1964</v>
      </c>
      <c r="AC212" s="1" t="s">
        <v>1124</v>
      </c>
      <c r="AD212" s="1" t="s">
        <v>1463</v>
      </c>
      <c r="AE212" s="1" t="s">
        <v>1286</v>
      </c>
      <c r="AF212" s="1" t="s">
        <v>1463</v>
      </c>
      <c r="AG212" s="6">
        <v>2968.2</v>
      </c>
      <c r="AH212" s="6">
        <v>2968.2</v>
      </c>
      <c r="AI212" s="1"/>
      <c r="AJ212" s="1"/>
      <c r="AK212" s="1"/>
      <c r="AL212" s="1" t="s">
        <v>1361</v>
      </c>
      <c r="AM212" s="1" t="s">
        <v>438</v>
      </c>
      <c r="AN212" s="1"/>
      <c r="AO212" s="1" t="s">
        <v>305</v>
      </c>
      <c r="AP212" s="1"/>
      <c r="AQ212" s="1"/>
      <c r="AR212" s="2"/>
      <c r="AS212" s="1"/>
      <c r="AT212" s="1"/>
      <c r="AU212" s="1"/>
      <c r="AV212" s="1" t="s">
        <v>1941</v>
      </c>
      <c r="AW212" s="7">
        <v>43833.48221818039</v>
      </c>
      <c r="AX212" s="1" t="s">
        <v>611</v>
      </c>
      <c r="AY212" s="6">
        <v>2968.2</v>
      </c>
      <c r="AZ212" s="1"/>
      <c r="BA212" s="5">
        <v>44196</v>
      </c>
      <c r="BB212" s="7">
        <v>44196</v>
      </c>
      <c r="BC212" s="1" t="s">
        <v>1997</v>
      </c>
      <c r="BD212" s="1"/>
      <c r="BE212" s="1"/>
      <c r="BF212" s="1" t="s">
        <v>118</v>
      </c>
    </row>
    <row r="213" spans="1:58">
      <c r="A213" s="4">
        <v>208</v>
      </c>
      <c r="B213" s="2" t="str">
        <f>HYPERLINK("https://my.zakupki.prom.ua/remote/dispatcher/state_purchase_view/19985364", "UA-2020-10-09-005382-a")</f>
        <v>UA-2020-10-09-005382-a</v>
      </c>
      <c r="C213" s="2" t="s">
        <v>1459</v>
      </c>
      <c r="D213" s="1" t="s">
        <v>1244</v>
      </c>
      <c r="E213" s="1" t="s">
        <v>1244</v>
      </c>
      <c r="F213" s="1" t="s">
        <v>733</v>
      </c>
      <c r="G213" s="1" t="s">
        <v>1280</v>
      </c>
      <c r="H213" s="1" t="s">
        <v>1800</v>
      </c>
      <c r="I213" s="1" t="s">
        <v>1379</v>
      </c>
      <c r="J213" s="1" t="s">
        <v>819</v>
      </c>
      <c r="K213" s="1" t="s">
        <v>1287</v>
      </c>
      <c r="L213" s="1" t="s">
        <v>1216</v>
      </c>
      <c r="M213" s="1" t="s">
        <v>119</v>
      </c>
      <c r="N213" s="1" t="s">
        <v>119</v>
      </c>
      <c r="O213" s="1" t="s">
        <v>119</v>
      </c>
      <c r="P213" s="5">
        <v>44113</v>
      </c>
      <c r="Q213" s="5">
        <v>44113</v>
      </c>
      <c r="R213" s="5">
        <v>44120</v>
      </c>
      <c r="S213" s="5">
        <v>44113</v>
      </c>
      <c r="T213" s="5">
        <v>44130</v>
      </c>
      <c r="U213" s="7">
        <v>44131.635682870372</v>
      </c>
      <c r="V213" s="4">
        <v>2</v>
      </c>
      <c r="W213" s="6">
        <v>69350</v>
      </c>
      <c r="X213" s="1" t="s">
        <v>1459</v>
      </c>
      <c r="Y213" s="4">
        <v>440</v>
      </c>
      <c r="Z213" s="6">
        <v>157.61000000000001</v>
      </c>
      <c r="AA213" s="1" t="s">
        <v>1950</v>
      </c>
      <c r="AB213" s="6">
        <v>693.5</v>
      </c>
      <c r="AC213" s="1" t="s">
        <v>1124</v>
      </c>
      <c r="AD213" s="1" t="s">
        <v>1800</v>
      </c>
      <c r="AE213" s="1" t="s">
        <v>1286</v>
      </c>
      <c r="AF213" s="1" t="s">
        <v>1463</v>
      </c>
      <c r="AG213" s="6">
        <v>69165.23</v>
      </c>
      <c r="AH213" s="6">
        <v>157.19370454545452</v>
      </c>
      <c r="AI213" s="1" t="s">
        <v>1704</v>
      </c>
      <c r="AJ213" s="6">
        <v>184.77000000000407</v>
      </c>
      <c r="AK213" s="6">
        <v>2.6643114635905418E-3</v>
      </c>
      <c r="AL213" s="1" t="s">
        <v>1704</v>
      </c>
      <c r="AM213" s="1" t="s">
        <v>666</v>
      </c>
      <c r="AN213" s="1" t="s">
        <v>1157</v>
      </c>
      <c r="AO213" s="1" t="s">
        <v>67</v>
      </c>
      <c r="AP213" s="6">
        <v>184.77000000000407</v>
      </c>
      <c r="AQ213" s="6">
        <v>2.6643114635905418E-3</v>
      </c>
      <c r="AR213" s="2" t="str">
        <f>HYPERLINK("https://auction.openprocurement.org/tenders/22236afc6aac4664bd96679f84b462e4")</f>
        <v>https://auction.openprocurement.org/tenders/22236afc6aac4664bd96679f84b462e4</v>
      </c>
      <c r="AS213" s="7">
        <v>44133.548162863888</v>
      </c>
      <c r="AT213" s="5">
        <v>44144</v>
      </c>
      <c r="AU213" s="5">
        <v>44154</v>
      </c>
      <c r="AV213" s="1" t="s">
        <v>1941</v>
      </c>
      <c r="AW213" s="7">
        <v>44145.603784275729</v>
      </c>
      <c r="AX213" s="1" t="s">
        <v>288</v>
      </c>
      <c r="AY213" s="6">
        <v>69165.23</v>
      </c>
      <c r="AZ213" s="1"/>
      <c r="BA213" s="5">
        <v>44196</v>
      </c>
      <c r="BB213" s="7">
        <v>44196</v>
      </c>
      <c r="BC213" s="1" t="s">
        <v>1997</v>
      </c>
      <c r="BD213" s="1"/>
      <c r="BE213" s="1"/>
      <c r="BF213" s="1" t="s">
        <v>670</v>
      </c>
    </row>
    <row r="214" spans="1:58">
      <c r="A214" s="4">
        <v>209</v>
      </c>
      <c r="B214" s="2" t="str">
        <f>HYPERLINK("https://my.zakupki.prom.ua/remote/dispatcher/state_purchase_view/20915112", "UA-2020-11-10-001825-c")</f>
        <v>UA-2020-11-10-001825-c</v>
      </c>
      <c r="C214" s="2" t="s">
        <v>1459</v>
      </c>
      <c r="D214" s="1" t="s">
        <v>1561</v>
      </c>
      <c r="E214" s="1" t="s">
        <v>1561</v>
      </c>
      <c r="F214" s="1" t="s">
        <v>1058</v>
      </c>
      <c r="G214" s="1" t="s">
        <v>1364</v>
      </c>
      <c r="H214" s="1" t="s">
        <v>1800</v>
      </c>
      <c r="I214" s="1" t="s">
        <v>1379</v>
      </c>
      <c r="J214" s="1" t="s">
        <v>819</v>
      </c>
      <c r="K214" s="1" t="s">
        <v>1287</v>
      </c>
      <c r="L214" s="1" t="s">
        <v>1216</v>
      </c>
      <c r="M214" s="1" t="s">
        <v>119</v>
      </c>
      <c r="N214" s="1" t="s">
        <v>119</v>
      </c>
      <c r="O214" s="1" t="s">
        <v>119</v>
      </c>
      <c r="P214" s="5">
        <v>44145</v>
      </c>
      <c r="Q214" s="1"/>
      <c r="R214" s="1"/>
      <c r="S214" s="1"/>
      <c r="T214" s="1"/>
      <c r="U214" s="1" t="s">
        <v>1922</v>
      </c>
      <c r="V214" s="4">
        <v>1</v>
      </c>
      <c r="W214" s="6">
        <v>6756.92</v>
      </c>
      <c r="X214" s="1" t="s">
        <v>1459</v>
      </c>
      <c r="Y214" s="4">
        <v>1</v>
      </c>
      <c r="Z214" s="6">
        <v>6756.92</v>
      </c>
      <c r="AA214" s="1" t="s">
        <v>1976</v>
      </c>
      <c r="AB214" s="1" t="s">
        <v>1964</v>
      </c>
      <c r="AC214" s="1" t="s">
        <v>1124</v>
      </c>
      <c r="AD214" s="1" t="s">
        <v>1800</v>
      </c>
      <c r="AE214" s="1" t="s">
        <v>1286</v>
      </c>
      <c r="AF214" s="1" t="s">
        <v>1463</v>
      </c>
      <c r="AG214" s="6">
        <v>6756.92</v>
      </c>
      <c r="AH214" s="6">
        <v>6756.92</v>
      </c>
      <c r="AI214" s="1"/>
      <c r="AJ214" s="1"/>
      <c r="AK214" s="1"/>
      <c r="AL214" s="1" t="s">
        <v>1784</v>
      </c>
      <c r="AM214" s="1" t="s">
        <v>820</v>
      </c>
      <c r="AN214" s="1"/>
      <c r="AO214" s="1" t="s">
        <v>255</v>
      </c>
      <c r="AP214" s="1"/>
      <c r="AQ214" s="1"/>
      <c r="AR214" s="2"/>
      <c r="AS214" s="1"/>
      <c r="AT214" s="1"/>
      <c r="AU214" s="1"/>
      <c r="AV214" s="1" t="s">
        <v>1941</v>
      </c>
      <c r="AW214" s="7">
        <v>44145.435115131993</v>
      </c>
      <c r="AX214" s="1" t="s">
        <v>326</v>
      </c>
      <c r="AY214" s="6">
        <v>6756.92</v>
      </c>
      <c r="AZ214" s="1"/>
      <c r="BA214" s="5">
        <v>44196</v>
      </c>
      <c r="BB214" s="7">
        <v>44196</v>
      </c>
      <c r="BC214" s="1" t="s">
        <v>1997</v>
      </c>
      <c r="BD214" s="1"/>
      <c r="BE214" s="1"/>
      <c r="BF214" s="1" t="s">
        <v>118</v>
      </c>
    </row>
    <row r="215" spans="1:58">
      <c r="A215" s="4">
        <v>210</v>
      </c>
      <c r="B215" s="2" t="str">
        <f>HYPERLINK("https://my.zakupki.prom.ua/remote/dispatcher/state_purchase_view/18270373", "UA-2020-08-03-002976-a")</f>
        <v>UA-2020-08-03-002976-a</v>
      </c>
      <c r="C215" s="2" t="s">
        <v>1459</v>
      </c>
      <c r="D215" s="1" t="s">
        <v>1521</v>
      </c>
      <c r="E215" s="1" t="s">
        <v>1521</v>
      </c>
      <c r="F215" s="1" t="s">
        <v>1066</v>
      </c>
      <c r="G215" s="1" t="s">
        <v>1364</v>
      </c>
      <c r="H215" s="1" t="s">
        <v>1800</v>
      </c>
      <c r="I215" s="1" t="s">
        <v>1379</v>
      </c>
      <c r="J215" s="1" t="s">
        <v>819</v>
      </c>
      <c r="K215" s="1" t="s">
        <v>1287</v>
      </c>
      <c r="L215" s="1" t="s">
        <v>1216</v>
      </c>
      <c r="M215" s="1" t="s">
        <v>119</v>
      </c>
      <c r="N215" s="1" t="s">
        <v>119</v>
      </c>
      <c r="O215" s="1" t="s">
        <v>119</v>
      </c>
      <c r="P215" s="5">
        <v>44046</v>
      </c>
      <c r="Q215" s="1"/>
      <c r="R215" s="1"/>
      <c r="S215" s="1"/>
      <c r="T215" s="1"/>
      <c r="U215" s="1" t="s">
        <v>1922</v>
      </c>
      <c r="V215" s="4">
        <v>1</v>
      </c>
      <c r="W215" s="6">
        <v>332</v>
      </c>
      <c r="X215" s="1" t="s">
        <v>1459</v>
      </c>
      <c r="Y215" s="4">
        <v>1</v>
      </c>
      <c r="Z215" s="6">
        <v>332</v>
      </c>
      <c r="AA215" s="1" t="s">
        <v>1976</v>
      </c>
      <c r="AB215" s="1" t="s">
        <v>1964</v>
      </c>
      <c r="AC215" s="1" t="s">
        <v>1124</v>
      </c>
      <c r="AD215" s="1" t="s">
        <v>1800</v>
      </c>
      <c r="AE215" s="1" t="s">
        <v>1286</v>
      </c>
      <c r="AF215" s="1" t="s">
        <v>1463</v>
      </c>
      <c r="AG215" s="6">
        <v>332</v>
      </c>
      <c r="AH215" s="6">
        <v>332</v>
      </c>
      <c r="AI215" s="1"/>
      <c r="AJ215" s="1"/>
      <c r="AK215" s="1"/>
      <c r="AL215" s="1" t="s">
        <v>1794</v>
      </c>
      <c r="AM215" s="1" t="s">
        <v>809</v>
      </c>
      <c r="AN215" s="1"/>
      <c r="AO215" s="1" t="s">
        <v>162</v>
      </c>
      <c r="AP215" s="1"/>
      <c r="AQ215" s="1"/>
      <c r="AR215" s="2"/>
      <c r="AS215" s="1"/>
      <c r="AT215" s="1"/>
      <c r="AU215" s="1"/>
      <c r="AV215" s="1" t="s">
        <v>1941</v>
      </c>
      <c r="AW215" s="7">
        <v>44047.533073184546</v>
      </c>
      <c r="AX215" s="1" t="s">
        <v>819</v>
      </c>
      <c r="AY215" s="6">
        <v>332</v>
      </c>
      <c r="AZ215" s="1"/>
      <c r="BA215" s="5">
        <v>44196</v>
      </c>
      <c r="BB215" s="7">
        <v>44196</v>
      </c>
      <c r="BC215" s="1" t="s">
        <v>1997</v>
      </c>
      <c r="BD215" s="1"/>
      <c r="BE215" s="1"/>
      <c r="BF215" s="1" t="s">
        <v>118</v>
      </c>
    </row>
    <row r="216" spans="1:58">
      <c r="A216" s="4">
        <v>211</v>
      </c>
      <c r="B216" s="2" t="str">
        <f>HYPERLINK("https://my.zakupki.prom.ua/remote/dispatcher/state_purchase_view/21726792", "UA-2020-12-03-011937-b")</f>
        <v>UA-2020-12-03-011937-b</v>
      </c>
      <c r="C216" s="2" t="s">
        <v>1459</v>
      </c>
      <c r="D216" s="1" t="s">
        <v>1926</v>
      </c>
      <c r="E216" s="1" t="s">
        <v>1926</v>
      </c>
      <c r="F216" s="1" t="s">
        <v>461</v>
      </c>
      <c r="G216" s="1" t="s">
        <v>1364</v>
      </c>
      <c r="H216" s="1" t="s">
        <v>1800</v>
      </c>
      <c r="I216" s="1" t="s">
        <v>1379</v>
      </c>
      <c r="J216" s="1" t="s">
        <v>819</v>
      </c>
      <c r="K216" s="1" t="s">
        <v>1287</v>
      </c>
      <c r="L216" s="1" t="s">
        <v>1216</v>
      </c>
      <c r="M216" s="1" t="s">
        <v>119</v>
      </c>
      <c r="N216" s="1" t="s">
        <v>119</v>
      </c>
      <c r="O216" s="1" t="s">
        <v>119</v>
      </c>
      <c r="P216" s="5">
        <v>44168</v>
      </c>
      <c r="Q216" s="1"/>
      <c r="R216" s="1"/>
      <c r="S216" s="1"/>
      <c r="T216" s="1"/>
      <c r="U216" s="1" t="s">
        <v>1922</v>
      </c>
      <c r="V216" s="4">
        <v>1</v>
      </c>
      <c r="W216" s="6">
        <v>1662</v>
      </c>
      <c r="X216" s="1" t="s">
        <v>1459</v>
      </c>
      <c r="Y216" s="4">
        <v>505</v>
      </c>
      <c r="Z216" s="6">
        <v>3.29</v>
      </c>
      <c r="AA216" s="1" t="s">
        <v>2024</v>
      </c>
      <c r="AB216" s="1" t="s">
        <v>1964</v>
      </c>
      <c r="AC216" s="1" t="s">
        <v>1124</v>
      </c>
      <c r="AD216" s="1" t="s">
        <v>1800</v>
      </c>
      <c r="AE216" s="1" t="s">
        <v>1286</v>
      </c>
      <c r="AF216" s="1" t="s">
        <v>1463</v>
      </c>
      <c r="AG216" s="6">
        <v>1662</v>
      </c>
      <c r="AH216" s="6">
        <v>3.2910891089108909</v>
      </c>
      <c r="AI216" s="1"/>
      <c r="AJ216" s="1"/>
      <c r="AK216" s="1"/>
      <c r="AL216" s="1" t="s">
        <v>1767</v>
      </c>
      <c r="AM216" s="1" t="s">
        <v>930</v>
      </c>
      <c r="AN216" s="1"/>
      <c r="AO216" s="1" t="s">
        <v>212</v>
      </c>
      <c r="AP216" s="1"/>
      <c r="AQ216" s="1"/>
      <c r="AR216" s="2"/>
      <c r="AS216" s="1"/>
      <c r="AT216" s="1"/>
      <c r="AU216" s="1"/>
      <c r="AV216" s="1" t="s">
        <v>1941</v>
      </c>
      <c r="AW216" s="7">
        <v>44168.688533481691</v>
      </c>
      <c r="AX216" s="1" t="s">
        <v>334</v>
      </c>
      <c r="AY216" s="6">
        <v>1662</v>
      </c>
      <c r="AZ216" s="1"/>
      <c r="BA216" s="5">
        <v>44196</v>
      </c>
      <c r="BB216" s="7">
        <v>44196</v>
      </c>
      <c r="BC216" s="1" t="s">
        <v>1997</v>
      </c>
      <c r="BD216" s="1"/>
      <c r="BE216" s="1"/>
      <c r="BF216" s="1" t="s">
        <v>118</v>
      </c>
    </row>
    <row r="217" spans="1:58">
      <c r="A217" s="4">
        <v>212</v>
      </c>
      <c r="B217" s="2" t="str">
        <f>HYPERLINK("https://my.zakupki.prom.ua/remote/dispatcher/state_purchase_view/19618159", "UA-2020-09-25-008639-a")</f>
        <v>UA-2020-09-25-008639-a</v>
      </c>
      <c r="C217" s="2" t="s">
        <v>1459</v>
      </c>
      <c r="D217" s="1" t="s">
        <v>1600</v>
      </c>
      <c r="E217" s="1" t="s">
        <v>1600</v>
      </c>
      <c r="F217" s="1" t="s">
        <v>1009</v>
      </c>
      <c r="G217" s="1" t="s">
        <v>1280</v>
      </c>
      <c r="H217" s="1" t="s">
        <v>1800</v>
      </c>
      <c r="I217" s="1" t="s">
        <v>1379</v>
      </c>
      <c r="J217" s="1" t="s">
        <v>819</v>
      </c>
      <c r="K217" s="1" t="s">
        <v>1287</v>
      </c>
      <c r="L217" s="1" t="s">
        <v>1216</v>
      </c>
      <c r="M217" s="1" t="s">
        <v>1057</v>
      </c>
      <c r="N217" s="1" t="s">
        <v>119</v>
      </c>
      <c r="O217" s="1" t="s">
        <v>119</v>
      </c>
      <c r="P217" s="5">
        <v>44099</v>
      </c>
      <c r="Q217" s="5">
        <v>44099</v>
      </c>
      <c r="R217" s="5">
        <v>44106</v>
      </c>
      <c r="S217" s="5">
        <v>44099</v>
      </c>
      <c r="T217" s="5">
        <v>44116</v>
      </c>
      <c r="U217" s="7">
        <v>44117.620416666665</v>
      </c>
      <c r="V217" s="4">
        <v>3</v>
      </c>
      <c r="W217" s="6">
        <v>706000</v>
      </c>
      <c r="X217" s="1" t="s">
        <v>1459</v>
      </c>
      <c r="Y217" s="4">
        <v>1</v>
      </c>
      <c r="Z217" s="6">
        <v>706000</v>
      </c>
      <c r="AA217" s="1" t="s">
        <v>1976</v>
      </c>
      <c r="AB217" s="6">
        <v>7060</v>
      </c>
      <c r="AC217" s="1" t="s">
        <v>1124</v>
      </c>
      <c r="AD217" s="1" t="s">
        <v>1800</v>
      </c>
      <c r="AE217" s="1" t="s">
        <v>1286</v>
      </c>
      <c r="AF217" s="1" t="s">
        <v>1463</v>
      </c>
      <c r="AG217" s="6">
        <v>670730.74</v>
      </c>
      <c r="AH217" s="6">
        <v>670730.74</v>
      </c>
      <c r="AI217" s="1" t="s">
        <v>1497</v>
      </c>
      <c r="AJ217" s="6">
        <v>35269.260000000009</v>
      </c>
      <c r="AK217" s="6">
        <v>4.9956458923512762E-2</v>
      </c>
      <c r="AL217" s="1" t="s">
        <v>1882</v>
      </c>
      <c r="AM217" s="1" t="s">
        <v>568</v>
      </c>
      <c r="AN217" s="1" t="s">
        <v>1174</v>
      </c>
      <c r="AO217" s="1" t="s">
        <v>66</v>
      </c>
      <c r="AP217" s="6">
        <v>118.76000000000931</v>
      </c>
      <c r="AQ217" s="6">
        <v>1.6821529745043813E-4</v>
      </c>
      <c r="AR217" s="2" t="str">
        <f>HYPERLINK("https://auction.openprocurement.org/tenders/cc016270d1044b9bada98029da03d0ba")</f>
        <v>https://auction.openprocurement.org/tenders/cc016270d1044b9bada98029da03d0ba</v>
      </c>
      <c r="AS217" s="7">
        <v>44119.551903751446</v>
      </c>
      <c r="AT217" s="5">
        <v>44130</v>
      </c>
      <c r="AU217" s="5">
        <v>44140</v>
      </c>
      <c r="AV217" s="1" t="s">
        <v>1941</v>
      </c>
      <c r="AW217" s="7">
        <v>44132.616984323817</v>
      </c>
      <c r="AX217" s="1" t="s">
        <v>565</v>
      </c>
      <c r="AY217" s="6">
        <v>705881.24</v>
      </c>
      <c r="AZ217" s="1"/>
      <c r="BA217" s="5">
        <v>44196</v>
      </c>
      <c r="BB217" s="7">
        <v>44196</v>
      </c>
      <c r="BC217" s="1" t="s">
        <v>1997</v>
      </c>
      <c r="BD217" s="1"/>
      <c r="BE217" s="1"/>
      <c r="BF217" s="1" t="s">
        <v>771</v>
      </c>
    </row>
    <row r="218" spans="1:58">
      <c r="A218" s="4">
        <v>213</v>
      </c>
      <c r="B218" s="2" t="str">
        <f>HYPERLINK("https://my.zakupki.prom.ua/remote/dispatcher/state_purchase_view/10611612", "UA-2019-02-18-001832-b")</f>
        <v>UA-2019-02-18-001832-b</v>
      </c>
      <c r="C218" s="2" t="s">
        <v>1459</v>
      </c>
      <c r="D218" s="1" t="s">
        <v>705</v>
      </c>
      <c r="E218" s="1" t="s">
        <v>1909</v>
      </c>
      <c r="F218" s="1" t="s">
        <v>704</v>
      </c>
      <c r="G218" s="1" t="s">
        <v>1280</v>
      </c>
      <c r="H218" s="1" t="s">
        <v>1800</v>
      </c>
      <c r="I218" s="1" t="s">
        <v>1379</v>
      </c>
      <c r="J218" s="1" t="s">
        <v>819</v>
      </c>
      <c r="K218" s="1" t="s">
        <v>1287</v>
      </c>
      <c r="L218" s="1" t="s">
        <v>1224</v>
      </c>
      <c r="M218" s="1" t="s">
        <v>119</v>
      </c>
      <c r="N218" s="1" t="s">
        <v>119</v>
      </c>
      <c r="O218" s="1" t="s">
        <v>317</v>
      </c>
      <c r="P218" s="5">
        <v>43514</v>
      </c>
      <c r="Q218" s="5">
        <v>43514</v>
      </c>
      <c r="R218" s="5">
        <v>43519</v>
      </c>
      <c r="S218" s="5">
        <v>43514</v>
      </c>
      <c r="T218" s="5">
        <v>43529</v>
      </c>
      <c r="U218" s="7">
        <v>43530.492245370369</v>
      </c>
      <c r="V218" s="4">
        <v>2</v>
      </c>
      <c r="W218" s="6">
        <v>171750</v>
      </c>
      <c r="X218" s="1" t="s">
        <v>1459</v>
      </c>
      <c r="Y218" s="1" t="s">
        <v>1956</v>
      </c>
      <c r="Z218" s="1" t="s">
        <v>1956</v>
      </c>
      <c r="AA218" s="1" t="s">
        <v>1956</v>
      </c>
      <c r="AB218" s="6">
        <v>858.75</v>
      </c>
      <c r="AC218" s="1" t="s">
        <v>1124</v>
      </c>
      <c r="AD218" s="1" t="s">
        <v>1800</v>
      </c>
      <c r="AE218" s="1" t="s">
        <v>1286</v>
      </c>
      <c r="AF218" s="1" t="s">
        <v>1463</v>
      </c>
      <c r="AG218" s="6">
        <v>171712.26</v>
      </c>
      <c r="AH218" s="1" t="s">
        <v>1956</v>
      </c>
      <c r="AI218" s="1" t="s">
        <v>1875</v>
      </c>
      <c r="AJ218" s="6">
        <v>37.739999999990687</v>
      </c>
      <c r="AK218" s="6">
        <v>2.1973799126632132E-4</v>
      </c>
      <c r="AL218" s="1" t="s">
        <v>1875</v>
      </c>
      <c r="AM218" s="1" t="s">
        <v>784</v>
      </c>
      <c r="AN218" s="1" t="s">
        <v>1169</v>
      </c>
      <c r="AO218" s="1" t="s">
        <v>88</v>
      </c>
      <c r="AP218" s="6">
        <v>37.739999999990687</v>
      </c>
      <c r="AQ218" s="6">
        <v>2.1973799126632132E-4</v>
      </c>
      <c r="AR218" s="2" t="str">
        <f>HYPERLINK("https://auction.openprocurement.org/tenders/5893a5f22f5b4dc19d759435f9e424cf")</f>
        <v>https://auction.openprocurement.org/tenders/5893a5f22f5b4dc19d759435f9e424cf</v>
      </c>
      <c r="AS218" s="7">
        <v>43535.562904949642</v>
      </c>
      <c r="AT218" s="5">
        <v>43546</v>
      </c>
      <c r="AU218" s="5">
        <v>43556</v>
      </c>
      <c r="AV218" s="1" t="s">
        <v>1941</v>
      </c>
      <c r="AW218" s="7">
        <v>43546.462351530208</v>
      </c>
      <c r="AX218" s="1" t="s">
        <v>450</v>
      </c>
      <c r="AY218" s="6">
        <v>171712.26</v>
      </c>
      <c r="AZ218" s="1"/>
      <c r="BA218" s="5">
        <v>43641</v>
      </c>
      <c r="BB218" s="7">
        <v>43830</v>
      </c>
      <c r="BC218" s="1" t="s">
        <v>1997</v>
      </c>
      <c r="BD218" s="1"/>
      <c r="BE218" s="1"/>
      <c r="BF218" s="1" t="s">
        <v>785</v>
      </c>
    </row>
    <row r="219" spans="1:58">
      <c r="A219" s="4">
        <v>214</v>
      </c>
      <c r="B219" s="2" t="str">
        <f>HYPERLINK("https://my.zakupki.prom.ua/remote/dispatcher/state_purchase_view/11887001", "UA-2019-06-11-000706-b")</f>
        <v>UA-2019-06-11-000706-b</v>
      </c>
      <c r="C219" s="2" t="str">
        <f>HYPERLINK("https://my.zakupki.prom.ua/remote/dispatcher/state_purchase_lot_view/456325", "UA-2019-06-11-000706-b-L1")</f>
        <v>UA-2019-06-11-000706-b-L1</v>
      </c>
      <c r="D219" s="1" t="s">
        <v>1431</v>
      </c>
      <c r="E219" s="1" t="s">
        <v>1614</v>
      </c>
      <c r="F219" s="1" t="s">
        <v>721</v>
      </c>
      <c r="G219" s="1" t="s">
        <v>1280</v>
      </c>
      <c r="H219" s="1" t="s">
        <v>1800</v>
      </c>
      <c r="I219" s="1" t="s">
        <v>1379</v>
      </c>
      <c r="J219" s="1" t="s">
        <v>819</v>
      </c>
      <c r="K219" s="1" t="s">
        <v>1287</v>
      </c>
      <c r="L219" s="1" t="s">
        <v>1224</v>
      </c>
      <c r="M219" s="1" t="s">
        <v>120</v>
      </c>
      <c r="N219" s="1" t="s">
        <v>120</v>
      </c>
      <c r="O219" s="1" t="s">
        <v>120</v>
      </c>
      <c r="P219" s="5">
        <v>43627</v>
      </c>
      <c r="Q219" s="5">
        <v>43627</v>
      </c>
      <c r="R219" s="5">
        <v>43632</v>
      </c>
      <c r="S219" s="5">
        <v>43627</v>
      </c>
      <c r="T219" s="5">
        <v>43642</v>
      </c>
      <c r="U219" s="7">
        <v>43643.578287037039</v>
      </c>
      <c r="V219" s="4">
        <v>0</v>
      </c>
      <c r="W219" s="6">
        <v>329200</v>
      </c>
      <c r="X219" s="6">
        <v>163600</v>
      </c>
      <c r="Y219" s="1" t="s">
        <v>1956</v>
      </c>
      <c r="Z219" s="1" t="s">
        <v>1956</v>
      </c>
      <c r="AA219" s="1" t="s">
        <v>1956</v>
      </c>
      <c r="AB219" s="6">
        <v>818</v>
      </c>
      <c r="AC219" s="1" t="s">
        <v>1124</v>
      </c>
      <c r="AD219" s="1" t="s">
        <v>1800</v>
      </c>
      <c r="AE219" s="1" t="s">
        <v>1286</v>
      </c>
      <c r="AF219" s="1" t="s">
        <v>1463</v>
      </c>
      <c r="AG219" s="1"/>
      <c r="AH219" s="1" t="s">
        <v>1956</v>
      </c>
      <c r="AI219" s="1"/>
      <c r="AJ219" s="1"/>
      <c r="AK219" s="1"/>
      <c r="AL219" s="1"/>
      <c r="AM219" s="1"/>
      <c r="AN219" s="1"/>
      <c r="AO219" s="1"/>
      <c r="AP219" s="1"/>
      <c r="AQ219" s="1"/>
      <c r="AR219" s="2"/>
      <c r="AS219" s="1"/>
      <c r="AT219" s="1"/>
      <c r="AU219" s="1"/>
      <c r="AV219" s="1" t="s">
        <v>2002</v>
      </c>
      <c r="AW219" s="7">
        <v>43627.428165192614</v>
      </c>
      <c r="AX219" s="1"/>
      <c r="AY219" s="1"/>
      <c r="AZ219" s="1"/>
      <c r="BA219" s="5">
        <v>43830</v>
      </c>
      <c r="BB219" s="1"/>
      <c r="BC219" s="1"/>
      <c r="BD219" s="1"/>
      <c r="BE219" s="1"/>
      <c r="BF219" s="1"/>
    </row>
    <row r="220" spans="1:58">
      <c r="A220" s="4">
        <v>215</v>
      </c>
      <c r="B220" s="2" t="str">
        <f>HYPERLINK("https://my.zakupki.prom.ua/remote/dispatcher/state_purchase_view/11887001", "UA-2019-06-11-000706-b")</f>
        <v>UA-2019-06-11-000706-b</v>
      </c>
      <c r="C220" s="2" t="str">
        <f>HYPERLINK("https://my.zakupki.prom.ua/remote/dispatcher/state_purchase_lot_view/456326", "UA-2019-06-11-000706-b-L2")</f>
        <v>UA-2019-06-11-000706-b-L2</v>
      </c>
      <c r="D220" s="1" t="s">
        <v>1430</v>
      </c>
      <c r="E220" s="1" t="s">
        <v>1407</v>
      </c>
      <c r="F220" s="1" t="s">
        <v>721</v>
      </c>
      <c r="G220" s="1" t="s">
        <v>1280</v>
      </c>
      <c r="H220" s="1" t="s">
        <v>1800</v>
      </c>
      <c r="I220" s="1" t="s">
        <v>1379</v>
      </c>
      <c r="J220" s="1" t="s">
        <v>819</v>
      </c>
      <c r="K220" s="1" t="s">
        <v>1287</v>
      </c>
      <c r="L220" s="1" t="s">
        <v>1224</v>
      </c>
      <c r="M220" s="1" t="s">
        <v>120</v>
      </c>
      <c r="N220" s="1" t="s">
        <v>120</v>
      </c>
      <c r="O220" s="1" t="s">
        <v>120</v>
      </c>
      <c r="P220" s="5">
        <v>43627</v>
      </c>
      <c r="Q220" s="5">
        <v>43627</v>
      </c>
      <c r="R220" s="5">
        <v>43632</v>
      </c>
      <c r="S220" s="5">
        <v>43627</v>
      </c>
      <c r="T220" s="5">
        <v>43642</v>
      </c>
      <c r="U220" s="7">
        <v>43643.59412037037</v>
      </c>
      <c r="V220" s="4">
        <v>0</v>
      </c>
      <c r="W220" s="6">
        <v>329200</v>
      </c>
      <c r="X220" s="6">
        <v>165600</v>
      </c>
      <c r="Y220" s="1" t="s">
        <v>1956</v>
      </c>
      <c r="Z220" s="1" t="s">
        <v>1956</v>
      </c>
      <c r="AA220" s="1" t="s">
        <v>1956</v>
      </c>
      <c r="AB220" s="6">
        <v>828</v>
      </c>
      <c r="AC220" s="1" t="s">
        <v>1124</v>
      </c>
      <c r="AD220" s="1" t="s">
        <v>1800</v>
      </c>
      <c r="AE220" s="1" t="s">
        <v>1286</v>
      </c>
      <c r="AF220" s="1" t="s">
        <v>1463</v>
      </c>
      <c r="AG220" s="1"/>
      <c r="AH220" s="1" t="s">
        <v>1956</v>
      </c>
      <c r="AI220" s="1"/>
      <c r="AJ220" s="1"/>
      <c r="AK220" s="1"/>
      <c r="AL220" s="1"/>
      <c r="AM220" s="1"/>
      <c r="AN220" s="1"/>
      <c r="AO220" s="1"/>
      <c r="AP220" s="1"/>
      <c r="AQ220" s="1"/>
      <c r="AR220" s="2"/>
      <c r="AS220" s="1"/>
      <c r="AT220" s="1"/>
      <c r="AU220" s="1"/>
      <c r="AV220" s="1" t="s">
        <v>2002</v>
      </c>
      <c r="AW220" s="7">
        <v>43627.430870673255</v>
      </c>
      <c r="AX220" s="1"/>
      <c r="AY220" s="1"/>
      <c r="AZ220" s="1"/>
      <c r="BA220" s="5">
        <v>43830</v>
      </c>
      <c r="BB220" s="1"/>
      <c r="BC220" s="1"/>
      <c r="BD220" s="1"/>
      <c r="BE220" s="1"/>
      <c r="BF220" s="1"/>
    </row>
    <row r="221" spans="1:58">
      <c r="A221" s="4">
        <v>216</v>
      </c>
      <c r="B221" s="2" t="str">
        <f>HYPERLINK("https://my.zakupki.prom.ua/remote/dispatcher/state_purchase_view/12234254", "UA-2019-07-15-001666-b")</f>
        <v>UA-2019-07-15-001666-b</v>
      </c>
      <c r="C221" s="2" t="s">
        <v>1459</v>
      </c>
      <c r="D221" s="1" t="s">
        <v>1603</v>
      </c>
      <c r="E221" s="1" t="s">
        <v>1604</v>
      </c>
      <c r="F221" s="1" t="s">
        <v>1009</v>
      </c>
      <c r="G221" s="1" t="s">
        <v>1280</v>
      </c>
      <c r="H221" s="1" t="s">
        <v>1800</v>
      </c>
      <c r="I221" s="1" t="s">
        <v>1379</v>
      </c>
      <c r="J221" s="1" t="s">
        <v>819</v>
      </c>
      <c r="K221" s="1" t="s">
        <v>1287</v>
      </c>
      <c r="L221" s="1" t="s">
        <v>1658</v>
      </c>
      <c r="M221" s="1" t="s">
        <v>119</v>
      </c>
      <c r="N221" s="1" t="s">
        <v>119</v>
      </c>
      <c r="O221" s="1" t="s">
        <v>119</v>
      </c>
      <c r="P221" s="5">
        <v>43661</v>
      </c>
      <c r="Q221" s="5">
        <v>43661</v>
      </c>
      <c r="R221" s="5">
        <v>43666</v>
      </c>
      <c r="S221" s="5">
        <v>43661</v>
      </c>
      <c r="T221" s="5">
        <v>43676</v>
      </c>
      <c r="U221" s="7">
        <v>43677.503321759257</v>
      </c>
      <c r="V221" s="4">
        <v>4</v>
      </c>
      <c r="W221" s="6">
        <v>286000</v>
      </c>
      <c r="X221" s="1" t="s">
        <v>1459</v>
      </c>
      <c r="Y221" s="4">
        <v>1</v>
      </c>
      <c r="Z221" s="6">
        <v>286000</v>
      </c>
      <c r="AA221" s="1" t="s">
        <v>1976</v>
      </c>
      <c r="AB221" s="6">
        <v>1430</v>
      </c>
      <c r="AC221" s="1" t="s">
        <v>1124</v>
      </c>
      <c r="AD221" s="1" t="s">
        <v>1800</v>
      </c>
      <c r="AE221" s="1" t="s">
        <v>1286</v>
      </c>
      <c r="AF221" s="1" t="s">
        <v>1463</v>
      </c>
      <c r="AG221" s="6">
        <v>249128</v>
      </c>
      <c r="AH221" s="6">
        <v>249128</v>
      </c>
      <c r="AI221" s="1" t="s">
        <v>1721</v>
      </c>
      <c r="AJ221" s="6">
        <v>36872</v>
      </c>
      <c r="AK221" s="6">
        <v>0.12892307692307692</v>
      </c>
      <c r="AL221" s="1" t="s">
        <v>1846</v>
      </c>
      <c r="AM221" s="1" t="s">
        <v>796</v>
      </c>
      <c r="AN221" s="1" t="s">
        <v>1173</v>
      </c>
      <c r="AO221" s="1" t="s">
        <v>108</v>
      </c>
      <c r="AP221" s="6">
        <v>1350.2800000000279</v>
      </c>
      <c r="AQ221" s="6">
        <v>4.7212587412588389E-3</v>
      </c>
      <c r="AR221" s="2" t="str">
        <f>HYPERLINK("https://auction.openprocurement.org/tenders/2dd87de9383e4c5894c3e72c6c8b6af0")</f>
        <v>https://auction.openprocurement.org/tenders/2dd87de9383e4c5894c3e72c6c8b6af0</v>
      </c>
      <c r="AS221" s="7">
        <v>43713.586455683515</v>
      </c>
      <c r="AT221" s="5">
        <v>43724</v>
      </c>
      <c r="AU221" s="5">
        <v>43734</v>
      </c>
      <c r="AV221" s="1" t="s">
        <v>1941</v>
      </c>
      <c r="AW221" s="7">
        <v>43733.614513249835</v>
      </c>
      <c r="AX221" s="1" t="s">
        <v>492</v>
      </c>
      <c r="AY221" s="6">
        <v>284649.71999999997</v>
      </c>
      <c r="AZ221" s="1"/>
      <c r="BA221" s="5">
        <v>43739</v>
      </c>
      <c r="BB221" s="7">
        <v>43830</v>
      </c>
      <c r="BC221" s="1" t="s">
        <v>1997</v>
      </c>
      <c r="BD221" s="1"/>
      <c r="BE221" s="1"/>
      <c r="BF221" s="1" t="s">
        <v>936</v>
      </c>
    </row>
    <row r="222" spans="1:58">
      <c r="A222" s="4">
        <v>217</v>
      </c>
      <c r="B222" s="2" t="str">
        <f>HYPERLINK("https://my.zakupki.prom.ua/remote/dispatcher/state_purchase_view/12044891", "UA-2019-06-25-002159-c")</f>
        <v>UA-2019-06-25-002159-c</v>
      </c>
      <c r="C222" s="2" t="s">
        <v>1459</v>
      </c>
      <c r="D222" s="1" t="s">
        <v>1906</v>
      </c>
      <c r="E222" s="1" t="s">
        <v>1906</v>
      </c>
      <c r="F222" s="1" t="s">
        <v>869</v>
      </c>
      <c r="G222" s="1" t="s">
        <v>1346</v>
      </c>
      <c r="H222" s="1" t="s">
        <v>1800</v>
      </c>
      <c r="I222" s="1" t="s">
        <v>1379</v>
      </c>
      <c r="J222" s="1" t="s">
        <v>819</v>
      </c>
      <c r="K222" s="1" t="s">
        <v>1287</v>
      </c>
      <c r="L222" s="1" t="s">
        <v>1224</v>
      </c>
      <c r="M222" s="1" t="s">
        <v>119</v>
      </c>
      <c r="N222" s="1" t="s">
        <v>119</v>
      </c>
      <c r="O222" s="1" t="s">
        <v>119</v>
      </c>
      <c r="P222" s="5">
        <v>43641</v>
      </c>
      <c r="Q222" s="5">
        <v>43641</v>
      </c>
      <c r="R222" s="5">
        <v>43647</v>
      </c>
      <c r="S222" s="5">
        <v>43647</v>
      </c>
      <c r="T222" s="5">
        <v>43649</v>
      </c>
      <c r="U222" s="7">
        <v>43650.514837962961</v>
      </c>
      <c r="V222" s="4">
        <v>3</v>
      </c>
      <c r="W222" s="6">
        <v>36000</v>
      </c>
      <c r="X222" s="1" t="s">
        <v>1459</v>
      </c>
      <c r="Y222" s="4">
        <v>5</v>
      </c>
      <c r="Z222" s="6">
        <v>7200</v>
      </c>
      <c r="AA222" s="1" t="s">
        <v>2023</v>
      </c>
      <c r="AB222" s="6">
        <v>360</v>
      </c>
      <c r="AC222" s="1" t="s">
        <v>1124</v>
      </c>
      <c r="AD222" s="1" t="s">
        <v>1800</v>
      </c>
      <c r="AE222" s="1" t="s">
        <v>1286</v>
      </c>
      <c r="AF222" s="1" t="s">
        <v>1463</v>
      </c>
      <c r="AG222" s="6">
        <v>17538</v>
      </c>
      <c r="AH222" s="6">
        <v>3507.6</v>
      </c>
      <c r="AI222" s="1" t="s">
        <v>1605</v>
      </c>
      <c r="AJ222" s="6">
        <v>18462</v>
      </c>
      <c r="AK222" s="6">
        <v>0.51283333333333336</v>
      </c>
      <c r="AL222" s="1" t="s">
        <v>1605</v>
      </c>
      <c r="AM222" s="1" t="s">
        <v>356</v>
      </c>
      <c r="AN222" s="1" t="s">
        <v>1140</v>
      </c>
      <c r="AO222" s="1" t="s">
        <v>56</v>
      </c>
      <c r="AP222" s="6">
        <v>18462</v>
      </c>
      <c r="AQ222" s="6">
        <v>0.51283333333333336</v>
      </c>
      <c r="AR222" s="2" t="str">
        <f>HYPERLINK("https://auction.openprocurement.org/tenders/a8c977731b184ff78c90e6355a412a16")</f>
        <v>https://auction.openprocurement.org/tenders/a8c977731b184ff78c90e6355a412a16</v>
      </c>
      <c r="AS222" s="7">
        <v>43654.586780622092</v>
      </c>
      <c r="AT222" s="5">
        <v>43656</v>
      </c>
      <c r="AU222" s="5">
        <v>43677</v>
      </c>
      <c r="AV222" s="1" t="s">
        <v>1941</v>
      </c>
      <c r="AW222" s="7">
        <v>43678.386325790336</v>
      </c>
      <c r="AX222" s="1" t="s">
        <v>616</v>
      </c>
      <c r="AY222" s="6">
        <v>17538</v>
      </c>
      <c r="AZ222" s="1"/>
      <c r="BA222" s="5">
        <v>43830</v>
      </c>
      <c r="BB222" s="7">
        <v>43830</v>
      </c>
      <c r="BC222" s="1" t="s">
        <v>1997</v>
      </c>
      <c r="BD222" s="1"/>
      <c r="BE222" s="1"/>
      <c r="BF222" s="1" t="s">
        <v>357</v>
      </c>
    </row>
    <row r="223" spans="1:58">
      <c r="A223" s="4">
        <v>218</v>
      </c>
      <c r="B223" s="2" t="str">
        <f>HYPERLINK("https://my.zakupki.prom.ua/remote/dispatcher/state_purchase_view/8415557", "UA-2018-10-01-001255-c")</f>
        <v>UA-2018-10-01-001255-c</v>
      </c>
      <c r="C223" s="2" t="s">
        <v>1459</v>
      </c>
      <c r="D223" s="1" t="s">
        <v>1019</v>
      </c>
      <c r="E223" s="1" t="s">
        <v>1369</v>
      </c>
      <c r="F223" s="1" t="s">
        <v>1019</v>
      </c>
      <c r="G223" s="1" t="s">
        <v>1346</v>
      </c>
      <c r="H223" s="1" t="s">
        <v>1800</v>
      </c>
      <c r="I223" s="1" t="s">
        <v>1379</v>
      </c>
      <c r="J223" s="1" t="s">
        <v>819</v>
      </c>
      <c r="K223" s="1" t="s">
        <v>1287</v>
      </c>
      <c r="L223" s="1" t="s">
        <v>1469</v>
      </c>
      <c r="M223" s="1" t="s">
        <v>119</v>
      </c>
      <c r="N223" s="1" t="s">
        <v>119</v>
      </c>
      <c r="O223" s="1" t="s">
        <v>119</v>
      </c>
      <c r="P223" s="5">
        <v>43374</v>
      </c>
      <c r="Q223" s="5">
        <v>43374</v>
      </c>
      <c r="R223" s="5">
        <v>43377</v>
      </c>
      <c r="S223" s="5">
        <v>43377</v>
      </c>
      <c r="T223" s="5">
        <v>43381</v>
      </c>
      <c r="U223" s="7">
        <v>43382.642812500002</v>
      </c>
      <c r="V223" s="4">
        <v>3</v>
      </c>
      <c r="W223" s="6">
        <v>39200</v>
      </c>
      <c r="X223" s="1" t="s">
        <v>1459</v>
      </c>
      <c r="Y223" s="1" t="s">
        <v>1956</v>
      </c>
      <c r="Z223" s="1" t="s">
        <v>1956</v>
      </c>
      <c r="AA223" s="1" t="s">
        <v>1956</v>
      </c>
      <c r="AB223" s="6">
        <v>196</v>
      </c>
      <c r="AC223" s="1" t="s">
        <v>1124</v>
      </c>
      <c r="AD223" s="1" t="s">
        <v>1800</v>
      </c>
      <c r="AE223" s="1" t="s">
        <v>1286</v>
      </c>
      <c r="AF223" s="1" t="s">
        <v>1463</v>
      </c>
      <c r="AG223" s="6">
        <v>15980</v>
      </c>
      <c r="AH223" s="1" t="s">
        <v>1956</v>
      </c>
      <c r="AI223" s="1" t="s">
        <v>1857</v>
      </c>
      <c r="AJ223" s="6">
        <v>23220</v>
      </c>
      <c r="AK223" s="6">
        <v>0.59234693877551026</v>
      </c>
      <c r="AL223" s="1" t="s">
        <v>1857</v>
      </c>
      <c r="AM223" s="1" t="s">
        <v>544</v>
      </c>
      <c r="AN223" s="1" t="s">
        <v>1048</v>
      </c>
      <c r="AO223" s="1" t="s">
        <v>65</v>
      </c>
      <c r="AP223" s="6">
        <v>23220</v>
      </c>
      <c r="AQ223" s="6">
        <v>0.59234693877551026</v>
      </c>
      <c r="AR223" s="2" t="str">
        <f>HYPERLINK("https://auction.openprocurement.org/tenders/84af9ed95de74eb1a29758063e51023a")</f>
        <v>https://auction.openprocurement.org/tenders/84af9ed95de74eb1a29758063e51023a</v>
      </c>
      <c r="AS223" s="7">
        <v>43384.355054316271</v>
      </c>
      <c r="AT223" s="5">
        <v>43389</v>
      </c>
      <c r="AU223" s="5">
        <v>43407</v>
      </c>
      <c r="AV223" s="1" t="s">
        <v>1941</v>
      </c>
      <c r="AW223" s="7">
        <v>43395.628230545233</v>
      </c>
      <c r="AX223" s="1" t="s">
        <v>453</v>
      </c>
      <c r="AY223" s="6">
        <v>15980</v>
      </c>
      <c r="AZ223" s="5">
        <v>43412</v>
      </c>
      <c r="BA223" s="5">
        <v>43465</v>
      </c>
      <c r="BB223" s="7">
        <v>43465</v>
      </c>
      <c r="BC223" s="1" t="s">
        <v>1997</v>
      </c>
      <c r="BD223" s="1"/>
      <c r="BE223" s="1"/>
      <c r="BF223" s="1" t="s">
        <v>545</v>
      </c>
    </row>
    <row r="224" spans="1:58">
      <c r="A224" s="4">
        <v>219</v>
      </c>
      <c r="B224" s="2" t="str">
        <f>HYPERLINK("https://my.zakupki.prom.ua/remote/dispatcher/state_purchase_view/8486858", "UA-2018-10-08-002224-c")</f>
        <v>UA-2018-10-08-002224-c</v>
      </c>
      <c r="C224" s="2" t="s">
        <v>1459</v>
      </c>
      <c r="D224" s="1" t="s">
        <v>1350</v>
      </c>
      <c r="E224" s="1" t="s">
        <v>1268</v>
      </c>
      <c r="F224" s="1" t="s">
        <v>664</v>
      </c>
      <c r="G224" s="1" t="s">
        <v>1346</v>
      </c>
      <c r="H224" s="1" t="s">
        <v>1800</v>
      </c>
      <c r="I224" s="1" t="s">
        <v>1379</v>
      </c>
      <c r="J224" s="1" t="s">
        <v>819</v>
      </c>
      <c r="K224" s="1" t="s">
        <v>1287</v>
      </c>
      <c r="L224" s="1" t="s">
        <v>1469</v>
      </c>
      <c r="M224" s="1" t="s">
        <v>316</v>
      </c>
      <c r="N224" s="1" t="s">
        <v>119</v>
      </c>
      <c r="O224" s="1" t="s">
        <v>119</v>
      </c>
      <c r="P224" s="5">
        <v>43381</v>
      </c>
      <c r="Q224" s="5">
        <v>43381</v>
      </c>
      <c r="R224" s="5">
        <v>43384</v>
      </c>
      <c r="S224" s="5">
        <v>43384</v>
      </c>
      <c r="T224" s="5">
        <v>43389</v>
      </c>
      <c r="U224" s="7">
        <v>43390.606874999998</v>
      </c>
      <c r="V224" s="4">
        <v>3</v>
      </c>
      <c r="W224" s="6">
        <v>3650</v>
      </c>
      <c r="X224" s="1" t="s">
        <v>1459</v>
      </c>
      <c r="Y224" s="1" t="s">
        <v>1956</v>
      </c>
      <c r="Z224" s="1" t="s">
        <v>1956</v>
      </c>
      <c r="AA224" s="1" t="s">
        <v>1956</v>
      </c>
      <c r="AB224" s="6">
        <v>18.25</v>
      </c>
      <c r="AC224" s="1" t="s">
        <v>1124</v>
      </c>
      <c r="AD224" s="1" t="s">
        <v>1800</v>
      </c>
      <c r="AE224" s="1" t="s">
        <v>1286</v>
      </c>
      <c r="AF224" s="1" t="s">
        <v>1463</v>
      </c>
      <c r="AG224" s="6">
        <v>1599</v>
      </c>
      <c r="AH224" s="1" t="s">
        <v>1956</v>
      </c>
      <c r="AI224" s="1" t="s">
        <v>1886</v>
      </c>
      <c r="AJ224" s="6">
        <v>2051</v>
      </c>
      <c r="AK224" s="6">
        <v>0.56191780821917803</v>
      </c>
      <c r="AL224" s="1" t="s">
        <v>1886</v>
      </c>
      <c r="AM224" s="1" t="s">
        <v>686</v>
      </c>
      <c r="AN224" s="1" t="s">
        <v>1201</v>
      </c>
      <c r="AO224" s="1" t="s">
        <v>103</v>
      </c>
      <c r="AP224" s="6">
        <v>2051</v>
      </c>
      <c r="AQ224" s="6">
        <v>0.56191780821917803</v>
      </c>
      <c r="AR224" s="2" t="str">
        <f>HYPERLINK("https://auction.openprocurement.org/tenders/71794b3dbd0645f5b4281adf9e6af641")</f>
        <v>https://auction.openprocurement.org/tenders/71794b3dbd0645f5b4281adf9e6af641</v>
      </c>
      <c r="AS224" s="7">
        <v>43395.683698528897</v>
      </c>
      <c r="AT224" s="5">
        <v>43397</v>
      </c>
      <c r="AU224" s="5">
        <v>43414</v>
      </c>
      <c r="AV224" s="1" t="s">
        <v>1941</v>
      </c>
      <c r="AW224" s="7">
        <v>43404.695544977847</v>
      </c>
      <c r="AX224" s="1" t="s">
        <v>620</v>
      </c>
      <c r="AY224" s="6">
        <v>1599</v>
      </c>
      <c r="AZ224" s="5">
        <v>43395</v>
      </c>
      <c r="BA224" s="5">
        <v>43455</v>
      </c>
      <c r="BB224" s="7">
        <v>43465</v>
      </c>
      <c r="BC224" s="1" t="s">
        <v>1997</v>
      </c>
      <c r="BD224" s="1"/>
      <c r="BE224" s="1"/>
      <c r="BF224" s="1" t="s">
        <v>687</v>
      </c>
    </row>
    <row r="225" spans="1:58">
      <c r="A225" s="4">
        <v>220</v>
      </c>
      <c r="B225" s="2" t="str">
        <f>HYPERLINK("https://my.zakupki.prom.ua/remote/dispatcher/state_purchase_view/12865370", "UA-2019-09-17-000340-a")</f>
        <v>UA-2019-09-17-000340-a</v>
      </c>
      <c r="C225" s="2" t="s">
        <v>1459</v>
      </c>
      <c r="D225" s="1" t="s">
        <v>1316</v>
      </c>
      <c r="E225" s="1" t="s">
        <v>1315</v>
      </c>
      <c r="F225" s="1" t="s">
        <v>1002</v>
      </c>
      <c r="G225" s="1" t="s">
        <v>1346</v>
      </c>
      <c r="H225" s="1" t="s">
        <v>1800</v>
      </c>
      <c r="I225" s="1" t="s">
        <v>1379</v>
      </c>
      <c r="J225" s="1" t="s">
        <v>819</v>
      </c>
      <c r="K225" s="1" t="s">
        <v>1287</v>
      </c>
      <c r="L225" s="1" t="s">
        <v>1658</v>
      </c>
      <c r="M225" s="1" t="s">
        <v>119</v>
      </c>
      <c r="N225" s="1" t="s">
        <v>119</v>
      </c>
      <c r="O225" s="1" t="s">
        <v>119</v>
      </c>
      <c r="P225" s="5">
        <v>43725</v>
      </c>
      <c r="Q225" s="5">
        <v>43725</v>
      </c>
      <c r="R225" s="5">
        <v>43727</v>
      </c>
      <c r="S225" s="5">
        <v>43727</v>
      </c>
      <c r="T225" s="5">
        <v>43728</v>
      </c>
      <c r="U225" s="7">
        <v>43731.585798611108</v>
      </c>
      <c r="V225" s="4">
        <v>3</v>
      </c>
      <c r="W225" s="6">
        <v>6170</v>
      </c>
      <c r="X225" s="1" t="s">
        <v>1459</v>
      </c>
      <c r="Y225" s="4">
        <v>22</v>
      </c>
      <c r="Z225" s="6">
        <v>280.45</v>
      </c>
      <c r="AA225" s="1" t="s">
        <v>2023</v>
      </c>
      <c r="AB225" s="6">
        <v>61.7</v>
      </c>
      <c r="AC225" s="1" t="s">
        <v>1124</v>
      </c>
      <c r="AD225" s="1" t="s">
        <v>1800</v>
      </c>
      <c r="AE225" s="1" t="s">
        <v>1286</v>
      </c>
      <c r="AF225" s="1" t="s">
        <v>1463</v>
      </c>
      <c r="AG225" s="6">
        <v>2900</v>
      </c>
      <c r="AH225" s="6">
        <v>131.81818181818181</v>
      </c>
      <c r="AI225" s="1" t="s">
        <v>1851</v>
      </c>
      <c r="AJ225" s="6">
        <v>3270</v>
      </c>
      <c r="AK225" s="6">
        <v>0.52998379254457051</v>
      </c>
      <c r="AL225" s="1" t="s">
        <v>1707</v>
      </c>
      <c r="AM225" s="1" t="s">
        <v>684</v>
      </c>
      <c r="AN225" s="1" t="s">
        <v>1199</v>
      </c>
      <c r="AO225" s="1" t="s">
        <v>24</v>
      </c>
      <c r="AP225" s="6">
        <v>534.80000000000018</v>
      </c>
      <c r="AQ225" s="6">
        <v>8.6677471636953024E-2</v>
      </c>
      <c r="AR225" s="2" t="str">
        <f>HYPERLINK("https://auction.openprocurement.org/tenders/1be7890066da498ab33ef87dd8934523")</f>
        <v>https://auction.openprocurement.org/tenders/1be7890066da498ab33ef87dd8934523</v>
      </c>
      <c r="AS225" s="7">
        <v>43738.511569026479</v>
      </c>
      <c r="AT225" s="5">
        <v>43740</v>
      </c>
      <c r="AU225" s="5">
        <v>43757</v>
      </c>
      <c r="AV225" s="1" t="s">
        <v>1941</v>
      </c>
      <c r="AW225" s="7">
        <v>43745.657014090626</v>
      </c>
      <c r="AX225" s="1" t="s">
        <v>268</v>
      </c>
      <c r="AY225" s="6">
        <v>5635.2</v>
      </c>
      <c r="AZ225" s="1"/>
      <c r="BA225" s="5">
        <v>43830</v>
      </c>
      <c r="BB225" s="7">
        <v>43830</v>
      </c>
      <c r="BC225" s="1" t="s">
        <v>1997</v>
      </c>
      <c r="BD225" s="1"/>
      <c r="BE225" s="1"/>
      <c r="BF225" s="1" t="s">
        <v>554</v>
      </c>
    </row>
    <row r="226" spans="1:58">
      <c r="A226" s="4">
        <v>221</v>
      </c>
      <c r="B226" s="2" t="str">
        <f>HYPERLINK("https://my.zakupki.prom.ua/remote/dispatcher/state_purchase_view/12600013", "UA-2019-08-21-000070-c")</f>
        <v>UA-2019-08-21-000070-c</v>
      </c>
      <c r="C226" s="2" t="s">
        <v>1459</v>
      </c>
      <c r="D226" s="1" t="s">
        <v>10</v>
      </c>
      <c r="E226" s="1" t="s">
        <v>1478</v>
      </c>
      <c r="F226" s="1" t="s">
        <v>857</v>
      </c>
      <c r="G226" s="1" t="s">
        <v>1346</v>
      </c>
      <c r="H226" s="1" t="s">
        <v>1800</v>
      </c>
      <c r="I226" s="1" t="s">
        <v>1379</v>
      </c>
      <c r="J226" s="1" t="s">
        <v>819</v>
      </c>
      <c r="K226" s="1" t="s">
        <v>1287</v>
      </c>
      <c r="L226" s="1" t="s">
        <v>1658</v>
      </c>
      <c r="M226" s="1" t="s">
        <v>119</v>
      </c>
      <c r="N226" s="1" t="s">
        <v>119</v>
      </c>
      <c r="O226" s="1" t="s">
        <v>119</v>
      </c>
      <c r="P226" s="5">
        <v>43698</v>
      </c>
      <c r="Q226" s="5">
        <v>43698</v>
      </c>
      <c r="R226" s="5">
        <v>43703</v>
      </c>
      <c r="S226" s="5">
        <v>43703</v>
      </c>
      <c r="T226" s="5">
        <v>43707</v>
      </c>
      <c r="U226" s="7">
        <v>43710.623831018522</v>
      </c>
      <c r="V226" s="4">
        <v>3</v>
      </c>
      <c r="W226" s="6">
        <v>15500</v>
      </c>
      <c r="X226" s="1" t="s">
        <v>1459</v>
      </c>
      <c r="Y226" s="4">
        <v>2</v>
      </c>
      <c r="Z226" s="6">
        <v>7750</v>
      </c>
      <c r="AA226" s="1" t="s">
        <v>2023</v>
      </c>
      <c r="AB226" s="6">
        <v>155</v>
      </c>
      <c r="AC226" s="1" t="s">
        <v>1124</v>
      </c>
      <c r="AD226" s="1" t="s">
        <v>1800</v>
      </c>
      <c r="AE226" s="1" t="s">
        <v>1286</v>
      </c>
      <c r="AF226" s="1" t="s">
        <v>1463</v>
      </c>
      <c r="AG226" s="6">
        <v>14235</v>
      </c>
      <c r="AH226" s="6">
        <v>7117.5</v>
      </c>
      <c r="AI226" s="1" t="s">
        <v>1769</v>
      </c>
      <c r="AJ226" s="6">
        <v>1265</v>
      </c>
      <c r="AK226" s="6">
        <v>8.1612903225806457E-2</v>
      </c>
      <c r="AL226" s="1" t="s">
        <v>1715</v>
      </c>
      <c r="AM226" s="1" t="s">
        <v>933</v>
      </c>
      <c r="AN226" s="1" t="s">
        <v>1177</v>
      </c>
      <c r="AO226" s="1" t="s">
        <v>97</v>
      </c>
      <c r="AP226" s="6">
        <v>1112</v>
      </c>
      <c r="AQ226" s="6">
        <v>7.1741935483870964E-2</v>
      </c>
      <c r="AR226" s="2" t="str">
        <f>HYPERLINK("https://auction.openprocurement.org/tenders/81a5f4bf5f04470ea8d7556dd029c1d7")</f>
        <v>https://auction.openprocurement.org/tenders/81a5f4bf5f04470ea8d7556dd029c1d7</v>
      </c>
      <c r="AS226" s="7">
        <v>43714.545537432961</v>
      </c>
      <c r="AT226" s="5">
        <v>43718</v>
      </c>
      <c r="AU226" s="5">
        <v>43733</v>
      </c>
      <c r="AV226" s="1" t="s">
        <v>1941</v>
      </c>
      <c r="AW226" s="7">
        <v>43727.563420404906</v>
      </c>
      <c r="AX226" s="1" t="s">
        <v>374</v>
      </c>
      <c r="AY226" s="6">
        <v>14388</v>
      </c>
      <c r="AZ226" s="1"/>
      <c r="BA226" s="5">
        <v>43738</v>
      </c>
      <c r="BB226" s="7">
        <v>43830</v>
      </c>
      <c r="BC226" s="1" t="s">
        <v>1997</v>
      </c>
      <c r="BD226" s="1"/>
      <c r="BE226" s="1"/>
      <c r="BF226" s="1" t="s">
        <v>959</v>
      </c>
    </row>
    <row r="227" spans="1:58">
      <c r="A227" s="4">
        <v>222</v>
      </c>
      <c r="B227" s="2" t="str">
        <f>HYPERLINK("https://my.zakupki.prom.ua/remote/dispatcher/state_purchase_view/11705066", "UA-2019-05-24-001449-a")</f>
        <v>UA-2019-05-24-001449-a</v>
      </c>
      <c r="C227" s="2" t="str">
        <f>HYPERLINK("https://my.zakupki.prom.ua/remote/dispatcher/state_purchase_lot_view/452330", "UA-2019-05-24-001449-a-L1")</f>
        <v>UA-2019-05-24-001449-a-L1</v>
      </c>
      <c r="D227" s="1" t="s">
        <v>1419</v>
      </c>
      <c r="E227" s="1" t="s">
        <v>1468</v>
      </c>
      <c r="F227" s="1" t="s">
        <v>708</v>
      </c>
      <c r="G227" s="1" t="s">
        <v>1280</v>
      </c>
      <c r="H227" s="1" t="s">
        <v>1800</v>
      </c>
      <c r="I227" s="1" t="s">
        <v>1379</v>
      </c>
      <c r="J227" s="1" t="s">
        <v>819</v>
      </c>
      <c r="K227" s="1" t="s">
        <v>1287</v>
      </c>
      <c r="L227" s="1" t="s">
        <v>1224</v>
      </c>
      <c r="M227" s="1" t="s">
        <v>120</v>
      </c>
      <c r="N227" s="1" t="s">
        <v>120</v>
      </c>
      <c r="O227" s="1" t="s">
        <v>120</v>
      </c>
      <c r="P227" s="5">
        <v>43609</v>
      </c>
      <c r="Q227" s="5">
        <v>43609</v>
      </c>
      <c r="R227" s="5">
        <v>43616</v>
      </c>
      <c r="S227" s="5">
        <v>43609</v>
      </c>
      <c r="T227" s="5">
        <v>43626</v>
      </c>
      <c r="U227" s="7">
        <v>43627.57476851852</v>
      </c>
      <c r="V227" s="4">
        <v>2</v>
      </c>
      <c r="W227" s="6">
        <v>10000</v>
      </c>
      <c r="X227" s="6">
        <v>7900</v>
      </c>
      <c r="Y227" s="1" t="s">
        <v>1956</v>
      </c>
      <c r="Z227" s="1" t="s">
        <v>1956</v>
      </c>
      <c r="AA227" s="1" t="s">
        <v>1956</v>
      </c>
      <c r="AB227" s="6">
        <v>79</v>
      </c>
      <c r="AC227" s="1" t="s">
        <v>1124</v>
      </c>
      <c r="AD227" s="1" t="s">
        <v>1800</v>
      </c>
      <c r="AE227" s="1" t="s">
        <v>1286</v>
      </c>
      <c r="AF227" s="1" t="s">
        <v>1463</v>
      </c>
      <c r="AG227" s="6">
        <v>7897.28</v>
      </c>
      <c r="AH227" s="1" t="s">
        <v>1956</v>
      </c>
      <c r="AI227" s="1" t="s">
        <v>1709</v>
      </c>
      <c r="AJ227" s="6">
        <v>2.7200000000002547</v>
      </c>
      <c r="AK227" s="6">
        <v>3.4430379746838664E-4</v>
      </c>
      <c r="AL227" s="1" t="s">
        <v>1709</v>
      </c>
      <c r="AM227" s="1" t="s">
        <v>963</v>
      </c>
      <c r="AN227" s="1" t="s">
        <v>1149</v>
      </c>
      <c r="AO227" s="1" t="s">
        <v>73</v>
      </c>
      <c r="AP227" s="6">
        <v>2.7200000000002547</v>
      </c>
      <c r="AQ227" s="6">
        <v>3.4430379746838664E-4</v>
      </c>
      <c r="AR227" s="2" t="str">
        <f>HYPERLINK("https://auction.openprocurement.org/tenders/dee5e5590df743988bb3a7a22fa0703d_9f5f5c423d154435858ac5a4206eaf51")</f>
        <v>https://auction.openprocurement.org/tenders/dee5e5590df743988bb3a7a22fa0703d_9f5f5c423d154435858ac5a4206eaf51</v>
      </c>
      <c r="AS227" s="7">
        <v>43634.363225468973</v>
      </c>
      <c r="AT227" s="5">
        <v>43645</v>
      </c>
      <c r="AU227" s="5">
        <v>43655</v>
      </c>
      <c r="AV227" s="1" t="s">
        <v>1940</v>
      </c>
      <c r="AW227" s="7">
        <v>43649.371903501691</v>
      </c>
      <c r="AX227" s="1" t="s">
        <v>1011</v>
      </c>
      <c r="AY227" s="6">
        <v>7897.28</v>
      </c>
      <c r="AZ227" s="1"/>
      <c r="BA227" s="5">
        <v>43830</v>
      </c>
      <c r="BB227" s="7">
        <v>43830</v>
      </c>
      <c r="BC227" s="1" t="s">
        <v>1997</v>
      </c>
      <c r="BD227" s="1"/>
      <c r="BE227" s="1"/>
      <c r="BF227" s="1" t="s">
        <v>965</v>
      </c>
    </row>
    <row r="228" spans="1:58">
      <c r="A228" s="4">
        <v>223</v>
      </c>
      <c r="B228" s="2" t="str">
        <f>HYPERLINK("https://my.zakupki.prom.ua/remote/dispatcher/state_purchase_view/11705066", "UA-2019-05-24-001449-a")</f>
        <v>UA-2019-05-24-001449-a</v>
      </c>
      <c r="C228" s="2" t="str">
        <f>HYPERLINK("https://my.zakupki.prom.ua/remote/dispatcher/state_purchase_lot_view/452331", "UA-2019-05-24-001449-a-L2")</f>
        <v>UA-2019-05-24-001449-a-L2</v>
      </c>
      <c r="D228" s="1" t="s">
        <v>1419</v>
      </c>
      <c r="E228" s="1" t="s">
        <v>1454</v>
      </c>
      <c r="F228" s="1" t="s">
        <v>708</v>
      </c>
      <c r="G228" s="1" t="s">
        <v>1280</v>
      </c>
      <c r="H228" s="1" t="s">
        <v>1800</v>
      </c>
      <c r="I228" s="1" t="s">
        <v>1379</v>
      </c>
      <c r="J228" s="1" t="s">
        <v>819</v>
      </c>
      <c r="K228" s="1" t="s">
        <v>1287</v>
      </c>
      <c r="L228" s="1" t="s">
        <v>1224</v>
      </c>
      <c r="M228" s="1" t="s">
        <v>120</v>
      </c>
      <c r="N228" s="1" t="s">
        <v>120</v>
      </c>
      <c r="O228" s="1" t="s">
        <v>120</v>
      </c>
      <c r="P228" s="5">
        <v>43609</v>
      </c>
      <c r="Q228" s="5">
        <v>43609</v>
      </c>
      <c r="R228" s="5">
        <v>43616</v>
      </c>
      <c r="S228" s="5">
        <v>43609</v>
      </c>
      <c r="T228" s="5">
        <v>43626</v>
      </c>
      <c r="U228" s="1" t="s">
        <v>1923</v>
      </c>
      <c r="V228" s="4">
        <v>0</v>
      </c>
      <c r="W228" s="6">
        <v>10000</v>
      </c>
      <c r="X228" s="6">
        <v>2100</v>
      </c>
      <c r="Y228" s="1" t="s">
        <v>1956</v>
      </c>
      <c r="Z228" s="1" t="s">
        <v>1956</v>
      </c>
      <c r="AA228" s="1" t="s">
        <v>1956</v>
      </c>
      <c r="AB228" s="6">
        <v>21</v>
      </c>
      <c r="AC228" s="1" t="s">
        <v>1124</v>
      </c>
      <c r="AD228" s="1" t="s">
        <v>1800</v>
      </c>
      <c r="AE228" s="1" t="s">
        <v>1286</v>
      </c>
      <c r="AF228" s="1" t="s">
        <v>1463</v>
      </c>
      <c r="AG228" s="1"/>
      <c r="AH228" s="1" t="s">
        <v>1956</v>
      </c>
      <c r="AI228" s="1"/>
      <c r="AJ228" s="1"/>
      <c r="AK228" s="1"/>
      <c r="AL228" s="1"/>
      <c r="AM228" s="1"/>
      <c r="AN228" s="1"/>
      <c r="AO228" s="1"/>
      <c r="AP228" s="1"/>
      <c r="AQ228" s="1"/>
      <c r="AR228" s="2"/>
      <c r="AS228" s="7">
        <v>43634.363225468973</v>
      </c>
      <c r="AT228" s="1"/>
      <c r="AU228" s="1"/>
      <c r="AV228" s="1" t="s">
        <v>1942</v>
      </c>
      <c r="AW228" s="7">
        <v>43626.419682864944</v>
      </c>
      <c r="AX228" s="1"/>
      <c r="AY228" s="1"/>
      <c r="AZ228" s="1"/>
      <c r="BA228" s="5">
        <v>43830</v>
      </c>
      <c r="BB228" s="1"/>
      <c r="BC228" s="1"/>
      <c r="BD228" s="1"/>
      <c r="BE228" s="1"/>
      <c r="BF228" s="1"/>
    </row>
    <row r="229" spans="1:58">
      <c r="A229" s="4">
        <v>224</v>
      </c>
      <c r="B229" s="2" t="str">
        <f>HYPERLINK("https://my.zakupki.prom.ua/remote/dispatcher/state_purchase_view/11602150", "UA-2019-05-16-000512-a")</f>
        <v>UA-2019-05-16-000512-a</v>
      </c>
      <c r="C229" s="2" t="s">
        <v>1459</v>
      </c>
      <c r="D229" s="1" t="s">
        <v>1601</v>
      </c>
      <c r="E229" s="1" t="s">
        <v>1601</v>
      </c>
      <c r="F229" s="1" t="s">
        <v>1009</v>
      </c>
      <c r="G229" s="1" t="s">
        <v>1346</v>
      </c>
      <c r="H229" s="1" t="s">
        <v>1800</v>
      </c>
      <c r="I229" s="1" t="s">
        <v>1379</v>
      </c>
      <c r="J229" s="1" t="s">
        <v>819</v>
      </c>
      <c r="K229" s="1" t="s">
        <v>1287</v>
      </c>
      <c r="L229" s="1" t="s">
        <v>1224</v>
      </c>
      <c r="M229" s="1" t="s">
        <v>119</v>
      </c>
      <c r="N229" s="1" t="s">
        <v>119</v>
      </c>
      <c r="O229" s="1" t="s">
        <v>119</v>
      </c>
      <c r="P229" s="5">
        <v>43601</v>
      </c>
      <c r="Q229" s="5">
        <v>43601</v>
      </c>
      <c r="R229" s="5">
        <v>43606</v>
      </c>
      <c r="S229" s="5">
        <v>43606</v>
      </c>
      <c r="T229" s="5">
        <v>43608</v>
      </c>
      <c r="U229" s="1" t="s">
        <v>1923</v>
      </c>
      <c r="V229" s="4">
        <v>0</v>
      </c>
      <c r="W229" s="6">
        <v>199990</v>
      </c>
      <c r="X229" s="1" t="s">
        <v>1459</v>
      </c>
      <c r="Y229" s="4">
        <v>1</v>
      </c>
      <c r="Z229" s="6">
        <v>199990</v>
      </c>
      <c r="AA229" s="1" t="s">
        <v>1976</v>
      </c>
      <c r="AB229" s="6">
        <v>999.95</v>
      </c>
      <c r="AC229" s="1" t="s">
        <v>1124</v>
      </c>
      <c r="AD229" s="1" t="s">
        <v>1800</v>
      </c>
      <c r="AE229" s="1" t="s">
        <v>1286</v>
      </c>
      <c r="AF229" s="1" t="s">
        <v>1463</v>
      </c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2"/>
      <c r="AS229" s="1"/>
      <c r="AT229" s="1"/>
      <c r="AU229" s="1"/>
      <c r="AV229" s="1" t="s">
        <v>2002</v>
      </c>
      <c r="AW229" s="7">
        <v>43605.591797368441</v>
      </c>
      <c r="AX229" s="1"/>
      <c r="AY229" s="1"/>
      <c r="AZ229" s="1"/>
      <c r="BA229" s="5">
        <v>43672</v>
      </c>
      <c r="BB229" s="1"/>
      <c r="BC229" s="1"/>
      <c r="BD229" s="1" t="s">
        <v>2013</v>
      </c>
      <c r="BE229" s="1"/>
      <c r="BF229" s="1"/>
    </row>
    <row r="230" spans="1:58">
      <c r="A230" s="4">
        <v>225</v>
      </c>
      <c r="B230" s="2" t="str">
        <f>HYPERLINK("https://my.zakupki.prom.ua/remote/dispatcher/state_purchase_view/15581401", "UA-2020-03-03-002700-a")</f>
        <v>UA-2020-03-03-002700-a</v>
      </c>
      <c r="C230" s="2" t="s">
        <v>1459</v>
      </c>
      <c r="D230" s="1" t="s">
        <v>751</v>
      </c>
      <c r="E230" s="1" t="s">
        <v>1296</v>
      </c>
      <c r="F230" s="1" t="s">
        <v>750</v>
      </c>
      <c r="G230" s="1" t="s">
        <v>1280</v>
      </c>
      <c r="H230" s="1" t="s">
        <v>1800</v>
      </c>
      <c r="I230" s="1" t="s">
        <v>1379</v>
      </c>
      <c r="J230" s="1" t="s">
        <v>819</v>
      </c>
      <c r="K230" s="1" t="s">
        <v>1287</v>
      </c>
      <c r="L230" s="1" t="s">
        <v>1216</v>
      </c>
      <c r="M230" s="1" t="s">
        <v>119</v>
      </c>
      <c r="N230" s="1" t="s">
        <v>119</v>
      </c>
      <c r="O230" s="1" t="s">
        <v>119</v>
      </c>
      <c r="P230" s="5">
        <v>43893</v>
      </c>
      <c r="Q230" s="5">
        <v>43893</v>
      </c>
      <c r="R230" s="5">
        <v>43900</v>
      </c>
      <c r="S230" s="5">
        <v>43893</v>
      </c>
      <c r="T230" s="5">
        <v>43910</v>
      </c>
      <c r="U230" s="1" t="s">
        <v>1923</v>
      </c>
      <c r="V230" s="4">
        <v>0</v>
      </c>
      <c r="W230" s="6">
        <v>76320</v>
      </c>
      <c r="X230" s="1" t="s">
        <v>1459</v>
      </c>
      <c r="Y230" s="1" t="s">
        <v>1956</v>
      </c>
      <c r="Z230" s="1" t="s">
        <v>1956</v>
      </c>
      <c r="AA230" s="1" t="s">
        <v>1956</v>
      </c>
      <c r="AB230" s="6">
        <v>763.2</v>
      </c>
      <c r="AC230" s="1" t="s">
        <v>1124</v>
      </c>
      <c r="AD230" s="1" t="s">
        <v>1800</v>
      </c>
      <c r="AE230" s="1" t="s">
        <v>1286</v>
      </c>
      <c r="AF230" s="1" t="s">
        <v>1463</v>
      </c>
      <c r="AG230" s="1"/>
      <c r="AH230" s="1" t="s">
        <v>1956</v>
      </c>
      <c r="AI230" s="1"/>
      <c r="AJ230" s="1"/>
      <c r="AK230" s="1"/>
      <c r="AL230" s="1"/>
      <c r="AM230" s="1"/>
      <c r="AN230" s="1"/>
      <c r="AO230" s="1"/>
      <c r="AP230" s="1"/>
      <c r="AQ230" s="1"/>
      <c r="AR230" s="2"/>
      <c r="AS230" s="1"/>
      <c r="AT230" s="1"/>
      <c r="AU230" s="1"/>
      <c r="AV230" s="1" t="s">
        <v>1942</v>
      </c>
      <c r="AW230" s="7">
        <v>43910.37738631809</v>
      </c>
      <c r="AX230" s="1"/>
      <c r="AY230" s="1"/>
      <c r="AZ230" s="1"/>
      <c r="BA230" s="5">
        <v>44196</v>
      </c>
      <c r="BB230" s="1"/>
      <c r="BC230" s="1"/>
      <c r="BD230" s="1"/>
      <c r="BE230" s="1"/>
      <c r="BF230" s="1"/>
    </row>
    <row r="231" spans="1:58">
      <c r="A231" s="4">
        <v>226</v>
      </c>
      <c r="B231" s="2" t="str">
        <f>HYPERLINK("https://my.zakupki.prom.ua/remote/dispatcher/state_purchase_view/22452158", "UA-2020-12-21-009920-c")</f>
        <v>UA-2020-12-21-009920-c</v>
      </c>
      <c r="C231" s="2" t="s">
        <v>1459</v>
      </c>
      <c r="D231" s="1" t="s">
        <v>1523</v>
      </c>
      <c r="E231" s="1" t="s">
        <v>1523</v>
      </c>
      <c r="F231" s="1" t="s">
        <v>294</v>
      </c>
      <c r="G231" s="1" t="s">
        <v>1513</v>
      </c>
      <c r="H231" s="1" t="s">
        <v>1800</v>
      </c>
      <c r="I231" s="1" t="s">
        <v>1379</v>
      </c>
      <c r="J231" s="1" t="s">
        <v>819</v>
      </c>
      <c r="K231" s="1" t="s">
        <v>1287</v>
      </c>
      <c r="L231" s="1" t="s">
        <v>1216</v>
      </c>
      <c r="M231" s="1" t="s">
        <v>119</v>
      </c>
      <c r="N231" s="1" t="s">
        <v>119</v>
      </c>
      <c r="O231" s="1" t="s">
        <v>119</v>
      </c>
      <c r="P231" s="5">
        <v>44186</v>
      </c>
      <c r="Q231" s="1"/>
      <c r="R231" s="1"/>
      <c r="S231" s="1"/>
      <c r="T231" s="1"/>
      <c r="U231" s="1" t="s">
        <v>1922</v>
      </c>
      <c r="V231" s="4">
        <v>1</v>
      </c>
      <c r="W231" s="6">
        <v>720357.93</v>
      </c>
      <c r="X231" s="1" t="s">
        <v>1459</v>
      </c>
      <c r="Y231" s="4">
        <v>404</v>
      </c>
      <c r="Z231" s="6">
        <v>1783.06</v>
      </c>
      <c r="AA231" s="1" t="s">
        <v>1933</v>
      </c>
      <c r="AB231" s="1" t="s">
        <v>1964</v>
      </c>
      <c r="AC231" s="1" t="s">
        <v>1124</v>
      </c>
      <c r="AD231" s="1" t="s">
        <v>1800</v>
      </c>
      <c r="AE231" s="1" t="s">
        <v>1286</v>
      </c>
      <c r="AF231" s="1" t="s">
        <v>1463</v>
      </c>
      <c r="AG231" s="6">
        <v>720357.93</v>
      </c>
      <c r="AH231" s="6">
        <v>1783.064183168317</v>
      </c>
      <c r="AI231" s="1"/>
      <c r="AJ231" s="1"/>
      <c r="AK231" s="1"/>
      <c r="AL231" s="1" t="s">
        <v>1385</v>
      </c>
      <c r="AM231" s="1" t="s">
        <v>696</v>
      </c>
      <c r="AN231" s="1"/>
      <c r="AO231" s="1" t="s">
        <v>200</v>
      </c>
      <c r="AP231" s="1"/>
      <c r="AQ231" s="1"/>
      <c r="AR231" s="2"/>
      <c r="AS231" s="1"/>
      <c r="AT231" s="1"/>
      <c r="AU231" s="1"/>
      <c r="AV231" s="1" t="s">
        <v>2002</v>
      </c>
      <c r="AW231" s="7">
        <v>44211.000929867463</v>
      </c>
      <c r="AX231" s="1"/>
      <c r="AY231" s="6">
        <v>720357.93</v>
      </c>
      <c r="AZ231" s="1"/>
      <c r="BA231" s="5">
        <v>44561</v>
      </c>
      <c r="BB231" s="1"/>
      <c r="BC231" s="1" t="s">
        <v>1968</v>
      </c>
      <c r="BD231" s="1" t="s">
        <v>2016</v>
      </c>
      <c r="BE231" s="1"/>
      <c r="BF231" s="1" t="s">
        <v>118</v>
      </c>
    </row>
    <row r="232" spans="1:58">
      <c r="A232" s="4">
        <v>227</v>
      </c>
      <c r="B232" s="2" t="str">
        <f>HYPERLINK("https://my.zakupki.prom.ua/remote/dispatcher/state_purchase_view/20615611", "UA-2020-10-30-001657-c")</f>
        <v>UA-2020-10-30-001657-c</v>
      </c>
      <c r="C232" s="2" t="s">
        <v>1459</v>
      </c>
      <c r="D232" s="1" t="s">
        <v>867</v>
      </c>
      <c r="E232" s="1" t="s">
        <v>2006</v>
      </c>
      <c r="F232" s="1" t="s">
        <v>863</v>
      </c>
      <c r="G232" s="1" t="s">
        <v>1280</v>
      </c>
      <c r="H232" s="1" t="s">
        <v>1800</v>
      </c>
      <c r="I232" s="1" t="s">
        <v>1379</v>
      </c>
      <c r="J232" s="1" t="s">
        <v>819</v>
      </c>
      <c r="K232" s="1" t="s">
        <v>1287</v>
      </c>
      <c r="L232" s="1" t="s">
        <v>1216</v>
      </c>
      <c r="M232" s="1" t="s">
        <v>119</v>
      </c>
      <c r="N232" s="1" t="s">
        <v>119</v>
      </c>
      <c r="O232" s="1" t="s">
        <v>119</v>
      </c>
      <c r="P232" s="5">
        <v>44134</v>
      </c>
      <c r="Q232" s="5">
        <v>44134</v>
      </c>
      <c r="R232" s="5">
        <v>44142</v>
      </c>
      <c r="S232" s="5">
        <v>44134</v>
      </c>
      <c r="T232" s="5">
        <v>44152</v>
      </c>
      <c r="U232" s="7">
        <v>44152.626921296294</v>
      </c>
      <c r="V232" s="4">
        <v>4</v>
      </c>
      <c r="W232" s="6">
        <v>238500</v>
      </c>
      <c r="X232" s="1" t="s">
        <v>1459</v>
      </c>
      <c r="Y232" s="4">
        <v>69</v>
      </c>
      <c r="Z232" s="6">
        <v>3456.52</v>
      </c>
      <c r="AA232" s="1" t="s">
        <v>2024</v>
      </c>
      <c r="AB232" s="6">
        <v>2385</v>
      </c>
      <c r="AC232" s="1" t="s">
        <v>1124</v>
      </c>
      <c r="AD232" s="1" t="s">
        <v>1800</v>
      </c>
      <c r="AE232" s="1" t="s">
        <v>1286</v>
      </c>
      <c r="AF232" s="1" t="s">
        <v>1463</v>
      </c>
      <c r="AG232" s="6">
        <v>143600</v>
      </c>
      <c r="AH232" s="6">
        <v>2081.159420289855</v>
      </c>
      <c r="AI232" s="1" t="s">
        <v>1839</v>
      </c>
      <c r="AJ232" s="6">
        <v>94900</v>
      </c>
      <c r="AK232" s="6">
        <v>0.39790356394129978</v>
      </c>
      <c r="AL232" s="1" t="s">
        <v>1859</v>
      </c>
      <c r="AM232" s="1" t="s">
        <v>631</v>
      </c>
      <c r="AN232" s="1" t="s">
        <v>1139</v>
      </c>
      <c r="AO232" s="1" t="s">
        <v>107</v>
      </c>
      <c r="AP232" s="6">
        <v>86790</v>
      </c>
      <c r="AQ232" s="6">
        <v>0.36389937106918241</v>
      </c>
      <c r="AR232" s="2" t="str">
        <f>HYPERLINK("https://auction.openprocurement.org/tenders/d2662b8384374137ad9b015ca0785aec")</f>
        <v>https://auction.openprocurement.org/tenders/d2662b8384374137ad9b015ca0785aec</v>
      </c>
      <c r="AS232" s="7">
        <v>44158.337265200513</v>
      </c>
      <c r="AT232" s="5">
        <v>44169</v>
      </c>
      <c r="AU232" s="5">
        <v>44179</v>
      </c>
      <c r="AV232" s="1" t="s">
        <v>1941</v>
      </c>
      <c r="AW232" s="7">
        <v>44169.606221885952</v>
      </c>
      <c r="AX232" s="1" t="s">
        <v>160</v>
      </c>
      <c r="AY232" s="6">
        <v>151710</v>
      </c>
      <c r="AZ232" s="1"/>
      <c r="BA232" s="5">
        <v>44196</v>
      </c>
      <c r="BB232" s="7">
        <v>44196</v>
      </c>
      <c r="BC232" s="1" t="s">
        <v>1997</v>
      </c>
      <c r="BD232" s="1"/>
      <c r="BE232" s="1"/>
      <c r="BF232" s="1" t="s">
        <v>542</v>
      </c>
    </row>
    <row r="233" spans="1:58">
      <c r="A233" s="4">
        <v>228</v>
      </c>
      <c r="B233" s="2" t="str">
        <f>HYPERLINK("https://my.zakupki.prom.ua/remote/dispatcher/state_purchase_view/25639979", "UA-2021-04-08-003671-b")</f>
        <v>UA-2021-04-08-003671-b</v>
      </c>
      <c r="C233" s="2" t="s">
        <v>1459</v>
      </c>
      <c r="D233" s="1" t="s">
        <v>1552</v>
      </c>
      <c r="E233" s="1" t="s">
        <v>1552</v>
      </c>
      <c r="F233" s="1" t="s">
        <v>1053</v>
      </c>
      <c r="G233" s="1" t="s">
        <v>1364</v>
      </c>
      <c r="H233" s="1" t="s">
        <v>1800</v>
      </c>
      <c r="I233" s="1" t="s">
        <v>1379</v>
      </c>
      <c r="J233" s="1" t="s">
        <v>819</v>
      </c>
      <c r="K233" s="1" t="s">
        <v>1287</v>
      </c>
      <c r="L233" s="1" t="s">
        <v>1216</v>
      </c>
      <c r="M233" s="1" t="s">
        <v>119</v>
      </c>
      <c r="N233" s="1" t="s">
        <v>119</v>
      </c>
      <c r="O233" s="1" t="s">
        <v>119</v>
      </c>
      <c r="P233" s="5">
        <v>44294</v>
      </c>
      <c r="Q233" s="1"/>
      <c r="R233" s="1"/>
      <c r="S233" s="1"/>
      <c r="T233" s="1"/>
      <c r="U233" s="1" t="s">
        <v>1922</v>
      </c>
      <c r="V233" s="4">
        <v>1</v>
      </c>
      <c r="W233" s="6">
        <v>92097.46</v>
      </c>
      <c r="X233" s="1" t="s">
        <v>1459</v>
      </c>
      <c r="Y233" s="4">
        <v>1</v>
      </c>
      <c r="Z233" s="6">
        <v>92097.46</v>
      </c>
      <c r="AA233" s="1" t="s">
        <v>1976</v>
      </c>
      <c r="AB233" s="1" t="s">
        <v>1964</v>
      </c>
      <c r="AC233" s="1" t="s">
        <v>1124</v>
      </c>
      <c r="AD233" s="1" t="s">
        <v>1800</v>
      </c>
      <c r="AE233" s="1" t="s">
        <v>1286</v>
      </c>
      <c r="AF233" s="1" t="s">
        <v>1463</v>
      </c>
      <c r="AG233" s="6">
        <v>92097.46</v>
      </c>
      <c r="AH233" s="6">
        <v>92097.46</v>
      </c>
      <c r="AI233" s="1"/>
      <c r="AJ233" s="1"/>
      <c r="AK233" s="1"/>
      <c r="AL233" s="1" t="s">
        <v>1493</v>
      </c>
      <c r="AM233" s="1" t="s">
        <v>665</v>
      </c>
      <c r="AN233" s="1"/>
      <c r="AO233" s="1" t="s">
        <v>191</v>
      </c>
      <c r="AP233" s="1"/>
      <c r="AQ233" s="1"/>
      <c r="AR233" s="2"/>
      <c r="AS233" s="1"/>
      <c r="AT233" s="1"/>
      <c r="AU233" s="1"/>
      <c r="AV233" s="1" t="s">
        <v>1941</v>
      </c>
      <c r="AW233" s="7">
        <v>44294.476929654084</v>
      </c>
      <c r="AX233" s="1" t="s">
        <v>138</v>
      </c>
      <c r="AY233" s="6">
        <v>92097.46</v>
      </c>
      <c r="AZ233" s="1"/>
      <c r="BA233" s="5">
        <v>44561</v>
      </c>
      <c r="BB233" s="7">
        <v>44561</v>
      </c>
      <c r="BC233" s="1" t="s">
        <v>1997</v>
      </c>
      <c r="BD233" s="1"/>
      <c r="BE233" s="1"/>
      <c r="BF233" s="1" t="s">
        <v>118</v>
      </c>
    </row>
    <row r="234" spans="1:58">
      <c r="A234" s="4">
        <v>229</v>
      </c>
      <c r="B234" s="2" t="str">
        <f>HYPERLINK("https://my.zakupki.prom.ua/remote/dispatcher/state_purchase_view/24085966", "UA-2021-02-17-001240-a")</f>
        <v>UA-2021-02-17-001240-a</v>
      </c>
      <c r="C234" s="2" t="s">
        <v>1459</v>
      </c>
      <c r="D234" s="1" t="s">
        <v>1934</v>
      </c>
      <c r="E234" s="1" t="s">
        <v>1934</v>
      </c>
      <c r="F234" s="1" t="s">
        <v>1024</v>
      </c>
      <c r="G234" s="1" t="s">
        <v>1364</v>
      </c>
      <c r="H234" s="1" t="s">
        <v>1800</v>
      </c>
      <c r="I234" s="1" t="s">
        <v>1379</v>
      </c>
      <c r="J234" s="1" t="s">
        <v>819</v>
      </c>
      <c r="K234" s="1" t="s">
        <v>1287</v>
      </c>
      <c r="L234" s="1" t="s">
        <v>1216</v>
      </c>
      <c r="M234" s="1" t="s">
        <v>119</v>
      </c>
      <c r="N234" s="1" t="s">
        <v>119</v>
      </c>
      <c r="O234" s="1" t="s">
        <v>119</v>
      </c>
      <c r="P234" s="5">
        <v>44244</v>
      </c>
      <c r="Q234" s="1"/>
      <c r="R234" s="1"/>
      <c r="S234" s="1"/>
      <c r="T234" s="1"/>
      <c r="U234" s="1" t="s">
        <v>1922</v>
      </c>
      <c r="V234" s="4">
        <v>1</v>
      </c>
      <c r="W234" s="6">
        <v>1742.59</v>
      </c>
      <c r="X234" s="1" t="s">
        <v>1459</v>
      </c>
      <c r="Y234" s="4">
        <v>1</v>
      </c>
      <c r="Z234" s="6">
        <v>1742.59</v>
      </c>
      <c r="AA234" s="1" t="s">
        <v>1976</v>
      </c>
      <c r="AB234" s="1" t="s">
        <v>1964</v>
      </c>
      <c r="AC234" s="1" t="s">
        <v>1124</v>
      </c>
      <c r="AD234" s="1" t="s">
        <v>1800</v>
      </c>
      <c r="AE234" s="1" t="s">
        <v>1286</v>
      </c>
      <c r="AF234" s="1" t="s">
        <v>1463</v>
      </c>
      <c r="AG234" s="6">
        <v>1742.59</v>
      </c>
      <c r="AH234" s="6">
        <v>1742.59</v>
      </c>
      <c r="AI234" s="1"/>
      <c r="AJ234" s="1"/>
      <c r="AK234" s="1"/>
      <c r="AL234" s="1" t="s">
        <v>1226</v>
      </c>
      <c r="AM234" s="1" t="s">
        <v>424</v>
      </c>
      <c r="AN234" s="1"/>
      <c r="AO234" s="1" t="s">
        <v>673</v>
      </c>
      <c r="AP234" s="1"/>
      <c r="AQ234" s="1"/>
      <c r="AR234" s="2"/>
      <c r="AS234" s="1"/>
      <c r="AT234" s="1"/>
      <c r="AU234" s="1"/>
      <c r="AV234" s="1" t="s">
        <v>1941</v>
      </c>
      <c r="AW234" s="7">
        <v>44244.397237564626</v>
      </c>
      <c r="AX234" s="1" t="s">
        <v>853</v>
      </c>
      <c r="AY234" s="6">
        <v>1742.59</v>
      </c>
      <c r="AZ234" s="1"/>
      <c r="BA234" s="5">
        <v>44561</v>
      </c>
      <c r="BB234" s="7">
        <v>44561</v>
      </c>
      <c r="BC234" s="1" t="s">
        <v>1997</v>
      </c>
      <c r="BD234" s="1"/>
      <c r="BE234" s="1"/>
      <c r="BF234" s="1" t="s">
        <v>118</v>
      </c>
    </row>
    <row r="235" spans="1:58">
      <c r="A235" s="4">
        <v>230</v>
      </c>
      <c r="B235" s="2" t="str">
        <f>HYPERLINK("https://my.zakupki.prom.ua/remote/dispatcher/state_purchase_view/22942468", "UA-2021-01-13-004824-a")</f>
        <v>UA-2021-01-13-004824-a</v>
      </c>
      <c r="C235" s="2" t="s">
        <v>1459</v>
      </c>
      <c r="D235" s="1" t="s">
        <v>1818</v>
      </c>
      <c r="E235" s="1" t="s">
        <v>1818</v>
      </c>
      <c r="F235" s="1" t="s">
        <v>1080</v>
      </c>
      <c r="G235" s="1" t="s">
        <v>1364</v>
      </c>
      <c r="H235" s="1" t="s">
        <v>1800</v>
      </c>
      <c r="I235" s="1" t="s">
        <v>1379</v>
      </c>
      <c r="J235" s="1" t="s">
        <v>819</v>
      </c>
      <c r="K235" s="1" t="s">
        <v>1287</v>
      </c>
      <c r="L235" s="1" t="s">
        <v>1216</v>
      </c>
      <c r="M235" s="1" t="s">
        <v>119</v>
      </c>
      <c r="N235" s="1" t="s">
        <v>119</v>
      </c>
      <c r="O235" s="1" t="s">
        <v>119</v>
      </c>
      <c r="P235" s="5">
        <v>44209</v>
      </c>
      <c r="Q235" s="1"/>
      <c r="R235" s="1"/>
      <c r="S235" s="1"/>
      <c r="T235" s="1"/>
      <c r="U235" s="1" t="s">
        <v>1922</v>
      </c>
      <c r="V235" s="4">
        <v>1</v>
      </c>
      <c r="W235" s="6">
        <v>6000</v>
      </c>
      <c r="X235" s="1" t="s">
        <v>1459</v>
      </c>
      <c r="Y235" s="4">
        <v>1</v>
      </c>
      <c r="Z235" s="6">
        <v>6000</v>
      </c>
      <c r="AA235" s="1" t="s">
        <v>1976</v>
      </c>
      <c r="AB235" s="1" t="s">
        <v>1964</v>
      </c>
      <c r="AC235" s="1" t="s">
        <v>1124</v>
      </c>
      <c r="AD235" s="1" t="s">
        <v>1800</v>
      </c>
      <c r="AE235" s="1" t="s">
        <v>1286</v>
      </c>
      <c r="AF235" s="1" t="s">
        <v>1463</v>
      </c>
      <c r="AG235" s="6">
        <v>6000</v>
      </c>
      <c r="AH235" s="6">
        <v>6000</v>
      </c>
      <c r="AI235" s="1"/>
      <c r="AJ235" s="1"/>
      <c r="AK235" s="1"/>
      <c r="AL235" s="1" t="s">
        <v>1752</v>
      </c>
      <c r="AM235" s="1" t="s">
        <v>694</v>
      </c>
      <c r="AN235" s="1"/>
      <c r="AO235" s="1" t="s">
        <v>253</v>
      </c>
      <c r="AP235" s="1"/>
      <c r="AQ235" s="1"/>
      <c r="AR235" s="2"/>
      <c r="AS235" s="1"/>
      <c r="AT235" s="1"/>
      <c r="AU235" s="1"/>
      <c r="AV235" s="1" t="s">
        <v>1941</v>
      </c>
      <c r="AW235" s="7">
        <v>44209.659526798772</v>
      </c>
      <c r="AX235" s="1" t="s">
        <v>1257</v>
      </c>
      <c r="AY235" s="6">
        <v>6000</v>
      </c>
      <c r="AZ235" s="1"/>
      <c r="BA235" s="5">
        <v>44561</v>
      </c>
      <c r="BB235" s="7">
        <v>44561</v>
      </c>
      <c r="BC235" s="1" t="s">
        <v>1997</v>
      </c>
      <c r="BD235" s="1"/>
      <c r="BE235" s="1"/>
      <c r="BF235" s="1" t="s">
        <v>118</v>
      </c>
    </row>
    <row r="236" spans="1:58">
      <c r="A236" s="4">
        <v>231</v>
      </c>
      <c r="B236" s="2" t="str">
        <f>HYPERLINK("https://my.zakupki.prom.ua/remote/dispatcher/state_purchase_view/23397016", "UA-2021-01-28-009729-b")</f>
        <v>UA-2021-01-28-009729-b</v>
      </c>
      <c r="C236" s="2" t="s">
        <v>1459</v>
      </c>
      <c r="D236" s="1" t="s">
        <v>1244</v>
      </c>
      <c r="E236" s="1" t="s">
        <v>1244</v>
      </c>
      <c r="F236" s="1" t="s">
        <v>733</v>
      </c>
      <c r="G236" s="1" t="s">
        <v>1280</v>
      </c>
      <c r="H236" s="1" t="s">
        <v>1800</v>
      </c>
      <c r="I236" s="1" t="s">
        <v>1379</v>
      </c>
      <c r="J236" s="1" t="s">
        <v>819</v>
      </c>
      <c r="K236" s="1" t="s">
        <v>1287</v>
      </c>
      <c r="L236" s="1" t="s">
        <v>1216</v>
      </c>
      <c r="M236" s="1" t="s">
        <v>119</v>
      </c>
      <c r="N236" s="1" t="s">
        <v>119</v>
      </c>
      <c r="O236" s="1" t="s">
        <v>119</v>
      </c>
      <c r="P236" s="5">
        <v>44224</v>
      </c>
      <c r="Q236" s="5">
        <v>44224</v>
      </c>
      <c r="R236" s="5">
        <v>44233</v>
      </c>
      <c r="S236" s="5">
        <v>44224</v>
      </c>
      <c r="T236" s="5">
        <v>44243</v>
      </c>
      <c r="U236" s="7">
        <v>44243.580960648149</v>
      </c>
      <c r="V236" s="4">
        <v>2</v>
      </c>
      <c r="W236" s="6">
        <v>590000</v>
      </c>
      <c r="X236" s="1" t="s">
        <v>1459</v>
      </c>
      <c r="Y236" s="4">
        <v>2742</v>
      </c>
      <c r="Z236" s="6">
        <v>215.17</v>
      </c>
      <c r="AA236" s="1" t="s">
        <v>1950</v>
      </c>
      <c r="AB236" s="6">
        <v>2950</v>
      </c>
      <c r="AC236" s="1" t="s">
        <v>1124</v>
      </c>
      <c r="AD236" s="1" t="s">
        <v>1800</v>
      </c>
      <c r="AE236" s="1" t="s">
        <v>1286</v>
      </c>
      <c r="AF236" s="1" t="s">
        <v>1463</v>
      </c>
      <c r="AG236" s="6">
        <v>585170.22</v>
      </c>
      <c r="AH236" s="6">
        <v>213.41</v>
      </c>
      <c r="AI236" s="1" t="s">
        <v>1720</v>
      </c>
      <c r="AJ236" s="6">
        <v>4829.7800000000279</v>
      </c>
      <c r="AK236" s="6">
        <v>8.186067796610217E-3</v>
      </c>
      <c r="AL236" s="1" t="s">
        <v>1720</v>
      </c>
      <c r="AM236" s="1" t="s">
        <v>983</v>
      </c>
      <c r="AN236" s="1" t="s">
        <v>1157</v>
      </c>
      <c r="AO236" s="1" t="s">
        <v>67</v>
      </c>
      <c r="AP236" s="6">
        <v>4829.7800000000279</v>
      </c>
      <c r="AQ236" s="6">
        <v>8.186067796610217E-3</v>
      </c>
      <c r="AR236" s="2" t="str">
        <f>HYPERLINK("https://auction.openprocurement.org/tenders/c64465d0c1434edf897e4d8bbea4f27c")</f>
        <v>https://auction.openprocurement.org/tenders/c64465d0c1434edf897e4d8bbea4f27c</v>
      </c>
      <c r="AS236" s="7">
        <v>44244.382139556132</v>
      </c>
      <c r="AT236" s="5">
        <v>44255</v>
      </c>
      <c r="AU236" s="5">
        <v>44265</v>
      </c>
      <c r="AV236" s="1" t="s">
        <v>1941</v>
      </c>
      <c r="AW236" s="7">
        <v>44256.445359100995</v>
      </c>
      <c r="AX236" s="1" t="s">
        <v>134</v>
      </c>
      <c r="AY236" s="6">
        <v>585170.22</v>
      </c>
      <c r="AZ236" s="1"/>
      <c r="BA236" s="5">
        <v>44561</v>
      </c>
      <c r="BB236" s="7">
        <v>44561</v>
      </c>
      <c r="BC236" s="1" t="s">
        <v>1997</v>
      </c>
      <c r="BD236" s="1"/>
      <c r="BE236" s="1"/>
      <c r="BF236" s="1" t="s">
        <v>984</v>
      </c>
    </row>
    <row r="237" spans="1:58">
      <c r="A237" s="4">
        <v>232</v>
      </c>
      <c r="B237" s="2" t="str">
        <f>HYPERLINK("https://my.zakupki.prom.ua/remote/dispatcher/state_purchase_view/26170130", "UA-2021-04-27-001364-c")</f>
        <v>UA-2021-04-27-001364-c</v>
      </c>
      <c r="C237" s="2" t="s">
        <v>1459</v>
      </c>
      <c r="D237" s="1" t="s">
        <v>1958</v>
      </c>
      <c r="E237" s="1" t="s">
        <v>1288</v>
      </c>
      <c r="F237" s="1" t="s">
        <v>733</v>
      </c>
      <c r="G237" s="1" t="s">
        <v>1364</v>
      </c>
      <c r="H237" s="1" t="s">
        <v>1800</v>
      </c>
      <c r="I237" s="1" t="s">
        <v>1379</v>
      </c>
      <c r="J237" s="1" t="s">
        <v>819</v>
      </c>
      <c r="K237" s="1" t="s">
        <v>1287</v>
      </c>
      <c r="L237" s="1" t="s">
        <v>1216</v>
      </c>
      <c r="M237" s="1" t="s">
        <v>119</v>
      </c>
      <c r="N237" s="1" t="s">
        <v>119</v>
      </c>
      <c r="O237" s="1" t="s">
        <v>119</v>
      </c>
      <c r="P237" s="5">
        <v>44313</v>
      </c>
      <c r="Q237" s="1"/>
      <c r="R237" s="1"/>
      <c r="S237" s="1"/>
      <c r="T237" s="1"/>
      <c r="U237" s="1" t="s">
        <v>1922</v>
      </c>
      <c r="V237" s="4">
        <v>1</v>
      </c>
      <c r="W237" s="6">
        <v>9359.73</v>
      </c>
      <c r="X237" s="1" t="s">
        <v>1459</v>
      </c>
      <c r="Y237" s="1" t="s">
        <v>1956</v>
      </c>
      <c r="Z237" s="1" t="s">
        <v>1956</v>
      </c>
      <c r="AA237" s="1" t="s">
        <v>1956</v>
      </c>
      <c r="AB237" s="1" t="s">
        <v>1964</v>
      </c>
      <c r="AC237" s="1" t="s">
        <v>1124</v>
      </c>
      <c r="AD237" s="1" t="s">
        <v>1800</v>
      </c>
      <c r="AE237" s="1" t="s">
        <v>1286</v>
      </c>
      <c r="AF237" s="1" t="s">
        <v>1463</v>
      </c>
      <c r="AG237" s="6">
        <v>9359.73</v>
      </c>
      <c r="AH237" s="1" t="s">
        <v>1956</v>
      </c>
      <c r="AI237" s="1"/>
      <c r="AJ237" s="1"/>
      <c r="AK237" s="1"/>
      <c r="AL237" s="1" t="s">
        <v>1783</v>
      </c>
      <c r="AM237" s="1" t="s">
        <v>983</v>
      </c>
      <c r="AN237" s="1"/>
      <c r="AO237" s="1" t="s">
        <v>224</v>
      </c>
      <c r="AP237" s="1"/>
      <c r="AQ237" s="1"/>
      <c r="AR237" s="2"/>
      <c r="AS237" s="1"/>
      <c r="AT237" s="1"/>
      <c r="AU237" s="1"/>
      <c r="AV237" s="1" t="s">
        <v>1941</v>
      </c>
      <c r="AW237" s="7">
        <v>44313.440818793955</v>
      </c>
      <c r="AX237" s="1" t="s">
        <v>538</v>
      </c>
      <c r="AY237" s="6">
        <v>9359.73</v>
      </c>
      <c r="AZ237" s="1"/>
      <c r="BA237" s="5">
        <v>44561</v>
      </c>
      <c r="BB237" s="7">
        <v>44561</v>
      </c>
      <c r="BC237" s="1" t="s">
        <v>1997</v>
      </c>
      <c r="BD237" s="1"/>
      <c r="BE237" s="1"/>
      <c r="BF237" s="1" t="s">
        <v>118</v>
      </c>
    </row>
    <row r="238" spans="1:58">
      <c r="A238" s="4">
        <v>233</v>
      </c>
      <c r="B238" s="2" t="str">
        <f>HYPERLINK("https://my.zakupki.prom.ua/remote/dispatcher/state_purchase_view/12234131", "UA-2019-07-15-001620-b")</f>
        <v>UA-2019-07-15-001620-b</v>
      </c>
      <c r="C238" s="2" t="s">
        <v>1459</v>
      </c>
      <c r="D238" s="1" t="s">
        <v>1592</v>
      </c>
      <c r="E238" s="1" t="s">
        <v>1593</v>
      </c>
      <c r="F238" s="1" t="s">
        <v>1009</v>
      </c>
      <c r="G238" s="1" t="s">
        <v>1280</v>
      </c>
      <c r="H238" s="1" t="s">
        <v>1800</v>
      </c>
      <c r="I238" s="1" t="s">
        <v>1379</v>
      </c>
      <c r="J238" s="1" t="s">
        <v>819</v>
      </c>
      <c r="K238" s="1" t="s">
        <v>1287</v>
      </c>
      <c r="L238" s="1" t="s">
        <v>1658</v>
      </c>
      <c r="M238" s="1" t="s">
        <v>119</v>
      </c>
      <c r="N238" s="1" t="s">
        <v>119</v>
      </c>
      <c r="O238" s="1" t="s">
        <v>119</v>
      </c>
      <c r="P238" s="5">
        <v>43661</v>
      </c>
      <c r="Q238" s="5">
        <v>43661</v>
      </c>
      <c r="R238" s="5">
        <v>43666</v>
      </c>
      <c r="S238" s="5">
        <v>43661</v>
      </c>
      <c r="T238" s="5">
        <v>43676</v>
      </c>
      <c r="U238" s="7">
        <v>43677.649965277778</v>
      </c>
      <c r="V238" s="4">
        <v>5</v>
      </c>
      <c r="W238" s="6">
        <v>340000</v>
      </c>
      <c r="X238" s="1" t="s">
        <v>1459</v>
      </c>
      <c r="Y238" s="4">
        <v>1</v>
      </c>
      <c r="Z238" s="6">
        <v>340000</v>
      </c>
      <c r="AA238" s="1" t="s">
        <v>1976</v>
      </c>
      <c r="AB238" s="6">
        <v>1700</v>
      </c>
      <c r="AC238" s="1" t="s">
        <v>1124</v>
      </c>
      <c r="AD238" s="1" t="s">
        <v>1800</v>
      </c>
      <c r="AE238" s="1" t="s">
        <v>1286</v>
      </c>
      <c r="AF238" s="1" t="s">
        <v>1463</v>
      </c>
      <c r="AG238" s="6">
        <v>212034.9</v>
      </c>
      <c r="AH238" s="6">
        <v>212034.9</v>
      </c>
      <c r="AI238" s="1" t="s">
        <v>1726</v>
      </c>
      <c r="AJ238" s="6">
        <v>127965.1</v>
      </c>
      <c r="AK238" s="6">
        <v>0.3763679411764706</v>
      </c>
      <c r="AL238" s="1" t="s">
        <v>1840</v>
      </c>
      <c r="AM238" s="1" t="s">
        <v>561</v>
      </c>
      <c r="AN238" s="1" t="s">
        <v>1146</v>
      </c>
      <c r="AO238" s="1" t="s">
        <v>101</v>
      </c>
      <c r="AP238" s="6">
        <v>1640.320000000007</v>
      </c>
      <c r="AQ238" s="6">
        <v>4.8244705882353146E-3</v>
      </c>
      <c r="AR238" s="2" t="str">
        <f>HYPERLINK("https://auction.openprocurement.org/tenders/d636d8d6dcba42ab89f8ef224f3bc710")</f>
        <v>https://auction.openprocurement.org/tenders/d636d8d6dcba42ab89f8ef224f3bc710</v>
      </c>
      <c r="AS238" s="7">
        <v>43718.486955660854</v>
      </c>
      <c r="AT238" s="5">
        <v>43729</v>
      </c>
      <c r="AU238" s="5">
        <v>43739</v>
      </c>
      <c r="AV238" s="1" t="s">
        <v>1941</v>
      </c>
      <c r="AW238" s="7">
        <v>43733.620567874772</v>
      </c>
      <c r="AX238" s="1" t="s">
        <v>491</v>
      </c>
      <c r="AY238" s="6">
        <v>338359.68</v>
      </c>
      <c r="AZ238" s="1"/>
      <c r="BA238" s="5">
        <v>43739</v>
      </c>
      <c r="BB238" s="7">
        <v>43830</v>
      </c>
      <c r="BC238" s="1" t="s">
        <v>1997</v>
      </c>
      <c r="BD238" s="1"/>
      <c r="BE238" s="1"/>
      <c r="BF238" s="1" t="s">
        <v>881</v>
      </c>
    </row>
    <row r="239" spans="1:58">
      <c r="A239" s="4">
        <v>234</v>
      </c>
      <c r="B239" s="2" t="str">
        <f>HYPERLINK("https://my.zakupki.prom.ua/remote/dispatcher/state_purchase_view/10374815", "UA-2019-02-05-000089-b")</f>
        <v>UA-2019-02-05-000089-b</v>
      </c>
      <c r="C239" s="2" t="s">
        <v>1459</v>
      </c>
      <c r="D239" s="1" t="s">
        <v>1348</v>
      </c>
      <c r="E239" s="1" t="s">
        <v>1307</v>
      </c>
      <c r="F239" s="1" t="s">
        <v>293</v>
      </c>
      <c r="G239" s="1" t="s">
        <v>1513</v>
      </c>
      <c r="H239" s="1" t="s">
        <v>1800</v>
      </c>
      <c r="I239" s="1" t="s">
        <v>1379</v>
      </c>
      <c r="J239" s="1" t="s">
        <v>819</v>
      </c>
      <c r="K239" s="1" t="s">
        <v>1287</v>
      </c>
      <c r="L239" s="1" t="s">
        <v>1224</v>
      </c>
      <c r="M239" s="1" t="s">
        <v>119</v>
      </c>
      <c r="N239" s="1" t="s">
        <v>119</v>
      </c>
      <c r="O239" s="1" t="s">
        <v>119</v>
      </c>
      <c r="P239" s="5">
        <v>43501</v>
      </c>
      <c r="Q239" s="1"/>
      <c r="R239" s="1"/>
      <c r="S239" s="1"/>
      <c r="T239" s="1"/>
      <c r="U239" s="1" t="s">
        <v>1922</v>
      </c>
      <c r="V239" s="4">
        <v>1</v>
      </c>
      <c r="W239" s="6">
        <v>353986.45</v>
      </c>
      <c r="X239" s="1" t="s">
        <v>1459</v>
      </c>
      <c r="Y239" s="4">
        <v>134604</v>
      </c>
      <c r="Z239" s="6">
        <v>2.63</v>
      </c>
      <c r="AA239" s="1" t="s">
        <v>1954</v>
      </c>
      <c r="AB239" s="1" t="s">
        <v>1964</v>
      </c>
      <c r="AC239" s="1" t="s">
        <v>1124</v>
      </c>
      <c r="AD239" s="1" t="s">
        <v>1800</v>
      </c>
      <c r="AE239" s="1" t="s">
        <v>1286</v>
      </c>
      <c r="AF239" s="1" t="s">
        <v>1463</v>
      </c>
      <c r="AG239" s="6">
        <v>353986.45</v>
      </c>
      <c r="AH239" s="6">
        <v>2.629836037562034</v>
      </c>
      <c r="AI239" s="1"/>
      <c r="AJ239" s="1"/>
      <c r="AK239" s="1"/>
      <c r="AL239" s="1" t="s">
        <v>1756</v>
      </c>
      <c r="AM239" s="1" t="s">
        <v>951</v>
      </c>
      <c r="AN239" s="1"/>
      <c r="AO239" s="1" t="s">
        <v>31</v>
      </c>
      <c r="AP239" s="1"/>
      <c r="AQ239" s="1"/>
      <c r="AR239" s="2"/>
      <c r="AS239" s="1"/>
      <c r="AT239" s="5">
        <v>43512</v>
      </c>
      <c r="AU239" s="5">
        <v>43537</v>
      </c>
      <c r="AV239" s="1" t="s">
        <v>1941</v>
      </c>
      <c r="AW239" s="7">
        <v>43517.406136658079</v>
      </c>
      <c r="AX239" s="1" t="s">
        <v>130</v>
      </c>
      <c r="AY239" s="6">
        <v>353986.45</v>
      </c>
      <c r="AZ239" s="1"/>
      <c r="BA239" s="5">
        <v>43830</v>
      </c>
      <c r="BB239" s="7">
        <v>43830</v>
      </c>
      <c r="BC239" s="1" t="s">
        <v>1997</v>
      </c>
      <c r="BD239" s="1"/>
      <c r="BE239" s="1"/>
      <c r="BF239" s="1" t="s">
        <v>118</v>
      </c>
    </row>
    <row r="240" spans="1:58">
      <c r="A240" s="4">
        <v>235</v>
      </c>
      <c r="B240" s="2" t="str">
        <f>HYPERLINK("https://my.zakupki.prom.ua/remote/dispatcher/state_purchase_view/14305417", "UA-2019-12-26-000413-b")</f>
        <v>UA-2019-12-26-000413-b</v>
      </c>
      <c r="C240" s="2" t="s">
        <v>1459</v>
      </c>
      <c r="D240" s="1" t="s">
        <v>367</v>
      </c>
      <c r="E240" s="1" t="s">
        <v>367</v>
      </c>
      <c r="F240" s="1" t="s">
        <v>364</v>
      </c>
      <c r="G240" s="1" t="s">
        <v>1280</v>
      </c>
      <c r="H240" s="1" t="s">
        <v>1800</v>
      </c>
      <c r="I240" s="1" t="s">
        <v>1379</v>
      </c>
      <c r="J240" s="1" t="s">
        <v>819</v>
      </c>
      <c r="K240" s="1" t="s">
        <v>1287</v>
      </c>
      <c r="L240" s="1" t="s">
        <v>1915</v>
      </c>
      <c r="M240" s="1" t="s">
        <v>119</v>
      </c>
      <c r="N240" s="1" t="s">
        <v>119</v>
      </c>
      <c r="O240" s="1" t="s">
        <v>119</v>
      </c>
      <c r="P240" s="5">
        <v>43825</v>
      </c>
      <c r="Q240" s="5">
        <v>43825</v>
      </c>
      <c r="R240" s="5">
        <v>43834</v>
      </c>
      <c r="S240" s="5">
        <v>43825</v>
      </c>
      <c r="T240" s="5">
        <v>43844</v>
      </c>
      <c r="U240" s="1" t="s">
        <v>1923</v>
      </c>
      <c r="V240" s="4">
        <v>1</v>
      </c>
      <c r="W240" s="6">
        <v>13900</v>
      </c>
      <c r="X240" s="1" t="s">
        <v>1459</v>
      </c>
      <c r="Y240" s="4">
        <v>210</v>
      </c>
      <c r="Z240" s="6">
        <v>66.19</v>
      </c>
      <c r="AA240" s="1" t="s">
        <v>2017</v>
      </c>
      <c r="AB240" s="6">
        <v>139</v>
      </c>
      <c r="AC240" s="1" t="s">
        <v>1124</v>
      </c>
      <c r="AD240" s="1" t="s">
        <v>1800</v>
      </c>
      <c r="AE240" s="1" t="s">
        <v>1286</v>
      </c>
      <c r="AF240" s="1" t="s">
        <v>1463</v>
      </c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2"/>
      <c r="AS240" s="1"/>
      <c r="AT240" s="1"/>
      <c r="AU240" s="1"/>
      <c r="AV240" s="1" t="s">
        <v>1942</v>
      </c>
      <c r="AW240" s="7">
        <v>43844.585594198659</v>
      </c>
      <c r="AX240" s="1"/>
      <c r="AY240" s="1"/>
      <c r="AZ240" s="1"/>
      <c r="BA240" s="5">
        <v>43878</v>
      </c>
      <c r="BB240" s="1"/>
      <c r="BC240" s="1"/>
      <c r="BD240" s="1"/>
      <c r="BE240" s="1"/>
      <c r="BF240" s="1" t="s">
        <v>653</v>
      </c>
    </row>
    <row r="241" spans="1:58">
      <c r="A241" s="4">
        <v>236</v>
      </c>
      <c r="B241" s="2" t="str">
        <f>HYPERLINK("https://my.zakupki.prom.ua/remote/dispatcher/state_purchase_view/13492419", "UA-2019-11-08-001882-b")</f>
        <v>UA-2019-11-08-001882-b</v>
      </c>
      <c r="C241" s="2" t="s">
        <v>1459</v>
      </c>
      <c r="D241" s="1" t="s">
        <v>368</v>
      </c>
      <c r="E241" s="1" t="s">
        <v>368</v>
      </c>
      <c r="F241" s="1" t="s">
        <v>364</v>
      </c>
      <c r="G241" s="1" t="s">
        <v>1280</v>
      </c>
      <c r="H241" s="1" t="s">
        <v>1800</v>
      </c>
      <c r="I241" s="1" t="s">
        <v>1379</v>
      </c>
      <c r="J241" s="1" t="s">
        <v>819</v>
      </c>
      <c r="K241" s="1" t="s">
        <v>1287</v>
      </c>
      <c r="L241" s="1" t="s">
        <v>1915</v>
      </c>
      <c r="M241" s="1" t="s">
        <v>119</v>
      </c>
      <c r="N241" s="1" t="s">
        <v>119</v>
      </c>
      <c r="O241" s="1" t="s">
        <v>119</v>
      </c>
      <c r="P241" s="5">
        <v>43777</v>
      </c>
      <c r="Q241" s="5">
        <v>43777</v>
      </c>
      <c r="R241" s="5">
        <v>43786</v>
      </c>
      <c r="S241" s="5">
        <v>43777</v>
      </c>
      <c r="T241" s="5">
        <v>43796</v>
      </c>
      <c r="U241" s="1" t="s">
        <v>1923</v>
      </c>
      <c r="V241" s="4">
        <v>1</v>
      </c>
      <c r="W241" s="6">
        <v>11500</v>
      </c>
      <c r="X241" s="1" t="s">
        <v>1459</v>
      </c>
      <c r="Y241" s="4">
        <v>170</v>
      </c>
      <c r="Z241" s="6">
        <v>67.650000000000006</v>
      </c>
      <c r="AA241" s="1" t="s">
        <v>2017</v>
      </c>
      <c r="AB241" s="6">
        <v>115</v>
      </c>
      <c r="AC241" s="1" t="s">
        <v>1124</v>
      </c>
      <c r="AD241" s="1" t="s">
        <v>1800</v>
      </c>
      <c r="AE241" s="1" t="s">
        <v>1286</v>
      </c>
      <c r="AF241" s="1" t="s">
        <v>1463</v>
      </c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2"/>
      <c r="AS241" s="1"/>
      <c r="AT241" s="1"/>
      <c r="AU241" s="1"/>
      <c r="AV241" s="1" t="s">
        <v>1942</v>
      </c>
      <c r="AW241" s="7">
        <v>43796.710512531019</v>
      </c>
      <c r="AX241" s="1"/>
      <c r="AY241" s="1"/>
      <c r="AZ241" s="1"/>
      <c r="BA241" s="5">
        <v>43830</v>
      </c>
      <c r="BB241" s="1"/>
      <c r="BC241" s="1"/>
      <c r="BD241" s="1"/>
      <c r="BE241" s="1"/>
      <c r="BF241" s="1" t="s">
        <v>653</v>
      </c>
    </row>
    <row r="242" spans="1:58">
      <c r="A242" s="4">
        <v>237</v>
      </c>
      <c r="B242" s="2" t="str">
        <f>HYPERLINK("https://my.zakupki.prom.ua/remote/dispatcher/state_purchase_view/13086645", "UA-2019-10-07-000109-b")</f>
        <v>UA-2019-10-07-000109-b</v>
      </c>
      <c r="C242" s="2" t="s">
        <v>1459</v>
      </c>
      <c r="D242" s="1" t="s">
        <v>748</v>
      </c>
      <c r="E242" s="1" t="s">
        <v>747</v>
      </c>
      <c r="F242" s="1" t="s">
        <v>749</v>
      </c>
      <c r="G242" s="1" t="s">
        <v>1346</v>
      </c>
      <c r="H242" s="1" t="s">
        <v>1800</v>
      </c>
      <c r="I242" s="1" t="s">
        <v>1379</v>
      </c>
      <c r="J242" s="1" t="s">
        <v>819</v>
      </c>
      <c r="K242" s="1" t="s">
        <v>1287</v>
      </c>
      <c r="L242" s="1" t="s">
        <v>1658</v>
      </c>
      <c r="M242" s="1" t="s">
        <v>119</v>
      </c>
      <c r="N242" s="1" t="s">
        <v>119</v>
      </c>
      <c r="O242" s="1" t="s">
        <v>119</v>
      </c>
      <c r="P242" s="5">
        <v>43745</v>
      </c>
      <c r="Q242" s="5">
        <v>43745</v>
      </c>
      <c r="R242" s="5">
        <v>43747</v>
      </c>
      <c r="S242" s="5">
        <v>43747</v>
      </c>
      <c r="T242" s="5">
        <v>43748</v>
      </c>
      <c r="U242" s="1" t="s">
        <v>1923</v>
      </c>
      <c r="V242" s="4">
        <v>2</v>
      </c>
      <c r="W242" s="6">
        <v>47514</v>
      </c>
      <c r="X242" s="1" t="s">
        <v>1459</v>
      </c>
      <c r="Y242" s="4">
        <v>182</v>
      </c>
      <c r="Z242" s="6">
        <v>261.07</v>
      </c>
      <c r="AA242" s="1" t="s">
        <v>2023</v>
      </c>
      <c r="AB242" s="6">
        <v>475.14</v>
      </c>
      <c r="AC242" s="1" t="s">
        <v>1124</v>
      </c>
      <c r="AD242" s="1" t="s">
        <v>1800</v>
      </c>
      <c r="AE242" s="1" t="s">
        <v>1286</v>
      </c>
      <c r="AF242" s="1" t="s">
        <v>1463</v>
      </c>
      <c r="AG242" s="6">
        <v>41966.47</v>
      </c>
      <c r="AH242" s="6">
        <v>230.58500000000001</v>
      </c>
      <c r="AI242" s="1" t="s">
        <v>1650</v>
      </c>
      <c r="AJ242" s="6">
        <v>5547.5299999999988</v>
      </c>
      <c r="AK242" s="6">
        <v>0.11675569305888789</v>
      </c>
      <c r="AL242" s="1" t="s">
        <v>1650</v>
      </c>
      <c r="AM242" s="1" t="s">
        <v>440</v>
      </c>
      <c r="AN242" s="1" t="s">
        <v>1189</v>
      </c>
      <c r="AO242" s="1" t="s">
        <v>55</v>
      </c>
      <c r="AP242" s="6">
        <v>5547.5299999999988</v>
      </c>
      <c r="AQ242" s="6">
        <v>0.11675569305888789</v>
      </c>
      <c r="AR242" s="2" t="str">
        <f>HYPERLINK("https://auction.openprocurement.org/tenders/1269eccdb5224e7cb41eac248053e3e0")</f>
        <v>https://auction.openprocurement.org/tenders/1269eccdb5224e7cb41eac248053e3e0</v>
      </c>
      <c r="AS242" s="7">
        <v>43754.671054094906</v>
      </c>
      <c r="AT242" s="1"/>
      <c r="AU242" s="1"/>
      <c r="AV242" s="1" t="s">
        <v>2002</v>
      </c>
      <c r="AW242" s="7">
        <v>43755.670547976631</v>
      </c>
      <c r="AX242" s="1"/>
      <c r="AY242" s="6">
        <v>41966.47</v>
      </c>
      <c r="AZ242" s="1"/>
      <c r="BA242" s="5">
        <v>43830</v>
      </c>
      <c r="BB242" s="1"/>
      <c r="BC242" s="1" t="s">
        <v>1968</v>
      </c>
      <c r="BD242" s="1" t="s">
        <v>1281</v>
      </c>
      <c r="BE242" s="1"/>
      <c r="BF242" s="1" t="s">
        <v>443</v>
      </c>
    </row>
    <row r="243" spans="1:58">
      <c r="A243" s="4">
        <v>238</v>
      </c>
      <c r="B243" s="2" t="str">
        <f>HYPERLINK("https://my.zakupki.prom.ua/remote/dispatcher/state_purchase_view/11505299", "UA-2019-05-07-002014-a")</f>
        <v>UA-2019-05-07-002014-a</v>
      </c>
      <c r="C243" s="2" t="s">
        <v>1459</v>
      </c>
      <c r="D243" s="1" t="s">
        <v>1601</v>
      </c>
      <c r="E243" s="1" t="s">
        <v>1601</v>
      </c>
      <c r="F243" s="1" t="s">
        <v>1009</v>
      </c>
      <c r="G243" s="1" t="s">
        <v>1346</v>
      </c>
      <c r="H243" s="1" t="s">
        <v>1800</v>
      </c>
      <c r="I243" s="1" t="s">
        <v>1379</v>
      </c>
      <c r="J243" s="1" t="s">
        <v>819</v>
      </c>
      <c r="K243" s="1" t="s">
        <v>1287</v>
      </c>
      <c r="L243" s="1" t="s">
        <v>1224</v>
      </c>
      <c r="M243" s="1" t="s">
        <v>119</v>
      </c>
      <c r="N243" s="1" t="s">
        <v>119</v>
      </c>
      <c r="O243" s="1" t="s">
        <v>119</v>
      </c>
      <c r="P243" s="5">
        <v>43592</v>
      </c>
      <c r="Q243" s="5">
        <v>43592</v>
      </c>
      <c r="R243" s="5">
        <v>43596</v>
      </c>
      <c r="S243" s="5">
        <v>43596</v>
      </c>
      <c r="T243" s="5">
        <v>43600</v>
      </c>
      <c r="U243" s="1" t="s">
        <v>1923</v>
      </c>
      <c r="V243" s="4">
        <v>0</v>
      </c>
      <c r="W243" s="6">
        <v>199990</v>
      </c>
      <c r="X243" s="1" t="s">
        <v>1459</v>
      </c>
      <c r="Y243" s="4">
        <v>1</v>
      </c>
      <c r="Z243" s="6">
        <v>199990</v>
      </c>
      <c r="AA243" s="1" t="s">
        <v>1976</v>
      </c>
      <c r="AB243" s="6">
        <v>999.95</v>
      </c>
      <c r="AC243" s="1" t="s">
        <v>1124</v>
      </c>
      <c r="AD243" s="1" t="s">
        <v>1800</v>
      </c>
      <c r="AE243" s="1" t="s">
        <v>1286</v>
      </c>
      <c r="AF243" s="1" t="s">
        <v>1463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2"/>
      <c r="AS243" s="1"/>
      <c r="AT243" s="1"/>
      <c r="AU243" s="1"/>
      <c r="AV243" s="1" t="s">
        <v>1942</v>
      </c>
      <c r="AW243" s="7">
        <v>43600.418521125983</v>
      </c>
      <c r="AX243" s="1"/>
      <c r="AY243" s="1"/>
      <c r="AZ243" s="1"/>
      <c r="BA243" s="5">
        <v>43642</v>
      </c>
      <c r="BB243" s="1"/>
      <c r="BC243" s="1"/>
      <c r="BD243" s="1"/>
      <c r="BE243" s="1"/>
      <c r="BF243" s="1"/>
    </row>
    <row r="244" spans="1:58">
      <c r="A244" s="4">
        <v>239</v>
      </c>
      <c r="B244" s="2" t="str">
        <f>HYPERLINK("https://my.zakupki.prom.ua/remote/dispatcher/state_purchase_view/11476169", "UA-2019-05-03-001325-a")</f>
        <v>UA-2019-05-03-001325-a</v>
      </c>
      <c r="C244" s="2" t="s">
        <v>1459</v>
      </c>
      <c r="D244" s="1" t="s">
        <v>1666</v>
      </c>
      <c r="E244" s="1" t="s">
        <v>1670</v>
      </c>
      <c r="F244" s="1" t="s">
        <v>364</v>
      </c>
      <c r="G244" s="1" t="s">
        <v>1280</v>
      </c>
      <c r="H244" s="1" t="s">
        <v>1800</v>
      </c>
      <c r="I244" s="1" t="s">
        <v>1379</v>
      </c>
      <c r="J244" s="1" t="s">
        <v>819</v>
      </c>
      <c r="K244" s="1" t="s">
        <v>1287</v>
      </c>
      <c r="L244" s="1" t="s">
        <v>1224</v>
      </c>
      <c r="M244" s="1" t="s">
        <v>119</v>
      </c>
      <c r="N244" s="1" t="s">
        <v>119</v>
      </c>
      <c r="O244" s="1" t="s">
        <v>119</v>
      </c>
      <c r="P244" s="5">
        <v>43588</v>
      </c>
      <c r="Q244" s="5">
        <v>43588</v>
      </c>
      <c r="R244" s="5">
        <v>43595</v>
      </c>
      <c r="S244" s="5">
        <v>43588</v>
      </c>
      <c r="T244" s="5">
        <v>43605</v>
      </c>
      <c r="U244" s="7">
        <v>43606.628055555557</v>
      </c>
      <c r="V244" s="4">
        <v>2</v>
      </c>
      <c r="W244" s="6">
        <v>230900</v>
      </c>
      <c r="X244" s="1" t="s">
        <v>1459</v>
      </c>
      <c r="Y244" s="4">
        <v>78</v>
      </c>
      <c r="Z244" s="6">
        <v>2960.26</v>
      </c>
      <c r="AA244" s="1" t="s">
        <v>2023</v>
      </c>
      <c r="AB244" s="6">
        <v>1154.5</v>
      </c>
      <c r="AC244" s="1" t="s">
        <v>1124</v>
      </c>
      <c r="AD244" s="1" t="s">
        <v>1800</v>
      </c>
      <c r="AE244" s="1" t="s">
        <v>1286</v>
      </c>
      <c r="AF244" s="1" t="s">
        <v>1463</v>
      </c>
      <c r="AG244" s="6">
        <v>230873.76</v>
      </c>
      <c r="AH244" s="6">
        <v>2959.92</v>
      </c>
      <c r="AI244" s="1" t="s">
        <v>1708</v>
      </c>
      <c r="AJ244" s="6">
        <v>26.239999999990687</v>
      </c>
      <c r="AK244" s="6">
        <v>1.1364226938064394E-4</v>
      </c>
      <c r="AL244" s="1" t="s">
        <v>1708</v>
      </c>
      <c r="AM244" s="1" t="s">
        <v>805</v>
      </c>
      <c r="AN244" s="1" t="s">
        <v>1158</v>
      </c>
      <c r="AO244" s="1"/>
      <c r="AP244" s="6">
        <v>26.239999999990687</v>
      </c>
      <c r="AQ244" s="6">
        <v>1.1364226938064394E-4</v>
      </c>
      <c r="AR244" s="2" t="str">
        <f>HYPERLINK("https://auction.openprocurement.org/tenders/5fee5ca737bd449cbef6607d03b9f161")</f>
        <v>https://auction.openprocurement.org/tenders/5fee5ca737bd449cbef6607d03b9f161</v>
      </c>
      <c r="AS244" s="7">
        <v>43607.469771691154</v>
      </c>
      <c r="AT244" s="5">
        <v>43618</v>
      </c>
      <c r="AU244" s="5">
        <v>43628</v>
      </c>
      <c r="AV244" s="1" t="s">
        <v>1941</v>
      </c>
      <c r="AW244" s="7">
        <v>43621.37022394831</v>
      </c>
      <c r="AX244" s="1" t="s">
        <v>975</v>
      </c>
      <c r="AY244" s="6">
        <v>230873.76</v>
      </c>
      <c r="AZ244" s="1"/>
      <c r="BA244" s="5">
        <v>43830</v>
      </c>
      <c r="BB244" s="7">
        <v>43830</v>
      </c>
      <c r="BC244" s="1" t="s">
        <v>1997</v>
      </c>
      <c r="BD244" s="1"/>
      <c r="BE244" s="1"/>
      <c r="BF244" s="1" t="s">
        <v>807</v>
      </c>
    </row>
    <row r="245" spans="1:58">
      <c r="A245" s="4">
        <v>240</v>
      </c>
      <c r="B245" s="2" t="str">
        <f>HYPERLINK("https://my.zakupki.prom.ua/remote/dispatcher/state_purchase_view/12465661", "UA-2019-08-07-002770-b")</f>
        <v>UA-2019-08-07-002770-b</v>
      </c>
      <c r="C245" s="2" t="s">
        <v>1459</v>
      </c>
      <c r="D245" s="1" t="s">
        <v>737</v>
      </c>
      <c r="E245" s="1" t="s">
        <v>1448</v>
      </c>
      <c r="F245" s="1" t="s">
        <v>733</v>
      </c>
      <c r="G245" s="1" t="s">
        <v>1346</v>
      </c>
      <c r="H245" s="1" t="s">
        <v>1800</v>
      </c>
      <c r="I245" s="1" t="s">
        <v>1379</v>
      </c>
      <c r="J245" s="1" t="s">
        <v>819</v>
      </c>
      <c r="K245" s="1" t="s">
        <v>1287</v>
      </c>
      <c r="L245" s="1" t="s">
        <v>1658</v>
      </c>
      <c r="M245" s="1" t="s">
        <v>119</v>
      </c>
      <c r="N245" s="1" t="s">
        <v>119</v>
      </c>
      <c r="O245" s="1" t="s">
        <v>119</v>
      </c>
      <c r="P245" s="5">
        <v>43684</v>
      </c>
      <c r="Q245" s="5">
        <v>43684</v>
      </c>
      <c r="R245" s="5">
        <v>43690</v>
      </c>
      <c r="S245" s="5">
        <v>43690</v>
      </c>
      <c r="T245" s="5">
        <v>43692</v>
      </c>
      <c r="U245" s="7">
        <v>43693.624837962961</v>
      </c>
      <c r="V245" s="4">
        <v>3</v>
      </c>
      <c r="W245" s="6">
        <v>75000</v>
      </c>
      <c r="X245" s="1" t="s">
        <v>1459</v>
      </c>
      <c r="Y245" s="4">
        <v>35</v>
      </c>
      <c r="Z245" s="6">
        <v>2142.86</v>
      </c>
      <c r="AA245" s="1" t="s">
        <v>2017</v>
      </c>
      <c r="AB245" s="6">
        <v>375</v>
      </c>
      <c r="AC245" s="1" t="s">
        <v>1124</v>
      </c>
      <c r="AD245" s="1" t="s">
        <v>1800</v>
      </c>
      <c r="AE245" s="1" t="s">
        <v>1286</v>
      </c>
      <c r="AF245" s="1" t="s">
        <v>1463</v>
      </c>
      <c r="AG245" s="6">
        <v>64376.55</v>
      </c>
      <c r="AH245" s="6">
        <v>1839.3300000000002</v>
      </c>
      <c r="AI245" s="1" t="s">
        <v>1650</v>
      </c>
      <c r="AJ245" s="6">
        <v>10623.449999999997</v>
      </c>
      <c r="AK245" s="6">
        <v>0.14164599999999997</v>
      </c>
      <c r="AL245" s="1" t="s">
        <v>1650</v>
      </c>
      <c r="AM245" s="1" t="s">
        <v>440</v>
      </c>
      <c r="AN245" s="1" t="s">
        <v>1189</v>
      </c>
      <c r="AO245" s="1" t="s">
        <v>55</v>
      </c>
      <c r="AP245" s="6">
        <v>10623.449999999997</v>
      </c>
      <c r="AQ245" s="6">
        <v>0.14164599999999997</v>
      </c>
      <c r="AR245" s="2" t="str">
        <f>HYPERLINK("https://auction.openprocurement.org/tenders/37ec91b36878447e9e3c38c173c0f838")</f>
        <v>https://auction.openprocurement.org/tenders/37ec91b36878447e9e3c38c173c0f838</v>
      </c>
      <c r="AS245" s="7">
        <v>43696.606970574307</v>
      </c>
      <c r="AT245" s="5">
        <v>43698</v>
      </c>
      <c r="AU245" s="5">
        <v>43720</v>
      </c>
      <c r="AV245" s="1" t="s">
        <v>1941</v>
      </c>
      <c r="AW245" s="7">
        <v>43706.538908284303</v>
      </c>
      <c r="AX245" s="1" t="s">
        <v>1924</v>
      </c>
      <c r="AY245" s="6">
        <v>64376.55</v>
      </c>
      <c r="AZ245" s="1"/>
      <c r="BA245" s="5">
        <v>43830</v>
      </c>
      <c r="BB245" s="7">
        <v>43830</v>
      </c>
      <c r="BC245" s="1" t="s">
        <v>1997</v>
      </c>
      <c r="BD245" s="1"/>
      <c r="BE245" s="1"/>
      <c r="BF245" s="1" t="s">
        <v>441</v>
      </c>
    </row>
    <row r="246" spans="1:58">
      <c r="A246" s="4">
        <v>241</v>
      </c>
      <c r="B246" s="2" t="str">
        <f>HYPERLINK("https://my.zakupki.prom.ua/remote/dispatcher/state_purchase_view/12922705", "UA-2019-09-20-001354-b")</f>
        <v>UA-2019-09-20-001354-b</v>
      </c>
      <c r="C246" s="2" t="s">
        <v>1459</v>
      </c>
      <c r="D246" s="1" t="s">
        <v>1318</v>
      </c>
      <c r="E246" s="1" t="s">
        <v>1317</v>
      </c>
      <c r="F246" s="1" t="s">
        <v>953</v>
      </c>
      <c r="G246" s="1" t="s">
        <v>1346</v>
      </c>
      <c r="H246" s="1" t="s">
        <v>1800</v>
      </c>
      <c r="I246" s="1" t="s">
        <v>1379</v>
      </c>
      <c r="J246" s="1" t="s">
        <v>819</v>
      </c>
      <c r="K246" s="1" t="s">
        <v>1287</v>
      </c>
      <c r="L246" s="1" t="s">
        <v>1658</v>
      </c>
      <c r="M246" s="1" t="s">
        <v>119</v>
      </c>
      <c r="N246" s="1" t="s">
        <v>119</v>
      </c>
      <c r="O246" s="1" t="s">
        <v>119</v>
      </c>
      <c r="P246" s="5">
        <v>43728</v>
      </c>
      <c r="Q246" s="5">
        <v>43728</v>
      </c>
      <c r="R246" s="5">
        <v>43732</v>
      </c>
      <c r="S246" s="5">
        <v>43732</v>
      </c>
      <c r="T246" s="5">
        <v>43735</v>
      </c>
      <c r="U246" s="1" t="s">
        <v>1923</v>
      </c>
      <c r="V246" s="4">
        <v>0</v>
      </c>
      <c r="W246" s="6">
        <v>3000</v>
      </c>
      <c r="X246" s="1" t="s">
        <v>1459</v>
      </c>
      <c r="Y246" s="4">
        <v>47</v>
      </c>
      <c r="Z246" s="6">
        <v>63.83</v>
      </c>
      <c r="AA246" s="1" t="s">
        <v>2023</v>
      </c>
      <c r="AB246" s="6">
        <v>30</v>
      </c>
      <c r="AC246" s="1" t="s">
        <v>1124</v>
      </c>
      <c r="AD246" s="1" t="s">
        <v>1800</v>
      </c>
      <c r="AE246" s="1" t="s">
        <v>1286</v>
      </c>
      <c r="AF246" s="1" t="s">
        <v>1463</v>
      </c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2"/>
      <c r="AS246" s="1"/>
      <c r="AT246" s="1"/>
      <c r="AU246" s="1"/>
      <c r="AV246" s="1" t="s">
        <v>1942</v>
      </c>
      <c r="AW246" s="7">
        <v>43735.418521141131</v>
      </c>
      <c r="AX246" s="1"/>
      <c r="AY246" s="1"/>
      <c r="AZ246" s="1"/>
      <c r="BA246" s="5">
        <v>43830</v>
      </c>
      <c r="BB246" s="1"/>
      <c r="BC246" s="1"/>
      <c r="BD246" s="1"/>
      <c r="BE246" s="1"/>
      <c r="BF246" s="1"/>
    </row>
    <row r="247" spans="1:58">
      <c r="A247" s="4">
        <v>242</v>
      </c>
      <c r="B247" s="2" t="str">
        <f>HYPERLINK("https://my.zakupki.prom.ua/remote/dispatcher/state_purchase_view/12728028", "UA-2019-09-04-001731-b")</f>
        <v>UA-2019-09-04-001731-b</v>
      </c>
      <c r="C247" s="2" t="s">
        <v>1459</v>
      </c>
      <c r="D247" s="1" t="s">
        <v>1662</v>
      </c>
      <c r="E247" s="1" t="s">
        <v>1663</v>
      </c>
      <c r="F247" s="1" t="s">
        <v>704</v>
      </c>
      <c r="G247" s="1" t="s">
        <v>1280</v>
      </c>
      <c r="H247" s="1" t="s">
        <v>1800</v>
      </c>
      <c r="I247" s="1" t="s">
        <v>1379</v>
      </c>
      <c r="J247" s="1" t="s">
        <v>819</v>
      </c>
      <c r="K247" s="1" t="s">
        <v>1287</v>
      </c>
      <c r="L247" s="1" t="s">
        <v>1658</v>
      </c>
      <c r="M247" s="1" t="s">
        <v>119</v>
      </c>
      <c r="N247" s="1" t="s">
        <v>119</v>
      </c>
      <c r="O247" s="1" t="s">
        <v>119</v>
      </c>
      <c r="P247" s="5">
        <v>43712</v>
      </c>
      <c r="Q247" s="5">
        <v>43712</v>
      </c>
      <c r="R247" s="5">
        <v>43717</v>
      </c>
      <c r="S247" s="5">
        <v>43712</v>
      </c>
      <c r="T247" s="5">
        <v>43727</v>
      </c>
      <c r="U247" s="7">
        <v>43728.56040509259</v>
      </c>
      <c r="V247" s="4">
        <v>2</v>
      </c>
      <c r="W247" s="6">
        <v>364000</v>
      </c>
      <c r="X247" s="1" t="s">
        <v>1459</v>
      </c>
      <c r="Y247" s="4">
        <v>874</v>
      </c>
      <c r="Z247" s="6">
        <v>416.48</v>
      </c>
      <c r="AA247" s="1" t="s">
        <v>2017</v>
      </c>
      <c r="AB247" s="6">
        <v>1820</v>
      </c>
      <c r="AC247" s="1" t="s">
        <v>1124</v>
      </c>
      <c r="AD247" s="1" t="s">
        <v>1800</v>
      </c>
      <c r="AE247" s="1" t="s">
        <v>1286</v>
      </c>
      <c r="AF247" s="1" t="s">
        <v>1463</v>
      </c>
      <c r="AG247" s="6">
        <v>363605.7</v>
      </c>
      <c r="AH247" s="6">
        <v>416.02482837528606</v>
      </c>
      <c r="AI247" s="1" t="s">
        <v>1845</v>
      </c>
      <c r="AJ247" s="6">
        <v>394.29999999998836</v>
      </c>
      <c r="AK247" s="6">
        <v>1.0832417582417263E-3</v>
      </c>
      <c r="AL247" s="1" t="s">
        <v>1845</v>
      </c>
      <c r="AM247" s="1" t="s">
        <v>475</v>
      </c>
      <c r="AN247" s="1" t="s">
        <v>1184</v>
      </c>
      <c r="AO247" s="1" t="s">
        <v>94</v>
      </c>
      <c r="AP247" s="6">
        <v>394.29999999998836</v>
      </c>
      <c r="AQ247" s="6">
        <v>1.0832417582417263E-3</v>
      </c>
      <c r="AR247" s="2" t="str">
        <f>HYPERLINK("https://auction.openprocurement.org/tenders/332ad9c1a9fe4c238312a77bb0de1189")</f>
        <v>https://auction.openprocurement.org/tenders/332ad9c1a9fe4c238312a77bb0de1189</v>
      </c>
      <c r="AS247" s="7">
        <v>43733.570877294929</v>
      </c>
      <c r="AT247" s="5">
        <v>43744</v>
      </c>
      <c r="AU247" s="5">
        <v>43754</v>
      </c>
      <c r="AV247" s="1" t="s">
        <v>1941</v>
      </c>
      <c r="AW247" s="7">
        <v>43745.653585156033</v>
      </c>
      <c r="AX247" s="1" t="s">
        <v>267</v>
      </c>
      <c r="AY247" s="6">
        <v>363605.7</v>
      </c>
      <c r="AZ247" s="1"/>
      <c r="BA247" s="5">
        <v>43829</v>
      </c>
      <c r="BB247" s="7">
        <v>43830</v>
      </c>
      <c r="BC247" s="1" t="s">
        <v>1997</v>
      </c>
      <c r="BD247" s="1"/>
      <c r="BE247" s="1"/>
      <c r="BF247" s="1" t="s">
        <v>476</v>
      </c>
    </row>
    <row r="248" spans="1:58">
      <c r="A248" s="4">
        <v>243</v>
      </c>
      <c r="B248" s="2" t="str">
        <f>HYPERLINK("https://my.zakupki.prom.ua/remote/dispatcher/state_purchase_view/10905672", "UA-2019-03-13-002792-a")</f>
        <v>UA-2019-03-13-002792-a</v>
      </c>
      <c r="C248" s="2" t="s">
        <v>1459</v>
      </c>
      <c r="D248" s="1" t="s">
        <v>1265</v>
      </c>
      <c r="E248" s="1" t="s">
        <v>1311</v>
      </c>
      <c r="F248" s="1" t="s">
        <v>871</v>
      </c>
      <c r="G248" s="1" t="s">
        <v>1346</v>
      </c>
      <c r="H248" s="1" t="s">
        <v>1800</v>
      </c>
      <c r="I248" s="1" t="s">
        <v>1379</v>
      </c>
      <c r="J248" s="1" t="s">
        <v>819</v>
      </c>
      <c r="K248" s="1" t="s">
        <v>1287</v>
      </c>
      <c r="L248" s="1" t="s">
        <v>1224</v>
      </c>
      <c r="M248" s="1" t="s">
        <v>119</v>
      </c>
      <c r="N248" s="1" t="s">
        <v>119</v>
      </c>
      <c r="O248" s="1" t="s">
        <v>119</v>
      </c>
      <c r="P248" s="5">
        <v>43537</v>
      </c>
      <c r="Q248" s="5">
        <v>43537</v>
      </c>
      <c r="R248" s="5">
        <v>43542</v>
      </c>
      <c r="S248" s="5">
        <v>43542</v>
      </c>
      <c r="T248" s="5">
        <v>43544</v>
      </c>
      <c r="U248" s="1" t="s">
        <v>1923</v>
      </c>
      <c r="V248" s="4">
        <v>1</v>
      </c>
      <c r="W248" s="6">
        <v>25800</v>
      </c>
      <c r="X248" s="1" t="s">
        <v>1459</v>
      </c>
      <c r="Y248" s="4">
        <v>8</v>
      </c>
      <c r="Z248" s="6">
        <v>3225</v>
      </c>
      <c r="AA248" s="1" t="s">
        <v>2023</v>
      </c>
      <c r="AB248" s="6">
        <v>129</v>
      </c>
      <c r="AC248" s="1" t="s">
        <v>1124</v>
      </c>
      <c r="AD248" s="1" t="s">
        <v>1800</v>
      </c>
      <c r="AE248" s="1" t="s">
        <v>1286</v>
      </c>
      <c r="AF248" s="1" t="s">
        <v>1463</v>
      </c>
      <c r="AG248" s="6">
        <v>25757.4</v>
      </c>
      <c r="AH248" s="6">
        <v>3219.6750000000002</v>
      </c>
      <c r="AI248" s="1" t="s">
        <v>1843</v>
      </c>
      <c r="AJ248" s="6">
        <v>42.599999999998545</v>
      </c>
      <c r="AK248" s="6">
        <v>1.6511627906976179E-3</v>
      </c>
      <c r="AL248" s="1" t="s">
        <v>1843</v>
      </c>
      <c r="AM248" s="1" t="s">
        <v>642</v>
      </c>
      <c r="AN248" s="1" t="s">
        <v>1206</v>
      </c>
      <c r="AO248" s="1" t="s">
        <v>54</v>
      </c>
      <c r="AP248" s="6">
        <v>42.599999999998545</v>
      </c>
      <c r="AQ248" s="6">
        <v>1.6511627906976179E-3</v>
      </c>
      <c r="AR248" s="2"/>
      <c r="AS248" s="7">
        <v>43545.694228815635</v>
      </c>
      <c r="AT248" s="5">
        <v>43549</v>
      </c>
      <c r="AU248" s="5">
        <v>43572</v>
      </c>
      <c r="AV248" s="1" t="s">
        <v>1941</v>
      </c>
      <c r="AW248" s="7">
        <v>43557.625186239165</v>
      </c>
      <c r="AX248" s="1" t="s">
        <v>648</v>
      </c>
      <c r="AY248" s="6">
        <v>25757.4</v>
      </c>
      <c r="AZ248" s="1"/>
      <c r="BA248" s="5">
        <v>43567</v>
      </c>
      <c r="BB248" s="7">
        <v>43830</v>
      </c>
      <c r="BC248" s="1" t="s">
        <v>1997</v>
      </c>
      <c r="BD248" s="1"/>
      <c r="BE248" s="1"/>
      <c r="BF248" s="1" t="s">
        <v>643</v>
      </c>
    </row>
    <row r="249" spans="1:58">
      <c r="A249" s="4">
        <v>244</v>
      </c>
      <c r="B249" s="2" t="str">
        <f>HYPERLINK("https://my.zakupki.prom.ua/remote/dispatcher/state_purchase_view/10831216", "UA-2019-03-06-000700-a")</f>
        <v>UA-2019-03-06-000700-a</v>
      </c>
      <c r="C249" s="2" t="s">
        <v>1459</v>
      </c>
      <c r="D249" s="1" t="s">
        <v>1533</v>
      </c>
      <c r="E249" s="1" t="s">
        <v>1061</v>
      </c>
      <c r="F249" s="1" t="s">
        <v>1060</v>
      </c>
      <c r="G249" s="1" t="s">
        <v>1346</v>
      </c>
      <c r="H249" s="1" t="s">
        <v>1800</v>
      </c>
      <c r="I249" s="1" t="s">
        <v>1379</v>
      </c>
      <c r="J249" s="1" t="s">
        <v>819</v>
      </c>
      <c r="K249" s="1" t="s">
        <v>1287</v>
      </c>
      <c r="L249" s="1" t="s">
        <v>1224</v>
      </c>
      <c r="M249" s="1" t="s">
        <v>119</v>
      </c>
      <c r="N249" s="1" t="s">
        <v>119</v>
      </c>
      <c r="O249" s="1" t="s">
        <v>119</v>
      </c>
      <c r="P249" s="5">
        <v>43530</v>
      </c>
      <c r="Q249" s="5">
        <v>43530</v>
      </c>
      <c r="R249" s="5">
        <v>43536</v>
      </c>
      <c r="S249" s="5">
        <v>43536</v>
      </c>
      <c r="T249" s="5">
        <v>43539</v>
      </c>
      <c r="U249" s="1" t="s">
        <v>1923</v>
      </c>
      <c r="V249" s="4">
        <v>1</v>
      </c>
      <c r="W249" s="6">
        <v>54330</v>
      </c>
      <c r="X249" s="1" t="s">
        <v>1459</v>
      </c>
      <c r="Y249" s="4">
        <v>160</v>
      </c>
      <c r="Z249" s="6">
        <v>339.56</v>
      </c>
      <c r="AA249" s="1" t="s">
        <v>1976</v>
      </c>
      <c r="AB249" s="6">
        <v>271.64999999999998</v>
      </c>
      <c r="AC249" s="1" t="s">
        <v>1124</v>
      </c>
      <c r="AD249" s="1" t="s">
        <v>1800</v>
      </c>
      <c r="AE249" s="1" t="s">
        <v>1286</v>
      </c>
      <c r="AF249" s="1" t="s">
        <v>1463</v>
      </c>
      <c r="AG249" s="6">
        <v>54329.1</v>
      </c>
      <c r="AH249" s="6">
        <v>339.55687499999999</v>
      </c>
      <c r="AI249" s="1" t="s">
        <v>1323</v>
      </c>
      <c r="AJ249" s="6">
        <v>0.90000000000145519</v>
      </c>
      <c r="AK249" s="6">
        <v>1.6565433462202378E-5</v>
      </c>
      <c r="AL249" s="1" t="s">
        <v>1323</v>
      </c>
      <c r="AM249" s="1" t="s">
        <v>168</v>
      </c>
      <c r="AN249" s="1" t="s">
        <v>1039</v>
      </c>
      <c r="AO249" s="1" t="s">
        <v>35</v>
      </c>
      <c r="AP249" s="6">
        <v>0.90000000000145519</v>
      </c>
      <c r="AQ249" s="6">
        <v>1.6565433462202378E-5</v>
      </c>
      <c r="AR249" s="2"/>
      <c r="AS249" s="7">
        <v>43543.414741525834</v>
      </c>
      <c r="AT249" s="5">
        <v>43545</v>
      </c>
      <c r="AU249" s="5">
        <v>43566</v>
      </c>
      <c r="AV249" s="1" t="s">
        <v>1941</v>
      </c>
      <c r="AW249" s="7">
        <v>43553.343439932498</v>
      </c>
      <c r="AX249" s="1" t="s">
        <v>227</v>
      </c>
      <c r="AY249" s="6">
        <v>54329.1</v>
      </c>
      <c r="AZ249" s="1"/>
      <c r="BA249" s="5">
        <v>43830</v>
      </c>
      <c r="BB249" s="7">
        <v>43830</v>
      </c>
      <c r="BC249" s="1" t="s">
        <v>1997</v>
      </c>
      <c r="BD249" s="1"/>
      <c r="BE249" s="1"/>
      <c r="BF249" s="1" t="s">
        <v>169</v>
      </c>
    </row>
    <row r="250" spans="1:58">
      <c r="A250" s="4">
        <v>245</v>
      </c>
      <c r="B250" s="2" t="str">
        <f>HYPERLINK("https://my.zakupki.prom.ua/remote/dispatcher/state_purchase_view/10672939", "UA-2019-02-21-001710-b")</f>
        <v>UA-2019-02-21-001710-b</v>
      </c>
      <c r="C250" s="2" t="s">
        <v>1459</v>
      </c>
      <c r="D250" s="1" t="s">
        <v>1322</v>
      </c>
      <c r="E250" s="1" t="s">
        <v>1299</v>
      </c>
      <c r="F250" s="1" t="s">
        <v>750</v>
      </c>
      <c r="G250" s="1" t="s">
        <v>1280</v>
      </c>
      <c r="H250" s="1" t="s">
        <v>1800</v>
      </c>
      <c r="I250" s="1" t="s">
        <v>1379</v>
      </c>
      <c r="J250" s="1" t="s">
        <v>819</v>
      </c>
      <c r="K250" s="1" t="s">
        <v>1287</v>
      </c>
      <c r="L250" s="1" t="s">
        <v>1224</v>
      </c>
      <c r="M250" s="1" t="s">
        <v>119</v>
      </c>
      <c r="N250" s="1" t="s">
        <v>119</v>
      </c>
      <c r="O250" s="1" t="s">
        <v>119</v>
      </c>
      <c r="P250" s="5">
        <v>43517</v>
      </c>
      <c r="Q250" s="5">
        <v>43517</v>
      </c>
      <c r="R250" s="5">
        <v>43525</v>
      </c>
      <c r="S250" s="5">
        <v>43517</v>
      </c>
      <c r="T250" s="5">
        <v>43535</v>
      </c>
      <c r="U250" s="7">
        <v>43536.586504629631</v>
      </c>
      <c r="V250" s="4">
        <v>2</v>
      </c>
      <c r="W250" s="6">
        <v>57360</v>
      </c>
      <c r="X250" s="1" t="s">
        <v>1459</v>
      </c>
      <c r="Y250" s="1" t="s">
        <v>1956</v>
      </c>
      <c r="Z250" s="1" t="s">
        <v>1956</v>
      </c>
      <c r="AA250" s="1" t="s">
        <v>1956</v>
      </c>
      <c r="AB250" s="6">
        <v>573.6</v>
      </c>
      <c r="AC250" s="1" t="s">
        <v>1124</v>
      </c>
      <c r="AD250" s="1" t="s">
        <v>1463</v>
      </c>
      <c r="AE250" s="1" t="s">
        <v>1286</v>
      </c>
      <c r="AF250" s="1" t="s">
        <v>1463</v>
      </c>
      <c r="AG250" s="6">
        <v>57357.45</v>
      </c>
      <c r="AH250" s="1" t="s">
        <v>1956</v>
      </c>
      <c r="AI250" s="1" t="s">
        <v>1875</v>
      </c>
      <c r="AJ250" s="6">
        <v>2.5500000000029104</v>
      </c>
      <c r="AK250" s="6">
        <v>4.4456066945657435E-5</v>
      </c>
      <c r="AL250" s="1" t="s">
        <v>1875</v>
      </c>
      <c r="AM250" s="1" t="s">
        <v>784</v>
      </c>
      <c r="AN250" s="1" t="s">
        <v>1169</v>
      </c>
      <c r="AO250" s="1" t="s">
        <v>88</v>
      </c>
      <c r="AP250" s="6">
        <v>2.5500000000029104</v>
      </c>
      <c r="AQ250" s="6">
        <v>4.4456066945657435E-5</v>
      </c>
      <c r="AR250" s="2" t="str">
        <f>HYPERLINK("https://auction.openprocurement.org/tenders/5d694f28f7b04d3ebee044b988d3d1dc")</f>
        <v>https://auction.openprocurement.org/tenders/5d694f28f7b04d3ebee044b988d3d1dc</v>
      </c>
      <c r="AS250" s="7">
        <v>43542.597500267962</v>
      </c>
      <c r="AT250" s="5">
        <v>43553</v>
      </c>
      <c r="AU250" s="5">
        <v>43563</v>
      </c>
      <c r="AV250" s="1" t="s">
        <v>1941</v>
      </c>
      <c r="AW250" s="7">
        <v>43553.466182212142</v>
      </c>
      <c r="AX250" s="1" t="s">
        <v>578</v>
      </c>
      <c r="AY250" s="6">
        <v>57357.45</v>
      </c>
      <c r="AZ250" s="1"/>
      <c r="BA250" s="5">
        <v>43642</v>
      </c>
      <c r="BB250" s="7">
        <v>43830</v>
      </c>
      <c r="BC250" s="1" t="s">
        <v>1997</v>
      </c>
      <c r="BD250" s="1"/>
      <c r="BE250" s="1"/>
      <c r="BF250" s="1" t="s">
        <v>787</v>
      </c>
    </row>
    <row r="251" spans="1:58">
      <c r="A251" s="4">
        <v>246</v>
      </c>
      <c r="B251" s="2" t="str">
        <f>HYPERLINK("https://my.zakupki.prom.ua/remote/dispatcher/state_purchase_view/8405683", "UA-2018-09-28-001655-c")</f>
        <v>UA-2018-09-28-001655-c</v>
      </c>
      <c r="C251" s="2" t="s">
        <v>1459</v>
      </c>
      <c r="D251" s="1" t="s">
        <v>1479</v>
      </c>
      <c r="E251" s="1" t="s">
        <v>1831</v>
      </c>
      <c r="F251" s="1" t="s">
        <v>863</v>
      </c>
      <c r="G251" s="1" t="s">
        <v>1346</v>
      </c>
      <c r="H251" s="1" t="s">
        <v>1800</v>
      </c>
      <c r="I251" s="1" t="s">
        <v>1379</v>
      </c>
      <c r="J251" s="1" t="s">
        <v>819</v>
      </c>
      <c r="K251" s="1" t="s">
        <v>1287</v>
      </c>
      <c r="L251" s="1" t="s">
        <v>1469</v>
      </c>
      <c r="M251" s="1" t="s">
        <v>119</v>
      </c>
      <c r="N251" s="1" t="s">
        <v>119</v>
      </c>
      <c r="O251" s="1" t="s">
        <v>119</v>
      </c>
      <c r="P251" s="5">
        <v>43371</v>
      </c>
      <c r="Q251" s="5">
        <v>43371</v>
      </c>
      <c r="R251" s="5">
        <v>43376</v>
      </c>
      <c r="S251" s="5">
        <v>43376</v>
      </c>
      <c r="T251" s="5">
        <v>43381</v>
      </c>
      <c r="U251" s="7">
        <v>43382.662118055552</v>
      </c>
      <c r="V251" s="4">
        <v>5</v>
      </c>
      <c r="W251" s="6">
        <v>155970</v>
      </c>
      <c r="X251" s="1" t="s">
        <v>1459</v>
      </c>
      <c r="Y251" s="1" t="s">
        <v>1956</v>
      </c>
      <c r="Z251" s="1" t="s">
        <v>1956</v>
      </c>
      <c r="AA251" s="1" t="s">
        <v>1956</v>
      </c>
      <c r="AB251" s="6">
        <v>779.85</v>
      </c>
      <c r="AC251" s="1" t="s">
        <v>1124</v>
      </c>
      <c r="AD251" s="1" t="s">
        <v>1800</v>
      </c>
      <c r="AE251" s="1" t="s">
        <v>1286</v>
      </c>
      <c r="AF251" s="1" t="s">
        <v>1463</v>
      </c>
      <c r="AG251" s="6">
        <v>96770</v>
      </c>
      <c r="AH251" s="1" t="s">
        <v>1956</v>
      </c>
      <c r="AI251" s="1" t="s">
        <v>1872</v>
      </c>
      <c r="AJ251" s="6">
        <v>59200</v>
      </c>
      <c r="AK251" s="6">
        <v>0.37956017182791563</v>
      </c>
      <c r="AL251" s="1" t="s">
        <v>1722</v>
      </c>
      <c r="AM251" s="1" t="s">
        <v>954</v>
      </c>
      <c r="AN251" s="1" t="s">
        <v>1194</v>
      </c>
      <c r="AO251" s="1" t="s">
        <v>87</v>
      </c>
      <c r="AP251" s="6">
        <v>1225.2000000000116</v>
      </c>
      <c r="AQ251" s="6">
        <v>7.8553567993845715E-3</v>
      </c>
      <c r="AR251" s="2" t="str">
        <f>HYPERLINK("https://auction.openprocurement.org/tenders/45b560c79c7e41ba8b3d157d5619098d")</f>
        <v>https://auction.openprocurement.org/tenders/45b560c79c7e41ba8b3d157d5619098d</v>
      </c>
      <c r="AS251" s="7">
        <v>43402.470384012347</v>
      </c>
      <c r="AT251" s="5">
        <v>43404</v>
      </c>
      <c r="AU251" s="5">
        <v>43406</v>
      </c>
      <c r="AV251" s="1" t="s">
        <v>1941</v>
      </c>
      <c r="AW251" s="7">
        <v>43411.376736750499</v>
      </c>
      <c r="AX251" s="1" t="s">
        <v>547</v>
      </c>
      <c r="AY251" s="6">
        <v>154744.79999999999</v>
      </c>
      <c r="AZ251" s="5">
        <v>43385</v>
      </c>
      <c r="BA251" s="5">
        <v>43403</v>
      </c>
      <c r="BB251" s="7">
        <v>43465</v>
      </c>
      <c r="BC251" s="1" t="s">
        <v>1997</v>
      </c>
      <c r="BD251" s="1"/>
      <c r="BE251" s="1"/>
      <c r="BF251" s="1" t="s">
        <v>625</v>
      </c>
    </row>
    <row r="252" spans="1:58">
      <c r="A252" s="4">
        <v>247</v>
      </c>
      <c r="B252" s="2" t="str">
        <f>HYPERLINK("https://my.zakupki.prom.ua/remote/dispatcher/state_purchase_view/10126170", "UA-2019-01-25-000271-b")</f>
        <v>UA-2019-01-25-000271-b</v>
      </c>
      <c r="C252" s="2" t="s">
        <v>1459</v>
      </c>
      <c r="D252" s="1" t="s">
        <v>1372</v>
      </c>
      <c r="E252" s="1" t="s">
        <v>1626</v>
      </c>
      <c r="F252" s="1" t="s">
        <v>768</v>
      </c>
      <c r="G252" s="1" t="s">
        <v>1346</v>
      </c>
      <c r="H252" s="1" t="s">
        <v>1800</v>
      </c>
      <c r="I252" s="1" t="s">
        <v>1379</v>
      </c>
      <c r="J252" s="1" t="s">
        <v>819</v>
      </c>
      <c r="K252" s="1" t="s">
        <v>1287</v>
      </c>
      <c r="L252" s="1" t="s">
        <v>1224</v>
      </c>
      <c r="M252" s="1" t="s">
        <v>119</v>
      </c>
      <c r="N252" s="1" t="s">
        <v>119</v>
      </c>
      <c r="O252" s="1" t="s">
        <v>119</v>
      </c>
      <c r="P252" s="5">
        <v>43490</v>
      </c>
      <c r="Q252" s="5">
        <v>43490</v>
      </c>
      <c r="R252" s="5">
        <v>43495</v>
      </c>
      <c r="S252" s="5">
        <v>43495</v>
      </c>
      <c r="T252" s="5">
        <v>43497</v>
      </c>
      <c r="U252" s="1" t="s">
        <v>1923</v>
      </c>
      <c r="V252" s="4">
        <v>1</v>
      </c>
      <c r="W252" s="6">
        <v>46272</v>
      </c>
      <c r="X252" s="1" t="s">
        <v>1459</v>
      </c>
      <c r="Y252" s="1" t="s">
        <v>1956</v>
      </c>
      <c r="Z252" s="1" t="s">
        <v>1956</v>
      </c>
      <c r="AA252" s="1" t="s">
        <v>1956</v>
      </c>
      <c r="AB252" s="6">
        <v>231.36</v>
      </c>
      <c r="AC252" s="1" t="s">
        <v>1124</v>
      </c>
      <c r="AD252" s="1" t="s">
        <v>1800</v>
      </c>
      <c r="AE252" s="1" t="s">
        <v>1286</v>
      </c>
      <c r="AF252" s="1" t="s">
        <v>1463</v>
      </c>
      <c r="AG252" s="6">
        <v>44496</v>
      </c>
      <c r="AH252" s="1" t="s">
        <v>1956</v>
      </c>
      <c r="AI252" s="1" t="s">
        <v>1747</v>
      </c>
      <c r="AJ252" s="6">
        <v>1776</v>
      </c>
      <c r="AK252" s="6">
        <v>3.8381742738589214E-2</v>
      </c>
      <c r="AL252" s="1" t="s">
        <v>1747</v>
      </c>
      <c r="AM252" s="1" t="s">
        <v>943</v>
      </c>
      <c r="AN252" s="1" t="s">
        <v>1159</v>
      </c>
      <c r="AO252" s="1" t="s">
        <v>23</v>
      </c>
      <c r="AP252" s="6">
        <v>1776</v>
      </c>
      <c r="AQ252" s="6">
        <v>3.8381742738589214E-2</v>
      </c>
      <c r="AR252" s="2"/>
      <c r="AS252" s="7">
        <v>43500.690775714436</v>
      </c>
      <c r="AT252" s="5">
        <v>43502</v>
      </c>
      <c r="AU252" s="5">
        <v>43525</v>
      </c>
      <c r="AV252" s="1" t="s">
        <v>1941</v>
      </c>
      <c r="AW252" s="7">
        <v>43508.525346983763</v>
      </c>
      <c r="AX252" s="1" t="s">
        <v>341</v>
      </c>
      <c r="AY252" s="6">
        <v>44496</v>
      </c>
      <c r="AZ252" s="1"/>
      <c r="BA252" s="5">
        <v>43830</v>
      </c>
      <c r="BB252" s="7">
        <v>43830</v>
      </c>
      <c r="BC252" s="1" t="s">
        <v>1997</v>
      </c>
      <c r="BD252" s="1"/>
      <c r="BE252" s="1"/>
      <c r="BF252" s="1" t="s">
        <v>944</v>
      </c>
    </row>
    <row r="253" spans="1:58">
      <c r="A253" s="4">
        <v>248</v>
      </c>
      <c r="B253" s="2" t="str">
        <f>HYPERLINK("https://my.zakupki.prom.ua/remote/dispatcher/state_purchase_view/14450412", "UA-2020-01-13-000652-c")</f>
        <v>UA-2020-01-13-000652-c</v>
      </c>
      <c r="C253" s="2" t="s">
        <v>1459</v>
      </c>
      <c r="D253" s="1" t="s">
        <v>1639</v>
      </c>
      <c r="E253" s="1" t="s">
        <v>994</v>
      </c>
      <c r="F253" s="1" t="s">
        <v>993</v>
      </c>
      <c r="G253" s="1" t="s">
        <v>1346</v>
      </c>
      <c r="H253" s="1" t="s">
        <v>1800</v>
      </c>
      <c r="I253" s="1" t="s">
        <v>1379</v>
      </c>
      <c r="J253" s="1" t="s">
        <v>819</v>
      </c>
      <c r="K253" s="1" t="s">
        <v>1287</v>
      </c>
      <c r="L253" s="1" t="s">
        <v>1915</v>
      </c>
      <c r="M253" s="1" t="s">
        <v>316</v>
      </c>
      <c r="N253" s="1" t="s">
        <v>119</v>
      </c>
      <c r="O253" s="1" t="s">
        <v>119</v>
      </c>
      <c r="P253" s="5">
        <v>43843</v>
      </c>
      <c r="Q253" s="5">
        <v>43843</v>
      </c>
      <c r="R253" s="5">
        <v>43846</v>
      </c>
      <c r="S253" s="5">
        <v>43846</v>
      </c>
      <c r="T253" s="5">
        <v>43850</v>
      </c>
      <c r="U253" s="7">
        <v>43851.468425925923</v>
      </c>
      <c r="V253" s="4">
        <v>5</v>
      </c>
      <c r="W253" s="6">
        <v>130000</v>
      </c>
      <c r="X253" s="1" t="s">
        <v>1459</v>
      </c>
      <c r="Y253" s="4">
        <v>44</v>
      </c>
      <c r="Z253" s="6">
        <v>2954.55</v>
      </c>
      <c r="AA253" s="1" t="s">
        <v>2023</v>
      </c>
      <c r="AB253" s="6">
        <v>650</v>
      </c>
      <c r="AC253" s="1" t="s">
        <v>1124</v>
      </c>
      <c r="AD253" s="1" t="s">
        <v>1800</v>
      </c>
      <c r="AE253" s="1" t="s">
        <v>1286</v>
      </c>
      <c r="AF253" s="1" t="s">
        <v>1463</v>
      </c>
      <c r="AG253" s="6">
        <v>54000</v>
      </c>
      <c r="AH253" s="6">
        <v>1227.2727272727273</v>
      </c>
      <c r="AI253" s="1" t="s">
        <v>1750</v>
      </c>
      <c r="AJ253" s="6">
        <v>76000</v>
      </c>
      <c r="AK253" s="6">
        <v>0.58461538461538465</v>
      </c>
      <c r="AL253" s="1" t="s">
        <v>1742</v>
      </c>
      <c r="AM253" s="1" t="s">
        <v>841</v>
      </c>
      <c r="AN253" s="1" t="s">
        <v>1132</v>
      </c>
      <c r="AO253" s="1" t="s">
        <v>41</v>
      </c>
      <c r="AP253" s="6">
        <v>72420</v>
      </c>
      <c r="AQ253" s="6">
        <v>0.55707692307692303</v>
      </c>
      <c r="AR253" s="2" t="str">
        <f>HYPERLINK("https://auction.openprocurement.org/tenders/2ebdae0de87f4bd7bf10a20f4bf3b5d8")</f>
        <v>https://auction.openprocurement.org/tenders/2ebdae0de87f4bd7bf10a20f4bf3b5d8</v>
      </c>
      <c r="AS253" s="7">
        <v>43852.536012491924</v>
      </c>
      <c r="AT253" s="5">
        <v>43854</v>
      </c>
      <c r="AU253" s="5">
        <v>43876</v>
      </c>
      <c r="AV253" s="1" t="s">
        <v>1941</v>
      </c>
      <c r="AW253" s="7">
        <v>43857.545133300591</v>
      </c>
      <c r="AX253" s="1" t="s">
        <v>549</v>
      </c>
      <c r="AY253" s="6">
        <v>57580</v>
      </c>
      <c r="AZ253" s="1"/>
      <c r="BA253" s="5">
        <v>43890</v>
      </c>
      <c r="BB253" s="7">
        <v>44196</v>
      </c>
      <c r="BC253" s="1" t="s">
        <v>1997</v>
      </c>
      <c r="BD253" s="1"/>
      <c r="BE253" s="1"/>
      <c r="BF253" s="1" t="s">
        <v>920</v>
      </c>
    </row>
    <row r="254" spans="1:58">
      <c r="A254" s="4">
        <v>249</v>
      </c>
      <c r="B254" s="2" t="str">
        <f>HYPERLINK("https://my.zakupki.prom.ua/remote/dispatcher/state_purchase_view/22852399", "UA-2021-01-04-002437-c")</f>
        <v>UA-2021-01-04-002437-c</v>
      </c>
      <c r="C254" s="2" t="s">
        <v>1459</v>
      </c>
      <c r="D254" s="1" t="s">
        <v>2021</v>
      </c>
      <c r="E254" s="1" t="s">
        <v>2021</v>
      </c>
      <c r="F254" s="1" t="s">
        <v>626</v>
      </c>
      <c r="G254" s="1" t="s">
        <v>1364</v>
      </c>
      <c r="H254" s="1" t="s">
        <v>1800</v>
      </c>
      <c r="I254" s="1" t="s">
        <v>1379</v>
      </c>
      <c r="J254" s="1" t="s">
        <v>819</v>
      </c>
      <c r="K254" s="1" t="s">
        <v>1287</v>
      </c>
      <c r="L254" s="1" t="s">
        <v>1216</v>
      </c>
      <c r="M254" s="1" t="s">
        <v>119</v>
      </c>
      <c r="N254" s="1" t="s">
        <v>119</v>
      </c>
      <c r="O254" s="1" t="s">
        <v>119</v>
      </c>
      <c r="P254" s="5">
        <v>44200</v>
      </c>
      <c r="Q254" s="1"/>
      <c r="R254" s="1"/>
      <c r="S254" s="1"/>
      <c r="T254" s="1"/>
      <c r="U254" s="1" t="s">
        <v>1922</v>
      </c>
      <c r="V254" s="4">
        <v>1</v>
      </c>
      <c r="W254" s="6">
        <v>620</v>
      </c>
      <c r="X254" s="1" t="s">
        <v>1459</v>
      </c>
      <c r="Y254" s="4">
        <v>5</v>
      </c>
      <c r="Z254" s="6">
        <v>124</v>
      </c>
      <c r="AA254" s="1" t="s">
        <v>2024</v>
      </c>
      <c r="AB254" s="1" t="s">
        <v>1964</v>
      </c>
      <c r="AC254" s="1" t="s">
        <v>1124</v>
      </c>
      <c r="AD254" s="1" t="s">
        <v>1800</v>
      </c>
      <c r="AE254" s="1" t="s">
        <v>1286</v>
      </c>
      <c r="AF254" s="1" t="s">
        <v>1463</v>
      </c>
      <c r="AG254" s="6">
        <v>620</v>
      </c>
      <c r="AH254" s="6">
        <v>124</v>
      </c>
      <c r="AI254" s="1"/>
      <c r="AJ254" s="1"/>
      <c r="AK254" s="1"/>
      <c r="AL254" s="1" t="s">
        <v>1488</v>
      </c>
      <c r="AM254" s="1" t="s">
        <v>532</v>
      </c>
      <c r="AN254" s="1"/>
      <c r="AO254" s="1" t="s">
        <v>307</v>
      </c>
      <c r="AP254" s="1"/>
      <c r="AQ254" s="1"/>
      <c r="AR254" s="2"/>
      <c r="AS254" s="1"/>
      <c r="AT254" s="1"/>
      <c r="AU254" s="1"/>
      <c r="AV254" s="1" t="s">
        <v>1941</v>
      </c>
      <c r="AW254" s="7">
        <v>44200.672269723727</v>
      </c>
      <c r="AX254" s="1" t="s">
        <v>161</v>
      </c>
      <c r="AY254" s="6">
        <v>620</v>
      </c>
      <c r="AZ254" s="1"/>
      <c r="BA254" s="5">
        <v>44226</v>
      </c>
      <c r="BB254" s="7">
        <v>44561</v>
      </c>
      <c r="BC254" s="1" t="s">
        <v>1997</v>
      </c>
      <c r="BD254" s="1"/>
      <c r="BE254" s="1"/>
      <c r="BF254" s="1" t="s">
        <v>118</v>
      </c>
    </row>
    <row r="255" spans="1:58">
      <c r="A255" s="4">
        <v>250</v>
      </c>
      <c r="B255" s="2" t="str">
        <f>HYPERLINK("https://my.zakupki.prom.ua/remote/dispatcher/state_purchase_view/22967219", "UA-2021-01-15-000397-a")</f>
        <v>UA-2021-01-15-000397-a</v>
      </c>
      <c r="C255" s="2" t="s">
        <v>1459</v>
      </c>
      <c r="D255" s="1" t="s">
        <v>1588</v>
      </c>
      <c r="E255" s="1" t="s">
        <v>1588</v>
      </c>
      <c r="F255" s="1" t="s">
        <v>1049</v>
      </c>
      <c r="G255" s="1" t="s">
        <v>1364</v>
      </c>
      <c r="H255" s="1" t="s">
        <v>1800</v>
      </c>
      <c r="I255" s="1" t="s">
        <v>1379</v>
      </c>
      <c r="J255" s="1" t="s">
        <v>819</v>
      </c>
      <c r="K255" s="1" t="s">
        <v>1287</v>
      </c>
      <c r="L255" s="1" t="s">
        <v>1216</v>
      </c>
      <c r="M255" s="1" t="s">
        <v>119</v>
      </c>
      <c r="N255" s="1" t="s">
        <v>119</v>
      </c>
      <c r="O255" s="1" t="s">
        <v>119</v>
      </c>
      <c r="P255" s="5">
        <v>44211</v>
      </c>
      <c r="Q255" s="1"/>
      <c r="R255" s="1"/>
      <c r="S255" s="1"/>
      <c r="T255" s="1"/>
      <c r="U255" s="1" t="s">
        <v>1922</v>
      </c>
      <c r="V255" s="4">
        <v>1</v>
      </c>
      <c r="W255" s="6">
        <v>8700</v>
      </c>
      <c r="X255" s="1" t="s">
        <v>1459</v>
      </c>
      <c r="Y255" s="4">
        <v>1</v>
      </c>
      <c r="Z255" s="6">
        <v>8700</v>
      </c>
      <c r="AA255" s="1" t="s">
        <v>1976</v>
      </c>
      <c r="AB255" s="1" t="s">
        <v>1964</v>
      </c>
      <c r="AC255" s="1" t="s">
        <v>1124</v>
      </c>
      <c r="AD255" s="1" t="s">
        <v>1800</v>
      </c>
      <c r="AE255" s="1" t="s">
        <v>1286</v>
      </c>
      <c r="AF255" s="1" t="s">
        <v>1463</v>
      </c>
      <c r="AG255" s="6">
        <v>8700</v>
      </c>
      <c r="AH255" s="6">
        <v>8700</v>
      </c>
      <c r="AI255" s="1"/>
      <c r="AJ255" s="1"/>
      <c r="AK255" s="1"/>
      <c r="AL255" s="1" t="s">
        <v>1740</v>
      </c>
      <c r="AM255" s="1" t="s">
        <v>623</v>
      </c>
      <c r="AN255" s="1"/>
      <c r="AO255" s="1" t="s">
        <v>170</v>
      </c>
      <c r="AP255" s="1"/>
      <c r="AQ255" s="1"/>
      <c r="AR255" s="2"/>
      <c r="AS255" s="1"/>
      <c r="AT255" s="1"/>
      <c r="AU255" s="1"/>
      <c r="AV255" s="1" t="s">
        <v>1941</v>
      </c>
      <c r="AW255" s="7">
        <v>44211.386832913195</v>
      </c>
      <c r="AX255" s="1" t="s">
        <v>488</v>
      </c>
      <c r="AY255" s="6">
        <v>8700</v>
      </c>
      <c r="AZ255" s="5">
        <v>44166</v>
      </c>
      <c r="BA255" s="5">
        <v>44561</v>
      </c>
      <c r="BB255" s="7">
        <v>44561</v>
      </c>
      <c r="BC255" s="1" t="s">
        <v>1997</v>
      </c>
      <c r="BD255" s="1"/>
      <c r="BE255" s="1"/>
      <c r="BF255" s="1" t="s">
        <v>118</v>
      </c>
    </row>
    <row r="256" spans="1:58">
      <c r="A256" s="4">
        <v>251</v>
      </c>
      <c r="B256" s="2" t="str">
        <f>HYPERLINK("https://my.zakupki.prom.ua/remote/dispatcher/state_purchase_view/22911887", "UA-2021-01-12-001027-a")</f>
        <v>UA-2021-01-12-001027-a</v>
      </c>
      <c r="C256" s="2" t="s">
        <v>1459</v>
      </c>
      <c r="D256" s="1" t="s">
        <v>1819</v>
      </c>
      <c r="E256" s="1" t="s">
        <v>1819</v>
      </c>
      <c r="F256" s="1" t="s">
        <v>1080</v>
      </c>
      <c r="G256" s="1" t="s">
        <v>1364</v>
      </c>
      <c r="H256" s="1" t="s">
        <v>1800</v>
      </c>
      <c r="I256" s="1" t="s">
        <v>1379</v>
      </c>
      <c r="J256" s="1" t="s">
        <v>819</v>
      </c>
      <c r="K256" s="1" t="s">
        <v>1287</v>
      </c>
      <c r="L256" s="1" t="s">
        <v>1216</v>
      </c>
      <c r="M256" s="1" t="s">
        <v>119</v>
      </c>
      <c r="N256" s="1" t="s">
        <v>119</v>
      </c>
      <c r="O256" s="1" t="s">
        <v>119</v>
      </c>
      <c r="P256" s="5">
        <v>44208</v>
      </c>
      <c r="Q256" s="1"/>
      <c r="R256" s="1"/>
      <c r="S256" s="1"/>
      <c r="T256" s="1"/>
      <c r="U256" s="1" t="s">
        <v>1922</v>
      </c>
      <c r="V256" s="4">
        <v>1</v>
      </c>
      <c r="W256" s="6">
        <v>14400</v>
      </c>
      <c r="X256" s="1" t="s">
        <v>1459</v>
      </c>
      <c r="Y256" s="4">
        <v>1</v>
      </c>
      <c r="Z256" s="6">
        <v>14400</v>
      </c>
      <c r="AA256" s="1" t="s">
        <v>1976</v>
      </c>
      <c r="AB256" s="1" t="s">
        <v>1964</v>
      </c>
      <c r="AC256" s="1" t="s">
        <v>1124</v>
      </c>
      <c r="AD256" s="1" t="s">
        <v>1800</v>
      </c>
      <c r="AE256" s="1" t="s">
        <v>1286</v>
      </c>
      <c r="AF256" s="1" t="s">
        <v>1463</v>
      </c>
      <c r="AG256" s="6">
        <v>14400</v>
      </c>
      <c r="AH256" s="6">
        <v>14400</v>
      </c>
      <c r="AI256" s="1"/>
      <c r="AJ256" s="1"/>
      <c r="AK256" s="1"/>
      <c r="AL256" s="1" t="s">
        <v>1752</v>
      </c>
      <c r="AM256" s="1" t="s">
        <v>694</v>
      </c>
      <c r="AN256" s="1"/>
      <c r="AO256" s="1" t="s">
        <v>253</v>
      </c>
      <c r="AP256" s="1"/>
      <c r="AQ256" s="1"/>
      <c r="AR256" s="2"/>
      <c r="AS256" s="1"/>
      <c r="AT256" s="1"/>
      <c r="AU256" s="1"/>
      <c r="AV256" s="1" t="s">
        <v>1941</v>
      </c>
      <c r="AW256" s="7">
        <v>44208.466111000125</v>
      </c>
      <c r="AX256" s="1" t="s">
        <v>1256</v>
      </c>
      <c r="AY256" s="6">
        <v>14400</v>
      </c>
      <c r="AZ256" s="1"/>
      <c r="BA256" s="5">
        <v>44561</v>
      </c>
      <c r="BB256" s="7">
        <v>44561</v>
      </c>
      <c r="BC256" s="1" t="s">
        <v>1997</v>
      </c>
      <c r="BD256" s="1"/>
      <c r="BE256" s="1"/>
      <c r="BF256" s="1" t="s">
        <v>118</v>
      </c>
    </row>
    <row r="257" spans="1:58">
      <c r="A257" s="4">
        <v>252</v>
      </c>
      <c r="B257" s="2" t="str">
        <f>HYPERLINK("https://my.zakupki.prom.ua/remote/dispatcher/state_purchase_view/14437198", "UA-2020-01-11-000680-c")</f>
        <v>UA-2020-01-11-000680-c</v>
      </c>
      <c r="C257" s="2" t="s">
        <v>1459</v>
      </c>
      <c r="D257" s="1" t="s">
        <v>1570</v>
      </c>
      <c r="E257" s="1" t="s">
        <v>1585</v>
      </c>
      <c r="F257" s="1" t="s">
        <v>1049</v>
      </c>
      <c r="G257" s="1" t="s">
        <v>1364</v>
      </c>
      <c r="H257" s="1" t="s">
        <v>1800</v>
      </c>
      <c r="I257" s="1" t="s">
        <v>1379</v>
      </c>
      <c r="J257" s="1" t="s">
        <v>819</v>
      </c>
      <c r="K257" s="1" t="s">
        <v>1287</v>
      </c>
      <c r="L257" s="1" t="s">
        <v>1915</v>
      </c>
      <c r="M257" s="1" t="s">
        <v>119</v>
      </c>
      <c r="N257" s="1" t="s">
        <v>119</v>
      </c>
      <c r="O257" s="1" t="s">
        <v>119</v>
      </c>
      <c r="P257" s="5">
        <v>43841</v>
      </c>
      <c r="Q257" s="1"/>
      <c r="R257" s="1"/>
      <c r="S257" s="1"/>
      <c r="T257" s="1"/>
      <c r="U257" s="1" t="s">
        <v>1922</v>
      </c>
      <c r="V257" s="4">
        <v>1</v>
      </c>
      <c r="W257" s="6">
        <v>59925</v>
      </c>
      <c r="X257" s="1" t="s">
        <v>1459</v>
      </c>
      <c r="Y257" s="4">
        <v>1</v>
      </c>
      <c r="Z257" s="6">
        <v>59925</v>
      </c>
      <c r="AA257" s="1" t="s">
        <v>1976</v>
      </c>
      <c r="AB257" s="1" t="s">
        <v>1964</v>
      </c>
      <c r="AC257" s="1" t="s">
        <v>1124</v>
      </c>
      <c r="AD257" s="1" t="s">
        <v>1800</v>
      </c>
      <c r="AE257" s="1" t="s">
        <v>1286</v>
      </c>
      <c r="AF257" s="1" t="s">
        <v>1463</v>
      </c>
      <c r="AG257" s="6">
        <v>59925</v>
      </c>
      <c r="AH257" s="6">
        <v>59925</v>
      </c>
      <c r="AI257" s="1"/>
      <c r="AJ257" s="1"/>
      <c r="AK257" s="1"/>
      <c r="AL257" s="1" t="s">
        <v>1492</v>
      </c>
      <c r="AM257" s="1" t="s">
        <v>444</v>
      </c>
      <c r="AN257" s="1"/>
      <c r="AO257" s="1" t="s">
        <v>121</v>
      </c>
      <c r="AP257" s="1"/>
      <c r="AQ257" s="1"/>
      <c r="AR257" s="2"/>
      <c r="AS257" s="1"/>
      <c r="AT257" s="1"/>
      <c r="AU257" s="1"/>
      <c r="AV257" s="1" t="s">
        <v>1941</v>
      </c>
      <c r="AW257" s="7">
        <v>43841.501192417803</v>
      </c>
      <c r="AX257" s="1" t="s">
        <v>1091</v>
      </c>
      <c r="AY257" s="6">
        <v>59925</v>
      </c>
      <c r="AZ257" s="1"/>
      <c r="BA257" s="5">
        <v>44196</v>
      </c>
      <c r="BB257" s="7">
        <v>44196</v>
      </c>
      <c r="BC257" s="1" t="s">
        <v>1997</v>
      </c>
      <c r="BD257" s="1"/>
      <c r="BE257" s="1"/>
      <c r="BF257" s="1" t="s">
        <v>118</v>
      </c>
    </row>
    <row r="258" spans="1:58">
      <c r="A258" s="4">
        <v>253</v>
      </c>
      <c r="B258" s="2" t="str">
        <f>HYPERLINK("https://my.zakupki.prom.ua/remote/dispatcher/state_purchase_view/14375960", "UA-2020-01-03-000676-a")</f>
        <v>UA-2020-01-03-000676-a</v>
      </c>
      <c r="C258" s="2" t="s">
        <v>1459</v>
      </c>
      <c r="D258" s="1" t="s">
        <v>1540</v>
      </c>
      <c r="E258" s="1" t="s">
        <v>1540</v>
      </c>
      <c r="F258" s="1" t="s">
        <v>1098</v>
      </c>
      <c r="G258" s="1" t="s">
        <v>1364</v>
      </c>
      <c r="H258" s="1" t="s">
        <v>1800</v>
      </c>
      <c r="I258" s="1" t="s">
        <v>1379</v>
      </c>
      <c r="J258" s="1" t="s">
        <v>819</v>
      </c>
      <c r="K258" s="1" t="s">
        <v>1287</v>
      </c>
      <c r="L258" s="1" t="s">
        <v>1915</v>
      </c>
      <c r="M258" s="1" t="s">
        <v>119</v>
      </c>
      <c r="N258" s="1" t="s">
        <v>119</v>
      </c>
      <c r="O258" s="1" t="s">
        <v>119</v>
      </c>
      <c r="P258" s="5">
        <v>43833</v>
      </c>
      <c r="Q258" s="1"/>
      <c r="R258" s="1"/>
      <c r="S258" s="1"/>
      <c r="T258" s="1"/>
      <c r="U258" s="1" t="s">
        <v>1922</v>
      </c>
      <c r="V258" s="4">
        <v>1</v>
      </c>
      <c r="W258" s="6">
        <v>24778.799999999999</v>
      </c>
      <c r="X258" s="1" t="s">
        <v>1459</v>
      </c>
      <c r="Y258" s="4">
        <v>1</v>
      </c>
      <c r="Z258" s="6">
        <v>24778.799999999999</v>
      </c>
      <c r="AA258" s="1" t="s">
        <v>1976</v>
      </c>
      <c r="AB258" s="1" t="s">
        <v>1964</v>
      </c>
      <c r="AC258" s="1" t="s">
        <v>1124</v>
      </c>
      <c r="AD258" s="1" t="s">
        <v>1800</v>
      </c>
      <c r="AE258" s="1" t="s">
        <v>1286</v>
      </c>
      <c r="AF258" s="1" t="s">
        <v>1463</v>
      </c>
      <c r="AG258" s="6">
        <v>24778.799999999999</v>
      </c>
      <c r="AH258" s="6">
        <v>24778.799999999999</v>
      </c>
      <c r="AI258" s="1"/>
      <c r="AJ258" s="1"/>
      <c r="AK258" s="1"/>
      <c r="AL258" s="1" t="s">
        <v>1737</v>
      </c>
      <c r="AM258" s="1" t="s">
        <v>147</v>
      </c>
      <c r="AN258" s="1"/>
      <c r="AO258" s="1" t="s">
        <v>1073</v>
      </c>
      <c r="AP258" s="1"/>
      <c r="AQ258" s="1"/>
      <c r="AR258" s="2"/>
      <c r="AS258" s="1"/>
      <c r="AT258" s="1"/>
      <c r="AU258" s="1"/>
      <c r="AV258" s="1" t="s">
        <v>1941</v>
      </c>
      <c r="AW258" s="7">
        <v>43833.55195939359</v>
      </c>
      <c r="AX258" s="1" t="s">
        <v>924</v>
      </c>
      <c r="AY258" s="6">
        <v>24778.799999999999</v>
      </c>
      <c r="AZ258" s="1"/>
      <c r="BA258" s="5">
        <v>44196</v>
      </c>
      <c r="BB258" s="7">
        <v>44196</v>
      </c>
      <c r="BC258" s="1" t="s">
        <v>1997</v>
      </c>
      <c r="BD258" s="1"/>
      <c r="BE258" s="1"/>
      <c r="BF258" s="1" t="s">
        <v>118</v>
      </c>
    </row>
    <row r="259" spans="1:58">
      <c r="A259" s="4">
        <v>254</v>
      </c>
      <c r="B259" s="2" t="str">
        <f>HYPERLINK("https://my.zakupki.prom.ua/remote/dispatcher/state_purchase_view/14375454", "UA-2020-01-03-000602-a")</f>
        <v>UA-2020-01-03-000602-a</v>
      </c>
      <c r="C259" s="2" t="s">
        <v>1459</v>
      </c>
      <c r="D259" s="1" t="s">
        <v>1049</v>
      </c>
      <c r="E259" s="1" t="s">
        <v>1049</v>
      </c>
      <c r="F259" s="1" t="s">
        <v>1049</v>
      </c>
      <c r="G259" s="1" t="s">
        <v>1364</v>
      </c>
      <c r="H259" s="1" t="s">
        <v>1800</v>
      </c>
      <c r="I259" s="1" t="s">
        <v>1379</v>
      </c>
      <c r="J259" s="1" t="s">
        <v>819</v>
      </c>
      <c r="K259" s="1" t="s">
        <v>1287</v>
      </c>
      <c r="L259" s="1" t="s">
        <v>1915</v>
      </c>
      <c r="M259" s="1" t="s">
        <v>119</v>
      </c>
      <c r="N259" s="1" t="s">
        <v>119</v>
      </c>
      <c r="O259" s="1" t="s">
        <v>119</v>
      </c>
      <c r="P259" s="5">
        <v>43833</v>
      </c>
      <c r="Q259" s="1"/>
      <c r="R259" s="1"/>
      <c r="S259" s="1"/>
      <c r="T259" s="1"/>
      <c r="U259" s="1" t="s">
        <v>1922</v>
      </c>
      <c r="V259" s="4">
        <v>1</v>
      </c>
      <c r="W259" s="6">
        <v>29500</v>
      </c>
      <c r="X259" s="1" t="s">
        <v>1459</v>
      </c>
      <c r="Y259" s="4">
        <v>1</v>
      </c>
      <c r="Z259" s="6">
        <v>29500</v>
      </c>
      <c r="AA259" s="1" t="s">
        <v>1976</v>
      </c>
      <c r="AB259" s="1" t="s">
        <v>1964</v>
      </c>
      <c r="AC259" s="1" t="s">
        <v>1124</v>
      </c>
      <c r="AD259" s="1" t="s">
        <v>1800</v>
      </c>
      <c r="AE259" s="1" t="s">
        <v>1286</v>
      </c>
      <c r="AF259" s="1" t="s">
        <v>1463</v>
      </c>
      <c r="AG259" s="6">
        <v>29500</v>
      </c>
      <c r="AH259" s="6">
        <v>29500</v>
      </c>
      <c r="AI259" s="1"/>
      <c r="AJ259" s="1"/>
      <c r="AK259" s="1"/>
      <c r="AL259" s="1" t="s">
        <v>1786</v>
      </c>
      <c r="AM259" s="1" t="s">
        <v>788</v>
      </c>
      <c r="AN259" s="1"/>
      <c r="AO259" s="1" t="s">
        <v>303</v>
      </c>
      <c r="AP259" s="1"/>
      <c r="AQ259" s="1"/>
      <c r="AR259" s="2"/>
      <c r="AS259" s="1"/>
      <c r="AT259" s="1"/>
      <c r="AU259" s="1"/>
      <c r="AV259" s="1" t="s">
        <v>1941</v>
      </c>
      <c r="AW259" s="7">
        <v>43833.531598172376</v>
      </c>
      <c r="AX259" s="1" t="s">
        <v>1046</v>
      </c>
      <c r="AY259" s="6">
        <v>29500</v>
      </c>
      <c r="AZ259" s="1"/>
      <c r="BA259" s="5">
        <v>44196</v>
      </c>
      <c r="BB259" s="7">
        <v>44196</v>
      </c>
      <c r="BC259" s="1" t="s">
        <v>1997</v>
      </c>
      <c r="BD259" s="1"/>
      <c r="BE259" s="1"/>
      <c r="BF259" s="1" t="s">
        <v>118</v>
      </c>
    </row>
    <row r="260" spans="1:58">
      <c r="A260" s="4">
        <v>255</v>
      </c>
      <c r="B260" s="2" t="str">
        <f>HYPERLINK("https://my.zakupki.prom.ua/remote/dispatcher/state_purchase_view/21979901", "UA-2020-12-10-003017-c")</f>
        <v>UA-2020-12-10-003017-c</v>
      </c>
      <c r="C260" s="2" t="s">
        <v>1459</v>
      </c>
      <c r="D260" s="1" t="s">
        <v>462</v>
      </c>
      <c r="E260" s="1" t="s">
        <v>462</v>
      </c>
      <c r="F260" s="1" t="s">
        <v>463</v>
      </c>
      <c r="G260" s="1" t="s">
        <v>1364</v>
      </c>
      <c r="H260" s="1" t="s">
        <v>1800</v>
      </c>
      <c r="I260" s="1" t="s">
        <v>1379</v>
      </c>
      <c r="J260" s="1" t="s">
        <v>819</v>
      </c>
      <c r="K260" s="1" t="s">
        <v>1287</v>
      </c>
      <c r="L260" s="1" t="s">
        <v>1216</v>
      </c>
      <c r="M260" s="1" t="s">
        <v>119</v>
      </c>
      <c r="N260" s="1" t="s">
        <v>119</v>
      </c>
      <c r="O260" s="1" t="s">
        <v>119</v>
      </c>
      <c r="P260" s="5">
        <v>44175</v>
      </c>
      <c r="Q260" s="1"/>
      <c r="R260" s="1"/>
      <c r="S260" s="1"/>
      <c r="T260" s="1"/>
      <c r="U260" s="1" t="s">
        <v>1922</v>
      </c>
      <c r="V260" s="4">
        <v>1</v>
      </c>
      <c r="W260" s="6">
        <v>9157.7999999999993</v>
      </c>
      <c r="X260" s="1" t="s">
        <v>1459</v>
      </c>
      <c r="Y260" s="4">
        <v>225</v>
      </c>
      <c r="Z260" s="6">
        <v>40.700000000000003</v>
      </c>
      <c r="AA260" s="1" t="s">
        <v>2024</v>
      </c>
      <c r="AB260" s="1" t="s">
        <v>1964</v>
      </c>
      <c r="AC260" s="1" t="s">
        <v>1124</v>
      </c>
      <c r="AD260" s="1" t="s">
        <v>1800</v>
      </c>
      <c r="AE260" s="1" t="s">
        <v>1286</v>
      </c>
      <c r="AF260" s="1" t="s">
        <v>1463</v>
      </c>
      <c r="AG260" s="6">
        <v>9157.7999999999993</v>
      </c>
      <c r="AH260" s="6">
        <v>40.701333333333331</v>
      </c>
      <c r="AI260" s="1"/>
      <c r="AJ260" s="1"/>
      <c r="AK260" s="1"/>
      <c r="AL260" s="1" t="s">
        <v>1741</v>
      </c>
      <c r="AM260" s="1" t="s">
        <v>888</v>
      </c>
      <c r="AN260" s="1"/>
      <c r="AO260" s="1" t="s">
        <v>219</v>
      </c>
      <c r="AP260" s="1"/>
      <c r="AQ260" s="1"/>
      <c r="AR260" s="2"/>
      <c r="AS260" s="1"/>
      <c r="AT260" s="1"/>
      <c r="AU260" s="1"/>
      <c r="AV260" s="1" t="s">
        <v>1941</v>
      </c>
      <c r="AW260" s="7">
        <v>44175.443096281131</v>
      </c>
      <c r="AX260" s="1" t="s">
        <v>278</v>
      </c>
      <c r="AY260" s="6">
        <v>9157.7999999999993</v>
      </c>
      <c r="AZ260" s="1"/>
      <c r="BA260" s="5">
        <v>44186</v>
      </c>
      <c r="BB260" s="7">
        <v>44196</v>
      </c>
      <c r="BC260" s="1" t="s">
        <v>1997</v>
      </c>
      <c r="BD260" s="1"/>
      <c r="BE260" s="1"/>
      <c r="BF260" s="1" t="s">
        <v>118</v>
      </c>
    </row>
    <row r="261" spans="1:58">
      <c r="A261" s="4">
        <v>256</v>
      </c>
      <c r="B261" s="2" t="str">
        <f>HYPERLINK("https://my.zakupki.prom.ua/remote/dispatcher/state_purchase_view/21427512", "UA-2020-11-25-007492-c")</f>
        <v>UA-2020-11-25-007492-c</v>
      </c>
      <c r="C261" s="2" t="s">
        <v>1459</v>
      </c>
      <c r="D261" s="1" t="s">
        <v>2018</v>
      </c>
      <c r="E261" s="1" t="s">
        <v>2018</v>
      </c>
      <c r="F261" s="1" t="s">
        <v>1002</v>
      </c>
      <c r="G261" s="1" t="s">
        <v>1364</v>
      </c>
      <c r="H261" s="1" t="s">
        <v>1800</v>
      </c>
      <c r="I261" s="1" t="s">
        <v>1379</v>
      </c>
      <c r="J261" s="1" t="s">
        <v>819</v>
      </c>
      <c r="K261" s="1" t="s">
        <v>1287</v>
      </c>
      <c r="L261" s="1" t="s">
        <v>1216</v>
      </c>
      <c r="M261" s="1" t="s">
        <v>119</v>
      </c>
      <c r="N261" s="1" t="s">
        <v>119</v>
      </c>
      <c r="O261" s="1" t="s">
        <v>119</v>
      </c>
      <c r="P261" s="5">
        <v>44160</v>
      </c>
      <c r="Q261" s="1"/>
      <c r="R261" s="1"/>
      <c r="S261" s="1"/>
      <c r="T261" s="1"/>
      <c r="U261" s="1" t="s">
        <v>1922</v>
      </c>
      <c r="V261" s="4">
        <v>1</v>
      </c>
      <c r="W261" s="6">
        <v>3100</v>
      </c>
      <c r="X261" s="1" t="s">
        <v>1459</v>
      </c>
      <c r="Y261" s="4">
        <v>25</v>
      </c>
      <c r="Z261" s="6">
        <v>124</v>
      </c>
      <c r="AA261" s="1" t="s">
        <v>2024</v>
      </c>
      <c r="AB261" s="1" t="s">
        <v>1964</v>
      </c>
      <c r="AC261" s="1" t="s">
        <v>1124</v>
      </c>
      <c r="AD261" s="1" t="s">
        <v>1800</v>
      </c>
      <c r="AE261" s="1" t="s">
        <v>1286</v>
      </c>
      <c r="AF261" s="1" t="s">
        <v>1463</v>
      </c>
      <c r="AG261" s="6">
        <v>3100</v>
      </c>
      <c r="AH261" s="6">
        <v>124</v>
      </c>
      <c r="AI261" s="1"/>
      <c r="AJ261" s="1"/>
      <c r="AK261" s="1"/>
      <c r="AL261" s="1" t="s">
        <v>1633</v>
      </c>
      <c r="AM261" s="1" t="s">
        <v>574</v>
      </c>
      <c r="AN261" s="1"/>
      <c r="AO261" s="1" t="s">
        <v>244</v>
      </c>
      <c r="AP261" s="1"/>
      <c r="AQ261" s="1"/>
      <c r="AR261" s="2"/>
      <c r="AS261" s="1"/>
      <c r="AT261" s="1"/>
      <c r="AU261" s="1"/>
      <c r="AV261" s="1" t="s">
        <v>1941</v>
      </c>
      <c r="AW261" s="7">
        <v>44160.548894378226</v>
      </c>
      <c r="AX261" s="1" t="s">
        <v>500</v>
      </c>
      <c r="AY261" s="6">
        <v>3100</v>
      </c>
      <c r="AZ261" s="1"/>
      <c r="BA261" s="5">
        <v>44196</v>
      </c>
      <c r="BB261" s="7">
        <v>44196</v>
      </c>
      <c r="BC261" s="1" t="s">
        <v>1997</v>
      </c>
      <c r="BD261" s="1"/>
      <c r="BE261" s="1"/>
      <c r="BF261" s="1" t="s">
        <v>118</v>
      </c>
    </row>
    <row r="262" spans="1:58">
      <c r="A262" s="4">
        <v>257</v>
      </c>
      <c r="B262" s="2" t="str">
        <f>HYPERLINK("https://my.zakupki.prom.ua/remote/dispatcher/state_purchase_view/21316316", "UA-2020-11-23-001592-c")</f>
        <v>UA-2020-11-23-001592-c</v>
      </c>
      <c r="C262" s="2" t="s">
        <v>1459</v>
      </c>
      <c r="D262" s="1" t="s">
        <v>1648</v>
      </c>
      <c r="E262" s="1" t="s">
        <v>1648</v>
      </c>
      <c r="F262" s="1" t="s">
        <v>689</v>
      </c>
      <c r="G262" s="1" t="s">
        <v>1364</v>
      </c>
      <c r="H262" s="1" t="s">
        <v>1800</v>
      </c>
      <c r="I262" s="1" t="s">
        <v>1379</v>
      </c>
      <c r="J262" s="1" t="s">
        <v>819</v>
      </c>
      <c r="K262" s="1" t="s">
        <v>1287</v>
      </c>
      <c r="L262" s="1" t="s">
        <v>1216</v>
      </c>
      <c r="M262" s="1" t="s">
        <v>119</v>
      </c>
      <c r="N262" s="1" t="s">
        <v>119</v>
      </c>
      <c r="O262" s="1" t="s">
        <v>119</v>
      </c>
      <c r="P262" s="5">
        <v>44158</v>
      </c>
      <c r="Q262" s="1"/>
      <c r="R262" s="1"/>
      <c r="S262" s="1"/>
      <c r="T262" s="1"/>
      <c r="U262" s="1" t="s">
        <v>1922</v>
      </c>
      <c r="V262" s="4">
        <v>1</v>
      </c>
      <c r="W262" s="6">
        <v>1744.02</v>
      </c>
      <c r="X262" s="1" t="s">
        <v>1459</v>
      </c>
      <c r="Y262" s="4">
        <v>1</v>
      </c>
      <c r="Z262" s="6">
        <v>1744.02</v>
      </c>
      <c r="AA262" s="1" t="s">
        <v>2024</v>
      </c>
      <c r="AB262" s="1" t="s">
        <v>1964</v>
      </c>
      <c r="AC262" s="1" t="s">
        <v>1124</v>
      </c>
      <c r="AD262" s="1" t="s">
        <v>1800</v>
      </c>
      <c r="AE262" s="1" t="s">
        <v>1286</v>
      </c>
      <c r="AF262" s="1" t="s">
        <v>1463</v>
      </c>
      <c r="AG262" s="6">
        <v>1744.02</v>
      </c>
      <c r="AH262" s="6">
        <v>1744.02</v>
      </c>
      <c r="AI262" s="1"/>
      <c r="AJ262" s="1"/>
      <c r="AK262" s="1"/>
      <c r="AL262" s="1" t="s">
        <v>1760</v>
      </c>
      <c r="AM262" s="1" t="s">
        <v>425</v>
      </c>
      <c r="AN262" s="1"/>
      <c r="AO262" s="1" t="s">
        <v>194</v>
      </c>
      <c r="AP262" s="1"/>
      <c r="AQ262" s="1"/>
      <c r="AR262" s="2"/>
      <c r="AS262" s="1"/>
      <c r="AT262" s="1"/>
      <c r="AU262" s="1"/>
      <c r="AV262" s="1" t="s">
        <v>1941</v>
      </c>
      <c r="AW262" s="7">
        <v>44158.416623152028</v>
      </c>
      <c r="AX262" s="1" t="s">
        <v>397</v>
      </c>
      <c r="AY262" s="6">
        <v>1744.02</v>
      </c>
      <c r="AZ262" s="1"/>
      <c r="BA262" s="5">
        <v>44196</v>
      </c>
      <c r="BB262" s="7">
        <v>44196</v>
      </c>
      <c r="BC262" s="1" t="s">
        <v>1997</v>
      </c>
      <c r="BD262" s="1"/>
      <c r="BE262" s="1"/>
      <c r="BF262" s="1" t="s">
        <v>118</v>
      </c>
    </row>
    <row r="263" spans="1:58">
      <c r="A263" s="4">
        <v>258</v>
      </c>
      <c r="B263" s="2" t="str">
        <f>HYPERLINK("https://my.zakupki.prom.ua/remote/dispatcher/state_purchase_view/20914537", "UA-2020-11-10-001660-c")</f>
        <v>UA-2020-11-10-001660-c</v>
      </c>
      <c r="C263" s="2" t="s">
        <v>1459</v>
      </c>
      <c r="D263" s="1" t="s">
        <v>1559</v>
      </c>
      <c r="E263" s="1" t="s">
        <v>1559</v>
      </c>
      <c r="F263" s="1" t="s">
        <v>1058</v>
      </c>
      <c r="G263" s="1" t="s">
        <v>1364</v>
      </c>
      <c r="H263" s="1" t="s">
        <v>1800</v>
      </c>
      <c r="I263" s="1" t="s">
        <v>1379</v>
      </c>
      <c r="J263" s="1" t="s">
        <v>819</v>
      </c>
      <c r="K263" s="1" t="s">
        <v>1287</v>
      </c>
      <c r="L263" s="1" t="s">
        <v>1216</v>
      </c>
      <c r="M263" s="1" t="s">
        <v>119</v>
      </c>
      <c r="N263" s="1" t="s">
        <v>119</v>
      </c>
      <c r="O263" s="1" t="s">
        <v>119</v>
      </c>
      <c r="P263" s="5">
        <v>44145</v>
      </c>
      <c r="Q263" s="1"/>
      <c r="R263" s="1"/>
      <c r="S263" s="1"/>
      <c r="T263" s="1"/>
      <c r="U263" s="1" t="s">
        <v>1922</v>
      </c>
      <c r="V263" s="4">
        <v>1</v>
      </c>
      <c r="W263" s="6">
        <v>5035.97</v>
      </c>
      <c r="X263" s="1" t="s">
        <v>1459</v>
      </c>
      <c r="Y263" s="4">
        <v>1</v>
      </c>
      <c r="Z263" s="6">
        <v>5035.97</v>
      </c>
      <c r="AA263" s="1" t="s">
        <v>1976</v>
      </c>
      <c r="AB263" s="1" t="s">
        <v>1964</v>
      </c>
      <c r="AC263" s="1" t="s">
        <v>1124</v>
      </c>
      <c r="AD263" s="1" t="s">
        <v>1800</v>
      </c>
      <c r="AE263" s="1" t="s">
        <v>1286</v>
      </c>
      <c r="AF263" s="1" t="s">
        <v>1463</v>
      </c>
      <c r="AG263" s="6">
        <v>5035.97</v>
      </c>
      <c r="AH263" s="6">
        <v>5035.97</v>
      </c>
      <c r="AI263" s="1"/>
      <c r="AJ263" s="1"/>
      <c r="AK263" s="1"/>
      <c r="AL263" s="1" t="s">
        <v>1784</v>
      </c>
      <c r="AM263" s="1" t="s">
        <v>820</v>
      </c>
      <c r="AN263" s="1"/>
      <c r="AO263" s="1" t="s">
        <v>255</v>
      </c>
      <c r="AP263" s="1"/>
      <c r="AQ263" s="1"/>
      <c r="AR263" s="2"/>
      <c r="AS263" s="1"/>
      <c r="AT263" s="1"/>
      <c r="AU263" s="1"/>
      <c r="AV263" s="1" t="s">
        <v>1941</v>
      </c>
      <c r="AW263" s="7">
        <v>44145.429465130743</v>
      </c>
      <c r="AX263" s="1" t="s">
        <v>325</v>
      </c>
      <c r="AY263" s="6">
        <v>5035.97</v>
      </c>
      <c r="AZ263" s="1"/>
      <c r="BA263" s="5">
        <v>44196</v>
      </c>
      <c r="BB263" s="7">
        <v>44196</v>
      </c>
      <c r="BC263" s="1" t="s">
        <v>1997</v>
      </c>
      <c r="BD263" s="1"/>
      <c r="BE263" s="1"/>
      <c r="BF263" s="1" t="s">
        <v>118</v>
      </c>
    </row>
    <row r="264" spans="1:58">
      <c r="A264" s="4">
        <v>259</v>
      </c>
      <c r="B264" s="2" t="str">
        <f>HYPERLINK("https://my.zakupki.prom.ua/remote/dispatcher/state_purchase_view/15040535", "UA-2020-02-03-002148-a")</f>
        <v>UA-2020-02-03-002148-a</v>
      </c>
      <c r="C264" s="2" t="s">
        <v>1459</v>
      </c>
      <c r="D264" s="1" t="s">
        <v>1579</v>
      </c>
      <c r="E264" s="1" t="s">
        <v>1579</v>
      </c>
      <c r="F264" s="1" t="s">
        <v>1065</v>
      </c>
      <c r="G264" s="1" t="s">
        <v>1364</v>
      </c>
      <c r="H264" s="1" t="s">
        <v>1800</v>
      </c>
      <c r="I264" s="1" t="s">
        <v>1379</v>
      </c>
      <c r="J264" s="1" t="s">
        <v>819</v>
      </c>
      <c r="K264" s="1" t="s">
        <v>1287</v>
      </c>
      <c r="L264" s="1" t="s">
        <v>1915</v>
      </c>
      <c r="M264" s="1" t="s">
        <v>119</v>
      </c>
      <c r="N264" s="1" t="s">
        <v>119</v>
      </c>
      <c r="O264" s="1" t="s">
        <v>119</v>
      </c>
      <c r="P264" s="5">
        <v>43864</v>
      </c>
      <c r="Q264" s="1"/>
      <c r="R264" s="1"/>
      <c r="S264" s="1"/>
      <c r="T264" s="1"/>
      <c r="U264" s="1" t="s">
        <v>1922</v>
      </c>
      <c r="V264" s="4">
        <v>1</v>
      </c>
      <c r="W264" s="6">
        <v>2500</v>
      </c>
      <c r="X264" s="1" t="s">
        <v>1459</v>
      </c>
      <c r="Y264" s="4">
        <v>1</v>
      </c>
      <c r="Z264" s="6">
        <v>2500</v>
      </c>
      <c r="AA264" s="1" t="s">
        <v>1976</v>
      </c>
      <c r="AB264" s="1" t="s">
        <v>1964</v>
      </c>
      <c r="AC264" s="1" t="s">
        <v>1124</v>
      </c>
      <c r="AD264" s="1" t="s">
        <v>1463</v>
      </c>
      <c r="AE264" s="1" t="s">
        <v>1286</v>
      </c>
      <c r="AF264" s="1" t="s">
        <v>1463</v>
      </c>
      <c r="AG264" s="6">
        <v>2500</v>
      </c>
      <c r="AH264" s="6">
        <v>2500</v>
      </c>
      <c r="AI264" s="1"/>
      <c r="AJ264" s="1"/>
      <c r="AK264" s="1"/>
      <c r="AL264" s="1" t="s">
        <v>1914</v>
      </c>
      <c r="AM264" s="1" t="s">
        <v>543</v>
      </c>
      <c r="AN264" s="1"/>
      <c r="AO264" s="1" t="s">
        <v>202</v>
      </c>
      <c r="AP264" s="1"/>
      <c r="AQ264" s="1"/>
      <c r="AR264" s="2"/>
      <c r="AS264" s="1"/>
      <c r="AT264" s="1"/>
      <c r="AU264" s="1"/>
      <c r="AV264" s="1" t="s">
        <v>1941</v>
      </c>
      <c r="AW264" s="7">
        <v>43864.611343480159</v>
      </c>
      <c r="AX264" s="1" t="s">
        <v>1056</v>
      </c>
      <c r="AY264" s="6">
        <v>2500</v>
      </c>
      <c r="AZ264" s="1"/>
      <c r="BA264" s="5">
        <v>44196</v>
      </c>
      <c r="BB264" s="7">
        <v>44196</v>
      </c>
      <c r="BC264" s="1" t="s">
        <v>1997</v>
      </c>
      <c r="BD264" s="1"/>
      <c r="BE264" s="1"/>
      <c r="BF264" s="1" t="s">
        <v>118</v>
      </c>
    </row>
    <row r="265" spans="1:58">
      <c r="A265" s="4">
        <v>260</v>
      </c>
      <c r="B265" s="2" t="str">
        <f>HYPERLINK("https://my.zakupki.prom.ua/remote/dispatcher/state_purchase_view/22096755", "UA-2020-12-14-000442-c")</f>
        <v>UA-2020-12-14-000442-c</v>
      </c>
      <c r="C265" s="2" t="s">
        <v>1459</v>
      </c>
      <c r="D265" s="1" t="s">
        <v>1995</v>
      </c>
      <c r="E265" s="1" t="s">
        <v>1995</v>
      </c>
      <c r="F265" s="1" t="s">
        <v>1006</v>
      </c>
      <c r="G265" s="1" t="s">
        <v>1364</v>
      </c>
      <c r="H265" s="1" t="s">
        <v>1800</v>
      </c>
      <c r="I265" s="1" t="s">
        <v>1379</v>
      </c>
      <c r="J265" s="1" t="s">
        <v>819</v>
      </c>
      <c r="K265" s="1" t="s">
        <v>1287</v>
      </c>
      <c r="L265" s="1" t="s">
        <v>1216</v>
      </c>
      <c r="M265" s="1" t="s">
        <v>119</v>
      </c>
      <c r="N265" s="1" t="s">
        <v>119</v>
      </c>
      <c r="O265" s="1" t="s">
        <v>119</v>
      </c>
      <c r="P265" s="5">
        <v>44179</v>
      </c>
      <c r="Q265" s="1"/>
      <c r="R265" s="1"/>
      <c r="S265" s="1"/>
      <c r="T265" s="1"/>
      <c r="U265" s="1" t="s">
        <v>1922</v>
      </c>
      <c r="V265" s="4">
        <v>1</v>
      </c>
      <c r="W265" s="6">
        <v>25580</v>
      </c>
      <c r="X265" s="1" t="s">
        <v>1459</v>
      </c>
      <c r="Y265" s="4">
        <v>1</v>
      </c>
      <c r="Z265" s="6">
        <v>25580</v>
      </c>
      <c r="AA265" s="1" t="s">
        <v>1999</v>
      </c>
      <c r="AB265" s="1" t="s">
        <v>1964</v>
      </c>
      <c r="AC265" s="1" t="s">
        <v>1124</v>
      </c>
      <c r="AD265" s="1" t="s">
        <v>1800</v>
      </c>
      <c r="AE265" s="1" t="s">
        <v>1286</v>
      </c>
      <c r="AF265" s="1" t="s">
        <v>1463</v>
      </c>
      <c r="AG265" s="6">
        <v>25580</v>
      </c>
      <c r="AH265" s="6">
        <v>25580</v>
      </c>
      <c r="AI265" s="1"/>
      <c r="AJ265" s="1"/>
      <c r="AK265" s="1"/>
      <c r="AL265" s="1" t="s">
        <v>1754</v>
      </c>
      <c r="AM265" s="1" t="s">
        <v>985</v>
      </c>
      <c r="AN265" s="1"/>
      <c r="AO265" s="1" t="s">
        <v>297</v>
      </c>
      <c r="AP265" s="1"/>
      <c r="AQ265" s="1"/>
      <c r="AR265" s="2"/>
      <c r="AS265" s="1"/>
      <c r="AT265" s="1"/>
      <c r="AU265" s="1"/>
      <c r="AV265" s="1" t="s">
        <v>1941</v>
      </c>
      <c r="AW265" s="7">
        <v>44179.376521997452</v>
      </c>
      <c r="AX265" s="1" t="s">
        <v>136</v>
      </c>
      <c r="AY265" s="6">
        <v>25580</v>
      </c>
      <c r="AZ265" s="1"/>
      <c r="BA265" s="5">
        <v>44196</v>
      </c>
      <c r="BB265" s="7">
        <v>44196</v>
      </c>
      <c r="BC265" s="1" t="s">
        <v>1997</v>
      </c>
      <c r="BD265" s="1"/>
      <c r="BE265" s="1"/>
      <c r="BF265" s="1" t="s">
        <v>118</v>
      </c>
    </row>
    <row r="266" spans="1:58">
      <c r="A266" s="4">
        <v>261</v>
      </c>
      <c r="B266" s="2" t="str">
        <f>HYPERLINK("https://my.zakupki.prom.ua/remote/dispatcher/state_purchase_view/22013625", "UA-2020-12-10-012938-c")</f>
        <v>UA-2020-12-10-012938-c</v>
      </c>
      <c r="C266" s="2" t="s">
        <v>1459</v>
      </c>
      <c r="D266" s="1" t="s">
        <v>1938</v>
      </c>
      <c r="E266" s="1" t="s">
        <v>1938</v>
      </c>
      <c r="F266" s="1" t="s">
        <v>899</v>
      </c>
      <c r="G266" s="1" t="s">
        <v>1364</v>
      </c>
      <c r="H266" s="1" t="s">
        <v>1800</v>
      </c>
      <c r="I266" s="1" t="s">
        <v>1379</v>
      </c>
      <c r="J266" s="1" t="s">
        <v>819</v>
      </c>
      <c r="K266" s="1" t="s">
        <v>1287</v>
      </c>
      <c r="L266" s="1" t="s">
        <v>1216</v>
      </c>
      <c r="M266" s="1" t="s">
        <v>119</v>
      </c>
      <c r="N266" s="1" t="s">
        <v>119</v>
      </c>
      <c r="O266" s="1" t="s">
        <v>119</v>
      </c>
      <c r="P266" s="5">
        <v>44175</v>
      </c>
      <c r="Q266" s="1"/>
      <c r="R266" s="1"/>
      <c r="S266" s="1"/>
      <c r="T266" s="1"/>
      <c r="U266" s="1" t="s">
        <v>1922</v>
      </c>
      <c r="V266" s="4">
        <v>1</v>
      </c>
      <c r="W266" s="6">
        <v>33822.92</v>
      </c>
      <c r="X266" s="1" t="s">
        <v>1459</v>
      </c>
      <c r="Y266" s="4">
        <v>149</v>
      </c>
      <c r="Z266" s="6">
        <v>227</v>
      </c>
      <c r="AA266" s="1" t="s">
        <v>1961</v>
      </c>
      <c r="AB266" s="1" t="s">
        <v>1964</v>
      </c>
      <c r="AC266" s="1" t="s">
        <v>1124</v>
      </c>
      <c r="AD266" s="1" t="s">
        <v>1800</v>
      </c>
      <c r="AE266" s="1" t="s">
        <v>1286</v>
      </c>
      <c r="AF266" s="1" t="s">
        <v>1463</v>
      </c>
      <c r="AG266" s="6">
        <v>33822.92</v>
      </c>
      <c r="AH266" s="6">
        <v>226.9994630872483</v>
      </c>
      <c r="AI266" s="1"/>
      <c r="AJ266" s="1"/>
      <c r="AK266" s="1"/>
      <c r="AL266" s="1" t="s">
        <v>1892</v>
      </c>
      <c r="AM266" s="1" t="s">
        <v>530</v>
      </c>
      <c r="AN266" s="1"/>
      <c r="AO266" s="1" t="s">
        <v>236</v>
      </c>
      <c r="AP266" s="1"/>
      <c r="AQ266" s="1"/>
      <c r="AR266" s="2"/>
      <c r="AS266" s="1"/>
      <c r="AT266" s="1"/>
      <c r="AU266" s="1"/>
      <c r="AV266" s="1" t="s">
        <v>1941</v>
      </c>
      <c r="AW266" s="7">
        <v>44175.668466786206</v>
      </c>
      <c r="AX266" s="1" t="s">
        <v>340</v>
      </c>
      <c r="AY266" s="6">
        <v>33822.92</v>
      </c>
      <c r="AZ266" s="1"/>
      <c r="BA266" s="5">
        <v>44180</v>
      </c>
      <c r="BB266" s="7">
        <v>44196</v>
      </c>
      <c r="BC266" s="1" t="s">
        <v>1997</v>
      </c>
      <c r="BD266" s="1"/>
      <c r="BE266" s="1"/>
      <c r="BF266" s="1" t="s">
        <v>118</v>
      </c>
    </row>
    <row r="267" spans="1:58">
      <c r="A267" s="4">
        <v>262</v>
      </c>
      <c r="B267" s="2" t="str">
        <f>HYPERLINK("https://my.zakupki.prom.ua/remote/dispatcher/state_purchase_view/20075784", "UA-2020-10-13-003056-c")</f>
        <v>UA-2020-10-13-003056-c</v>
      </c>
      <c r="C267" s="2" t="s">
        <v>1459</v>
      </c>
      <c r="D267" s="1" t="s">
        <v>1413</v>
      </c>
      <c r="E267" s="1" t="s">
        <v>1413</v>
      </c>
      <c r="F267" s="1" t="s">
        <v>1093</v>
      </c>
      <c r="G267" s="1" t="s">
        <v>1346</v>
      </c>
      <c r="H267" s="1" t="s">
        <v>1800</v>
      </c>
      <c r="I267" s="1" t="s">
        <v>1379</v>
      </c>
      <c r="J267" s="1" t="s">
        <v>819</v>
      </c>
      <c r="K267" s="1" t="s">
        <v>1287</v>
      </c>
      <c r="L267" s="1" t="s">
        <v>1216</v>
      </c>
      <c r="M267" s="1" t="s">
        <v>119</v>
      </c>
      <c r="N267" s="1" t="s">
        <v>119</v>
      </c>
      <c r="O267" s="1" t="s">
        <v>119</v>
      </c>
      <c r="P267" s="5">
        <v>44117</v>
      </c>
      <c r="Q267" s="5">
        <v>44117</v>
      </c>
      <c r="R267" s="5">
        <v>44124</v>
      </c>
      <c r="S267" s="5">
        <v>44124</v>
      </c>
      <c r="T267" s="5">
        <v>44127</v>
      </c>
      <c r="U267" s="1" t="s">
        <v>1923</v>
      </c>
      <c r="V267" s="4">
        <v>1</v>
      </c>
      <c r="W267" s="6">
        <v>8060</v>
      </c>
      <c r="X267" s="1" t="s">
        <v>1459</v>
      </c>
      <c r="Y267" s="4">
        <v>1</v>
      </c>
      <c r="Z267" s="6">
        <v>8060</v>
      </c>
      <c r="AA267" s="1" t="s">
        <v>1976</v>
      </c>
      <c r="AB267" s="6">
        <v>40.299999999999997</v>
      </c>
      <c r="AC267" s="1" t="s">
        <v>1124</v>
      </c>
      <c r="AD267" s="1" t="s">
        <v>1800</v>
      </c>
      <c r="AE267" s="1" t="s">
        <v>1286</v>
      </c>
      <c r="AF267" s="1" t="s">
        <v>1463</v>
      </c>
      <c r="AG267" s="6">
        <v>7795.2</v>
      </c>
      <c r="AH267" s="6">
        <v>7795.2</v>
      </c>
      <c r="AI267" s="1" t="s">
        <v>1324</v>
      </c>
      <c r="AJ267" s="6">
        <v>264.80000000000018</v>
      </c>
      <c r="AK267" s="6">
        <v>3.2853598014888359E-2</v>
      </c>
      <c r="AL267" s="1" t="s">
        <v>1324</v>
      </c>
      <c r="AM267" s="1" t="s">
        <v>839</v>
      </c>
      <c r="AN267" s="1" t="s">
        <v>1142</v>
      </c>
      <c r="AO267" s="1" t="s">
        <v>34</v>
      </c>
      <c r="AP267" s="6">
        <v>264.80000000000018</v>
      </c>
      <c r="AQ267" s="6">
        <v>3.2853598014888359E-2</v>
      </c>
      <c r="AR267" s="2"/>
      <c r="AS267" s="7">
        <v>44130.434408832618</v>
      </c>
      <c r="AT267" s="5">
        <v>44133</v>
      </c>
      <c r="AU267" s="5">
        <v>44154</v>
      </c>
      <c r="AV267" s="1" t="s">
        <v>1941</v>
      </c>
      <c r="AW267" s="7">
        <v>44138.625112430404</v>
      </c>
      <c r="AX267" s="1" t="s">
        <v>645</v>
      </c>
      <c r="AY267" s="6">
        <v>7795.2</v>
      </c>
      <c r="AZ267" s="1"/>
      <c r="BA267" s="5">
        <v>44196</v>
      </c>
      <c r="BB267" s="7">
        <v>44196</v>
      </c>
      <c r="BC267" s="1" t="s">
        <v>1997</v>
      </c>
      <c r="BD267" s="1"/>
      <c r="BE267" s="1"/>
      <c r="BF267" s="1" t="s">
        <v>840</v>
      </c>
    </row>
    <row r="268" spans="1:58">
      <c r="A268" s="4">
        <v>263</v>
      </c>
      <c r="B268" s="2" t="str">
        <f>HYPERLINK("https://my.zakupki.prom.ua/remote/dispatcher/state_purchase_view/19612593", "UA-2020-09-25-006683-a")</f>
        <v>UA-2020-09-25-006683-a</v>
      </c>
      <c r="C268" s="2" t="s">
        <v>1459</v>
      </c>
      <c r="D268" s="1" t="s">
        <v>1602</v>
      </c>
      <c r="E268" s="1" t="s">
        <v>1602</v>
      </c>
      <c r="F268" s="1" t="s">
        <v>1009</v>
      </c>
      <c r="G268" s="1" t="s">
        <v>1280</v>
      </c>
      <c r="H268" s="1" t="s">
        <v>1800</v>
      </c>
      <c r="I268" s="1" t="s">
        <v>1379</v>
      </c>
      <c r="J268" s="1" t="s">
        <v>819</v>
      </c>
      <c r="K268" s="1" t="s">
        <v>1287</v>
      </c>
      <c r="L268" s="1" t="s">
        <v>1216</v>
      </c>
      <c r="M268" s="1" t="s">
        <v>1014</v>
      </c>
      <c r="N268" s="1" t="s">
        <v>119</v>
      </c>
      <c r="O268" s="1" t="s">
        <v>119</v>
      </c>
      <c r="P268" s="5">
        <v>44099</v>
      </c>
      <c r="Q268" s="5">
        <v>44099</v>
      </c>
      <c r="R268" s="5">
        <v>44106</v>
      </c>
      <c r="S268" s="5">
        <v>44099</v>
      </c>
      <c r="T268" s="5">
        <v>44116</v>
      </c>
      <c r="U268" s="7">
        <v>44117.637280092589</v>
      </c>
      <c r="V268" s="4">
        <v>2</v>
      </c>
      <c r="W268" s="6">
        <v>488000</v>
      </c>
      <c r="X268" s="1" t="s">
        <v>1459</v>
      </c>
      <c r="Y268" s="4">
        <v>1</v>
      </c>
      <c r="Z268" s="6">
        <v>488000</v>
      </c>
      <c r="AA268" s="1" t="s">
        <v>1976</v>
      </c>
      <c r="AB268" s="6">
        <v>4880</v>
      </c>
      <c r="AC268" s="1" t="s">
        <v>1124</v>
      </c>
      <c r="AD268" s="1" t="s">
        <v>1800</v>
      </c>
      <c r="AE268" s="1" t="s">
        <v>1286</v>
      </c>
      <c r="AF268" s="1" t="s">
        <v>1463</v>
      </c>
      <c r="AG268" s="6">
        <v>487437</v>
      </c>
      <c r="AH268" s="6">
        <v>487437</v>
      </c>
      <c r="AI268" s="1" t="s">
        <v>1882</v>
      </c>
      <c r="AJ268" s="6">
        <v>563</v>
      </c>
      <c r="AK268" s="6">
        <v>1.153688524590164E-3</v>
      </c>
      <c r="AL268" s="1" t="s">
        <v>1882</v>
      </c>
      <c r="AM268" s="1" t="s">
        <v>568</v>
      </c>
      <c r="AN268" s="1" t="s">
        <v>1174</v>
      </c>
      <c r="AO268" s="1" t="s">
        <v>66</v>
      </c>
      <c r="AP268" s="6">
        <v>563</v>
      </c>
      <c r="AQ268" s="6">
        <v>1.153688524590164E-3</v>
      </c>
      <c r="AR268" s="2" t="str">
        <f>HYPERLINK("https://auction.openprocurement.org/tenders/f0ee15c07769491e94f9790789d36750")</f>
        <v>https://auction.openprocurement.org/tenders/f0ee15c07769491e94f9790789d36750</v>
      </c>
      <c r="AS268" s="7">
        <v>44119.546280026734</v>
      </c>
      <c r="AT268" s="5">
        <v>44130</v>
      </c>
      <c r="AU268" s="5">
        <v>44140</v>
      </c>
      <c r="AV268" s="1" t="s">
        <v>1941</v>
      </c>
      <c r="AW268" s="7">
        <v>44132.61333807039</v>
      </c>
      <c r="AX268" s="1" t="s">
        <v>567</v>
      </c>
      <c r="AY268" s="6">
        <v>487437</v>
      </c>
      <c r="AZ268" s="1"/>
      <c r="BA268" s="5">
        <v>44196</v>
      </c>
      <c r="BB268" s="7">
        <v>44196</v>
      </c>
      <c r="BC268" s="1" t="s">
        <v>1997</v>
      </c>
      <c r="BD268" s="1"/>
      <c r="BE268" s="1"/>
      <c r="BF268" s="1" t="s">
        <v>569</v>
      </c>
    </row>
    <row r="269" spans="1:58">
      <c r="A269" s="4">
        <v>264</v>
      </c>
      <c r="B269" s="2" t="str">
        <f>HYPERLINK("https://my.zakupki.prom.ua/remote/dispatcher/state_purchase_view/22829378", "UA-2020-12-31-002200-c")</f>
        <v>UA-2020-12-31-002200-c</v>
      </c>
      <c r="C269" s="2" t="s">
        <v>1459</v>
      </c>
      <c r="D269" s="1" t="s">
        <v>1988</v>
      </c>
      <c r="E269" s="1" t="s">
        <v>1987</v>
      </c>
      <c r="F269" s="1" t="s">
        <v>1080</v>
      </c>
      <c r="G269" s="1" t="s">
        <v>1364</v>
      </c>
      <c r="H269" s="1" t="s">
        <v>1800</v>
      </c>
      <c r="I269" s="1" t="s">
        <v>1379</v>
      </c>
      <c r="J269" s="1" t="s">
        <v>819</v>
      </c>
      <c r="K269" s="1" t="s">
        <v>1287</v>
      </c>
      <c r="L269" s="1" t="s">
        <v>1216</v>
      </c>
      <c r="M269" s="1" t="s">
        <v>119</v>
      </c>
      <c r="N269" s="1" t="s">
        <v>119</v>
      </c>
      <c r="O269" s="1" t="s">
        <v>119</v>
      </c>
      <c r="P269" s="5">
        <v>44196</v>
      </c>
      <c r="Q269" s="1"/>
      <c r="R269" s="1"/>
      <c r="S269" s="1"/>
      <c r="T269" s="1"/>
      <c r="U269" s="1" t="s">
        <v>1922</v>
      </c>
      <c r="V269" s="4">
        <v>1</v>
      </c>
      <c r="W269" s="6">
        <v>270.97000000000003</v>
      </c>
      <c r="X269" s="1" t="s">
        <v>1459</v>
      </c>
      <c r="Y269" s="4">
        <v>1</v>
      </c>
      <c r="Z269" s="6">
        <v>270.97000000000003</v>
      </c>
      <c r="AA269" s="1" t="s">
        <v>1976</v>
      </c>
      <c r="AB269" s="1" t="s">
        <v>1964</v>
      </c>
      <c r="AC269" s="1" t="s">
        <v>1124</v>
      </c>
      <c r="AD269" s="1" t="s">
        <v>1800</v>
      </c>
      <c r="AE269" s="1" t="s">
        <v>1286</v>
      </c>
      <c r="AF269" s="1" t="s">
        <v>1463</v>
      </c>
      <c r="AG269" s="6">
        <v>270.97000000000003</v>
      </c>
      <c r="AH269" s="6">
        <v>270.97000000000003</v>
      </c>
      <c r="AI269" s="1"/>
      <c r="AJ269" s="1"/>
      <c r="AK269" s="1"/>
      <c r="AL269" s="1" t="s">
        <v>1752</v>
      </c>
      <c r="AM269" s="1" t="s">
        <v>694</v>
      </c>
      <c r="AN269" s="1"/>
      <c r="AO269" s="1" t="s">
        <v>1062</v>
      </c>
      <c r="AP269" s="1"/>
      <c r="AQ269" s="1"/>
      <c r="AR269" s="2"/>
      <c r="AS269" s="1"/>
      <c r="AT269" s="1"/>
      <c r="AU269" s="1"/>
      <c r="AV269" s="1" t="s">
        <v>1941</v>
      </c>
      <c r="AW269" s="7">
        <v>44196.491181815742</v>
      </c>
      <c r="AX269" s="1" t="s">
        <v>1255</v>
      </c>
      <c r="AY269" s="6">
        <v>270.97000000000003</v>
      </c>
      <c r="AZ269" s="5">
        <v>44183</v>
      </c>
      <c r="BA269" s="5">
        <v>44196</v>
      </c>
      <c r="BB269" s="7">
        <v>44196</v>
      </c>
      <c r="BC269" s="1" t="s">
        <v>1997</v>
      </c>
      <c r="BD269" s="1"/>
      <c r="BE269" s="1"/>
      <c r="BF269" s="1" t="s">
        <v>118</v>
      </c>
    </row>
    <row r="270" spans="1:58">
      <c r="A270" s="4">
        <v>265</v>
      </c>
      <c r="B270" s="2" t="str">
        <f>HYPERLINK("https://my.zakupki.prom.ua/remote/dispatcher/state_purchase_view/22285775", "UA-2020-12-17-001604-c")</f>
        <v>UA-2020-12-17-001604-c</v>
      </c>
      <c r="C270" s="2" t="s">
        <v>1459</v>
      </c>
      <c r="D270" s="1" t="s">
        <v>1528</v>
      </c>
      <c r="E270" s="1" t="s">
        <v>1528</v>
      </c>
      <c r="F270" s="1" t="s">
        <v>1008</v>
      </c>
      <c r="G270" s="1" t="s">
        <v>1364</v>
      </c>
      <c r="H270" s="1" t="s">
        <v>1800</v>
      </c>
      <c r="I270" s="1" t="s">
        <v>1379</v>
      </c>
      <c r="J270" s="1" t="s">
        <v>819</v>
      </c>
      <c r="K270" s="1" t="s">
        <v>1287</v>
      </c>
      <c r="L270" s="1" t="s">
        <v>1216</v>
      </c>
      <c r="M270" s="1" t="s">
        <v>119</v>
      </c>
      <c r="N270" s="1" t="s">
        <v>119</v>
      </c>
      <c r="O270" s="1" t="s">
        <v>119</v>
      </c>
      <c r="P270" s="5">
        <v>44182</v>
      </c>
      <c r="Q270" s="1"/>
      <c r="R270" s="1"/>
      <c r="S270" s="1"/>
      <c r="T270" s="1"/>
      <c r="U270" s="1" t="s">
        <v>1922</v>
      </c>
      <c r="V270" s="4">
        <v>1</v>
      </c>
      <c r="W270" s="6">
        <v>18570</v>
      </c>
      <c r="X270" s="1" t="s">
        <v>1459</v>
      </c>
      <c r="Y270" s="4">
        <v>1</v>
      </c>
      <c r="Z270" s="6">
        <v>18570</v>
      </c>
      <c r="AA270" s="1" t="s">
        <v>1976</v>
      </c>
      <c r="AB270" s="1" t="s">
        <v>1964</v>
      </c>
      <c r="AC270" s="1" t="s">
        <v>1124</v>
      </c>
      <c r="AD270" s="1" t="s">
        <v>1800</v>
      </c>
      <c r="AE270" s="1" t="s">
        <v>1286</v>
      </c>
      <c r="AF270" s="1" t="s">
        <v>1463</v>
      </c>
      <c r="AG270" s="6">
        <v>18570</v>
      </c>
      <c r="AH270" s="6">
        <v>18570</v>
      </c>
      <c r="AI270" s="1"/>
      <c r="AJ270" s="1"/>
      <c r="AK270" s="1"/>
      <c r="AL270" s="1" t="s">
        <v>1742</v>
      </c>
      <c r="AM270" s="1" t="s">
        <v>841</v>
      </c>
      <c r="AN270" s="1"/>
      <c r="AO270" s="1" t="s">
        <v>240</v>
      </c>
      <c r="AP270" s="1"/>
      <c r="AQ270" s="1"/>
      <c r="AR270" s="2"/>
      <c r="AS270" s="1"/>
      <c r="AT270" s="1"/>
      <c r="AU270" s="1"/>
      <c r="AV270" s="1" t="s">
        <v>1941</v>
      </c>
      <c r="AW270" s="7">
        <v>44182.399803882676</v>
      </c>
      <c r="AX270" s="1" t="s">
        <v>353</v>
      </c>
      <c r="AY270" s="6">
        <v>18570</v>
      </c>
      <c r="AZ270" s="1"/>
      <c r="BA270" s="5">
        <v>44196</v>
      </c>
      <c r="BB270" s="7">
        <v>44196</v>
      </c>
      <c r="BC270" s="1" t="s">
        <v>1997</v>
      </c>
      <c r="BD270" s="1"/>
      <c r="BE270" s="1"/>
      <c r="BF270" s="1" t="s">
        <v>118</v>
      </c>
    </row>
    <row r="271" spans="1:58">
      <c r="A271" s="4">
        <v>266</v>
      </c>
      <c r="B271" s="2" t="str">
        <f>HYPERLINK("https://my.zakupki.prom.ua/remote/dispatcher/state_purchase_view/22198513", "UA-2020-12-15-012816-c")</f>
        <v>UA-2020-12-15-012816-c</v>
      </c>
      <c r="C271" s="2" t="s">
        <v>1459</v>
      </c>
      <c r="D271" s="1" t="s">
        <v>1998</v>
      </c>
      <c r="E271" s="1" t="s">
        <v>1998</v>
      </c>
      <c r="F271" s="1" t="s">
        <v>459</v>
      </c>
      <c r="G271" s="1" t="s">
        <v>1364</v>
      </c>
      <c r="H271" s="1" t="s">
        <v>1800</v>
      </c>
      <c r="I271" s="1" t="s">
        <v>1379</v>
      </c>
      <c r="J271" s="1" t="s">
        <v>819</v>
      </c>
      <c r="K271" s="1" t="s">
        <v>1287</v>
      </c>
      <c r="L271" s="1" t="s">
        <v>1216</v>
      </c>
      <c r="M271" s="1" t="s">
        <v>119</v>
      </c>
      <c r="N271" s="1" t="s">
        <v>119</v>
      </c>
      <c r="O271" s="1" t="s">
        <v>119</v>
      </c>
      <c r="P271" s="5">
        <v>44180</v>
      </c>
      <c r="Q271" s="1"/>
      <c r="R271" s="1"/>
      <c r="S271" s="1"/>
      <c r="T271" s="1"/>
      <c r="U271" s="1" t="s">
        <v>1922</v>
      </c>
      <c r="V271" s="4">
        <v>1</v>
      </c>
      <c r="W271" s="6">
        <v>136.80000000000001</v>
      </c>
      <c r="X271" s="1" t="s">
        <v>1459</v>
      </c>
      <c r="Y271" s="4">
        <v>60</v>
      </c>
      <c r="Z271" s="6">
        <v>2.2799999999999998</v>
      </c>
      <c r="AA271" s="1" t="s">
        <v>2024</v>
      </c>
      <c r="AB271" s="1" t="s">
        <v>1964</v>
      </c>
      <c r="AC271" s="1" t="s">
        <v>1124</v>
      </c>
      <c r="AD271" s="1" t="s">
        <v>1800</v>
      </c>
      <c r="AE271" s="1" t="s">
        <v>1286</v>
      </c>
      <c r="AF271" s="1" t="s">
        <v>1463</v>
      </c>
      <c r="AG271" s="6">
        <v>136.80000000000001</v>
      </c>
      <c r="AH271" s="6">
        <v>2.2800000000000002</v>
      </c>
      <c r="AI271" s="1"/>
      <c r="AJ271" s="1"/>
      <c r="AK271" s="1"/>
      <c r="AL271" s="1" t="s">
        <v>1465</v>
      </c>
      <c r="AM271" s="1" t="s">
        <v>139</v>
      </c>
      <c r="AN271" s="1"/>
      <c r="AO271" s="1" t="s">
        <v>252</v>
      </c>
      <c r="AP271" s="1"/>
      <c r="AQ271" s="1"/>
      <c r="AR271" s="2"/>
      <c r="AS271" s="1"/>
      <c r="AT271" s="1"/>
      <c r="AU271" s="1"/>
      <c r="AV271" s="1" t="s">
        <v>1941</v>
      </c>
      <c r="AW271" s="7">
        <v>44180.664583070728</v>
      </c>
      <c r="AX271" s="1" t="s">
        <v>1109</v>
      </c>
      <c r="AY271" s="6">
        <v>136.80000000000001</v>
      </c>
      <c r="AZ271" s="1"/>
      <c r="BA271" s="5">
        <v>44196</v>
      </c>
      <c r="BB271" s="7">
        <v>44196</v>
      </c>
      <c r="BC271" s="1" t="s">
        <v>1997</v>
      </c>
      <c r="BD271" s="1"/>
      <c r="BE271" s="1"/>
      <c r="BF271" s="1" t="s">
        <v>118</v>
      </c>
    </row>
    <row r="272" spans="1:58">
      <c r="A272" s="4">
        <v>267</v>
      </c>
      <c r="B272" s="2" t="str">
        <f>HYPERLINK("https://my.zakupki.prom.ua/remote/dispatcher/state_purchase_view/23303029", "UA-2021-01-27-000502-b")</f>
        <v>UA-2021-01-27-000502-b</v>
      </c>
      <c r="C272" s="2" t="s">
        <v>1459</v>
      </c>
      <c r="D272" s="1" t="s">
        <v>2009</v>
      </c>
      <c r="E272" s="1" t="s">
        <v>2009</v>
      </c>
      <c r="F272" s="1" t="s">
        <v>1020</v>
      </c>
      <c r="G272" s="1" t="s">
        <v>1364</v>
      </c>
      <c r="H272" s="1" t="s">
        <v>1800</v>
      </c>
      <c r="I272" s="1" t="s">
        <v>1379</v>
      </c>
      <c r="J272" s="1" t="s">
        <v>819</v>
      </c>
      <c r="K272" s="1" t="s">
        <v>1287</v>
      </c>
      <c r="L272" s="1" t="s">
        <v>1216</v>
      </c>
      <c r="M272" s="1" t="s">
        <v>119</v>
      </c>
      <c r="N272" s="1" t="s">
        <v>119</v>
      </c>
      <c r="O272" s="1" t="s">
        <v>119</v>
      </c>
      <c r="P272" s="5">
        <v>44223</v>
      </c>
      <c r="Q272" s="1"/>
      <c r="R272" s="1"/>
      <c r="S272" s="1"/>
      <c r="T272" s="1"/>
      <c r="U272" s="1" t="s">
        <v>1922</v>
      </c>
      <c r="V272" s="4">
        <v>1</v>
      </c>
      <c r="W272" s="6">
        <v>1800</v>
      </c>
      <c r="X272" s="1" t="s">
        <v>1459</v>
      </c>
      <c r="Y272" s="4">
        <v>1</v>
      </c>
      <c r="Z272" s="6">
        <v>1800</v>
      </c>
      <c r="AA272" s="1" t="s">
        <v>1976</v>
      </c>
      <c r="AB272" s="1" t="s">
        <v>1964</v>
      </c>
      <c r="AC272" s="1" t="s">
        <v>1124</v>
      </c>
      <c r="AD272" s="1" t="s">
        <v>1800</v>
      </c>
      <c r="AE272" s="1" t="s">
        <v>1286</v>
      </c>
      <c r="AF272" s="1" t="s">
        <v>1463</v>
      </c>
      <c r="AG272" s="6">
        <v>1800</v>
      </c>
      <c r="AH272" s="6">
        <v>1800</v>
      </c>
      <c r="AI272" s="1"/>
      <c r="AJ272" s="1"/>
      <c r="AK272" s="1"/>
      <c r="AL272" s="1" t="s">
        <v>1916</v>
      </c>
      <c r="AM272" s="1" t="s">
        <v>560</v>
      </c>
      <c r="AN272" s="1"/>
      <c r="AO272" s="1" t="s">
        <v>304</v>
      </c>
      <c r="AP272" s="1"/>
      <c r="AQ272" s="1"/>
      <c r="AR272" s="2"/>
      <c r="AS272" s="1"/>
      <c r="AT272" s="1"/>
      <c r="AU272" s="1"/>
      <c r="AV272" s="1" t="s">
        <v>1941</v>
      </c>
      <c r="AW272" s="7">
        <v>44223.385158485973</v>
      </c>
      <c r="AX272" s="1" t="s">
        <v>127</v>
      </c>
      <c r="AY272" s="6">
        <v>1800</v>
      </c>
      <c r="AZ272" s="1"/>
      <c r="BA272" s="5">
        <v>44561</v>
      </c>
      <c r="BB272" s="7">
        <v>44561</v>
      </c>
      <c r="BC272" s="1" t="s">
        <v>1997</v>
      </c>
      <c r="BD272" s="1"/>
      <c r="BE272" s="1"/>
      <c r="BF272" s="1" t="s">
        <v>118</v>
      </c>
    </row>
    <row r="273" spans="1:58">
      <c r="A273" s="4">
        <v>268</v>
      </c>
      <c r="B273" s="2" t="str">
        <f>HYPERLINK("https://my.zakupki.prom.ua/remote/dispatcher/state_purchase_view/22896321", "UA-2021-01-11-001463-a")</f>
        <v>UA-2021-01-11-001463-a</v>
      </c>
      <c r="C273" s="2" t="s">
        <v>1459</v>
      </c>
      <c r="D273" s="1" t="s">
        <v>1936</v>
      </c>
      <c r="E273" s="1" t="s">
        <v>1936</v>
      </c>
      <c r="F273" s="1" t="s">
        <v>664</v>
      </c>
      <c r="G273" s="1" t="s">
        <v>1346</v>
      </c>
      <c r="H273" s="1" t="s">
        <v>1800</v>
      </c>
      <c r="I273" s="1" t="s">
        <v>1379</v>
      </c>
      <c r="J273" s="1" t="s">
        <v>819</v>
      </c>
      <c r="K273" s="1" t="s">
        <v>1287</v>
      </c>
      <c r="L273" s="1" t="s">
        <v>1216</v>
      </c>
      <c r="M273" s="1" t="s">
        <v>119</v>
      </c>
      <c r="N273" s="1" t="s">
        <v>119</v>
      </c>
      <c r="O273" s="1" t="s">
        <v>119</v>
      </c>
      <c r="P273" s="5">
        <v>44207</v>
      </c>
      <c r="Q273" s="5">
        <v>44207</v>
      </c>
      <c r="R273" s="5">
        <v>44211</v>
      </c>
      <c r="S273" s="5">
        <v>44211</v>
      </c>
      <c r="T273" s="5">
        <v>44216</v>
      </c>
      <c r="U273" s="7">
        <v>44216.623402777775</v>
      </c>
      <c r="V273" s="4">
        <v>3</v>
      </c>
      <c r="W273" s="6">
        <v>4000</v>
      </c>
      <c r="X273" s="1" t="s">
        <v>1459</v>
      </c>
      <c r="Y273" s="4">
        <v>171</v>
      </c>
      <c r="Z273" s="6">
        <v>23.39</v>
      </c>
      <c r="AA273" s="1" t="s">
        <v>2024</v>
      </c>
      <c r="AB273" s="6">
        <v>20</v>
      </c>
      <c r="AC273" s="1" t="s">
        <v>1124</v>
      </c>
      <c r="AD273" s="1" t="s">
        <v>1800</v>
      </c>
      <c r="AE273" s="1" t="s">
        <v>1286</v>
      </c>
      <c r="AF273" s="1" t="s">
        <v>1463</v>
      </c>
      <c r="AG273" s="6">
        <v>2807</v>
      </c>
      <c r="AH273" s="6">
        <v>16.415204678362574</v>
      </c>
      <c r="AI273" s="1" t="s">
        <v>1880</v>
      </c>
      <c r="AJ273" s="6">
        <v>1193</v>
      </c>
      <c r="AK273" s="6">
        <v>0.29825000000000002</v>
      </c>
      <c r="AL273" s="1" t="s">
        <v>1880</v>
      </c>
      <c r="AM273" s="1" t="s">
        <v>556</v>
      </c>
      <c r="AN273" s="1" t="s">
        <v>1167</v>
      </c>
      <c r="AO273" s="1" t="s">
        <v>47</v>
      </c>
      <c r="AP273" s="6">
        <v>1193</v>
      </c>
      <c r="AQ273" s="6">
        <v>0.29825000000000002</v>
      </c>
      <c r="AR273" s="2" t="str">
        <f>HYPERLINK("https://auction.openprocurement.org/tenders/8e3cd899507343c9bf708fec25392f2d")</f>
        <v>https://auction.openprocurement.org/tenders/8e3cd899507343c9bf708fec25392f2d</v>
      </c>
      <c r="AS273" s="7">
        <v>44217.43320690433</v>
      </c>
      <c r="AT273" s="5">
        <v>44222</v>
      </c>
      <c r="AU273" s="5">
        <v>44241</v>
      </c>
      <c r="AV273" s="1" t="s">
        <v>1941</v>
      </c>
      <c r="AW273" s="7">
        <v>44223.41717307939</v>
      </c>
      <c r="AX273" s="1" t="s">
        <v>549</v>
      </c>
      <c r="AY273" s="6">
        <v>2807</v>
      </c>
      <c r="AZ273" s="1"/>
      <c r="BA273" s="5">
        <v>44255</v>
      </c>
      <c r="BB273" s="7">
        <v>44561</v>
      </c>
      <c r="BC273" s="1" t="s">
        <v>1997</v>
      </c>
      <c r="BD273" s="1"/>
      <c r="BE273" s="1"/>
      <c r="BF273" s="1" t="s">
        <v>557</v>
      </c>
    </row>
    <row r="274" spans="1:58">
      <c r="A274" s="4">
        <v>269</v>
      </c>
      <c r="B274" s="2" t="str">
        <f>HYPERLINK("https://my.zakupki.prom.ua/remote/dispatcher/state_purchase_view/23096268", "UA-2021-01-20-005808-b")</f>
        <v>UA-2021-01-20-005808-b</v>
      </c>
      <c r="C274" s="2" t="s">
        <v>1459</v>
      </c>
      <c r="D274" s="1" t="s">
        <v>1804</v>
      </c>
      <c r="E274" s="1" t="s">
        <v>1803</v>
      </c>
      <c r="F274" s="1" t="s">
        <v>1069</v>
      </c>
      <c r="G274" s="1" t="s">
        <v>1364</v>
      </c>
      <c r="H274" s="1" t="s">
        <v>1800</v>
      </c>
      <c r="I274" s="1" t="s">
        <v>1379</v>
      </c>
      <c r="J274" s="1" t="s">
        <v>819</v>
      </c>
      <c r="K274" s="1" t="s">
        <v>1287</v>
      </c>
      <c r="L274" s="1" t="s">
        <v>1216</v>
      </c>
      <c r="M274" s="1" t="s">
        <v>119</v>
      </c>
      <c r="N274" s="1" t="s">
        <v>119</v>
      </c>
      <c r="O274" s="1" t="s">
        <v>119</v>
      </c>
      <c r="P274" s="5">
        <v>44216</v>
      </c>
      <c r="Q274" s="1"/>
      <c r="R274" s="1"/>
      <c r="S274" s="1"/>
      <c r="T274" s="1"/>
      <c r="U274" s="1" t="s">
        <v>1922</v>
      </c>
      <c r="V274" s="4">
        <v>1</v>
      </c>
      <c r="W274" s="6">
        <v>96228</v>
      </c>
      <c r="X274" s="1" t="s">
        <v>1459</v>
      </c>
      <c r="Y274" s="4">
        <v>1</v>
      </c>
      <c r="Z274" s="6">
        <v>96228</v>
      </c>
      <c r="AA274" s="1" t="s">
        <v>1976</v>
      </c>
      <c r="AB274" s="1" t="s">
        <v>1964</v>
      </c>
      <c r="AC274" s="1" t="s">
        <v>1124</v>
      </c>
      <c r="AD274" s="1" t="s">
        <v>1800</v>
      </c>
      <c r="AE274" s="1" t="s">
        <v>1286</v>
      </c>
      <c r="AF274" s="1" t="s">
        <v>1463</v>
      </c>
      <c r="AG274" s="6">
        <v>96228</v>
      </c>
      <c r="AH274" s="6">
        <v>96228</v>
      </c>
      <c r="AI274" s="1"/>
      <c r="AJ274" s="1"/>
      <c r="AK274" s="1"/>
      <c r="AL274" s="1" t="s">
        <v>1770</v>
      </c>
      <c r="AM274" s="1" t="s">
        <v>779</v>
      </c>
      <c r="AN274" s="1"/>
      <c r="AO274" s="1" t="s">
        <v>296</v>
      </c>
      <c r="AP274" s="1"/>
      <c r="AQ274" s="1"/>
      <c r="AR274" s="2"/>
      <c r="AS274" s="1"/>
      <c r="AT274" s="1"/>
      <c r="AU274" s="1"/>
      <c r="AV274" s="1" t="s">
        <v>1941</v>
      </c>
      <c r="AW274" s="7">
        <v>44216.656561807511</v>
      </c>
      <c r="AX274" s="1" t="s">
        <v>386</v>
      </c>
      <c r="AY274" s="6">
        <v>96228</v>
      </c>
      <c r="AZ274" s="1"/>
      <c r="BA274" s="5">
        <v>44561</v>
      </c>
      <c r="BB274" s="7">
        <v>44561</v>
      </c>
      <c r="BC274" s="1" t="s">
        <v>1997</v>
      </c>
      <c r="BD274" s="1"/>
      <c r="BE274" s="1"/>
      <c r="BF274" s="1" t="s">
        <v>118</v>
      </c>
    </row>
    <row r="275" spans="1:58">
      <c r="A275" s="4">
        <v>270</v>
      </c>
      <c r="B275" s="2" t="str">
        <f>HYPERLINK("https://my.zakupki.prom.ua/remote/dispatcher/state_purchase_view/23221635", "UA-2021-01-25-005454-b")</f>
        <v>UA-2021-01-25-005454-b</v>
      </c>
      <c r="C275" s="2" t="s">
        <v>1459</v>
      </c>
      <c r="D275" s="1" t="s">
        <v>1571</v>
      </c>
      <c r="E275" s="1" t="s">
        <v>1571</v>
      </c>
      <c r="F275" s="1" t="s">
        <v>1065</v>
      </c>
      <c r="G275" s="1" t="s">
        <v>1364</v>
      </c>
      <c r="H275" s="1" t="s">
        <v>1800</v>
      </c>
      <c r="I275" s="1" t="s">
        <v>1379</v>
      </c>
      <c r="J275" s="1" t="s">
        <v>819</v>
      </c>
      <c r="K275" s="1" t="s">
        <v>1287</v>
      </c>
      <c r="L275" s="1" t="s">
        <v>1216</v>
      </c>
      <c r="M275" s="1" t="s">
        <v>119</v>
      </c>
      <c r="N275" s="1" t="s">
        <v>119</v>
      </c>
      <c r="O275" s="1" t="s">
        <v>119</v>
      </c>
      <c r="P275" s="5">
        <v>44221</v>
      </c>
      <c r="Q275" s="1"/>
      <c r="R275" s="1"/>
      <c r="S275" s="1"/>
      <c r="T275" s="1"/>
      <c r="U275" s="1" t="s">
        <v>1922</v>
      </c>
      <c r="V275" s="4">
        <v>1</v>
      </c>
      <c r="W275" s="6">
        <v>13860</v>
      </c>
      <c r="X275" s="1" t="s">
        <v>1459</v>
      </c>
      <c r="Y275" s="4">
        <v>12</v>
      </c>
      <c r="Z275" s="6">
        <v>1155</v>
      </c>
      <c r="AA275" s="1" t="s">
        <v>1976</v>
      </c>
      <c r="AB275" s="1" t="s">
        <v>1964</v>
      </c>
      <c r="AC275" s="1" t="s">
        <v>1124</v>
      </c>
      <c r="AD275" s="1" t="s">
        <v>1800</v>
      </c>
      <c r="AE275" s="1" t="s">
        <v>1286</v>
      </c>
      <c r="AF275" s="1" t="s">
        <v>1463</v>
      </c>
      <c r="AG275" s="6">
        <v>13860</v>
      </c>
      <c r="AH275" s="6">
        <v>1155</v>
      </c>
      <c r="AI275" s="1"/>
      <c r="AJ275" s="1"/>
      <c r="AK275" s="1"/>
      <c r="AL275" s="1" t="s">
        <v>1390</v>
      </c>
      <c r="AM275" s="1" t="s">
        <v>465</v>
      </c>
      <c r="AN275" s="1"/>
      <c r="AO275" s="1" t="s">
        <v>261</v>
      </c>
      <c r="AP275" s="1"/>
      <c r="AQ275" s="1"/>
      <c r="AR275" s="2"/>
      <c r="AS275" s="1"/>
      <c r="AT275" s="1"/>
      <c r="AU275" s="1"/>
      <c r="AV275" s="1" t="s">
        <v>1941</v>
      </c>
      <c r="AW275" s="7">
        <v>44221.589972769376</v>
      </c>
      <c r="AX275" s="1" t="s">
        <v>123</v>
      </c>
      <c r="AY275" s="6">
        <v>13860</v>
      </c>
      <c r="AZ275" s="1"/>
      <c r="BA275" s="5">
        <v>44561</v>
      </c>
      <c r="BB275" s="7">
        <v>44561</v>
      </c>
      <c r="BC275" s="1" t="s">
        <v>1997</v>
      </c>
      <c r="BD275" s="1"/>
      <c r="BE275" s="1"/>
      <c r="BF275" s="1" t="s">
        <v>118</v>
      </c>
    </row>
    <row r="276" spans="1:58">
      <c r="A276" s="4">
        <v>271</v>
      </c>
      <c r="B276" s="2" t="str">
        <f>HYPERLINK("https://my.zakupki.prom.ua/remote/dispatcher/state_purchase_view/22446520", "UA-2020-12-21-008163-c")</f>
        <v>UA-2020-12-21-008163-c</v>
      </c>
      <c r="C276" s="2" t="s">
        <v>1459</v>
      </c>
      <c r="D276" s="1" t="s">
        <v>1993</v>
      </c>
      <c r="E276" s="1" t="s">
        <v>1993</v>
      </c>
      <c r="F276" s="1" t="s">
        <v>1093</v>
      </c>
      <c r="G276" s="1" t="s">
        <v>1513</v>
      </c>
      <c r="H276" s="1" t="s">
        <v>1800</v>
      </c>
      <c r="I276" s="1" t="s">
        <v>1379</v>
      </c>
      <c r="J276" s="1" t="s">
        <v>819</v>
      </c>
      <c r="K276" s="1" t="s">
        <v>1287</v>
      </c>
      <c r="L276" s="1" t="s">
        <v>1216</v>
      </c>
      <c r="M276" s="1" t="s">
        <v>119</v>
      </c>
      <c r="N276" s="1" t="s">
        <v>119</v>
      </c>
      <c r="O276" s="1" t="s">
        <v>119</v>
      </c>
      <c r="P276" s="5">
        <v>44186</v>
      </c>
      <c r="Q276" s="1"/>
      <c r="R276" s="1"/>
      <c r="S276" s="1"/>
      <c r="T276" s="1"/>
      <c r="U276" s="1" t="s">
        <v>1922</v>
      </c>
      <c r="V276" s="4">
        <v>1</v>
      </c>
      <c r="W276" s="6">
        <v>3873358</v>
      </c>
      <c r="X276" s="1" t="s">
        <v>1459</v>
      </c>
      <c r="Y276" s="4">
        <v>1</v>
      </c>
      <c r="Z276" s="6">
        <v>3873358</v>
      </c>
      <c r="AA276" s="1" t="s">
        <v>1976</v>
      </c>
      <c r="AB276" s="1" t="s">
        <v>1964</v>
      </c>
      <c r="AC276" s="1" t="s">
        <v>1124</v>
      </c>
      <c r="AD276" s="1" t="s">
        <v>1463</v>
      </c>
      <c r="AE276" s="1" t="s">
        <v>1286</v>
      </c>
      <c r="AF276" s="1" t="s">
        <v>1463</v>
      </c>
      <c r="AG276" s="6">
        <v>3873358</v>
      </c>
      <c r="AH276" s="6">
        <v>3873358</v>
      </c>
      <c r="AI276" s="1"/>
      <c r="AJ276" s="1"/>
      <c r="AK276" s="1"/>
      <c r="AL276" s="1" t="s">
        <v>1382</v>
      </c>
      <c r="AM276" s="1" t="s">
        <v>143</v>
      </c>
      <c r="AN276" s="1"/>
      <c r="AO276" s="1" t="s">
        <v>38</v>
      </c>
      <c r="AP276" s="1"/>
      <c r="AQ276" s="1"/>
      <c r="AR276" s="2"/>
      <c r="AS276" s="1"/>
      <c r="AT276" s="5">
        <v>44197</v>
      </c>
      <c r="AU276" s="5">
        <v>44222</v>
      </c>
      <c r="AV276" s="1" t="s">
        <v>1941</v>
      </c>
      <c r="AW276" s="7">
        <v>44212.525075760233</v>
      </c>
      <c r="AX276" s="1" t="s">
        <v>1056</v>
      </c>
      <c r="AY276" s="6">
        <v>3873358</v>
      </c>
      <c r="AZ276" s="1"/>
      <c r="BA276" s="5">
        <v>44561</v>
      </c>
      <c r="BB276" s="7">
        <v>44561</v>
      </c>
      <c r="BC276" s="1" t="s">
        <v>1997</v>
      </c>
      <c r="BD276" s="1"/>
      <c r="BE276" s="1"/>
      <c r="BF276" s="1" t="s">
        <v>118</v>
      </c>
    </row>
    <row r="277" spans="1:58">
      <c r="A277" s="4">
        <v>272</v>
      </c>
      <c r="B277" s="2" t="str">
        <f>HYPERLINK("https://my.zakupki.prom.ua/remote/dispatcher/state_purchase_view/23327207", "UA-2021-01-27-006559-b")</f>
        <v>UA-2021-01-27-006559-b</v>
      </c>
      <c r="C277" s="2" t="s">
        <v>1459</v>
      </c>
      <c r="D277" s="1" t="s">
        <v>1438</v>
      </c>
      <c r="E277" s="1" t="s">
        <v>1440</v>
      </c>
      <c r="F277" s="1" t="s">
        <v>733</v>
      </c>
      <c r="G277" s="1" t="s">
        <v>1280</v>
      </c>
      <c r="H277" s="1" t="s">
        <v>1800</v>
      </c>
      <c r="I277" s="1" t="s">
        <v>1379</v>
      </c>
      <c r="J277" s="1" t="s">
        <v>819</v>
      </c>
      <c r="K277" s="1" t="s">
        <v>1287</v>
      </c>
      <c r="L277" s="1" t="s">
        <v>1216</v>
      </c>
      <c r="M277" s="1" t="s">
        <v>119</v>
      </c>
      <c r="N277" s="1" t="s">
        <v>119</v>
      </c>
      <c r="O277" s="1" t="s">
        <v>119</v>
      </c>
      <c r="P277" s="5">
        <v>44223</v>
      </c>
      <c r="Q277" s="5">
        <v>44223</v>
      </c>
      <c r="R277" s="5">
        <v>44232</v>
      </c>
      <c r="S277" s="5">
        <v>44223</v>
      </c>
      <c r="T277" s="5">
        <v>44242</v>
      </c>
      <c r="U277" s="7">
        <v>44242.595682870371</v>
      </c>
      <c r="V277" s="4">
        <v>2</v>
      </c>
      <c r="W277" s="6">
        <v>500000</v>
      </c>
      <c r="X277" s="1" t="s">
        <v>1459</v>
      </c>
      <c r="Y277" s="1" t="s">
        <v>1956</v>
      </c>
      <c r="Z277" s="1" t="s">
        <v>1956</v>
      </c>
      <c r="AA277" s="1" t="s">
        <v>1956</v>
      </c>
      <c r="AB277" s="6">
        <v>2500</v>
      </c>
      <c r="AC277" s="1" t="s">
        <v>1124</v>
      </c>
      <c r="AD277" s="1" t="s">
        <v>1800</v>
      </c>
      <c r="AE277" s="1" t="s">
        <v>1286</v>
      </c>
      <c r="AF277" s="1" t="s">
        <v>1463</v>
      </c>
      <c r="AG277" s="6">
        <v>491809</v>
      </c>
      <c r="AH277" s="1" t="s">
        <v>1956</v>
      </c>
      <c r="AI277" s="1" t="s">
        <v>1704</v>
      </c>
      <c r="AJ277" s="6">
        <v>8191</v>
      </c>
      <c r="AK277" s="6">
        <v>1.6382000000000001E-2</v>
      </c>
      <c r="AL277" s="1" t="s">
        <v>1704</v>
      </c>
      <c r="AM277" s="1" t="s">
        <v>666</v>
      </c>
      <c r="AN277" s="1" t="s">
        <v>1157</v>
      </c>
      <c r="AO277" s="1" t="s">
        <v>67</v>
      </c>
      <c r="AP277" s="6">
        <v>8191</v>
      </c>
      <c r="AQ277" s="6">
        <v>1.6382000000000001E-2</v>
      </c>
      <c r="AR277" s="2" t="str">
        <f>HYPERLINK("https://auction.openprocurement.org/tenders/4ea96ccff18c49d185c23f6e3d42387c")</f>
        <v>https://auction.openprocurement.org/tenders/4ea96ccff18c49d185c23f6e3d42387c</v>
      </c>
      <c r="AS277" s="7">
        <v>44243.462754462082</v>
      </c>
      <c r="AT277" s="5">
        <v>44254</v>
      </c>
      <c r="AU277" s="5">
        <v>44264</v>
      </c>
      <c r="AV277" s="1" t="s">
        <v>1941</v>
      </c>
      <c r="AW277" s="7">
        <v>44256.446854120368</v>
      </c>
      <c r="AX277" s="1" t="s">
        <v>133</v>
      </c>
      <c r="AY277" s="6">
        <v>491809</v>
      </c>
      <c r="AZ277" s="1"/>
      <c r="BA277" s="5">
        <v>44561</v>
      </c>
      <c r="BB277" s="7">
        <v>44561</v>
      </c>
      <c r="BC277" s="1" t="s">
        <v>1997</v>
      </c>
      <c r="BD277" s="1"/>
      <c r="BE277" s="1"/>
      <c r="BF277" s="1" t="s">
        <v>672</v>
      </c>
    </row>
    <row r="278" spans="1:58">
      <c r="A278" s="4">
        <v>273</v>
      </c>
      <c r="B278" s="2" t="str">
        <f>HYPERLINK("https://my.zakupki.prom.ua/remote/dispatcher/state_purchase_view/24671920", "UA-2021-03-05-008781-c")</f>
        <v>UA-2021-03-05-008781-c</v>
      </c>
      <c r="C278" s="2" t="s">
        <v>1459</v>
      </c>
      <c r="D278" s="1" t="s">
        <v>1992</v>
      </c>
      <c r="E278" s="1" t="s">
        <v>1992</v>
      </c>
      <c r="F278" s="1" t="s">
        <v>1050</v>
      </c>
      <c r="G278" s="1" t="s">
        <v>1364</v>
      </c>
      <c r="H278" s="1" t="s">
        <v>1800</v>
      </c>
      <c r="I278" s="1" t="s">
        <v>1379</v>
      </c>
      <c r="J278" s="1" t="s">
        <v>819</v>
      </c>
      <c r="K278" s="1" t="s">
        <v>1287</v>
      </c>
      <c r="L278" s="1" t="s">
        <v>1216</v>
      </c>
      <c r="M278" s="1" t="s">
        <v>119</v>
      </c>
      <c r="N278" s="1" t="s">
        <v>119</v>
      </c>
      <c r="O278" s="1" t="s">
        <v>119</v>
      </c>
      <c r="P278" s="5">
        <v>44260</v>
      </c>
      <c r="Q278" s="1"/>
      <c r="R278" s="1"/>
      <c r="S278" s="1"/>
      <c r="T278" s="1"/>
      <c r="U278" s="1" t="s">
        <v>1922</v>
      </c>
      <c r="V278" s="4">
        <v>1</v>
      </c>
      <c r="W278" s="6">
        <v>16700</v>
      </c>
      <c r="X278" s="1" t="s">
        <v>1459</v>
      </c>
      <c r="Y278" s="4">
        <v>1</v>
      </c>
      <c r="Z278" s="6">
        <v>16700</v>
      </c>
      <c r="AA278" s="1" t="s">
        <v>1976</v>
      </c>
      <c r="AB278" s="1" t="s">
        <v>1964</v>
      </c>
      <c r="AC278" s="1" t="s">
        <v>1124</v>
      </c>
      <c r="AD278" s="1" t="s">
        <v>1800</v>
      </c>
      <c r="AE278" s="1" t="s">
        <v>1286</v>
      </c>
      <c r="AF278" s="1" t="s">
        <v>1463</v>
      </c>
      <c r="AG278" s="6">
        <v>16700</v>
      </c>
      <c r="AH278" s="6">
        <v>16700</v>
      </c>
      <c r="AI278" s="1"/>
      <c r="AJ278" s="1"/>
      <c r="AK278" s="1"/>
      <c r="AL278" s="1" t="s">
        <v>1383</v>
      </c>
      <c r="AM278" s="1" t="s">
        <v>156</v>
      </c>
      <c r="AN278" s="1"/>
      <c r="AO278" s="1" t="s">
        <v>1071</v>
      </c>
      <c r="AP278" s="1"/>
      <c r="AQ278" s="1"/>
      <c r="AR278" s="2"/>
      <c r="AS278" s="1"/>
      <c r="AT278" s="1"/>
      <c r="AU278" s="1"/>
      <c r="AV278" s="1" t="s">
        <v>1941</v>
      </c>
      <c r="AW278" s="7">
        <v>44260.621250201482</v>
      </c>
      <c r="AX278" s="1" t="s">
        <v>362</v>
      </c>
      <c r="AY278" s="6">
        <v>16700</v>
      </c>
      <c r="AZ278" s="1"/>
      <c r="BA278" s="5">
        <v>44561</v>
      </c>
      <c r="BB278" s="7">
        <v>44561</v>
      </c>
      <c r="BC278" s="1" t="s">
        <v>1997</v>
      </c>
      <c r="BD278" s="1"/>
      <c r="BE278" s="1"/>
      <c r="BF278" s="1" t="s">
        <v>118</v>
      </c>
    </row>
    <row r="279" spans="1:58">
      <c r="A279" s="4">
        <v>274</v>
      </c>
      <c r="B279" s="2" t="str">
        <f>HYPERLINK("https://my.zakupki.prom.ua/remote/dispatcher/state_purchase_view/26805481", "UA-2021-05-24-003794-b")</f>
        <v>UA-2021-05-24-003794-b</v>
      </c>
      <c r="C279" s="2" t="s">
        <v>1459</v>
      </c>
      <c r="D279" s="1" t="s">
        <v>1678</v>
      </c>
      <c r="E279" s="1" t="s">
        <v>1679</v>
      </c>
      <c r="F279" s="1" t="s">
        <v>721</v>
      </c>
      <c r="G279" s="1" t="s">
        <v>1364</v>
      </c>
      <c r="H279" s="1" t="s">
        <v>1800</v>
      </c>
      <c r="I279" s="1" t="s">
        <v>1379</v>
      </c>
      <c r="J279" s="1" t="s">
        <v>819</v>
      </c>
      <c r="K279" s="1" t="s">
        <v>1287</v>
      </c>
      <c r="L279" s="1" t="s">
        <v>1216</v>
      </c>
      <c r="M279" s="1" t="s">
        <v>119</v>
      </c>
      <c r="N279" s="1" t="s">
        <v>119</v>
      </c>
      <c r="O279" s="1" t="s">
        <v>119</v>
      </c>
      <c r="P279" s="5">
        <v>44340</v>
      </c>
      <c r="Q279" s="1"/>
      <c r="R279" s="1"/>
      <c r="S279" s="1"/>
      <c r="T279" s="1"/>
      <c r="U279" s="1" t="s">
        <v>1922</v>
      </c>
      <c r="V279" s="4">
        <v>1</v>
      </c>
      <c r="W279" s="6">
        <v>148000</v>
      </c>
      <c r="X279" s="1" t="s">
        <v>1459</v>
      </c>
      <c r="Y279" s="4">
        <v>4</v>
      </c>
      <c r="Z279" s="6">
        <v>37000</v>
      </c>
      <c r="AA279" s="1" t="s">
        <v>2024</v>
      </c>
      <c r="AB279" s="1" t="s">
        <v>1964</v>
      </c>
      <c r="AC279" s="1" t="s">
        <v>1124</v>
      </c>
      <c r="AD279" s="1" t="s">
        <v>1800</v>
      </c>
      <c r="AE279" s="1" t="s">
        <v>1286</v>
      </c>
      <c r="AF279" s="1" t="s">
        <v>1463</v>
      </c>
      <c r="AG279" s="6">
        <v>148000</v>
      </c>
      <c r="AH279" s="6">
        <v>37000</v>
      </c>
      <c r="AI279" s="1"/>
      <c r="AJ279" s="1"/>
      <c r="AK279" s="1"/>
      <c r="AL279" s="1" t="s">
        <v>1746</v>
      </c>
      <c r="AM279" s="1" t="s">
        <v>845</v>
      </c>
      <c r="AN279" s="1"/>
      <c r="AO279" s="1" t="s">
        <v>206</v>
      </c>
      <c r="AP279" s="1"/>
      <c r="AQ279" s="1"/>
      <c r="AR279" s="2"/>
      <c r="AS279" s="1"/>
      <c r="AT279" s="1"/>
      <c r="AU279" s="1"/>
      <c r="AV279" s="1" t="s">
        <v>1941</v>
      </c>
      <c r="AW279" s="7">
        <v>44340.465807768851</v>
      </c>
      <c r="AX279" s="1" t="s">
        <v>497</v>
      </c>
      <c r="AY279" s="6">
        <v>148000</v>
      </c>
      <c r="AZ279" s="1"/>
      <c r="BA279" s="5">
        <v>44561</v>
      </c>
      <c r="BB279" s="7">
        <v>44561</v>
      </c>
      <c r="BC279" s="1" t="s">
        <v>1997</v>
      </c>
      <c r="BD279" s="1"/>
      <c r="BE279" s="1"/>
      <c r="BF279" s="1" t="s">
        <v>118</v>
      </c>
    </row>
    <row r="280" spans="1:58">
      <c r="A280" s="4">
        <v>275</v>
      </c>
      <c r="B280" s="2" t="str">
        <f>HYPERLINK("https://my.zakupki.prom.ua/remote/dispatcher/state_purchase_view/27957283", "UA-2021-07-05-004651-c")</f>
        <v>UA-2021-07-05-004651-c</v>
      </c>
      <c r="C280" s="2" t="s">
        <v>1459</v>
      </c>
      <c r="D280" s="1" t="s">
        <v>1529</v>
      </c>
      <c r="E280" s="1" t="s">
        <v>1529</v>
      </c>
      <c r="F280" s="1" t="s">
        <v>1025</v>
      </c>
      <c r="G280" s="1" t="s">
        <v>1346</v>
      </c>
      <c r="H280" s="1" t="s">
        <v>1800</v>
      </c>
      <c r="I280" s="1" t="s">
        <v>1379</v>
      </c>
      <c r="J280" s="1" t="s">
        <v>819</v>
      </c>
      <c r="K280" s="1" t="s">
        <v>1287</v>
      </c>
      <c r="L280" s="1" t="s">
        <v>1216</v>
      </c>
      <c r="M280" s="1" t="s">
        <v>119</v>
      </c>
      <c r="N280" s="1" t="s">
        <v>119</v>
      </c>
      <c r="O280" s="1" t="s">
        <v>119</v>
      </c>
      <c r="P280" s="5">
        <v>44382</v>
      </c>
      <c r="Q280" s="5">
        <v>44382</v>
      </c>
      <c r="R280" s="5">
        <v>44386</v>
      </c>
      <c r="S280" s="5">
        <v>44386</v>
      </c>
      <c r="T280" s="5">
        <v>44392</v>
      </c>
      <c r="U280" s="1" t="s">
        <v>1923</v>
      </c>
      <c r="V280" s="4">
        <v>1</v>
      </c>
      <c r="W280" s="6">
        <v>6000</v>
      </c>
      <c r="X280" s="1" t="s">
        <v>1459</v>
      </c>
      <c r="Y280" s="4">
        <v>1</v>
      </c>
      <c r="Z280" s="6">
        <v>6000</v>
      </c>
      <c r="AA280" s="1" t="s">
        <v>1976</v>
      </c>
      <c r="AB280" s="6">
        <v>30</v>
      </c>
      <c r="AC280" s="1" t="s">
        <v>1124</v>
      </c>
      <c r="AD280" s="1" t="s">
        <v>1800</v>
      </c>
      <c r="AE280" s="1" t="s">
        <v>1286</v>
      </c>
      <c r="AF280" s="1" t="s">
        <v>1463</v>
      </c>
      <c r="AG280" s="6">
        <v>5873.56</v>
      </c>
      <c r="AH280" s="6">
        <v>5873.56</v>
      </c>
      <c r="AI280" s="1" t="s">
        <v>1773</v>
      </c>
      <c r="AJ280" s="6">
        <v>126.4399999999996</v>
      </c>
      <c r="AK280" s="6">
        <v>2.1073333333333267E-2</v>
      </c>
      <c r="AL280" s="1"/>
      <c r="AM280" s="1"/>
      <c r="AN280" s="1"/>
      <c r="AO280" s="1"/>
      <c r="AP280" s="1"/>
      <c r="AQ280" s="1"/>
      <c r="AR280" s="2"/>
      <c r="AS280" s="1"/>
      <c r="AT280" s="1"/>
      <c r="AU280" s="1"/>
      <c r="AV280" s="1" t="s">
        <v>1948</v>
      </c>
      <c r="AW280" s="1"/>
      <c r="AX280" s="1"/>
      <c r="AY280" s="1"/>
      <c r="AZ280" s="1"/>
      <c r="BA280" s="5">
        <v>44439</v>
      </c>
      <c r="BB280" s="1"/>
      <c r="BC280" s="1"/>
      <c r="BD280" s="1"/>
      <c r="BE280" s="1"/>
      <c r="BF280" s="1" t="s">
        <v>911</v>
      </c>
    </row>
    <row r="281" spans="1:58">
      <c r="A281" s="4">
        <v>276</v>
      </c>
      <c r="B281" s="2" t="str">
        <f>HYPERLINK("https://my.zakupki.prom.ua/remote/dispatcher/state_purchase_view/14191657", "UA-2019-12-20-001598-b")</f>
        <v>UA-2019-12-20-001598-b</v>
      </c>
      <c r="C281" s="2" t="s">
        <v>1459</v>
      </c>
      <c r="D281" s="1" t="s">
        <v>1358</v>
      </c>
      <c r="E281" s="1" t="s">
        <v>903</v>
      </c>
      <c r="F281" s="1" t="s">
        <v>899</v>
      </c>
      <c r="G281" s="1" t="s">
        <v>1364</v>
      </c>
      <c r="H281" s="1" t="s">
        <v>1800</v>
      </c>
      <c r="I281" s="1" t="s">
        <v>1379</v>
      </c>
      <c r="J281" s="1" t="s">
        <v>819</v>
      </c>
      <c r="K281" s="1" t="s">
        <v>1287</v>
      </c>
      <c r="L281" s="1" t="s">
        <v>1915</v>
      </c>
      <c r="M281" s="1" t="s">
        <v>119</v>
      </c>
      <c r="N281" s="1" t="s">
        <v>119</v>
      </c>
      <c r="O281" s="1" t="s">
        <v>119</v>
      </c>
      <c r="P281" s="5">
        <v>43819</v>
      </c>
      <c r="Q281" s="1"/>
      <c r="R281" s="1"/>
      <c r="S281" s="1"/>
      <c r="T281" s="1"/>
      <c r="U281" s="1" t="s">
        <v>1922</v>
      </c>
      <c r="V281" s="4">
        <v>1</v>
      </c>
      <c r="W281" s="6">
        <v>1773.59</v>
      </c>
      <c r="X281" s="1" t="s">
        <v>1459</v>
      </c>
      <c r="Y281" s="4">
        <v>5</v>
      </c>
      <c r="Z281" s="6">
        <v>354.72</v>
      </c>
      <c r="AA281" s="1" t="s">
        <v>1961</v>
      </c>
      <c r="AB281" s="1" t="s">
        <v>1964</v>
      </c>
      <c r="AC281" s="1" t="s">
        <v>1124</v>
      </c>
      <c r="AD281" s="1" t="s">
        <v>1463</v>
      </c>
      <c r="AE281" s="1" t="s">
        <v>1286</v>
      </c>
      <c r="AF281" s="1" t="s">
        <v>1463</v>
      </c>
      <c r="AG281" s="6">
        <v>1773.59</v>
      </c>
      <c r="AH281" s="6">
        <v>354.71799999999996</v>
      </c>
      <c r="AI281" s="1"/>
      <c r="AJ281" s="1"/>
      <c r="AK281" s="1"/>
      <c r="AL281" s="1" t="s">
        <v>1905</v>
      </c>
      <c r="AM281" s="1" t="s">
        <v>531</v>
      </c>
      <c r="AN281" s="1"/>
      <c r="AO281" s="1" t="s">
        <v>238</v>
      </c>
      <c r="AP281" s="1"/>
      <c r="AQ281" s="1"/>
      <c r="AR281" s="2"/>
      <c r="AS281" s="1"/>
      <c r="AT281" s="1"/>
      <c r="AU281" s="1"/>
      <c r="AV281" s="1" t="s">
        <v>1941</v>
      </c>
      <c r="AW281" s="7">
        <v>43819.47751379382</v>
      </c>
      <c r="AX281" s="1" t="s">
        <v>371</v>
      </c>
      <c r="AY281" s="6">
        <v>1773.59</v>
      </c>
      <c r="AZ281" s="5">
        <v>43819</v>
      </c>
      <c r="BA281" s="5">
        <v>43830</v>
      </c>
      <c r="BB281" s="7">
        <v>43830</v>
      </c>
      <c r="BC281" s="1" t="s">
        <v>1997</v>
      </c>
      <c r="BD281" s="1"/>
      <c r="BE281" s="1"/>
      <c r="BF281" s="1" t="s">
        <v>118</v>
      </c>
    </row>
    <row r="282" spans="1:58">
      <c r="A282" s="4">
        <v>277</v>
      </c>
      <c r="B282" s="2" t="str">
        <f>HYPERLINK("https://my.zakupki.prom.ua/remote/dispatcher/state_purchase_view/12998775", "UA-2019-09-27-000380-b")</f>
        <v>UA-2019-09-27-000380-b</v>
      </c>
      <c r="C282" s="2" t="s">
        <v>1459</v>
      </c>
      <c r="D282" s="1" t="s">
        <v>901</v>
      </c>
      <c r="E282" s="1" t="s">
        <v>901</v>
      </c>
      <c r="F282" s="1" t="s">
        <v>899</v>
      </c>
      <c r="G282" s="1" t="s">
        <v>1364</v>
      </c>
      <c r="H282" s="1" t="s">
        <v>1800</v>
      </c>
      <c r="I282" s="1" t="s">
        <v>1379</v>
      </c>
      <c r="J282" s="1" t="s">
        <v>819</v>
      </c>
      <c r="K282" s="1" t="s">
        <v>1287</v>
      </c>
      <c r="L282" s="1" t="s">
        <v>1658</v>
      </c>
      <c r="M282" s="1" t="s">
        <v>119</v>
      </c>
      <c r="N282" s="1" t="s">
        <v>119</v>
      </c>
      <c r="O282" s="1" t="s">
        <v>119</v>
      </c>
      <c r="P282" s="5">
        <v>43735</v>
      </c>
      <c r="Q282" s="1"/>
      <c r="R282" s="1"/>
      <c r="S282" s="1"/>
      <c r="T282" s="1"/>
      <c r="U282" s="1" t="s">
        <v>1922</v>
      </c>
      <c r="V282" s="4">
        <v>1</v>
      </c>
      <c r="W282" s="6">
        <v>1217.57</v>
      </c>
      <c r="X282" s="1" t="s">
        <v>1459</v>
      </c>
      <c r="Y282" s="4">
        <v>5</v>
      </c>
      <c r="Z282" s="6">
        <v>243.51</v>
      </c>
      <c r="AA282" s="1" t="s">
        <v>1961</v>
      </c>
      <c r="AB282" s="1" t="s">
        <v>1964</v>
      </c>
      <c r="AC282" s="1" t="s">
        <v>1124</v>
      </c>
      <c r="AD282" s="1" t="s">
        <v>1463</v>
      </c>
      <c r="AE282" s="1" t="s">
        <v>1286</v>
      </c>
      <c r="AF282" s="1" t="s">
        <v>1463</v>
      </c>
      <c r="AG282" s="6">
        <v>1217.57</v>
      </c>
      <c r="AH282" s="6">
        <v>243.51399999999998</v>
      </c>
      <c r="AI282" s="1"/>
      <c r="AJ282" s="1"/>
      <c r="AK282" s="1"/>
      <c r="AL282" s="1" t="s">
        <v>1905</v>
      </c>
      <c r="AM282" s="1" t="s">
        <v>531</v>
      </c>
      <c r="AN282" s="1"/>
      <c r="AO282" s="1" t="s">
        <v>40</v>
      </c>
      <c r="AP282" s="1"/>
      <c r="AQ282" s="1"/>
      <c r="AR282" s="2"/>
      <c r="AS282" s="1"/>
      <c r="AT282" s="1"/>
      <c r="AU282" s="1"/>
      <c r="AV282" s="1" t="s">
        <v>1941</v>
      </c>
      <c r="AW282" s="7">
        <v>43735.420258685946</v>
      </c>
      <c r="AX282" s="1" t="s">
        <v>319</v>
      </c>
      <c r="AY282" s="6">
        <v>1217.57</v>
      </c>
      <c r="AZ282" s="5">
        <v>43733</v>
      </c>
      <c r="BA282" s="5">
        <v>43735</v>
      </c>
      <c r="BB282" s="7">
        <v>43830</v>
      </c>
      <c r="BC282" s="1" t="s">
        <v>1997</v>
      </c>
      <c r="BD282" s="1"/>
      <c r="BE282" s="1"/>
      <c r="BF282" s="1" t="s">
        <v>118</v>
      </c>
    </row>
    <row r="283" spans="1:58">
      <c r="A283" s="4">
        <v>278</v>
      </c>
      <c r="B283" s="2" t="str">
        <f>HYPERLINK("https://my.zakupki.prom.ua/remote/dispatcher/state_purchase_view/13491776", "UA-2019-11-08-001761-b")</f>
        <v>UA-2019-11-08-001761-b</v>
      </c>
      <c r="C283" s="2" t="s">
        <v>1459</v>
      </c>
      <c r="D283" s="1" t="s">
        <v>1558</v>
      </c>
      <c r="E283" s="1" t="s">
        <v>1558</v>
      </c>
      <c r="F283" s="1" t="s">
        <v>1058</v>
      </c>
      <c r="G283" s="1" t="s">
        <v>1364</v>
      </c>
      <c r="H283" s="1" t="s">
        <v>1800</v>
      </c>
      <c r="I283" s="1" t="s">
        <v>1379</v>
      </c>
      <c r="J283" s="1" t="s">
        <v>819</v>
      </c>
      <c r="K283" s="1" t="s">
        <v>1287</v>
      </c>
      <c r="L283" s="1" t="s">
        <v>1915</v>
      </c>
      <c r="M283" s="1" t="s">
        <v>119</v>
      </c>
      <c r="N283" s="1" t="s">
        <v>119</v>
      </c>
      <c r="O283" s="1" t="s">
        <v>119</v>
      </c>
      <c r="P283" s="5">
        <v>43777</v>
      </c>
      <c r="Q283" s="1"/>
      <c r="R283" s="1"/>
      <c r="S283" s="1"/>
      <c r="T283" s="1"/>
      <c r="U283" s="1" t="s">
        <v>1922</v>
      </c>
      <c r="V283" s="4">
        <v>1</v>
      </c>
      <c r="W283" s="6">
        <v>4186.3</v>
      </c>
      <c r="X283" s="1" t="s">
        <v>1459</v>
      </c>
      <c r="Y283" s="4">
        <v>1</v>
      </c>
      <c r="Z283" s="6">
        <v>4186.3</v>
      </c>
      <c r="AA283" s="1" t="s">
        <v>1976</v>
      </c>
      <c r="AB283" s="1" t="s">
        <v>1964</v>
      </c>
      <c r="AC283" s="1" t="s">
        <v>1124</v>
      </c>
      <c r="AD283" s="1" t="s">
        <v>1463</v>
      </c>
      <c r="AE283" s="1" t="s">
        <v>1286</v>
      </c>
      <c r="AF283" s="1" t="s">
        <v>1463</v>
      </c>
      <c r="AG283" s="6">
        <v>4186.3</v>
      </c>
      <c r="AH283" s="6">
        <v>4186.3</v>
      </c>
      <c r="AI283" s="1"/>
      <c r="AJ283" s="1"/>
      <c r="AK283" s="1"/>
      <c r="AL283" s="1" t="s">
        <v>1779</v>
      </c>
      <c r="AM283" s="1" t="s">
        <v>854</v>
      </c>
      <c r="AN283" s="1"/>
      <c r="AO283" s="1" t="s">
        <v>46</v>
      </c>
      <c r="AP283" s="1"/>
      <c r="AQ283" s="1"/>
      <c r="AR283" s="2"/>
      <c r="AS283" s="1"/>
      <c r="AT283" s="1"/>
      <c r="AU283" s="1"/>
      <c r="AV283" s="1" t="s">
        <v>1941</v>
      </c>
      <c r="AW283" s="7">
        <v>43777.56435769362</v>
      </c>
      <c r="AX283" s="1" t="s">
        <v>1083</v>
      </c>
      <c r="AY283" s="6">
        <v>4186.3</v>
      </c>
      <c r="AZ283" s="5">
        <v>43777</v>
      </c>
      <c r="BA283" s="5">
        <v>43830</v>
      </c>
      <c r="BB283" s="7">
        <v>43830</v>
      </c>
      <c r="BC283" s="1" t="s">
        <v>1997</v>
      </c>
      <c r="BD283" s="1"/>
      <c r="BE283" s="1"/>
      <c r="BF283" s="1" t="s">
        <v>118</v>
      </c>
    </row>
    <row r="284" spans="1:58">
      <c r="A284" s="4">
        <v>279</v>
      </c>
      <c r="B284" s="2" t="str">
        <f>HYPERLINK("https://my.zakupki.prom.ua/remote/dispatcher/state_purchase_view/11782277", "UA-2019-05-31-001164-b")</f>
        <v>UA-2019-05-31-001164-b</v>
      </c>
      <c r="C284" s="2" t="s">
        <v>1459</v>
      </c>
      <c r="D284" s="1" t="s">
        <v>732</v>
      </c>
      <c r="E284" s="1" t="s">
        <v>1292</v>
      </c>
      <c r="F284" s="1" t="s">
        <v>733</v>
      </c>
      <c r="G284" s="1" t="s">
        <v>1280</v>
      </c>
      <c r="H284" s="1" t="s">
        <v>1800</v>
      </c>
      <c r="I284" s="1" t="s">
        <v>1379</v>
      </c>
      <c r="J284" s="1" t="s">
        <v>819</v>
      </c>
      <c r="K284" s="1" t="s">
        <v>1287</v>
      </c>
      <c r="L284" s="1" t="s">
        <v>1224</v>
      </c>
      <c r="M284" s="1" t="s">
        <v>119</v>
      </c>
      <c r="N284" s="1" t="s">
        <v>119</v>
      </c>
      <c r="O284" s="1" t="s">
        <v>119</v>
      </c>
      <c r="P284" s="5">
        <v>43616</v>
      </c>
      <c r="Q284" s="5">
        <v>43616</v>
      </c>
      <c r="R284" s="5">
        <v>43623</v>
      </c>
      <c r="S284" s="5">
        <v>43616</v>
      </c>
      <c r="T284" s="5">
        <v>43633</v>
      </c>
      <c r="U284" s="1" t="s">
        <v>1923</v>
      </c>
      <c r="V284" s="4">
        <v>0</v>
      </c>
      <c r="W284" s="6">
        <v>5000</v>
      </c>
      <c r="X284" s="1" t="s">
        <v>1459</v>
      </c>
      <c r="Y284" s="1" t="s">
        <v>1956</v>
      </c>
      <c r="Z284" s="1" t="s">
        <v>1956</v>
      </c>
      <c r="AA284" s="1" t="s">
        <v>1956</v>
      </c>
      <c r="AB284" s="6">
        <v>50</v>
      </c>
      <c r="AC284" s="1" t="s">
        <v>1124</v>
      </c>
      <c r="AD284" s="1" t="s">
        <v>1800</v>
      </c>
      <c r="AE284" s="1" t="s">
        <v>1286</v>
      </c>
      <c r="AF284" s="1" t="s">
        <v>1463</v>
      </c>
      <c r="AG284" s="1"/>
      <c r="AH284" s="1" t="s">
        <v>1956</v>
      </c>
      <c r="AI284" s="1"/>
      <c r="AJ284" s="1"/>
      <c r="AK284" s="1"/>
      <c r="AL284" s="1"/>
      <c r="AM284" s="1"/>
      <c r="AN284" s="1"/>
      <c r="AO284" s="1"/>
      <c r="AP284" s="1"/>
      <c r="AQ284" s="1"/>
      <c r="AR284" s="2"/>
      <c r="AS284" s="1"/>
      <c r="AT284" s="1"/>
      <c r="AU284" s="1"/>
      <c r="AV284" s="1" t="s">
        <v>1942</v>
      </c>
      <c r="AW284" s="7">
        <v>43633.417087181202</v>
      </c>
      <c r="AX284" s="1"/>
      <c r="AY284" s="1"/>
      <c r="AZ284" s="1"/>
      <c r="BA284" s="5">
        <v>43830</v>
      </c>
      <c r="BB284" s="1"/>
      <c r="BC284" s="1"/>
      <c r="BD284" s="1"/>
      <c r="BE284" s="1"/>
      <c r="BF284" s="1"/>
    </row>
    <row r="285" spans="1:58">
      <c r="A285" s="4">
        <v>280</v>
      </c>
      <c r="B285" s="2" t="str">
        <f>HYPERLINK("https://my.zakupki.prom.ua/remote/dispatcher/state_purchase_view/12032827", "UA-2019-06-25-000176-c")</f>
        <v>UA-2019-06-25-000176-c</v>
      </c>
      <c r="C285" s="2" t="s">
        <v>1459</v>
      </c>
      <c r="D285" s="1" t="s">
        <v>1322</v>
      </c>
      <c r="E285" s="1" t="s">
        <v>1644</v>
      </c>
      <c r="F285" s="1" t="s">
        <v>750</v>
      </c>
      <c r="G285" s="1" t="s">
        <v>1280</v>
      </c>
      <c r="H285" s="1" t="s">
        <v>1800</v>
      </c>
      <c r="I285" s="1" t="s">
        <v>1379</v>
      </c>
      <c r="J285" s="1" t="s">
        <v>819</v>
      </c>
      <c r="K285" s="1" t="s">
        <v>1287</v>
      </c>
      <c r="L285" s="1" t="s">
        <v>1224</v>
      </c>
      <c r="M285" s="1" t="s">
        <v>119</v>
      </c>
      <c r="N285" s="1" t="s">
        <v>119</v>
      </c>
      <c r="O285" s="1" t="s">
        <v>119</v>
      </c>
      <c r="P285" s="5">
        <v>43641</v>
      </c>
      <c r="Q285" s="5">
        <v>43641</v>
      </c>
      <c r="R285" s="5">
        <v>43646</v>
      </c>
      <c r="S285" s="5">
        <v>43641</v>
      </c>
      <c r="T285" s="5">
        <v>43656</v>
      </c>
      <c r="U285" s="7">
        <v>43657.501608796294</v>
      </c>
      <c r="V285" s="4">
        <v>2</v>
      </c>
      <c r="W285" s="6">
        <v>45350</v>
      </c>
      <c r="X285" s="1" t="s">
        <v>1459</v>
      </c>
      <c r="Y285" s="1" t="s">
        <v>1956</v>
      </c>
      <c r="Z285" s="1" t="s">
        <v>1956</v>
      </c>
      <c r="AA285" s="1" t="s">
        <v>1956</v>
      </c>
      <c r="AB285" s="6">
        <v>453.5</v>
      </c>
      <c r="AC285" s="1" t="s">
        <v>1124</v>
      </c>
      <c r="AD285" s="1" t="s">
        <v>1800</v>
      </c>
      <c r="AE285" s="1" t="s">
        <v>1286</v>
      </c>
      <c r="AF285" s="1" t="s">
        <v>1463</v>
      </c>
      <c r="AG285" s="6">
        <v>45303</v>
      </c>
      <c r="AH285" s="1" t="s">
        <v>1956</v>
      </c>
      <c r="AI285" s="1" t="s">
        <v>1709</v>
      </c>
      <c r="AJ285" s="6">
        <v>47</v>
      </c>
      <c r="AK285" s="6">
        <v>1.0363836824696803E-3</v>
      </c>
      <c r="AL285" s="1" t="s">
        <v>1709</v>
      </c>
      <c r="AM285" s="1" t="s">
        <v>963</v>
      </c>
      <c r="AN285" s="1" t="s">
        <v>1149</v>
      </c>
      <c r="AO285" s="1" t="s">
        <v>73</v>
      </c>
      <c r="AP285" s="6">
        <v>47</v>
      </c>
      <c r="AQ285" s="6">
        <v>1.0363836824696803E-3</v>
      </c>
      <c r="AR285" s="2" t="str">
        <f>HYPERLINK("https://auction.openprocurement.org/tenders/9b963ee925df444eacd5ccc4ba0d8c35")</f>
        <v>https://auction.openprocurement.org/tenders/9b963ee925df444eacd5ccc4ba0d8c35</v>
      </c>
      <c r="AS285" s="7">
        <v>43664.388702378856</v>
      </c>
      <c r="AT285" s="5">
        <v>43675</v>
      </c>
      <c r="AU285" s="5">
        <v>43685</v>
      </c>
      <c r="AV285" s="1" t="s">
        <v>1941</v>
      </c>
      <c r="AW285" s="7">
        <v>43676.359012664398</v>
      </c>
      <c r="AX285" s="1" t="s">
        <v>1036</v>
      </c>
      <c r="AY285" s="6">
        <v>45303</v>
      </c>
      <c r="AZ285" s="1"/>
      <c r="BA285" s="5">
        <v>43830</v>
      </c>
      <c r="BB285" s="7">
        <v>43830</v>
      </c>
      <c r="BC285" s="1" t="s">
        <v>1997</v>
      </c>
      <c r="BD285" s="1"/>
      <c r="BE285" s="1"/>
      <c r="BF285" s="1" t="s">
        <v>966</v>
      </c>
    </row>
    <row r="286" spans="1:58">
      <c r="A286" s="4">
        <v>281</v>
      </c>
      <c r="B286" s="2" t="str">
        <f>HYPERLINK("https://my.zakupki.prom.ua/remote/dispatcher/state_purchase_view/11659165", "UA-2019-05-21-001661-a")</f>
        <v>UA-2019-05-21-001661-a</v>
      </c>
      <c r="C286" s="2" t="s">
        <v>1459</v>
      </c>
      <c r="D286" s="1" t="s">
        <v>1370</v>
      </c>
      <c r="E286" s="1" t="s">
        <v>1370</v>
      </c>
      <c r="F286" s="1" t="s">
        <v>908</v>
      </c>
      <c r="G286" s="1" t="s">
        <v>1346</v>
      </c>
      <c r="H286" s="1" t="s">
        <v>1800</v>
      </c>
      <c r="I286" s="1" t="s">
        <v>1379</v>
      </c>
      <c r="J286" s="1" t="s">
        <v>819</v>
      </c>
      <c r="K286" s="1" t="s">
        <v>1287</v>
      </c>
      <c r="L286" s="1" t="s">
        <v>1224</v>
      </c>
      <c r="M286" s="1" t="s">
        <v>119</v>
      </c>
      <c r="N286" s="1" t="s">
        <v>119</v>
      </c>
      <c r="O286" s="1" t="s">
        <v>119</v>
      </c>
      <c r="P286" s="5">
        <v>43606</v>
      </c>
      <c r="Q286" s="5">
        <v>43606</v>
      </c>
      <c r="R286" s="5">
        <v>43608</v>
      </c>
      <c r="S286" s="5">
        <v>43608</v>
      </c>
      <c r="T286" s="5">
        <v>43612</v>
      </c>
      <c r="U286" s="1" t="s">
        <v>1923</v>
      </c>
      <c r="V286" s="4">
        <v>1</v>
      </c>
      <c r="W286" s="6">
        <v>5470</v>
      </c>
      <c r="X286" s="1" t="s">
        <v>1459</v>
      </c>
      <c r="Y286" s="4">
        <v>235</v>
      </c>
      <c r="Z286" s="6">
        <v>23.28</v>
      </c>
      <c r="AA286" s="1" t="s">
        <v>2023</v>
      </c>
      <c r="AB286" s="6">
        <v>54.7</v>
      </c>
      <c r="AC286" s="1" t="s">
        <v>1124</v>
      </c>
      <c r="AD286" s="1" t="s">
        <v>1800</v>
      </c>
      <c r="AE286" s="1" t="s">
        <v>1286</v>
      </c>
      <c r="AF286" s="1" t="s">
        <v>1463</v>
      </c>
      <c r="AG286" s="6">
        <v>3908.7</v>
      </c>
      <c r="AH286" s="6">
        <v>16.632765957446807</v>
      </c>
      <c r="AI286" s="1" t="s">
        <v>1697</v>
      </c>
      <c r="AJ286" s="6">
        <v>1561.3000000000002</v>
      </c>
      <c r="AK286" s="6">
        <v>0.28542961608775141</v>
      </c>
      <c r="AL286" s="1" t="s">
        <v>1697</v>
      </c>
      <c r="AM286" s="1" t="s">
        <v>888</v>
      </c>
      <c r="AN286" s="1" t="s">
        <v>1135</v>
      </c>
      <c r="AO286" s="1" t="s">
        <v>48</v>
      </c>
      <c r="AP286" s="6">
        <v>1561.3000000000002</v>
      </c>
      <c r="AQ286" s="6">
        <v>0.28542961608775141</v>
      </c>
      <c r="AR286" s="2"/>
      <c r="AS286" s="7">
        <v>43615.505717383603</v>
      </c>
      <c r="AT286" s="5">
        <v>43619</v>
      </c>
      <c r="AU286" s="5">
        <v>43638</v>
      </c>
      <c r="AV286" s="1" t="s">
        <v>1941</v>
      </c>
      <c r="AW286" s="7">
        <v>43629.632761427602</v>
      </c>
      <c r="AX286" s="1" t="s">
        <v>975</v>
      </c>
      <c r="AY286" s="6">
        <v>3908.7</v>
      </c>
      <c r="AZ286" s="1"/>
      <c r="BA286" s="5">
        <v>43630</v>
      </c>
      <c r="BB286" s="7">
        <v>43830</v>
      </c>
      <c r="BC286" s="1" t="s">
        <v>1997</v>
      </c>
      <c r="BD286" s="1"/>
      <c r="BE286" s="1"/>
      <c r="BF286" s="1" t="s">
        <v>889</v>
      </c>
    </row>
    <row r="287" spans="1:58">
      <c r="A287" s="4">
        <v>282</v>
      </c>
      <c r="B287" s="2" t="str">
        <f>HYPERLINK("https://my.zakupki.prom.ua/remote/dispatcher/state_purchase_view/11775759", "UA-2019-05-31-000283-b")</f>
        <v>UA-2019-05-31-000283-b</v>
      </c>
      <c r="C287" s="2" t="s">
        <v>1459</v>
      </c>
      <c r="D287" s="1" t="s">
        <v>1900</v>
      </c>
      <c r="E287" s="1" t="s">
        <v>1902</v>
      </c>
      <c r="F287" s="1" t="s">
        <v>907</v>
      </c>
      <c r="G287" s="1" t="s">
        <v>1346</v>
      </c>
      <c r="H287" s="1" t="s">
        <v>1800</v>
      </c>
      <c r="I287" s="1" t="s">
        <v>1379</v>
      </c>
      <c r="J287" s="1" t="s">
        <v>819</v>
      </c>
      <c r="K287" s="1" t="s">
        <v>1287</v>
      </c>
      <c r="L287" s="1" t="s">
        <v>1224</v>
      </c>
      <c r="M287" s="1" t="s">
        <v>119</v>
      </c>
      <c r="N287" s="1" t="s">
        <v>119</v>
      </c>
      <c r="O287" s="1" t="s">
        <v>119</v>
      </c>
      <c r="P287" s="5">
        <v>43616</v>
      </c>
      <c r="Q287" s="5">
        <v>43616</v>
      </c>
      <c r="R287" s="5">
        <v>43621</v>
      </c>
      <c r="S287" s="5">
        <v>43621</v>
      </c>
      <c r="T287" s="5">
        <v>43623</v>
      </c>
      <c r="U287" s="7">
        <v>43626.553425925929</v>
      </c>
      <c r="V287" s="4">
        <v>3</v>
      </c>
      <c r="W287" s="6">
        <v>130000</v>
      </c>
      <c r="X287" s="1" t="s">
        <v>1459</v>
      </c>
      <c r="Y287" s="4">
        <v>4</v>
      </c>
      <c r="Z287" s="6">
        <v>32500</v>
      </c>
      <c r="AA287" s="1" t="s">
        <v>2023</v>
      </c>
      <c r="AB287" s="6">
        <v>650</v>
      </c>
      <c r="AC287" s="1" t="s">
        <v>1124</v>
      </c>
      <c r="AD287" s="1" t="s">
        <v>1800</v>
      </c>
      <c r="AE287" s="1" t="s">
        <v>1286</v>
      </c>
      <c r="AF287" s="1" t="s">
        <v>1463</v>
      </c>
      <c r="AG287" s="6">
        <v>127972</v>
      </c>
      <c r="AH287" s="6">
        <v>31993</v>
      </c>
      <c r="AI287" s="1" t="s">
        <v>1713</v>
      </c>
      <c r="AJ287" s="6">
        <v>2028</v>
      </c>
      <c r="AK287" s="6">
        <v>1.5599999999999999E-2</v>
      </c>
      <c r="AL287" s="1" t="s">
        <v>1709</v>
      </c>
      <c r="AM287" s="1" t="s">
        <v>963</v>
      </c>
      <c r="AN287" s="1" t="s">
        <v>1149</v>
      </c>
      <c r="AO287" s="1" t="s">
        <v>73</v>
      </c>
      <c r="AP287" s="6">
        <v>203.19999999999709</v>
      </c>
      <c r="AQ287" s="6">
        <v>1.5630769230769008E-3</v>
      </c>
      <c r="AR287" s="2" t="str">
        <f>HYPERLINK("https://auction.openprocurement.org/tenders/11b2de4e0ec54d0988459dec3468b217")</f>
        <v>https://auction.openprocurement.org/tenders/11b2de4e0ec54d0988459dec3468b217</v>
      </c>
      <c r="AS287" s="7">
        <v>43635.572109206172</v>
      </c>
      <c r="AT287" s="5">
        <v>43637</v>
      </c>
      <c r="AU287" s="5">
        <v>43651</v>
      </c>
      <c r="AV287" s="1" t="s">
        <v>1941</v>
      </c>
      <c r="AW287" s="7">
        <v>43640.36979930634</v>
      </c>
      <c r="AX287" s="1" t="s">
        <v>1003</v>
      </c>
      <c r="AY287" s="6">
        <v>129796.8</v>
      </c>
      <c r="AZ287" s="1"/>
      <c r="BA287" s="5">
        <v>43643</v>
      </c>
      <c r="BB287" s="7">
        <v>43830</v>
      </c>
      <c r="BC287" s="1" t="s">
        <v>1997</v>
      </c>
      <c r="BD287" s="1"/>
      <c r="BE287" s="1"/>
      <c r="BF287" s="1" t="s">
        <v>447</v>
      </c>
    </row>
    <row r="288" spans="1:58">
      <c r="A288" s="4">
        <v>283</v>
      </c>
      <c r="B288" s="2" t="str">
        <f>HYPERLINK("https://my.zakupki.prom.ua/remote/dispatcher/state_purchase_view/12130671", "UA-2019-07-04-001320-a")</f>
        <v>UA-2019-07-04-001320-a</v>
      </c>
      <c r="C288" s="2" t="s">
        <v>1459</v>
      </c>
      <c r="D288" s="1" t="s">
        <v>367</v>
      </c>
      <c r="E288" s="1" t="s">
        <v>1211</v>
      </c>
      <c r="F288" s="1" t="s">
        <v>364</v>
      </c>
      <c r="G288" s="1" t="s">
        <v>1280</v>
      </c>
      <c r="H288" s="1" t="s">
        <v>1800</v>
      </c>
      <c r="I288" s="1" t="s">
        <v>1379</v>
      </c>
      <c r="J288" s="1" t="s">
        <v>819</v>
      </c>
      <c r="K288" s="1" t="s">
        <v>1287</v>
      </c>
      <c r="L288" s="1" t="s">
        <v>1224</v>
      </c>
      <c r="M288" s="1" t="s">
        <v>119</v>
      </c>
      <c r="N288" s="1" t="s">
        <v>119</v>
      </c>
      <c r="O288" s="1" t="s">
        <v>119</v>
      </c>
      <c r="P288" s="5">
        <v>43650</v>
      </c>
      <c r="Q288" s="5">
        <v>43650</v>
      </c>
      <c r="R288" s="5">
        <v>43656</v>
      </c>
      <c r="S288" s="5">
        <v>43650</v>
      </c>
      <c r="T288" s="5">
        <v>43666</v>
      </c>
      <c r="U288" s="1" t="s">
        <v>1923</v>
      </c>
      <c r="V288" s="4">
        <v>1</v>
      </c>
      <c r="W288" s="6">
        <v>9300</v>
      </c>
      <c r="X288" s="1" t="s">
        <v>1459</v>
      </c>
      <c r="Y288" s="4">
        <v>160</v>
      </c>
      <c r="Z288" s="6">
        <v>58.12</v>
      </c>
      <c r="AA288" s="1" t="s">
        <v>2023</v>
      </c>
      <c r="AB288" s="6">
        <v>93</v>
      </c>
      <c r="AC288" s="1" t="s">
        <v>1124</v>
      </c>
      <c r="AD288" s="1" t="s">
        <v>1800</v>
      </c>
      <c r="AE288" s="1" t="s">
        <v>1286</v>
      </c>
      <c r="AF288" s="1" t="s">
        <v>1463</v>
      </c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2"/>
      <c r="AS288" s="1"/>
      <c r="AT288" s="1"/>
      <c r="AU288" s="1"/>
      <c r="AV288" s="1" t="s">
        <v>1942</v>
      </c>
      <c r="AW288" s="7">
        <v>43666.458984397359</v>
      </c>
      <c r="AX288" s="1"/>
      <c r="AY288" s="1"/>
      <c r="AZ288" s="1"/>
      <c r="BA288" s="5">
        <v>43830</v>
      </c>
      <c r="BB288" s="1"/>
      <c r="BC288" s="1"/>
      <c r="BD288" s="1"/>
      <c r="BE288" s="1"/>
      <c r="BF288" s="1" t="s">
        <v>653</v>
      </c>
    </row>
    <row r="289" spans="1:58">
      <c r="A289" s="4">
        <v>284</v>
      </c>
      <c r="B289" s="2" t="str">
        <f>HYPERLINK("https://my.zakupki.prom.ua/remote/dispatcher/state_purchase_view/12370837", "UA-2019-07-29-001355-b")</f>
        <v>UA-2019-07-29-001355-b</v>
      </c>
      <c r="C289" s="2" t="s">
        <v>1459</v>
      </c>
      <c r="D289" s="1" t="s">
        <v>1969</v>
      </c>
      <c r="E289" s="1" t="s">
        <v>1511</v>
      </c>
      <c r="F289" s="1" t="s">
        <v>626</v>
      </c>
      <c r="G289" s="1" t="s">
        <v>1346</v>
      </c>
      <c r="H289" s="1" t="s">
        <v>1800</v>
      </c>
      <c r="I289" s="1" t="s">
        <v>1379</v>
      </c>
      <c r="J289" s="1" t="s">
        <v>819</v>
      </c>
      <c r="K289" s="1" t="s">
        <v>1287</v>
      </c>
      <c r="L289" s="1" t="s">
        <v>1658</v>
      </c>
      <c r="M289" s="1" t="s">
        <v>119</v>
      </c>
      <c r="N289" s="1" t="s">
        <v>119</v>
      </c>
      <c r="O289" s="1" t="s">
        <v>119</v>
      </c>
      <c r="P289" s="5">
        <v>43675</v>
      </c>
      <c r="Q289" s="5">
        <v>43675</v>
      </c>
      <c r="R289" s="5">
        <v>43677</v>
      </c>
      <c r="S289" s="5">
        <v>43677</v>
      </c>
      <c r="T289" s="5">
        <v>43679</v>
      </c>
      <c r="U289" s="7">
        <v>43682.54115740741</v>
      </c>
      <c r="V289" s="4">
        <v>2</v>
      </c>
      <c r="W289" s="6">
        <v>11394</v>
      </c>
      <c r="X289" s="1" t="s">
        <v>1459</v>
      </c>
      <c r="Y289" s="4">
        <v>150</v>
      </c>
      <c r="Z289" s="6">
        <v>75.959999999999994</v>
      </c>
      <c r="AA289" s="1" t="s">
        <v>1970</v>
      </c>
      <c r="AB289" s="6">
        <v>113.94</v>
      </c>
      <c r="AC289" s="1" t="s">
        <v>1124</v>
      </c>
      <c r="AD289" s="1" t="s">
        <v>1800</v>
      </c>
      <c r="AE289" s="1" t="s">
        <v>1286</v>
      </c>
      <c r="AF289" s="1" t="s">
        <v>1463</v>
      </c>
      <c r="AG289" s="6">
        <v>9858</v>
      </c>
      <c r="AH289" s="6">
        <v>65.72</v>
      </c>
      <c r="AI289" s="1" t="s">
        <v>1716</v>
      </c>
      <c r="AJ289" s="6">
        <v>1536</v>
      </c>
      <c r="AK289" s="6">
        <v>0.13480779357556608</v>
      </c>
      <c r="AL289" s="1" t="s">
        <v>1697</v>
      </c>
      <c r="AM289" s="1" t="s">
        <v>888</v>
      </c>
      <c r="AN289" s="1" t="s">
        <v>1135</v>
      </c>
      <c r="AO289" s="1" t="s">
        <v>48</v>
      </c>
      <c r="AP289" s="6">
        <v>1535.3999999999996</v>
      </c>
      <c r="AQ289" s="6">
        <v>0.13475513428120059</v>
      </c>
      <c r="AR289" s="2" t="str">
        <f>HYPERLINK("https://auction.openprocurement.org/tenders/e2e3c847fa4942dcb1f55ccb97598f9d")</f>
        <v>https://auction.openprocurement.org/tenders/e2e3c847fa4942dcb1f55ccb97598f9d</v>
      </c>
      <c r="AS289" s="7">
        <v>43684.550851526066</v>
      </c>
      <c r="AT289" s="5">
        <v>43686</v>
      </c>
      <c r="AU289" s="5">
        <v>43707</v>
      </c>
      <c r="AV289" s="1" t="s">
        <v>1941</v>
      </c>
      <c r="AW289" s="7">
        <v>43693.600741115326</v>
      </c>
      <c r="AX289" s="1" t="s">
        <v>1924</v>
      </c>
      <c r="AY289" s="6">
        <v>9858.6</v>
      </c>
      <c r="AZ289" s="1"/>
      <c r="BA289" s="5">
        <v>43708</v>
      </c>
      <c r="BB289" s="7">
        <v>43830</v>
      </c>
      <c r="BC289" s="1" t="s">
        <v>1997</v>
      </c>
      <c r="BD289" s="1"/>
      <c r="BE289" s="1"/>
      <c r="BF289" s="1" t="s">
        <v>629</v>
      </c>
    </row>
    <row r="290" spans="1:58">
      <c r="A290" s="4">
        <v>285</v>
      </c>
      <c r="B290" s="2" t="str">
        <f>HYPERLINK("https://my.zakupki.prom.ua/remote/dispatcher/state_purchase_view/10755920", "UA-2019-02-28-000277-a")</f>
        <v>UA-2019-02-28-000277-a</v>
      </c>
      <c r="C290" s="2" t="s">
        <v>1459</v>
      </c>
      <c r="D290" s="1" t="s">
        <v>1366</v>
      </c>
      <c r="E290" s="1" t="s">
        <v>1368</v>
      </c>
      <c r="F290" s="1" t="s">
        <v>1019</v>
      </c>
      <c r="G290" s="1" t="s">
        <v>1346</v>
      </c>
      <c r="H290" s="1" t="s">
        <v>1800</v>
      </c>
      <c r="I290" s="1" t="s">
        <v>1379</v>
      </c>
      <c r="J290" s="1" t="s">
        <v>819</v>
      </c>
      <c r="K290" s="1" t="s">
        <v>1287</v>
      </c>
      <c r="L290" s="1" t="s">
        <v>1224</v>
      </c>
      <c r="M290" s="1" t="s">
        <v>119</v>
      </c>
      <c r="N290" s="1" t="s">
        <v>119</v>
      </c>
      <c r="O290" s="1" t="s">
        <v>119</v>
      </c>
      <c r="P290" s="5">
        <v>43524</v>
      </c>
      <c r="Q290" s="5">
        <v>43524</v>
      </c>
      <c r="R290" s="5">
        <v>43529</v>
      </c>
      <c r="S290" s="5">
        <v>43529</v>
      </c>
      <c r="T290" s="5">
        <v>43531</v>
      </c>
      <c r="U290" s="7">
        <v>43535.481388888889</v>
      </c>
      <c r="V290" s="4">
        <v>7</v>
      </c>
      <c r="W290" s="6">
        <v>41000</v>
      </c>
      <c r="X290" s="1" t="s">
        <v>1459</v>
      </c>
      <c r="Y290" s="1" t="s">
        <v>1956</v>
      </c>
      <c r="Z290" s="1" t="s">
        <v>1956</v>
      </c>
      <c r="AA290" s="1" t="s">
        <v>1956</v>
      </c>
      <c r="AB290" s="6">
        <v>205</v>
      </c>
      <c r="AC290" s="1" t="s">
        <v>1124</v>
      </c>
      <c r="AD290" s="1" t="s">
        <v>1800</v>
      </c>
      <c r="AE290" s="1" t="s">
        <v>1286</v>
      </c>
      <c r="AF290" s="1" t="s">
        <v>1463</v>
      </c>
      <c r="AG290" s="6">
        <v>15470</v>
      </c>
      <c r="AH290" s="1" t="s">
        <v>1956</v>
      </c>
      <c r="AI290" s="1" t="s">
        <v>1844</v>
      </c>
      <c r="AJ290" s="6">
        <v>25530</v>
      </c>
      <c r="AK290" s="6">
        <v>0.62268292682926829</v>
      </c>
      <c r="AL290" s="1" t="s">
        <v>1844</v>
      </c>
      <c r="AM290" s="1" t="s">
        <v>678</v>
      </c>
      <c r="AN290" s="1" t="s">
        <v>1176</v>
      </c>
      <c r="AO290" s="1" t="s">
        <v>44</v>
      </c>
      <c r="AP290" s="6">
        <v>25530</v>
      </c>
      <c r="AQ290" s="6">
        <v>0.62268292682926829</v>
      </c>
      <c r="AR290" s="2" t="str">
        <f>HYPERLINK("https://auction.openprocurement.org/tenders/f0988a67d5eb4e0481f9f78bd8c45106")</f>
        <v>https://auction.openprocurement.org/tenders/f0988a67d5eb4e0481f9f78bd8c45106</v>
      </c>
      <c r="AS290" s="7">
        <v>43536.433374394743</v>
      </c>
      <c r="AT290" s="5">
        <v>43538</v>
      </c>
      <c r="AU290" s="5">
        <v>43559</v>
      </c>
      <c r="AV290" s="1" t="s">
        <v>1941</v>
      </c>
      <c r="AW290" s="7">
        <v>43549.492856742625</v>
      </c>
      <c r="AX290" s="1" t="s">
        <v>490</v>
      </c>
      <c r="AY290" s="6">
        <v>15470</v>
      </c>
      <c r="AZ290" s="1"/>
      <c r="BA290" s="5">
        <v>43830</v>
      </c>
      <c r="BB290" s="7">
        <v>43830</v>
      </c>
      <c r="BC290" s="1" t="s">
        <v>1997</v>
      </c>
      <c r="BD290" s="1"/>
      <c r="BE290" s="1"/>
      <c r="BF290" s="1" t="s">
        <v>681</v>
      </c>
    </row>
    <row r="291" spans="1:58">
      <c r="A291" s="4">
        <v>286</v>
      </c>
      <c r="B291" s="2" t="str">
        <f>HYPERLINK("https://my.zakupki.prom.ua/remote/dispatcher/state_purchase_view/11418347", "UA-2019-04-24-001413-b")</f>
        <v>UA-2019-04-24-001413-b</v>
      </c>
      <c r="C291" s="2" t="s">
        <v>1459</v>
      </c>
      <c r="D291" s="1" t="s">
        <v>1301</v>
      </c>
      <c r="E291" s="1" t="s">
        <v>1301</v>
      </c>
      <c r="F291" s="1" t="s">
        <v>879</v>
      </c>
      <c r="G291" s="1" t="s">
        <v>1346</v>
      </c>
      <c r="H291" s="1" t="s">
        <v>1800</v>
      </c>
      <c r="I291" s="1" t="s">
        <v>1379</v>
      </c>
      <c r="J291" s="1" t="s">
        <v>819</v>
      </c>
      <c r="K291" s="1" t="s">
        <v>1287</v>
      </c>
      <c r="L291" s="1" t="s">
        <v>1224</v>
      </c>
      <c r="M291" s="1" t="s">
        <v>119</v>
      </c>
      <c r="N291" s="1" t="s">
        <v>119</v>
      </c>
      <c r="O291" s="1" t="s">
        <v>119</v>
      </c>
      <c r="P291" s="5">
        <v>43579</v>
      </c>
      <c r="Q291" s="5">
        <v>43579</v>
      </c>
      <c r="R291" s="5">
        <v>43581</v>
      </c>
      <c r="S291" s="5">
        <v>43581</v>
      </c>
      <c r="T291" s="5">
        <v>43591</v>
      </c>
      <c r="U291" s="1" t="s">
        <v>1923</v>
      </c>
      <c r="V291" s="4">
        <v>0</v>
      </c>
      <c r="W291" s="6">
        <v>5000</v>
      </c>
      <c r="X291" s="1" t="s">
        <v>1459</v>
      </c>
      <c r="Y291" s="4">
        <v>125</v>
      </c>
      <c r="Z291" s="6">
        <v>40</v>
      </c>
      <c r="AA291" s="1" t="s">
        <v>2023</v>
      </c>
      <c r="AB291" s="6">
        <v>25</v>
      </c>
      <c r="AC291" s="1" t="s">
        <v>1124</v>
      </c>
      <c r="AD291" s="1" t="s">
        <v>1800</v>
      </c>
      <c r="AE291" s="1" t="s">
        <v>1286</v>
      </c>
      <c r="AF291" s="1" t="s">
        <v>1463</v>
      </c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2"/>
      <c r="AS291" s="1"/>
      <c r="AT291" s="1"/>
      <c r="AU291" s="1"/>
      <c r="AV291" s="1" t="s">
        <v>1942</v>
      </c>
      <c r="AW291" s="7">
        <v>43591.53187625359</v>
      </c>
      <c r="AX291" s="1"/>
      <c r="AY291" s="1"/>
      <c r="AZ291" s="1"/>
      <c r="BA291" s="5">
        <v>43612</v>
      </c>
      <c r="BB291" s="1"/>
      <c r="BC291" s="1"/>
      <c r="BD291" s="1"/>
      <c r="BE291" s="1"/>
      <c r="BF291" s="1"/>
    </row>
    <row r="292" spans="1:58">
      <c r="A292" s="4">
        <v>287</v>
      </c>
      <c r="B292" s="2" t="str">
        <f>HYPERLINK("https://my.zakupki.prom.ua/remote/dispatcher/state_purchase_view/13286595", "UA-2019-10-23-002357-b")</f>
        <v>UA-2019-10-23-002357-b</v>
      </c>
      <c r="C292" s="2" t="s">
        <v>1459</v>
      </c>
      <c r="D292" s="1" t="s">
        <v>752</v>
      </c>
      <c r="E292" s="1" t="s">
        <v>1643</v>
      </c>
      <c r="F292" s="1" t="s">
        <v>750</v>
      </c>
      <c r="G292" s="1" t="s">
        <v>1280</v>
      </c>
      <c r="H292" s="1" t="s">
        <v>1800</v>
      </c>
      <c r="I292" s="1" t="s">
        <v>1379</v>
      </c>
      <c r="J292" s="1" t="s">
        <v>819</v>
      </c>
      <c r="K292" s="1" t="s">
        <v>1287</v>
      </c>
      <c r="L292" s="1" t="s">
        <v>1915</v>
      </c>
      <c r="M292" s="1" t="s">
        <v>119</v>
      </c>
      <c r="N292" s="1" t="s">
        <v>119</v>
      </c>
      <c r="O292" s="1" t="s">
        <v>119</v>
      </c>
      <c r="P292" s="5">
        <v>43761</v>
      </c>
      <c r="Q292" s="5">
        <v>43761</v>
      </c>
      <c r="R292" s="5">
        <v>43770</v>
      </c>
      <c r="S292" s="5">
        <v>43761</v>
      </c>
      <c r="T292" s="5">
        <v>43780</v>
      </c>
      <c r="U292" s="7">
        <v>43781.548564814817</v>
      </c>
      <c r="V292" s="4">
        <v>2</v>
      </c>
      <c r="W292" s="6">
        <v>85108</v>
      </c>
      <c r="X292" s="1" t="s">
        <v>1459</v>
      </c>
      <c r="Y292" s="1" t="s">
        <v>1956</v>
      </c>
      <c r="Z292" s="1" t="s">
        <v>1956</v>
      </c>
      <c r="AA292" s="1" t="s">
        <v>1956</v>
      </c>
      <c r="AB292" s="6">
        <v>851.08</v>
      </c>
      <c r="AC292" s="1" t="s">
        <v>1124</v>
      </c>
      <c r="AD292" s="1" t="s">
        <v>1800</v>
      </c>
      <c r="AE292" s="1" t="s">
        <v>1286</v>
      </c>
      <c r="AF292" s="1" t="s">
        <v>1463</v>
      </c>
      <c r="AG292" s="6">
        <v>85107.8</v>
      </c>
      <c r="AH292" s="1" t="s">
        <v>1956</v>
      </c>
      <c r="AI292" s="1" t="s">
        <v>1709</v>
      </c>
      <c r="AJ292" s="6">
        <v>0.19999999999708962</v>
      </c>
      <c r="AK292" s="6">
        <v>2.3499553508141375E-6</v>
      </c>
      <c r="AL292" s="1" t="s">
        <v>1709</v>
      </c>
      <c r="AM292" s="1" t="s">
        <v>963</v>
      </c>
      <c r="AN292" s="1" t="s">
        <v>1149</v>
      </c>
      <c r="AO292" s="1" t="s">
        <v>73</v>
      </c>
      <c r="AP292" s="6">
        <v>0.19999999999708962</v>
      </c>
      <c r="AQ292" s="6">
        <v>2.3499553508141375E-6</v>
      </c>
      <c r="AR292" s="2" t="str">
        <f>HYPERLINK("https://auction.openprocurement.org/tenders/83c02fff275e4a7ebf70e67714f7a248")</f>
        <v>https://auction.openprocurement.org/tenders/83c02fff275e4a7ebf70e67714f7a248</v>
      </c>
      <c r="AS292" s="7">
        <v>43787.568365876628</v>
      </c>
      <c r="AT292" s="5">
        <v>43798</v>
      </c>
      <c r="AU292" s="5">
        <v>43808</v>
      </c>
      <c r="AV292" s="1" t="s">
        <v>1941</v>
      </c>
      <c r="AW292" s="7">
        <v>43798.478258442789</v>
      </c>
      <c r="AX292" s="1" t="s">
        <v>579</v>
      </c>
      <c r="AY292" s="6">
        <v>85107.8</v>
      </c>
      <c r="AZ292" s="1"/>
      <c r="BA292" s="5">
        <v>43830</v>
      </c>
      <c r="BB292" s="7">
        <v>43830</v>
      </c>
      <c r="BC292" s="1" t="s">
        <v>1997</v>
      </c>
      <c r="BD292" s="1"/>
      <c r="BE292" s="1"/>
      <c r="BF292" s="1" t="s">
        <v>967</v>
      </c>
    </row>
    <row r="293" spans="1:58">
      <c r="A293" s="4">
        <v>288</v>
      </c>
      <c r="B293" s="2" t="str">
        <f>HYPERLINK("https://my.zakupki.prom.ua/remote/dispatcher/state_purchase_view/10029639", "UA-2019-01-22-003344-b")</f>
        <v>UA-2019-01-22-003344-b</v>
      </c>
      <c r="C293" s="2" t="s">
        <v>1459</v>
      </c>
      <c r="D293" s="1" t="s">
        <v>741</v>
      </c>
      <c r="E293" s="1" t="s">
        <v>1237</v>
      </c>
      <c r="F293" s="1" t="s">
        <v>733</v>
      </c>
      <c r="G293" s="1" t="s">
        <v>1280</v>
      </c>
      <c r="H293" s="1" t="s">
        <v>1800</v>
      </c>
      <c r="I293" s="1" t="s">
        <v>1379</v>
      </c>
      <c r="J293" s="1" t="s">
        <v>819</v>
      </c>
      <c r="K293" s="1" t="s">
        <v>1287</v>
      </c>
      <c r="L293" s="1" t="s">
        <v>1224</v>
      </c>
      <c r="M293" s="1" t="s">
        <v>119</v>
      </c>
      <c r="N293" s="1" t="s">
        <v>119</v>
      </c>
      <c r="O293" s="1" t="s">
        <v>119</v>
      </c>
      <c r="P293" s="5">
        <v>43487</v>
      </c>
      <c r="Q293" s="5">
        <v>43487</v>
      </c>
      <c r="R293" s="5">
        <v>43494</v>
      </c>
      <c r="S293" s="5">
        <v>43487</v>
      </c>
      <c r="T293" s="5">
        <v>43504</v>
      </c>
      <c r="U293" s="7">
        <v>43507.624675925923</v>
      </c>
      <c r="V293" s="4">
        <v>3</v>
      </c>
      <c r="W293" s="6">
        <v>283960</v>
      </c>
      <c r="X293" s="1" t="s">
        <v>1459</v>
      </c>
      <c r="Y293" s="4">
        <v>1808</v>
      </c>
      <c r="Z293" s="6">
        <v>157.06</v>
      </c>
      <c r="AA293" s="1" t="s">
        <v>2017</v>
      </c>
      <c r="AB293" s="6">
        <v>1419.8</v>
      </c>
      <c r="AC293" s="1" t="s">
        <v>1124</v>
      </c>
      <c r="AD293" s="1" t="s">
        <v>1800</v>
      </c>
      <c r="AE293" s="1" t="s">
        <v>1286</v>
      </c>
      <c r="AF293" s="1" t="s">
        <v>1463</v>
      </c>
      <c r="AG293" s="6">
        <v>264952.33</v>
      </c>
      <c r="AH293" s="6">
        <v>146.54443030973451</v>
      </c>
      <c r="AI293" s="1" t="s">
        <v>1650</v>
      </c>
      <c r="AJ293" s="6">
        <v>19007.669999999984</v>
      </c>
      <c r="AK293" s="6">
        <v>6.6937843358219409E-2</v>
      </c>
      <c r="AL293" s="1" t="s">
        <v>1650</v>
      </c>
      <c r="AM293" s="1" t="s">
        <v>440</v>
      </c>
      <c r="AN293" s="1" t="s">
        <v>1168</v>
      </c>
      <c r="AO293" s="1" t="s">
        <v>55</v>
      </c>
      <c r="AP293" s="6">
        <v>19007.669999999984</v>
      </c>
      <c r="AQ293" s="6">
        <v>6.6937843358219409E-2</v>
      </c>
      <c r="AR293" s="2" t="str">
        <f>HYPERLINK("https://auction.openprocurement.org/tenders/1f4dfd1de0ff42f99321af8af672a787")</f>
        <v>https://auction.openprocurement.org/tenders/1f4dfd1de0ff42f99321af8af672a787</v>
      </c>
      <c r="AS293" s="7">
        <v>43508.626054076849</v>
      </c>
      <c r="AT293" s="5">
        <v>43519</v>
      </c>
      <c r="AU293" s="5">
        <v>43529</v>
      </c>
      <c r="AV293" s="1" t="s">
        <v>1941</v>
      </c>
      <c r="AW293" s="7">
        <v>43524.54500318096</v>
      </c>
      <c r="AX293" s="1" t="s">
        <v>409</v>
      </c>
      <c r="AY293" s="6">
        <v>264952.33</v>
      </c>
      <c r="AZ293" s="1"/>
      <c r="BA293" s="5">
        <v>43830</v>
      </c>
      <c r="BB293" s="7">
        <v>43830</v>
      </c>
      <c r="BC293" s="1" t="s">
        <v>1997</v>
      </c>
      <c r="BD293" s="1"/>
      <c r="BE293" s="1"/>
      <c r="BF293" s="1" t="s">
        <v>442</v>
      </c>
    </row>
    <row r="294" spans="1:58">
      <c r="A294" s="4">
        <v>289</v>
      </c>
      <c r="B294" s="2" t="str">
        <f>HYPERLINK("https://my.zakupki.prom.ua/remote/dispatcher/state_purchase_view/8485448", "UA-2018-10-08-001837-c")</f>
        <v>UA-2018-10-08-001837-c</v>
      </c>
      <c r="C294" s="2" t="s">
        <v>1459</v>
      </c>
      <c r="D294" s="1" t="s">
        <v>1476</v>
      </c>
      <c r="E294" s="1" t="s">
        <v>1475</v>
      </c>
      <c r="F294" s="1" t="s">
        <v>626</v>
      </c>
      <c r="G294" s="1" t="s">
        <v>1346</v>
      </c>
      <c r="H294" s="1" t="s">
        <v>1800</v>
      </c>
      <c r="I294" s="1" t="s">
        <v>1379</v>
      </c>
      <c r="J294" s="1" t="s">
        <v>819</v>
      </c>
      <c r="K294" s="1" t="s">
        <v>1287</v>
      </c>
      <c r="L294" s="1" t="s">
        <v>1469</v>
      </c>
      <c r="M294" s="1" t="s">
        <v>119</v>
      </c>
      <c r="N294" s="1" t="s">
        <v>119</v>
      </c>
      <c r="O294" s="1" t="s">
        <v>119</v>
      </c>
      <c r="P294" s="5">
        <v>43381</v>
      </c>
      <c r="Q294" s="5">
        <v>43381</v>
      </c>
      <c r="R294" s="5">
        <v>43383</v>
      </c>
      <c r="S294" s="5">
        <v>43383</v>
      </c>
      <c r="T294" s="5">
        <v>43385</v>
      </c>
      <c r="U294" s="7">
        <v>43389.612187500003</v>
      </c>
      <c r="V294" s="4">
        <v>3</v>
      </c>
      <c r="W294" s="6">
        <v>27000</v>
      </c>
      <c r="X294" s="1" t="s">
        <v>1459</v>
      </c>
      <c r="Y294" s="4">
        <v>786</v>
      </c>
      <c r="Z294" s="6">
        <v>34.35</v>
      </c>
      <c r="AA294" s="1" t="s">
        <v>2023</v>
      </c>
      <c r="AB294" s="6">
        <v>135</v>
      </c>
      <c r="AC294" s="1" t="s">
        <v>1124</v>
      </c>
      <c r="AD294" s="1" t="s">
        <v>1800</v>
      </c>
      <c r="AE294" s="1" t="s">
        <v>1286</v>
      </c>
      <c r="AF294" s="1" t="s">
        <v>1463</v>
      </c>
      <c r="AG294" s="6">
        <v>21787.48</v>
      </c>
      <c r="AH294" s="6">
        <v>27.719440203562339</v>
      </c>
      <c r="AI294" s="1" t="s">
        <v>1697</v>
      </c>
      <c r="AJ294" s="6">
        <v>5212.5200000000004</v>
      </c>
      <c r="AK294" s="6">
        <v>0.19305629629629631</v>
      </c>
      <c r="AL294" s="1" t="s">
        <v>1697</v>
      </c>
      <c r="AM294" s="1" t="s">
        <v>888</v>
      </c>
      <c r="AN294" s="1" t="s">
        <v>1135</v>
      </c>
      <c r="AO294" s="1" t="s">
        <v>49</v>
      </c>
      <c r="AP294" s="6">
        <v>5212.5200000000004</v>
      </c>
      <c r="AQ294" s="6">
        <v>0.19305629629629631</v>
      </c>
      <c r="AR294" s="2" t="str">
        <f>HYPERLINK("https://auction.openprocurement.org/tenders/d852318993374bda995bc52cfae4b70f")</f>
        <v>https://auction.openprocurement.org/tenders/d852318993374bda995bc52cfae4b70f</v>
      </c>
      <c r="AS294" s="7">
        <v>43395.669302109563</v>
      </c>
      <c r="AT294" s="5">
        <v>43397</v>
      </c>
      <c r="AU294" s="5">
        <v>43413</v>
      </c>
      <c r="AV294" s="1" t="s">
        <v>1941</v>
      </c>
      <c r="AW294" s="7">
        <v>43409.374806984226</v>
      </c>
      <c r="AX294" s="1" t="s">
        <v>1092</v>
      </c>
      <c r="AY294" s="6">
        <v>21787.48</v>
      </c>
      <c r="AZ294" s="5">
        <v>43395</v>
      </c>
      <c r="BA294" s="5">
        <v>43434</v>
      </c>
      <c r="BB294" s="7">
        <v>43465</v>
      </c>
      <c r="BC294" s="1" t="s">
        <v>1997</v>
      </c>
      <c r="BD294" s="1"/>
      <c r="BE294" s="1"/>
      <c r="BF294" s="1" t="s">
        <v>892</v>
      </c>
    </row>
    <row r="295" spans="1:58">
      <c r="A295" s="4">
        <v>290</v>
      </c>
      <c r="B295" s="2" t="str">
        <f>HYPERLINK("https://my.zakupki.prom.ua/remote/dispatcher/state_purchase_view/12762627", "UA-2019-09-06-001872-b")</f>
        <v>UA-2019-09-06-001872-b</v>
      </c>
      <c r="C295" s="2" t="s">
        <v>1459</v>
      </c>
      <c r="D295" s="1" t="s">
        <v>720</v>
      </c>
      <c r="E295" s="1" t="s">
        <v>719</v>
      </c>
      <c r="F295" s="1" t="s">
        <v>721</v>
      </c>
      <c r="G295" s="1" t="s">
        <v>1280</v>
      </c>
      <c r="H295" s="1" t="s">
        <v>1800</v>
      </c>
      <c r="I295" s="1" t="s">
        <v>1379</v>
      </c>
      <c r="J295" s="1" t="s">
        <v>819</v>
      </c>
      <c r="K295" s="1" t="s">
        <v>1287</v>
      </c>
      <c r="L295" s="1" t="s">
        <v>1658</v>
      </c>
      <c r="M295" s="1" t="s">
        <v>119</v>
      </c>
      <c r="N295" s="1" t="s">
        <v>119</v>
      </c>
      <c r="O295" s="1" t="s">
        <v>119</v>
      </c>
      <c r="P295" s="5">
        <v>43714</v>
      </c>
      <c r="Q295" s="5">
        <v>43714</v>
      </c>
      <c r="R295" s="5">
        <v>43721</v>
      </c>
      <c r="S295" s="5">
        <v>43714</v>
      </c>
      <c r="T295" s="5">
        <v>43731</v>
      </c>
      <c r="U295" s="7">
        <v>43732.524201388886</v>
      </c>
      <c r="V295" s="4">
        <v>2</v>
      </c>
      <c r="W295" s="6">
        <v>265990</v>
      </c>
      <c r="X295" s="1" t="s">
        <v>1459</v>
      </c>
      <c r="Y295" s="4">
        <v>56353</v>
      </c>
      <c r="Z295" s="6">
        <v>4.72</v>
      </c>
      <c r="AA295" s="1" t="s">
        <v>2023</v>
      </c>
      <c r="AB295" s="6">
        <v>1329.95</v>
      </c>
      <c r="AC295" s="1" t="s">
        <v>1124</v>
      </c>
      <c r="AD295" s="1" t="s">
        <v>1800</v>
      </c>
      <c r="AE295" s="1" t="s">
        <v>1286</v>
      </c>
      <c r="AF295" s="1" t="s">
        <v>1463</v>
      </c>
      <c r="AG295" s="6">
        <v>265945.36</v>
      </c>
      <c r="AH295" s="6">
        <v>4.7192759924050183</v>
      </c>
      <c r="AI295" s="1" t="s">
        <v>1709</v>
      </c>
      <c r="AJ295" s="6">
        <v>44.64000000001397</v>
      </c>
      <c r="AK295" s="6">
        <v>1.6782585811501925E-4</v>
      </c>
      <c r="AL295" s="1" t="s">
        <v>1709</v>
      </c>
      <c r="AM295" s="1" t="s">
        <v>963</v>
      </c>
      <c r="AN295" s="1" t="s">
        <v>1149</v>
      </c>
      <c r="AO295" s="1" t="s">
        <v>73</v>
      </c>
      <c r="AP295" s="6">
        <v>44.64000000001397</v>
      </c>
      <c r="AQ295" s="6">
        <v>1.6782585811501925E-4</v>
      </c>
      <c r="AR295" s="2" t="str">
        <f>HYPERLINK("https://auction.openprocurement.org/tenders/dc72306dce4b4f1f9530de0dbf645b7b")</f>
        <v>https://auction.openprocurement.org/tenders/dc72306dce4b4f1f9530de0dbf645b7b</v>
      </c>
      <c r="AS295" s="7">
        <v>43732.62400719367</v>
      </c>
      <c r="AT295" s="5">
        <v>43743</v>
      </c>
      <c r="AU295" s="5">
        <v>43753</v>
      </c>
      <c r="AV295" s="1" t="s">
        <v>1941</v>
      </c>
      <c r="AW295" s="7">
        <v>43745.637434690048</v>
      </c>
      <c r="AX295" s="1" t="s">
        <v>266</v>
      </c>
      <c r="AY295" s="6">
        <v>265945.36</v>
      </c>
      <c r="AZ295" s="1"/>
      <c r="BA295" s="5">
        <v>43830</v>
      </c>
      <c r="BB295" s="7">
        <v>43830</v>
      </c>
      <c r="BC295" s="1" t="s">
        <v>1997</v>
      </c>
      <c r="BD295" s="1"/>
      <c r="BE295" s="1"/>
      <c r="BF295" s="1" t="s">
        <v>969</v>
      </c>
    </row>
    <row r="296" spans="1:58">
      <c r="A296" s="4">
        <v>291</v>
      </c>
      <c r="B296" s="2" t="str">
        <f>HYPERLINK("https://my.zakupki.prom.ua/remote/dispatcher/state_purchase_view/13833732", "UA-2019-12-03-002980-b")</f>
        <v>UA-2019-12-03-002980-b</v>
      </c>
      <c r="C296" s="2" t="s">
        <v>1459</v>
      </c>
      <c r="D296" s="1" t="s">
        <v>860</v>
      </c>
      <c r="E296" s="1" t="s">
        <v>1339</v>
      </c>
      <c r="F296" s="1" t="s">
        <v>857</v>
      </c>
      <c r="G296" s="1" t="s">
        <v>1346</v>
      </c>
      <c r="H296" s="1" t="s">
        <v>1800</v>
      </c>
      <c r="I296" s="1" t="s">
        <v>1379</v>
      </c>
      <c r="J296" s="1" t="s">
        <v>819</v>
      </c>
      <c r="K296" s="1" t="s">
        <v>1287</v>
      </c>
      <c r="L296" s="1" t="s">
        <v>1915</v>
      </c>
      <c r="M296" s="1" t="s">
        <v>119</v>
      </c>
      <c r="N296" s="1" t="s">
        <v>119</v>
      </c>
      <c r="O296" s="1" t="s">
        <v>119</v>
      </c>
      <c r="P296" s="5">
        <v>43802</v>
      </c>
      <c r="Q296" s="5">
        <v>43802</v>
      </c>
      <c r="R296" s="5">
        <v>43805</v>
      </c>
      <c r="S296" s="5">
        <v>43805</v>
      </c>
      <c r="T296" s="5">
        <v>43809</v>
      </c>
      <c r="U296" s="7">
        <v>43810.652939814812</v>
      </c>
      <c r="V296" s="4">
        <v>2</v>
      </c>
      <c r="W296" s="6">
        <v>87700</v>
      </c>
      <c r="X296" s="1" t="s">
        <v>1459</v>
      </c>
      <c r="Y296" s="1" t="s">
        <v>1956</v>
      </c>
      <c r="Z296" s="1" t="s">
        <v>1956</v>
      </c>
      <c r="AA296" s="1" t="s">
        <v>1956</v>
      </c>
      <c r="AB296" s="6">
        <v>438.5</v>
      </c>
      <c r="AC296" s="1" t="s">
        <v>1124</v>
      </c>
      <c r="AD296" s="1" t="s">
        <v>1800</v>
      </c>
      <c r="AE296" s="1" t="s">
        <v>1286</v>
      </c>
      <c r="AF296" s="1" t="s">
        <v>1463</v>
      </c>
      <c r="AG296" s="6">
        <v>79250</v>
      </c>
      <c r="AH296" s="1" t="s">
        <v>1956</v>
      </c>
      <c r="AI296" s="1" t="s">
        <v>1855</v>
      </c>
      <c r="AJ296" s="6">
        <v>8450</v>
      </c>
      <c r="AK296" s="6">
        <v>9.6351197263397942E-2</v>
      </c>
      <c r="AL296" s="1" t="s">
        <v>1855</v>
      </c>
      <c r="AM296" s="1" t="s">
        <v>599</v>
      </c>
      <c r="AN296" s="1" t="s">
        <v>1193</v>
      </c>
      <c r="AO296" s="1" t="s">
        <v>64</v>
      </c>
      <c r="AP296" s="6">
        <v>8450</v>
      </c>
      <c r="AQ296" s="6">
        <v>9.6351197263397942E-2</v>
      </c>
      <c r="AR296" s="2" t="str">
        <f>HYPERLINK("https://auction.openprocurement.org/tenders/c7208bfa02764c7a9b0a1bd679bb1db1")</f>
        <v>https://auction.openprocurement.org/tenders/c7208bfa02764c7a9b0a1bd679bb1db1</v>
      </c>
      <c r="AS296" s="7">
        <v>43811.548906680633</v>
      </c>
      <c r="AT296" s="5">
        <v>43815</v>
      </c>
      <c r="AU296" s="5">
        <v>43835</v>
      </c>
      <c r="AV296" s="1" t="s">
        <v>1941</v>
      </c>
      <c r="AW296" s="7">
        <v>43815.562795192665</v>
      </c>
      <c r="AX296" s="1" t="s">
        <v>375</v>
      </c>
      <c r="AY296" s="6">
        <v>79249.38</v>
      </c>
      <c r="AZ296" s="1"/>
      <c r="BA296" s="5">
        <v>43830</v>
      </c>
      <c r="BB296" s="7">
        <v>43830</v>
      </c>
      <c r="BC296" s="1" t="s">
        <v>1997</v>
      </c>
      <c r="BD296" s="1"/>
      <c r="BE296" s="1"/>
      <c r="BF296" s="1" t="s">
        <v>600</v>
      </c>
    </row>
    <row r="297" spans="1:58">
      <c r="A297" s="4">
        <v>292</v>
      </c>
      <c r="B297" s="2" t="str">
        <f>HYPERLINK("https://my.zakupki.prom.ua/remote/dispatcher/state_purchase_view/16021724", "UA-2020-03-30-001168-b")</f>
        <v>UA-2020-03-30-001168-b</v>
      </c>
      <c r="C297" s="2" t="s">
        <v>1459</v>
      </c>
      <c r="D297" s="1" t="s">
        <v>1435</v>
      </c>
      <c r="E297" s="1" t="s">
        <v>1435</v>
      </c>
      <c r="F297" s="1" t="s">
        <v>733</v>
      </c>
      <c r="G297" s="1" t="s">
        <v>1280</v>
      </c>
      <c r="H297" s="1" t="s">
        <v>1800</v>
      </c>
      <c r="I297" s="1" t="s">
        <v>1379</v>
      </c>
      <c r="J297" s="1" t="s">
        <v>819</v>
      </c>
      <c r="K297" s="1" t="s">
        <v>1287</v>
      </c>
      <c r="L297" s="1" t="s">
        <v>1216</v>
      </c>
      <c r="M297" s="1" t="s">
        <v>119</v>
      </c>
      <c r="N297" s="1" t="s">
        <v>119</v>
      </c>
      <c r="O297" s="1" t="s">
        <v>119</v>
      </c>
      <c r="P297" s="5">
        <v>43920</v>
      </c>
      <c r="Q297" s="5">
        <v>43920</v>
      </c>
      <c r="R297" s="5">
        <v>43927</v>
      </c>
      <c r="S297" s="5">
        <v>43920</v>
      </c>
      <c r="T297" s="5">
        <v>43937</v>
      </c>
      <c r="U297" s="1" t="s">
        <v>1923</v>
      </c>
      <c r="V297" s="4">
        <v>0</v>
      </c>
      <c r="W297" s="6">
        <v>10000</v>
      </c>
      <c r="X297" s="1" t="s">
        <v>1459</v>
      </c>
      <c r="Y297" s="4">
        <v>70</v>
      </c>
      <c r="Z297" s="6">
        <v>142.86000000000001</v>
      </c>
      <c r="AA297" s="1" t="s">
        <v>2017</v>
      </c>
      <c r="AB297" s="6">
        <v>50</v>
      </c>
      <c r="AC297" s="1" t="s">
        <v>1124</v>
      </c>
      <c r="AD297" s="1" t="s">
        <v>1800</v>
      </c>
      <c r="AE297" s="1" t="s">
        <v>1286</v>
      </c>
      <c r="AF297" s="1" t="s">
        <v>1463</v>
      </c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2"/>
      <c r="AS297" s="1"/>
      <c r="AT297" s="1"/>
      <c r="AU297" s="1"/>
      <c r="AV297" s="1" t="s">
        <v>1942</v>
      </c>
      <c r="AW297" s="7">
        <v>43937.585534921294</v>
      </c>
      <c r="AX297" s="1"/>
      <c r="AY297" s="1"/>
      <c r="AZ297" s="1"/>
      <c r="BA297" s="5">
        <v>43951</v>
      </c>
      <c r="BB297" s="1"/>
      <c r="BC297" s="1"/>
      <c r="BD297" s="1"/>
      <c r="BE297" s="1"/>
      <c r="BF297" s="1"/>
    </row>
    <row r="298" spans="1:58">
      <c r="A298" s="4">
        <v>293</v>
      </c>
      <c r="B298" s="2" t="str">
        <f>HYPERLINK("https://my.zakupki.prom.ua/remote/dispatcher/state_purchase_view/14659741", "UA-2020-01-21-000878-a")</f>
        <v>UA-2020-01-21-000878-a</v>
      </c>
      <c r="C298" s="2" t="s">
        <v>1459</v>
      </c>
      <c r="D298" s="1" t="s">
        <v>759</v>
      </c>
      <c r="E298" s="1" t="s">
        <v>13</v>
      </c>
      <c r="F298" s="1" t="s">
        <v>758</v>
      </c>
      <c r="G298" s="1" t="s">
        <v>1280</v>
      </c>
      <c r="H298" s="1" t="s">
        <v>1800</v>
      </c>
      <c r="I298" s="1" t="s">
        <v>1379</v>
      </c>
      <c r="J298" s="1" t="s">
        <v>819</v>
      </c>
      <c r="K298" s="1" t="s">
        <v>1287</v>
      </c>
      <c r="L298" s="1" t="s">
        <v>1915</v>
      </c>
      <c r="M298" s="1" t="s">
        <v>119</v>
      </c>
      <c r="N298" s="1" t="s">
        <v>119</v>
      </c>
      <c r="O298" s="1" t="s">
        <v>119</v>
      </c>
      <c r="P298" s="5">
        <v>43851</v>
      </c>
      <c r="Q298" s="5">
        <v>43851</v>
      </c>
      <c r="R298" s="5">
        <v>43858</v>
      </c>
      <c r="S298" s="5">
        <v>43851</v>
      </c>
      <c r="T298" s="5">
        <v>43868</v>
      </c>
      <c r="U298" s="1" t="s">
        <v>1923</v>
      </c>
      <c r="V298" s="4">
        <v>1</v>
      </c>
      <c r="W298" s="6">
        <v>259000</v>
      </c>
      <c r="X298" s="1" t="s">
        <v>1459</v>
      </c>
      <c r="Y298" s="1" t="s">
        <v>1956</v>
      </c>
      <c r="Z298" s="1" t="s">
        <v>1956</v>
      </c>
      <c r="AA298" s="1" t="s">
        <v>1956</v>
      </c>
      <c r="AB298" s="6">
        <v>1295</v>
      </c>
      <c r="AC298" s="1" t="s">
        <v>1124</v>
      </c>
      <c r="AD298" s="1" t="s">
        <v>1800</v>
      </c>
      <c r="AE298" s="1" t="s">
        <v>1286</v>
      </c>
      <c r="AF298" s="1" t="s">
        <v>1463</v>
      </c>
      <c r="AG298" s="1"/>
      <c r="AH298" s="1" t="s">
        <v>1956</v>
      </c>
      <c r="AI298" s="1"/>
      <c r="AJ298" s="1"/>
      <c r="AK298" s="1"/>
      <c r="AL298" s="1"/>
      <c r="AM298" s="1"/>
      <c r="AN298" s="1"/>
      <c r="AO298" s="1"/>
      <c r="AP298" s="1"/>
      <c r="AQ298" s="1"/>
      <c r="AR298" s="2"/>
      <c r="AS298" s="1"/>
      <c r="AT298" s="1"/>
      <c r="AU298" s="1"/>
      <c r="AV298" s="1" t="s">
        <v>1942</v>
      </c>
      <c r="AW298" s="7">
        <v>43868.752120963065</v>
      </c>
      <c r="AX298" s="1"/>
      <c r="AY298" s="1"/>
      <c r="AZ298" s="1"/>
      <c r="BA298" s="5">
        <v>44196</v>
      </c>
      <c r="BB298" s="1"/>
      <c r="BC298" s="1"/>
      <c r="BD298" s="1"/>
      <c r="BE298" s="1"/>
      <c r="BF298" s="1" t="s">
        <v>594</v>
      </c>
    </row>
    <row r="299" spans="1:58">
      <c r="A299" s="4">
        <v>294</v>
      </c>
      <c r="B299" s="2" t="str">
        <f>HYPERLINK("https://my.zakupki.prom.ua/remote/dispatcher/state_purchase_view/22891581", "UA-2021-01-11-000037-b")</f>
        <v>UA-2021-01-11-000037-b</v>
      </c>
      <c r="C299" s="2" t="s">
        <v>1459</v>
      </c>
      <c r="D299" s="1" t="s">
        <v>1531</v>
      </c>
      <c r="E299" s="1" t="s">
        <v>1531</v>
      </c>
      <c r="F299" s="1" t="s">
        <v>1020</v>
      </c>
      <c r="G299" s="1" t="s">
        <v>1364</v>
      </c>
      <c r="H299" s="1" t="s">
        <v>1800</v>
      </c>
      <c r="I299" s="1" t="s">
        <v>1379</v>
      </c>
      <c r="J299" s="1" t="s">
        <v>819</v>
      </c>
      <c r="K299" s="1" t="s">
        <v>1287</v>
      </c>
      <c r="L299" s="1" t="s">
        <v>1216</v>
      </c>
      <c r="M299" s="1" t="s">
        <v>119</v>
      </c>
      <c r="N299" s="1" t="s">
        <v>119</v>
      </c>
      <c r="O299" s="1" t="s">
        <v>119</v>
      </c>
      <c r="P299" s="5">
        <v>44207</v>
      </c>
      <c r="Q299" s="1"/>
      <c r="R299" s="1"/>
      <c r="S299" s="1"/>
      <c r="T299" s="1"/>
      <c r="U299" s="1" t="s">
        <v>1922</v>
      </c>
      <c r="V299" s="4">
        <v>1</v>
      </c>
      <c r="W299" s="6">
        <v>1512</v>
      </c>
      <c r="X299" s="1" t="s">
        <v>1459</v>
      </c>
      <c r="Y299" s="4">
        <v>1</v>
      </c>
      <c r="Z299" s="6">
        <v>1512</v>
      </c>
      <c r="AA299" s="1" t="s">
        <v>1976</v>
      </c>
      <c r="AB299" s="1" t="s">
        <v>1964</v>
      </c>
      <c r="AC299" s="1" t="s">
        <v>1124</v>
      </c>
      <c r="AD299" s="1" t="s">
        <v>1800</v>
      </c>
      <c r="AE299" s="1" t="s">
        <v>1286</v>
      </c>
      <c r="AF299" s="1" t="s">
        <v>1463</v>
      </c>
      <c r="AG299" s="6">
        <v>1512</v>
      </c>
      <c r="AH299" s="6">
        <v>1512</v>
      </c>
      <c r="AI299" s="1"/>
      <c r="AJ299" s="1"/>
      <c r="AK299" s="1"/>
      <c r="AL299" s="1" t="s">
        <v>1774</v>
      </c>
      <c r="AM299" s="1" t="s">
        <v>697</v>
      </c>
      <c r="AN299" s="1"/>
      <c r="AO299" s="1" t="s">
        <v>1077</v>
      </c>
      <c r="AP299" s="1"/>
      <c r="AQ299" s="1"/>
      <c r="AR299" s="2"/>
      <c r="AS299" s="1"/>
      <c r="AT299" s="1"/>
      <c r="AU299" s="1"/>
      <c r="AV299" s="1" t="s">
        <v>1941</v>
      </c>
      <c r="AW299" s="7">
        <v>44207.35842729648</v>
      </c>
      <c r="AX299" s="1" t="s">
        <v>226</v>
      </c>
      <c r="AY299" s="6">
        <v>1512</v>
      </c>
      <c r="AZ299" s="1"/>
      <c r="BA299" s="5">
        <v>44561</v>
      </c>
      <c r="BB299" s="7">
        <v>44561</v>
      </c>
      <c r="BC299" s="1" t="s">
        <v>1997</v>
      </c>
      <c r="BD299" s="1"/>
      <c r="BE299" s="1"/>
      <c r="BF299" s="1" t="s">
        <v>118</v>
      </c>
    </row>
    <row r="300" spans="1:58">
      <c r="A300" s="4">
        <v>295</v>
      </c>
      <c r="B300" s="2" t="str">
        <f>HYPERLINK("https://my.zakupki.prom.ua/remote/dispatcher/state_purchase_view/14376127", "UA-2020-01-03-000699-a")</f>
        <v>UA-2020-01-03-000699-a</v>
      </c>
      <c r="C300" s="2" t="s">
        <v>1459</v>
      </c>
      <c r="D300" s="1" t="s">
        <v>1812</v>
      </c>
      <c r="E300" s="1" t="s">
        <v>1064</v>
      </c>
      <c r="F300" s="1" t="s">
        <v>1063</v>
      </c>
      <c r="G300" s="1" t="s">
        <v>1364</v>
      </c>
      <c r="H300" s="1" t="s">
        <v>1800</v>
      </c>
      <c r="I300" s="1" t="s">
        <v>1379</v>
      </c>
      <c r="J300" s="1" t="s">
        <v>819</v>
      </c>
      <c r="K300" s="1" t="s">
        <v>1287</v>
      </c>
      <c r="L300" s="1" t="s">
        <v>1915</v>
      </c>
      <c r="M300" s="1" t="s">
        <v>119</v>
      </c>
      <c r="N300" s="1" t="s">
        <v>119</v>
      </c>
      <c r="O300" s="1" t="s">
        <v>119</v>
      </c>
      <c r="P300" s="5">
        <v>43833</v>
      </c>
      <c r="Q300" s="1"/>
      <c r="R300" s="1"/>
      <c r="S300" s="1"/>
      <c r="T300" s="1"/>
      <c r="U300" s="1" t="s">
        <v>1922</v>
      </c>
      <c r="V300" s="4">
        <v>1</v>
      </c>
      <c r="W300" s="6">
        <v>4800</v>
      </c>
      <c r="X300" s="1" t="s">
        <v>1459</v>
      </c>
      <c r="Y300" s="4">
        <v>1</v>
      </c>
      <c r="Z300" s="6">
        <v>4800</v>
      </c>
      <c r="AA300" s="1" t="s">
        <v>1976</v>
      </c>
      <c r="AB300" s="1" t="s">
        <v>1964</v>
      </c>
      <c r="AC300" s="1" t="s">
        <v>1124</v>
      </c>
      <c r="AD300" s="1" t="s">
        <v>1463</v>
      </c>
      <c r="AE300" s="1" t="s">
        <v>1286</v>
      </c>
      <c r="AF300" s="1" t="s">
        <v>1463</v>
      </c>
      <c r="AG300" s="6">
        <v>4800</v>
      </c>
      <c r="AH300" s="6">
        <v>4800</v>
      </c>
      <c r="AI300" s="1"/>
      <c r="AJ300" s="1"/>
      <c r="AK300" s="1"/>
      <c r="AL300" s="1" t="s">
        <v>1793</v>
      </c>
      <c r="AM300" s="1" t="s">
        <v>802</v>
      </c>
      <c r="AN300" s="1"/>
      <c r="AO300" s="1" t="s">
        <v>163</v>
      </c>
      <c r="AP300" s="1"/>
      <c r="AQ300" s="1"/>
      <c r="AR300" s="2"/>
      <c r="AS300" s="1"/>
      <c r="AT300" s="1"/>
      <c r="AU300" s="1"/>
      <c r="AV300" s="1" t="s">
        <v>1941</v>
      </c>
      <c r="AW300" s="7">
        <v>43833.557835084321</v>
      </c>
      <c r="AX300" s="1" t="s">
        <v>431</v>
      </c>
      <c r="AY300" s="6">
        <v>4800</v>
      </c>
      <c r="AZ300" s="1"/>
      <c r="BA300" s="5">
        <v>44196</v>
      </c>
      <c r="BB300" s="7">
        <v>44196</v>
      </c>
      <c r="BC300" s="1" t="s">
        <v>1997</v>
      </c>
      <c r="BD300" s="1"/>
      <c r="BE300" s="1"/>
      <c r="BF300" s="1" t="s">
        <v>118</v>
      </c>
    </row>
    <row r="301" spans="1:58">
      <c r="A301" s="4">
        <v>296</v>
      </c>
      <c r="B301" s="2" t="str">
        <f>HYPERLINK("https://my.zakupki.prom.ua/remote/dispatcher/state_purchase_view/14374199", "UA-2020-01-03-000523-a")</f>
        <v>UA-2020-01-03-000523-a</v>
      </c>
      <c r="C301" s="2" t="s">
        <v>1459</v>
      </c>
      <c r="D301" s="1" t="s">
        <v>1813</v>
      </c>
      <c r="E301" s="1" t="s">
        <v>1027</v>
      </c>
      <c r="F301" s="1" t="s">
        <v>1027</v>
      </c>
      <c r="G301" s="1" t="s">
        <v>1364</v>
      </c>
      <c r="H301" s="1" t="s">
        <v>1800</v>
      </c>
      <c r="I301" s="1" t="s">
        <v>1379</v>
      </c>
      <c r="J301" s="1" t="s">
        <v>819</v>
      </c>
      <c r="K301" s="1" t="s">
        <v>1287</v>
      </c>
      <c r="L301" s="1" t="s">
        <v>1915</v>
      </c>
      <c r="M301" s="1" t="s">
        <v>119</v>
      </c>
      <c r="N301" s="1" t="s">
        <v>119</v>
      </c>
      <c r="O301" s="1" t="s">
        <v>119</v>
      </c>
      <c r="P301" s="5">
        <v>43833</v>
      </c>
      <c r="Q301" s="1"/>
      <c r="R301" s="1"/>
      <c r="S301" s="1"/>
      <c r="T301" s="1"/>
      <c r="U301" s="1" t="s">
        <v>1922</v>
      </c>
      <c r="V301" s="4">
        <v>1</v>
      </c>
      <c r="W301" s="6">
        <v>18173.16</v>
      </c>
      <c r="X301" s="1" t="s">
        <v>1459</v>
      </c>
      <c r="Y301" s="4">
        <v>1</v>
      </c>
      <c r="Z301" s="6">
        <v>18173.16</v>
      </c>
      <c r="AA301" s="1" t="s">
        <v>1976</v>
      </c>
      <c r="AB301" s="1" t="s">
        <v>1964</v>
      </c>
      <c r="AC301" s="1" t="s">
        <v>1124</v>
      </c>
      <c r="AD301" s="1" t="s">
        <v>1463</v>
      </c>
      <c r="AE301" s="1" t="s">
        <v>1286</v>
      </c>
      <c r="AF301" s="1" t="s">
        <v>1463</v>
      </c>
      <c r="AG301" s="6">
        <v>18173.16</v>
      </c>
      <c r="AH301" s="6">
        <v>18173.16</v>
      </c>
      <c r="AI301" s="1"/>
      <c r="AJ301" s="1"/>
      <c r="AK301" s="1"/>
      <c r="AL301" s="1" t="s">
        <v>1766</v>
      </c>
      <c r="AM301" s="1" t="s">
        <v>799</v>
      </c>
      <c r="AN301" s="1"/>
      <c r="AO301" s="1" t="s">
        <v>197</v>
      </c>
      <c r="AP301" s="1"/>
      <c r="AQ301" s="1"/>
      <c r="AR301" s="2"/>
      <c r="AS301" s="1"/>
      <c r="AT301" s="1"/>
      <c r="AU301" s="1"/>
      <c r="AV301" s="1" t="s">
        <v>1941</v>
      </c>
      <c r="AW301" s="7">
        <v>43833.510085720714</v>
      </c>
      <c r="AX301" s="1" t="s">
        <v>1070</v>
      </c>
      <c r="AY301" s="6">
        <v>18173.16</v>
      </c>
      <c r="AZ301" s="1"/>
      <c r="BA301" s="5">
        <v>44196</v>
      </c>
      <c r="BB301" s="7">
        <v>44196</v>
      </c>
      <c r="BC301" s="1" t="s">
        <v>1997</v>
      </c>
      <c r="BD301" s="1"/>
      <c r="BE301" s="1"/>
      <c r="BF301" s="1" t="s">
        <v>118</v>
      </c>
    </row>
    <row r="302" spans="1:58">
      <c r="A302" s="4">
        <v>297</v>
      </c>
      <c r="B302" s="2" t="str">
        <f>HYPERLINK("https://my.zakupki.prom.ua/remote/dispatcher/state_purchase_view/22016115", "UA-2020-12-10-013566-c")</f>
        <v>UA-2020-12-10-013566-c</v>
      </c>
      <c r="C302" s="2" t="s">
        <v>1459</v>
      </c>
      <c r="D302" s="1" t="s">
        <v>1479</v>
      </c>
      <c r="E302" s="1" t="s">
        <v>1479</v>
      </c>
      <c r="F302" s="1" t="s">
        <v>863</v>
      </c>
      <c r="G302" s="1" t="s">
        <v>1364</v>
      </c>
      <c r="H302" s="1" t="s">
        <v>1800</v>
      </c>
      <c r="I302" s="1" t="s">
        <v>1379</v>
      </c>
      <c r="J302" s="1" t="s">
        <v>819</v>
      </c>
      <c r="K302" s="1" t="s">
        <v>1287</v>
      </c>
      <c r="L302" s="1" t="s">
        <v>1216</v>
      </c>
      <c r="M302" s="1" t="s">
        <v>119</v>
      </c>
      <c r="N302" s="1" t="s">
        <v>119</v>
      </c>
      <c r="O302" s="1" t="s">
        <v>119</v>
      </c>
      <c r="P302" s="5">
        <v>44175</v>
      </c>
      <c r="Q302" s="1"/>
      <c r="R302" s="1"/>
      <c r="S302" s="1"/>
      <c r="T302" s="1"/>
      <c r="U302" s="1" t="s">
        <v>1922</v>
      </c>
      <c r="V302" s="4">
        <v>1</v>
      </c>
      <c r="W302" s="6">
        <v>48430</v>
      </c>
      <c r="X302" s="1" t="s">
        <v>1459</v>
      </c>
      <c r="Y302" s="4">
        <v>31</v>
      </c>
      <c r="Z302" s="6">
        <v>1562.26</v>
      </c>
      <c r="AA302" s="1" t="s">
        <v>2024</v>
      </c>
      <c r="AB302" s="1" t="s">
        <v>1964</v>
      </c>
      <c r="AC302" s="1" t="s">
        <v>1124</v>
      </c>
      <c r="AD302" s="1" t="s">
        <v>1800</v>
      </c>
      <c r="AE302" s="1" t="s">
        <v>1286</v>
      </c>
      <c r="AF302" s="1" t="s">
        <v>1463</v>
      </c>
      <c r="AG302" s="6">
        <v>48430</v>
      </c>
      <c r="AH302" s="6">
        <v>1562.258064516129</v>
      </c>
      <c r="AI302" s="1"/>
      <c r="AJ302" s="1"/>
      <c r="AK302" s="1"/>
      <c r="AL302" s="1" t="s">
        <v>1874</v>
      </c>
      <c r="AM302" s="1" t="s">
        <v>559</v>
      </c>
      <c r="AN302" s="1"/>
      <c r="AO302" s="1" t="s">
        <v>309</v>
      </c>
      <c r="AP302" s="1"/>
      <c r="AQ302" s="1"/>
      <c r="AR302" s="2"/>
      <c r="AS302" s="1"/>
      <c r="AT302" s="1"/>
      <c r="AU302" s="1"/>
      <c r="AV302" s="1" t="s">
        <v>1941</v>
      </c>
      <c r="AW302" s="7">
        <v>44175.677961455833</v>
      </c>
      <c r="AX302" s="1" t="s">
        <v>289</v>
      </c>
      <c r="AY302" s="6">
        <v>48430</v>
      </c>
      <c r="AZ302" s="1"/>
      <c r="BA302" s="5">
        <v>44180</v>
      </c>
      <c r="BB302" s="7">
        <v>44196</v>
      </c>
      <c r="BC302" s="1" t="s">
        <v>1997</v>
      </c>
      <c r="BD302" s="1"/>
      <c r="BE302" s="1"/>
      <c r="BF302" s="1" t="s">
        <v>118</v>
      </c>
    </row>
    <row r="303" spans="1:58">
      <c r="A303" s="4">
        <v>298</v>
      </c>
      <c r="B303" s="2" t="str">
        <f>HYPERLINK("https://my.zakupki.prom.ua/remote/dispatcher/state_purchase_view/15269350", "UA-2020-02-13-001256-c")</f>
        <v>UA-2020-02-13-001256-c</v>
      </c>
      <c r="C303" s="2" t="s">
        <v>1459</v>
      </c>
      <c r="D303" s="1" t="s">
        <v>1222</v>
      </c>
      <c r="E303" s="1" t="s">
        <v>1222</v>
      </c>
      <c r="F303" s="1" t="s">
        <v>692</v>
      </c>
      <c r="G303" s="1" t="s">
        <v>1364</v>
      </c>
      <c r="H303" s="1" t="s">
        <v>1800</v>
      </c>
      <c r="I303" s="1" t="s">
        <v>1379</v>
      </c>
      <c r="J303" s="1" t="s">
        <v>819</v>
      </c>
      <c r="K303" s="1" t="s">
        <v>1287</v>
      </c>
      <c r="L303" s="1" t="s">
        <v>1915</v>
      </c>
      <c r="M303" s="1" t="s">
        <v>119</v>
      </c>
      <c r="N303" s="1" t="s">
        <v>119</v>
      </c>
      <c r="O303" s="1" t="s">
        <v>119</v>
      </c>
      <c r="P303" s="5">
        <v>43874</v>
      </c>
      <c r="Q303" s="1"/>
      <c r="R303" s="1"/>
      <c r="S303" s="1"/>
      <c r="T303" s="1"/>
      <c r="U303" s="1" t="s">
        <v>1922</v>
      </c>
      <c r="V303" s="4">
        <v>1</v>
      </c>
      <c r="W303" s="6">
        <v>1160</v>
      </c>
      <c r="X303" s="1" t="s">
        <v>1459</v>
      </c>
      <c r="Y303" s="4">
        <v>1</v>
      </c>
      <c r="Z303" s="6">
        <v>1160</v>
      </c>
      <c r="AA303" s="1" t="s">
        <v>2024</v>
      </c>
      <c r="AB303" s="1" t="s">
        <v>1964</v>
      </c>
      <c r="AC303" s="1" t="s">
        <v>1124</v>
      </c>
      <c r="AD303" s="1" t="s">
        <v>1463</v>
      </c>
      <c r="AE303" s="1" t="s">
        <v>1286</v>
      </c>
      <c r="AF303" s="1" t="s">
        <v>1463</v>
      </c>
      <c r="AG303" s="6">
        <v>1160</v>
      </c>
      <c r="AH303" s="6">
        <v>1160</v>
      </c>
      <c r="AI303" s="1"/>
      <c r="AJ303" s="1"/>
      <c r="AK303" s="1"/>
      <c r="AL303" s="1" t="s">
        <v>1260</v>
      </c>
      <c r="AM303" s="1" t="s">
        <v>502</v>
      </c>
      <c r="AN303" s="1"/>
      <c r="AO303" s="1" t="s">
        <v>84</v>
      </c>
      <c r="AP303" s="1"/>
      <c r="AQ303" s="1"/>
      <c r="AR303" s="2"/>
      <c r="AS303" s="1"/>
      <c r="AT303" s="1"/>
      <c r="AU303" s="1"/>
      <c r="AV303" s="1" t="s">
        <v>1941</v>
      </c>
      <c r="AW303" s="7">
        <v>43874.49407215471</v>
      </c>
      <c r="AX303" s="1" t="s">
        <v>537</v>
      </c>
      <c r="AY303" s="6">
        <v>1160</v>
      </c>
      <c r="AZ303" s="1"/>
      <c r="BA303" s="5">
        <v>44196</v>
      </c>
      <c r="BB303" s="7">
        <v>44196</v>
      </c>
      <c r="BC303" s="1" t="s">
        <v>1997</v>
      </c>
      <c r="BD303" s="1"/>
      <c r="BE303" s="1"/>
      <c r="BF303" s="1" t="s">
        <v>118</v>
      </c>
    </row>
    <row r="304" spans="1:58">
      <c r="A304" s="4">
        <v>299</v>
      </c>
      <c r="B304" s="2" t="str">
        <f>HYPERLINK("https://my.zakupki.prom.ua/remote/dispatcher/state_purchase_view/14878555", "UA-2020-01-28-001185-a")</f>
        <v>UA-2020-01-28-001185-a</v>
      </c>
      <c r="C304" s="2" t="s">
        <v>1459</v>
      </c>
      <c r="D304" s="1" t="s">
        <v>1668</v>
      </c>
      <c r="E304" s="1" t="s">
        <v>1668</v>
      </c>
      <c r="F304" s="1" t="s">
        <v>459</v>
      </c>
      <c r="G304" s="1" t="s">
        <v>1364</v>
      </c>
      <c r="H304" s="1" t="s">
        <v>1800</v>
      </c>
      <c r="I304" s="1" t="s">
        <v>1379</v>
      </c>
      <c r="J304" s="1" t="s">
        <v>819</v>
      </c>
      <c r="K304" s="1" t="s">
        <v>1287</v>
      </c>
      <c r="L304" s="1" t="s">
        <v>1915</v>
      </c>
      <c r="M304" s="1" t="s">
        <v>119</v>
      </c>
      <c r="N304" s="1" t="s">
        <v>119</v>
      </c>
      <c r="O304" s="1" t="s">
        <v>119</v>
      </c>
      <c r="P304" s="5">
        <v>43858</v>
      </c>
      <c r="Q304" s="1"/>
      <c r="R304" s="1"/>
      <c r="S304" s="1"/>
      <c r="T304" s="1"/>
      <c r="U304" s="1" t="s">
        <v>1922</v>
      </c>
      <c r="V304" s="4">
        <v>1</v>
      </c>
      <c r="W304" s="6">
        <v>183.6</v>
      </c>
      <c r="X304" s="1" t="s">
        <v>1459</v>
      </c>
      <c r="Y304" s="4">
        <v>90</v>
      </c>
      <c r="Z304" s="6">
        <v>2.04</v>
      </c>
      <c r="AA304" s="1" t="s">
        <v>2024</v>
      </c>
      <c r="AB304" s="1" t="s">
        <v>1964</v>
      </c>
      <c r="AC304" s="1" t="s">
        <v>1124</v>
      </c>
      <c r="AD304" s="1" t="s">
        <v>1800</v>
      </c>
      <c r="AE304" s="1" t="s">
        <v>1286</v>
      </c>
      <c r="AF304" s="1" t="s">
        <v>1463</v>
      </c>
      <c r="AG304" s="6">
        <v>183.6</v>
      </c>
      <c r="AH304" s="6">
        <v>2.04</v>
      </c>
      <c r="AI304" s="1"/>
      <c r="AJ304" s="1"/>
      <c r="AK304" s="1"/>
      <c r="AL304" s="1" t="s">
        <v>1465</v>
      </c>
      <c r="AM304" s="1" t="s">
        <v>139</v>
      </c>
      <c r="AN304" s="1"/>
      <c r="AO304" s="1" t="s">
        <v>252</v>
      </c>
      <c r="AP304" s="1"/>
      <c r="AQ304" s="1"/>
      <c r="AR304" s="2"/>
      <c r="AS304" s="1"/>
      <c r="AT304" s="1"/>
      <c r="AU304" s="1"/>
      <c r="AV304" s="1" t="s">
        <v>1941</v>
      </c>
      <c r="AW304" s="7">
        <v>43858.451862208043</v>
      </c>
      <c r="AX304" s="1" t="s">
        <v>474</v>
      </c>
      <c r="AY304" s="6">
        <v>183.6</v>
      </c>
      <c r="AZ304" s="1"/>
      <c r="BA304" s="5">
        <v>44196</v>
      </c>
      <c r="BB304" s="7">
        <v>44196</v>
      </c>
      <c r="BC304" s="1" t="s">
        <v>1997</v>
      </c>
      <c r="BD304" s="1"/>
      <c r="BE304" s="1"/>
      <c r="BF304" s="1" t="s">
        <v>118</v>
      </c>
    </row>
    <row r="305" spans="1:58">
      <c r="A305" s="4">
        <v>300</v>
      </c>
      <c r="B305" s="2" t="str">
        <f>HYPERLINK("https://my.zakupki.prom.ua/remote/dispatcher/state_purchase_view/14812498", "UA-2020-01-24-002745-b")</f>
        <v>UA-2020-01-24-002745-b</v>
      </c>
      <c r="C305" s="2" t="s">
        <v>1459</v>
      </c>
      <c r="D305" s="1" t="s">
        <v>1515</v>
      </c>
      <c r="E305" s="1" t="s">
        <v>1515</v>
      </c>
      <c r="F305" s="1" t="s">
        <v>456</v>
      </c>
      <c r="G305" s="1" t="s">
        <v>1364</v>
      </c>
      <c r="H305" s="1" t="s">
        <v>1800</v>
      </c>
      <c r="I305" s="1" t="s">
        <v>1379</v>
      </c>
      <c r="J305" s="1" t="s">
        <v>819</v>
      </c>
      <c r="K305" s="1" t="s">
        <v>1287</v>
      </c>
      <c r="L305" s="1" t="s">
        <v>1915</v>
      </c>
      <c r="M305" s="1" t="s">
        <v>119</v>
      </c>
      <c r="N305" s="1" t="s">
        <v>119</v>
      </c>
      <c r="O305" s="1" t="s">
        <v>119</v>
      </c>
      <c r="P305" s="5">
        <v>43854</v>
      </c>
      <c r="Q305" s="1"/>
      <c r="R305" s="1"/>
      <c r="S305" s="1"/>
      <c r="T305" s="1"/>
      <c r="U305" s="1" t="s">
        <v>1922</v>
      </c>
      <c r="V305" s="4">
        <v>1</v>
      </c>
      <c r="W305" s="6">
        <v>700</v>
      </c>
      <c r="X305" s="1" t="s">
        <v>1459</v>
      </c>
      <c r="Y305" s="4">
        <v>10</v>
      </c>
      <c r="Z305" s="6">
        <v>70</v>
      </c>
      <c r="AA305" s="1" t="s">
        <v>1950</v>
      </c>
      <c r="AB305" s="1" t="s">
        <v>1964</v>
      </c>
      <c r="AC305" s="1" t="s">
        <v>1124</v>
      </c>
      <c r="AD305" s="1" t="s">
        <v>1463</v>
      </c>
      <c r="AE305" s="1" t="s">
        <v>1286</v>
      </c>
      <c r="AF305" s="1" t="s">
        <v>1463</v>
      </c>
      <c r="AG305" s="6">
        <v>700</v>
      </c>
      <c r="AH305" s="6">
        <v>70</v>
      </c>
      <c r="AI305" s="1"/>
      <c r="AJ305" s="1"/>
      <c r="AK305" s="1"/>
      <c r="AL305" s="1" t="s">
        <v>1496</v>
      </c>
      <c r="AM305" s="1" t="s">
        <v>506</v>
      </c>
      <c r="AN305" s="1"/>
      <c r="AO305" s="1" t="s">
        <v>164</v>
      </c>
      <c r="AP305" s="1"/>
      <c r="AQ305" s="1"/>
      <c r="AR305" s="2"/>
      <c r="AS305" s="1"/>
      <c r="AT305" s="1"/>
      <c r="AU305" s="1"/>
      <c r="AV305" s="1" t="s">
        <v>1941</v>
      </c>
      <c r="AW305" s="7">
        <v>43854.630599814656</v>
      </c>
      <c r="AX305" s="1" t="s">
        <v>501</v>
      </c>
      <c r="AY305" s="6">
        <v>700</v>
      </c>
      <c r="AZ305" s="1"/>
      <c r="BA305" s="5">
        <v>44196</v>
      </c>
      <c r="BB305" s="7">
        <v>44196</v>
      </c>
      <c r="BC305" s="1" t="s">
        <v>1997</v>
      </c>
      <c r="BD305" s="1"/>
      <c r="BE305" s="1"/>
      <c r="BF305" s="1" t="s">
        <v>118</v>
      </c>
    </row>
    <row r="306" spans="1:58">
      <c r="A306" s="4">
        <v>301</v>
      </c>
      <c r="B306" s="2" t="str">
        <f>HYPERLINK("https://my.zakupki.prom.ua/remote/dispatcher/state_purchase_view/20421765", "UA-2020-10-23-006703-a")</f>
        <v>UA-2020-10-23-006703-a</v>
      </c>
      <c r="C306" s="2" t="s">
        <v>1459</v>
      </c>
      <c r="D306" s="1" t="s">
        <v>1334</v>
      </c>
      <c r="E306" s="1" t="s">
        <v>1242</v>
      </c>
      <c r="F306" s="1" t="s">
        <v>507</v>
      </c>
      <c r="G306" s="1" t="s">
        <v>1364</v>
      </c>
      <c r="H306" s="1" t="s">
        <v>1800</v>
      </c>
      <c r="I306" s="1" t="s">
        <v>1379</v>
      </c>
      <c r="J306" s="1" t="s">
        <v>819</v>
      </c>
      <c r="K306" s="1" t="s">
        <v>1287</v>
      </c>
      <c r="L306" s="1" t="s">
        <v>1216</v>
      </c>
      <c r="M306" s="1" t="s">
        <v>119</v>
      </c>
      <c r="N306" s="1" t="s">
        <v>119</v>
      </c>
      <c r="O306" s="1" t="s">
        <v>119</v>
      </c>
      <c r="P306" s="5">
        <v>44127</v>
      </c>
      <c r="Q306" s="1"/>
      <c r="R306" s="1"/>
      <c r="S306" s="1"/>
      <c r="T306" s="1"/>
      <c r="U306" s="1" t="s">
        <v>1922</v>
      </c>
      <c r="V306" s="4">
        <v>1</v>
      </c>
      <c r="W306" s="6">
        <v>1012</v>
      </c>
      <c r="X306" s="1" t="s">
        <v>1459</v>
      </c>
      <c r="Y306" s="4">
        <v>14</v>
      </c>
      <c r="Z306" s="6">
        <v>72.290000000000006</v>
      </c>
      <c r="AA306" s="1" t="s">
        <v>2024</v>
      </c>
      <c r="AB306" s="1" t="s">
        <v>1964</v>
      </c>
      <c r="AC306" s="1" t="s">
        <v>1124</v>
      </c>
      <c r="AD306" s="1" t="s">
        <v>1800</v>
      </c>
      <c r="AE306" s="1" t="s">
        <v>1286</v>
      </c>
      <c r="AF306" s="1" t="s">
        <v>1463</v>
      </c>
      <c r="AG306" s="6">
        <v>1012</v>
      </c>
      <c r="AH306" s="6">
        <v>72.285714285714292</v>
      </c>
      <c r="AI306" s="1"/>
      <c r="AJ306" s="1"/>
      <c r="AK306" s="1"/>
      <c r="AL306" s="1" t="s">
        <v>1761</v>
      </c>
      <c r="AM306" s="1" t="s">
        <v>803</v>
      </c>
      <c r="AN306" s="1"/>
      <c r="AO306" s="1" t="s">
        <v>237</v>
      </c>
      <c r="AP306" s="1"/>
      <c r="AQ306" s="1"/>
      <c r="AR306" s="2"/>
      <c r="AS306" s="1"/>
      <c r="AT306" s="1"/>
      <c r="AU306" s="1"/>
      <c r="AV306" s="1" t="s">
        <v>1941</v>
      </c>
      <c r="AW306" s="7">
        <v>44127.563095962498</v>
      </c>
      <c r="AX306" s="1" t="s">
        <v>473</v>
      </c>
      <c r="AY306" s="6">
        <v>1012</v>
      </c>
      <c r="AZ306" s="1"/>
      <c r="BA306" s="5">
        <v>44196</v>
      </c>
      <c r="BB306" s="7">
        <v>44196</v>
      </c>
      <c r="BC306" s="1" t="s">
        <v>1997</v>
      </c>
      <c r="BD306" s="1"/>
      <c r="BE306" s="1"/>
      <c r="BF306" s="1" t="s">
        <v>118</v>
      </c>
    </row>
    <row r="307" spans="1:58">
      <c r="A307" s="4">
        <v>302</v>
      </c>
      <c r="B307" s="2" t="str">
        <f>HYPERLINK("https://my.zakupki.prom.ua/remote/dispatcher/state_purchase_view/19605189", "UA-2020-09-25-003981-a")</f>
        <v>UA-2020-09-25-003981-a</v>
      </c>
      <c r="C307" s="2" t="s">
        <v>1459</v>
      </c>
      <c r="D307" s="1" t="s">
        <v>1272</v>
      </c>
      <c r="E307" s="1" t="s">
        <v>1273</v>
      </c>
      <c r="F307" s="1" t="s">
        <v>999</v>
      </c>
      <c r="G307" s="1" t="s">
        <v>1364</v>
      </c>
      <c r="H307" s="1" t="s">
        <v>1800</v>
      </c>
      <c r="I307" s="1" t="s">
        <v>1379</v>
      </c>
      <c r="J307" s="1" t="s">
        <v>819</v>
      </c>
      <c r="K307" s="1" t="s">
        <v>1287</v>
      </c>
      <c r="L307" s="1" t="s">
        <v>1216</v>
      </c>
      <c r="M307" s="1" t="s">
        <v>119</v>
      </c>
      <c r="N307" s="1" t="s">
        <v>119</v>
      </c>
      <c r="O307" s="1" t="s">
        <v>119</v>
      </c>
      <c r="P307" s="5">
        <v>44099</v>
      </c>
      <c r="Q307" s="1"/>
      <c r="R307" s="1"/>
      <c r="S307" s="1"/>
      <c r="T307" s="1"/>
      <c r="U307" s="1" t="s">
        <v>1922</v>
      </c>
      <c r="V307" s="4">
        <v>1</v>
      </c>
      <c r="W307" s="6">
        <v>1720.08</v>
      </c>
      <c r="X307" s="1" t="s">
        <v>1459</v>
      </c>
      <c r="Y307" s="4">
        <v>4</v>
      </c>
      <c r="Z307" s="6">
        <v>430.02</v>
      </c>
      <c r="AA307" s="1" t="s">
        <v>2024</v>
      </c>
      <c r="AB307" s="1" t="s">
        <v>1964</v>
      </c>
      <c r="AC307" s="1" t="s">
        <v>1124</v>
      </c>
      <c r="AD307" s="1" t="s">
        <v>1800</v>
      </c>
      <c r="AE307" s="1" t="s">
        <v>1286</v>
      </c>
      <c r="AF307" s="1" t="s">
        <v>1463</v>
      </c>
      <c r="AG307" s="6">
        <v>1720.08</v>
      </c>
      <c r="AH307" s="6">
        <v>430.02</v>
      </c>
      <c r="AI307" s="1"/>
      <c r="AJ307" s="1"/>
      <c r="AK307" s="1"/>
      <c r="AL307" s="1" t="s">
        <v>1777</v>
      </c>
      <c r="AM307" s="1" t="s">
        <v>682</v>
      </c>
      <c r="AN307" s="1"/>
      <c r="AO307" s="1" t="s">
        <v>246</v>
      </c>
      <c r="AP307" s="1"/>
      <c r="AQ307" s="1"/>
      <c r="AR307" s="2"/>
      <c r="AS307" s="1"/>
      <c r="AT307" s="1"/>
      <c r="AU307" s="1"/>
      <c r="AV307" s="1" t="s">
        <v>1941</v>
      </c>
      <c r="AW307" s="7">
        <v>44099.464800546077</v>
      </c>
      <c r="AX307" s="1" t="s">
        <v>1076</v>
      </c>
      <c r="AY307" s="6">
        <v>1720.08</v>
      </c>
      <c r="AZ307" s="1"/>
      <c r="BA307" s="5">
        <v>44196</v>
      </c>
      <c r="BB307" s="7">
        <v>44196</v>
      </c>
      <c r="BC307" s="1" t="s">
        <v>1997</v>
      </c>
      <c r="BD307" s="1"/>
      <c r="BE307" s="1"/>
      <c r="BF307" s="1" t="s">
        <v>118</v>
      </c>
    </row>
    <row r="308" spans="1:58">
      <c r="A308" s="4">
        <v>303</v>
      </c>
      <c r="B308" s="2" t="str">
        <f>HYPERLINK("https://my.zakupki.prom.ua/remote/dispatcher/state_purchase_view/19495890", "UA-2020-09-22-011024-b")</f>
        <v>UA-2020-09-22-011024-b</v>
      </c>
      <c r="C308" s="2" t="s">
        <v>1459</v>
      </c>
      <c r="D308" s="1" t="s">
        <v>1988</v>
      </c>
      <c r="E308" s="1" t="s">
        <v>1987</v>
      </c>
      <c r="F308" s="1" t="s">
        <v>1080</v>
      </c>
      <c r="G308" s="1" t="s">
        <v>1364</v>
      </c>
      <c r="H308" s="1" t="s">
        <v>1800</v>
      </c>
      <c r="I308" s="1" t="s">
        <v>1379</v>
      </c>
      <c r="J308" s="1" t="s">
        <v>819</v>
      </c>
      <c r="K308" s="1" t="s">
        <v>1287</v>
      </c>
      <c r="L308" s="1" t="s">
        <v>1216</v>
      </c>
      <c r="M308" s="1" t="s">
        <v>119</v>
      </c>
      <c r="N308" s="1" t="s">
        <v>119</v>
      </c>
      <c r="O308" s="1" t="s">
        <v>119</v>
      </c>
      <c r="P308" s="5">
        <v>44096</v>
      </c>
      <c r="Q308" s="1"/>
      <c r="R308" s="1"/>
      <c r="S308" s="1"/>
      <c r="T308" s="1"/>
      <c r="U308" s="1" t="s">
        <v>1922</v>
      </c>
      <c r="V308" s="4">
        <v>1</v>
      </c>
      <c r="W308" s="6">
        <v>2080</v>
      </c>
      <c r="X308" s="1" t="s">
        <v>1459</v>
      </c>
      <c r="Y308" s="4">
        <v>1</v>
      </c>
      <c r="Z308" s="6">
        <v>2080</v>
      </c>
      <c r="AA308" s="1" t="s">
        <v>1976</v>
      </c>
      <c r="AB308" s="1" t="s">
        <v>1964</v>
      </c>
      <c r="AC308" s="1" t="s">
        <v>1124</v>
      </c>
      <c r="AD308" s="1" t="s">
        <v>1800</v>
      </c>
      <c r="AE308" s="1" t="s">
        <v>1286</v>
      </c>
      <c r="AF308" s="1" t="s">
        <v>1463</v>
      </c>
      <c r="AG308" s="6">
        <v>2080</v>
      </c>
      <c r="AH308" s="6">
        <v>2080</v>
      </c>
      <c r="AI308" s="1"/>
      <c r="AJ308" s="1"/>
      <c r="AK308" s="1"/>
      <c r="AL308" s="1" t="s">
        <v>1752</v>
      </c>
      <c r="AM308" s="1" t="s">
        <v>694</v>
      </c>
      <c r="AN308" s="1"/>
      <c r="AO308" s="1" t="s">
        <v>250</v>
      </c>
      <c r="AP308" s="1"/>
      <c r="AQ308" s="1"/>
      <c r="AR308" s="2"/>
      <c r="AS308" s="1"/>
      <c r="AT308" s="1"/>
      <c r="AU308" s="1"/>
      <c r="AV308" s="1" t="s">
        <v>1941</v>
      </c>
      <c r="AW308" s="7">
        <v>44096.654275505578</v>
      </c>
      <c r="AX308" s="1" t="s">
        <v>1252</v>
      </c>
      <c r="AY308" s="6">
        <v>2080</v>
      </c>
      <c r="AZ308" s="1"/>
      <c r="BA308" s="5">
        <v>44196</v>
      </c>
      <c r="BB308" s="7">
        <v>44196</v>
      </c>
      <c r="BC308" s="1" t="s">
        <v>1997</v>
      </c>
      <c r="BD308" s="1"/>
      <c r="BE308" s="1"/>
      <c r="BF308" s="1" t="s">
        <v>118</v>
      </c>
    </row>
    <row r="309" spans="1:58">
      <c r="A309" s="4">
        <v>304</v>
      </c>
      <c r="B309" s="2" t="str">
        <f>HYPERLINK("https://my.zakupki.prom.ua/remote/dispatcher/state_purchase_view/22045673", "UA-2020-12-11-004683-c")</f>
        <v>UA-2020-12-11-004683-c</v>
      </c>
      <c r="C309" s="2" t="s">
        <v>1459</v>
      </c>
      <c r="D309" s="1" t="s">
        <v>1949</v>
      </c>
      <c r="E309" s="1" t="s">
        <v>1949</v>
      </c>
      <c r="F309" s="1" t="s">
        <v>632</v>
      </c>
      <c r="G309" s="1" t="s">
        <v>1364</v>
      </c>
      <c r="H309" s="1" t="s">
        <v>1800</v>
      </c>
      <c r="I309" s="1" t="s">
        <v>1379</v>
      </c>
      <c r="J309" s="1" t="s">
        <v>819</v>
      </c>
      <c r="K309" s="1" t="s">
        <v>1287</v>
      </c>
      <c r="L309" s="1" t="s">
        <v>1216</v>
      </c>
      <c r="M309" s="1" t="s">
        <v>119</v>
      </c>
      <c r="N309" s="1" t="s">
        <v>119</v>
      </c>
      <c r="O309" s="1" t="s">
        <v>119</v>
      </c>
      <c r="P309" s="5">
        <v>44176</v>
      </c>
      <c r="Q309" s="1"/>
      <c r="R309" s="1"/>
      <c r="S309" s="1"/>
      <c r="T309" s="1"/>
      <c r="U309" s="1" t="s">
        <v>1922</v>
      </c>
      <c r="V309" s="4">
        <v>1</v>
      </c>
      <c r="W309" s="6">
        <v>24453.48</v>
      </c>
      <c r="X309" s="1" t="s">
        <v>1459</v>
      </c>
      <c r="Y309" s="4">
        <v>16</v>
      </c>
      <c r="Z309" s="6">
        <v>1528.34</v>
      </c>
      <c r="AA309" s="1" t="s">
        <v>2024</v>
      </c>
      <c r="AB309" s="1" t="s">
        <v>1964</v>
      </c>
      <c r="AC309" s="1" t="s">
        <v>1124</v>
      </c>
      <c r="AD309" s="1" t="s">
        <v>1800</v>
      </c>
      <c r="AE309" s="1" t="s">
        <v>1286</v>
      </c>
      <c r="AF309" s="1" t="s">
        <v>1463</v>
      </c>
      <c r="AG309" s="6">
        <v>24453.48</v>
      </c>
      <c r="AH309" s="6">
        <v>1528.3425</v>
      </c>
      <c r="AI309" s="1"/>
      <c r="AJ309" s="1"/>
      <c r="AK309" s="1"/>
      <c r="AL309" s="1" t="s">
        <v>1503</v>
      </c>
      <c r="AM309" s="1" t="s">
        <v>798</v>
      </c>
      <c r="AN309" s="1"/>
      <c r="AO309" s="1" t="s">
        <v>260</v>
      </c>
      <c r="AP309" s="1"/>
      <c r="AQ309" s="1"/>
      <c r="AR309" s="2"/>
      <c r="AS309" s="1"/>
      <c r="AT309" s="1"/>
      <c r="AU309" s="1"/>
      <c r="AV309" s="1" t="s">
        <v>1941</v>
      </c>
      <c r="AW309" s="7">
        <v>44176.481327685069</v>
      </c>
      <c r="AX309" s="1" t="s">
        <v>125</v>
      </c>
      <c r="AY309" s="6">
        <v>24453.48</v>
      </c>
      <c r="AZ309" s="1"/>
      <c r="BA309" s="5">
        <v>44186</v>
      </c>
      <c r="BB309" s="7">
        <v>44196</v>
      </c>
      <c r="BC309" s="1" t="s">
        <v>1997</v>
      </c>
      <c r="BD309" s="1"/>
      <c r="BE309" s="1"/>
      <c r="BF309" s="1" t="s">
        <v>118</v>
      </c>
    </row>
    <row r="310" spans="1:58">
      <c r="A310" s="4">
        <v>305</v>
      </c>
      <c r="B310" s="2" t="str">
        <f>HYPERLINK("https://my.zakupki.prom.ua/remote/dispatcher/state_purchase_view/24436186", "UA-2021-02-26-005128-a")</f>
        <v>UA-2021-02-26-005128-a</v>
      </c>
      <c r="C310" s="2" t="s">
        <v>1459</v>
      </c>
      <c r="D310" s="1" t="s">
        <v>1568</v>
      </c>
      <c r="E310" s="1" t="s">
        <v>1568</v>
      </c>
      <c r="F310" s="1" t="s">
        <v>1099</v>
      </c>
      <c r="G310" s="1" t="s">
        <v>1346</v>
      </c>
      <c r="H310" s="1" t="s">
        <v>1800</v>
      </c>
      <c r="I310" s="1" t="s">
        <v>1379</v>
      </c>
      <c r="J310" s="1" t="s">
        <v>819</v>
      </c>
      <c r="K310" s="1" t="s">
        <v>1287</v>
      </c>
      <c r="L310" s="1" t="s">
        <v>1216</v>
      </c>
      <c r="M310" s="1" t="s">
        <v>119</v>
      </c>
      <c r="N310" s="1" t="s">
        <v>119</v>
      </c>
      <c r="O310" s="1" t="s">
        <v>610</v>
      </c>
      <c r="P310" s="5">
        <v>44253</v>
      </c>
      <c r="Q310" s="5">
        <v>44253</v>
      </c>
      <c r="R310" s="5">
        <v>44259</v>
      </c>
      <c r="S310" s="5">
        <v>44259</v>
      </c>
      <c r="T310" s="5">
        <v>44265</v>
      </c>
      <c r="U310" s="7">
        <v>44271.543877314813</v>
      </c>
      <c r="V310" s="4">
        <v>2</v>
      </c>
      <c r="W310" s="6">
        <v>15000</v>
      </c>
      <c r="X310" s="1" t="s">
        <v>1459</v>
      </c>
      <c r="Y310" s="4">
        <v>1</v>
      </c>
      <c r="Z310" s="6">
        <v>15000</v>
      </c>
      <c r="AA310" s="1" t="s">
        <v>1976</v>
      </c>
      <c r="AB310" s="6">
        <v>75</v>
      </c>
      <c r="AC310" s="1" t="s">
        <v>1124</v>
      </c>
      <c r="AD310" s="1" t="s">
        <v>1800</v>
      </c>
      <c r="AE310" s="1" t="s">
        <v>1286</v>
      </c>
      <c r="AF310" s="1" t="s">
        <v>1463</v>
      </c>
      <c r="AG310" s="6">
        <v>8740</v>
      </c>
      <c r="AH310" s="6">
        <v>8740</v>
      </c>
      <c r="AI310" s="1" t="s">
        <v>1696</v>
      </c>
      <c r="AJ310" s="6">
        <v>6260</v>
      </c>
      <c r="AK310" s="6">
        <v>0.41733333333333333</v>
      </c>
      <c r="AL310" s="1" t="s">
        <v>1696</v>
      </c>
      <c r="AM310" s="1" t="s">
        <v>921</v>
      </c>
      <c r="AN310" s="1" t="s">
        <v>1128</v>
      </c>
      <c r="AO310" s="1" t="s">
        <v>21</v>
      </c>
      <c r="AP310" s="6">
        <v>6260</v>
      </c>
      <c r="AQ310" s="6">
        <v>0.41733333333333333</v>
      </c>
      <c r="AR310" s="2" t="str">
        <f>HYPERLINK("https://auction.openprocurement.org/tenders/c0d09ac1c19d4f11bad616ee5a4544e4")</f>
        <v>https://auction.openprocurement.org/tenders/c0d09ac1c19d4f11bad616ee5a4544e4</v>
      </c>
      <c r="AS310" s="7">
        <v>44272.490178326392</v>
      </c>
      <c r="AT310" s="5">
        <v>44275</v>
      </c>
      <c r="AU310" s="5">
        <v>44289</v>
      </c>
      <c r="AV310" s="1" t="s">
        <v>1941</v>
      </c>
      <c r="AW310" s="7">
        <v>44278.584308108053</v>
      </c>
      <c r="AX310" s="1" t="s">
        <v>469</v>
      </c>
      <c r="AY310" s="6">
        <v>8740</v>
      </c>
      <c r="AZ310" s="1"/>
      <c r="BA310" s="5">
        <v>44561</v>
      </c>
      <c r="BB310" s="7">
        <v>44561</v>
      </c>
      <c r="BC310" s="1" t="s">
        <v>1997</v>
      </c>
      <c r="BD310" s="1"/>
      <c r="BE310" s="1"/>
      <c r="BF310" s="1" t="s">
        <v>922</v>
      </c>
    </row>
    <row r="311" spans="1:58">
      <c r="A311" s="4">
        <v>306</v>
      </c>
      <c r="B311" s="2" t="str">
        <f>HYPERLINK("https://my.zakupki.prom.ua/remote/dispatcher/state_purchase_view/20919372", "UA-2020-11-10-003094-c")</f>
        <v>UA-2020-11-10-003094-c</v>
      </c>
      <c r="C311" s="2" t="s">
        <v>1459</v>
      </c>
      <c r="D311" s="1" t="s">
        <v>1932</v>
      </c>
      <c r="E311" s="1" t="s">
        <v>1932</v>
      </c>
      <c r="F311" s="1" t="s">
        <v>879</v>
      </c>
      <c r="G311" s="1" t="s">
        <v>1346</v>
      </c>
      <c r="H311" s="1" t="s">
        <v>1800</v>
      </c>
      <c r="I311" s="1" t="s">
        <v>1379</v>
      </c>
      <c r="J311" s="1" t="s">
        <v>819</v>
      </c>
      <c r="K311" s="1" t="s">
        <v>1287</v>
      </c>
      <c r="L311" s="1" t="s">
        <v>1216</v>
      </c>
      <c r="M311" s="1" t="s">
        <v>119</v>
      </c>
      <c r="N311" s="1" t="s">
        <v>119</v>
      </c>
      <c r="O311" s="1" t="s">
        <v>119</v>
      </c>
      <c r="P311" s="5">
        <v>44145</v>
      </c>
      <c r="Q311" s="5">
        <v>44145</v>
      </c>
      <c r="R311" s="5">
        <v>44151</v>
      </c>
      <c r="S311" s="5">
        <v>44151</v>
      </c>
      <c r="T311" s="5">
        <v>44155</v>
      </c>
      <c r="U311" s="1" t="s">
        <v>1923</v>
      </c>
      <c r="V311" s="4">
        <v>1</v>
      </c>
      <c r="W311" s="6">
        <v>13400</v>
      </c>
      <c r="X311" s="1" t="s">
        <v>1459</v>
      </c>
      <c r="Y311" s="4">
        <v>101</v>
      </c>
      <c r="Z311" s="6">
        <v>132.66999999999999</v>
      </c>
      <c r="AA311" s="1" t="s">
        <v>2024</v>
      </c>
      <c r="AB311" s="6">
        <v>67</v>
      </c>
      <c r="AC311" s="1" t="s">
        <v>1124</v>
      </c>
      <c r="AD311" s="1" t="s">
        <v>1800</v>
      </c>
      <c r="AE311" s="1" t="s">
        <v>1286</v>
      </c>
      <c r="AF311" s="1" t="s">
        <v>1463</v>
      </c>
      <c r="AG311" s="6">
        <v>13090.14</v>
      </c>
      <c r="AH311" s="6">
        <v>129.60534653465345</v>
      </c>
      <c r="AI311" s="1" t="s">
        <v>1883</v>
      </c>
      <c r="AJ311" s="6">
        <v>309.86000000000058</v>
      </c>
      <c r="AK311" s="6">
        <v>2.3123880597014968E-2</v>
      </c>
      <c r="AL311" s="1" t="s">
        <v>1883</v>
      </c>
      <c r="AM311" s="1" t="s">
        <v>723</v>
      </c>
      <c r="AN311" s="1" t="s">
        <v>1207</v>
      </c>
      <c r="AO311" s="1" t="s">
        <v>69</v>
      </c>
      <c r="AP311" s="6">
        <v>309.86000000000058</v>
      </c>
      <c r="AQ311" s="6">
        <v>2.3123880597014968E-2</v>
      </c>
      <c r="AR311" s="2"/>
      <c r="AS311" s="7">
        <v>44158.447343167718</v>
      </c>
      <c r="AT311" s="5">
        <v>44161</v>
      </c>
      <c r="AU311" s="5">
        <v>44181</v>
      </c>
      <c r="AV311" s="1" t="s">
        <v>1941</v>
      </c>
      <c r="AW311" s="7">
        <v>44168.351474846299</v>
      </c>
      <c r="AX311" s="1" t="s">
        <v>145</v>
      </c>
      <c r="AY311" s="6">
        <v>13090.14</v>
      </c>
      <c r="AZ311" s="1"/>
      <c r="BA311" s="5">
        <v>44196</v>
      </c>
      <c r="BB311" s="7">
        <v>44227</v>
      </c>
      <c r="BC311" s="1" t="s">
        <v>1997</v>
      </c>
      <c r="BD311" s="1"/>
      <c r="BE311" s="1"/>
      <c r="BF311" s="1" t="s">
        <v>724</v>
      </c>
    </row>
    <row r="312" spans="1:58">
      <c r="A312" s="4">
        <v>307</v>
      </c>
      <c r="B312" s="2" t="str">
        <f>HYPERLINK("https://my.zakupki.prom.ua/remote/dispatcher/state_purchase_view/18517989", "UA-2020-08-13-002657-a")</f>
        <v>UA-2020-08-13-002657-a</v>
      </c>
      <c r="C312" s="2" t="s">
        <v>1459</v>
      </c>
      <c r="D312" s="1" t="s">
        <v>1544</v>
      </c>
      <c r="E312" s="1" t="s">
        <v>1456</v>
      </c>
      <c r="F312" s="1" t="s">
        <v>1086</v>
      </c>
      <c r="G312" s="1" t="s">
        <v>1364</v>
      </c>
      <c r="H312" s="1" t="s">
        <v>1800</v>
      </c>
      <c r="I312" s="1" t="s">
        <v>1379</v>
      </c>
      <c r="J312" s="1" t="s">
        <v>819</v>
      </c>
      <c r="K312" s="1" t="s">
        <v>1287</v>
      </c>
      <c r="L312" s="1" t="s">
        <v>1216</v>
      </c>
      <c r="M312" s="1" t="s">
        <v>119</v>
      </c>
      <c r="N312" s="1" t="s">
        <v>119</v>
      </c>
      <c r="O312" s="1" t="s">
        <v>119</v>
      </c>
      <c r="P312" s="5">
        <v>44056</v>
      </c>
      <c r="Q312" s="1"/>
      <c r="R312" s="1"/>
      <c r="S312" s="1"/>
      <c r="T312" s="1"/>
      <c r="U312" s="1" t="s">
        <v>1922</v>
      </c>
      <c r="V312" s="4">
        <v>1</v>
      </c>
      <c r="W312" s="6">
        <v>600</v>
      </c>
      <c r="X312" s="1" t="s">
        <v>1459</v>
      </c>
      <c r="Y312" s="4">
        <v>1</v>
      </c>
      <c r="Z312" s="6">
        <v>600</v>
      </c>
      <c r="AA312" s="1" t="s">
        <v>1976</v>
      </c>
      <c r="AB312" s="1" t="s">
        <v>1964</v>
      </c>
      <c r="AC312" s="1" t="s">
        <v>1124</v>
      </c>
      <c r="AD312" s="1" t="s">
        <v>1463</v>
      </c>
      <c r="AE312" s="1" t="s">
        <v>1286</v>
      </c>
      <c r="AF312" s="1" t="s">
        <v>1463</v>
      </c>
      <c r="AG312" s="6">
        <v>600</v>
      </c>
      <c r="AH312" s="6">
        <v>600</v>
      </c>
      <c r="AI312" s="1"/>
      <c r="AJ312" s="1"/>
      <c r="AK312" s="1"/>
      <c r="AL312" s="1" t="s">
        <v>1791</v>
      </c>
      <c r="AM312" s="1" t="s">
        <v>767</v>
      </c>
      <c r="AN312" s="1"/>
      <c r="AO312" s="1" t="s">
        <v>225</v>
      </c>
      <c r="AP312" s="1"/>
      <c r="AQ312" s="1"/>
      <c r="AR312" s="2"/>
      <c r="AS312" s="1"/>
      <c r="AT312" s="1"/>
      <c r="AU312" s="1"/>
      <c r="AV312" s="1" t="s">
        <v>1941</v>
      </c>
      <c r="AW312" s="7">
        <v>44056.48100516991</v>
      </c>
      <c r="AX312" s="1" t="s">
        <v>319</v>
      </c>
      <c r="AY312" s="6">
        <v>600</v>
      </c>
      <c r="AZ312" s="5">
        <v>44027</v>
      </c>
      <c r="BA312" s="5">
        <v>44196</v>
      </c>
      <c r="BB312" s="7">
        <v>44196</v>
      </c>
      <c r="BC312" s="1" t="s">
        <v>1997</v>
      </c>
      <c r="BD312" s="1"/>
      <c r="BE312" s="1"/>
      <c r="BF312" s="1" t="s">
        <v>118</v>
      </c>
    </row>
    <row r="313" spans="1:58">
      <c r="A313" s="4">
        <v>308</v>
      </c>
      <c r="B313" s="2" t="str">
        <f>HYPERLINK("https://my.zakupki.prom.ua/remote/dispatcher/state_purchase_view/17765041", "UA-2020-07-09-004179-c")</f>
        <v>UA-2020-07-09-004179-c</v>
      </c>
      <c r="C313" s="2" t="s">
        <v>1459</v>
      </c>
      <c r="D313" s="1" t="s">
        <v>990</v>
      </c>
      <c r="E313" s="1" t="s">
        <v>1945</v>
      </c>
      <c r="F313" s="1" t="s">
        <v>989</v>
      </c>
      <c r="G313" s="1" t="s">
        <v>1280</v>
      </c>
      <c r="H313" s="1" t="s">
        <v>1800</v>
      </c>
      <c r="I313" s="1" t="s">
        <v>1379</v>
      </c>
      <c r="J313" s="1" t="s">
        <v>819</v>
      </c>
      <c r="K313" s="1" t="s">
        <v>1287</v>
      </c>
      <c r="L313" s="1" t="s">
        <v>1216</v>
      </c>
      <c r="M313" s="1" t="s">
        <v>119</v>
      </c>
      <c r="N313" s="1" t="s">
        <v>119</v>
      </c>
      <c r="O313" s="1" t="s">
        <v>119</v>
      </c>
      <c r="P313" s="5">
        <v>44021</v>
      </c>
      <c r="Q313" s="5">
        <v>44021</v>
      </c>
      <c r="R313" s="5">
        <v>44029</v>
      </c>
      <c r="S313" s="5">
        <v>44021</v>
      </c>
      <c r="T313" s="5">
        <v>44039</v>
      </c>
      <c r="U313" s="7">
        <v>44040.517372685186</v>
      </c>
      <c r="V313" s="4">
        <v>3</v>
      </c>
      <c r="W313" s="6">
        <v>170000</v>
      </c>
      <c r="X313" s="1" t="s">
        <v>1459</v>
      </c>
      <c r="Y313" s="4">
        <v>43</v>
      </c>
      <c r="Z313" s="6">
        <v>3953.49</v>
      </c>
      <c r="AA313" s="1" t="s">
        <v>2024</v>
      </c>
      <c r="AB313" s="6">
        <v>850</v>
      </c>
      <c r="AC313" s="1" t="s">
        <v>1124</v>
      </c>
      <c r="AD313" s="1" t="s">
        <v>1800</v>
      </c>
      <c r="AE313" s="1" t="s">
        <v>1286</v>
      </c>
      <c r="AF313" s="1" t="s">
        <v>1463</v>
      </c>
      <c r="AG313" s="6">
        <v>153900</v>
      </c>
      <c r="AH313" s="6">
        <v>3579.0697674418607</v>
      </c>
      <c r="AI313" s="1" t="s">
        <v>1499</v>
      </c>
      <c r="AJ313" s="6">
        <v>16100</v>
      </c>
      <c r="AK313" s="6">
        <v>9.4705882352941181E-2</v>
      </c>
      <c r="AL313" s="1" t="s">
        <v>1728</v>
      </c>
      <c r="AM313" s="1" t="s">
        <v>880</v>
      </c>
      <c r="AN313" s="1" t="s">
        <v>1192</v>
      </c>
      <c r="AO313" s="1" t="s">
        <v>114</v>
      </c>
      <c r="AP313" s="6">
        <v>4062.2699999999895</v>
      </c>
      <c r="AQ313" s="6">
        <v>2.3895705882352878E-2</v>
      </c>
      <c r="AR313" s="2" t="str">
        <f>HYPERLINK("https://auction.openprocurement.org/tenders/b63f590b4aaa41579e45c8ec39d820f3")</f>
        <v>https://auction.openprocurement.org/tenders/b63f590b4aaa41579e45c8ec39d820f3</v>
      </c>
      <c r="AS313" s="7">
        <v>44042.367629560489</v>
      </c>
      <c r="AT313" s="5">
        <v>44053</v>
      </c>
      <c r="AU313" s="5">
        <v>44063</v>
      </c>
      <c r="AV313" s="1" t="s">
        <v>1941</v>
      </c>
      <c r="AW313" s="7">
        <v>44053.478984174755</v>
      </c>
      <c r="AX313" s="1" t="s">
        <v>323</v>
      </c>
      <c r="AY313" s="6">
        <v>165937.73000000001</v>
      </c>
      <c r="AZ313" s="1"/>
      <c r="BA313" s="5">
        <v>44089</v>
      </c>
      <c r="BB313" s="7">
        <v>44196</v>
      </c>
      <c r="BC313" s="1" t="s">
        <v>1997</v>
      </c>
      <c r="BD313" s="1"/>
      <c r="BE313" s="1"/>
      <c r="BF313" s="1" t="s">
        <v>639</v>
      </c>
    </row>
    <row r="314" spans="1:58">
      <c r="A314" s="4">
        <v>309</v>
      </c>
      <c r="B314" s="2" t="str">
        <f>HYPERLINK("https://my.zakupki.prom.ua/remote/dispatcher/state_purchase_view/25991086", "UA-2021-04-20-004852-c")</f>
        <v>UA-2021-04-20-004852-c</v>
      </c>
      <c r="C314" s="2" t="s">
        <v>1459</v>
      </c>
      <c r="D314" s="1" t="s">
        <v>1551</v>
      </c>
      <c r="E314" s="1" t="s">
        <v>1551</v>
      </c>
      <c r="F314" s="1" t="s">
        <v>1086</v>
      </c>
      <c r="G314" s="1" t="s">
        <v>1364</v>
      </c>
      <c r="H314" s="1" t="s">
        <v>1800</v>
      </c>
      <c r="I314" s="1" t="s">
        <v>1379</v>
      </c>
      <c r="J314" s="1" t="s">
        <v>819</v>
      </c>
      <c r="K314" s="1" t="s">
        <v>1287</v>
      </c>
      <c r="L314" s="1" t="s">
        <v>1216</v>
      </c>
      <c r="M314" s="1" t="s">
        <v>119</v>
      </c>
      <c r="N314" s="1" t="s">
        <v>119</v>
      </c>
      <c r="O314" s="1" t="s">
        <v>119</v>
      </c>
      <c r="P314" s="5">
        <v>44306</v>
      </c>
      <c r="Q314" s="1"/>
      <c r="R314" s="1"/>
      <c r="S314" s="1"/>
      <c r="T314" s="1"/>
      <c r="U314" s="1" t="s">
        <v>1922</v>
      </c>
      <c r="V314" s="4">
        <v>1</v>
      </c>
      <c r="W314" s="6">
        <v>9151.0400000000009</v>
      </c>
      <c r="X314" s="1" t="s">
        <v>1459</v>
      </c>
      <c r="Y314" s="4">
        <v>32</v>
      </c>
      <c r="Z314" s="6">
        <v>285.97000000000003</v>
      </c>
      <c r="AA314" s="1" t="s">
        <v>1976</v>
      </c>
      <c r="AB314" s="1" t="s">
        <v>1964</v>
      </c>
      <c r="AC314" s="1" t="s">
        <v>1124</v>
      </c>
      <c r="AD314" s="1" t="s">
        <v>1800</v>
      </c>
      <c r="AE314" s="1" t="s">
        <v>1286</v>
      </c>
      <c r="AF314" s="1" t="s">
        <v>1463</v>
      </c>
      <c r="AG314" s="6">
        <v>9151.0400000000009</v>
      </c>
      <c r="AH314" s="6">
        <v>285.97000000000003</v>
      </c>
      <c r="AI314" s="1"/>
      <c r="AJ314" s="1"/>
      <c r="AK314" s="1"/>
      <c r="AL314" s="1" t="s">
        <v>1384</v>
      </c>
      <c r="AM314" s="1" t="s">
        <v>142</v>
      </c>
      <c r="AN314" s="1"/>
      <c r="AO314" s="1" t="s">
        <v>211</v>
      </c>
      <c r="AP314" s="1"/>
      <c r="AQ314" s="1"/>
      <c r="AR314" s="2"/>
      <c r="AS314" s="1"/>
      <c r="AT314" s="1"/>
      <c r="AU314" s="1"/>
      <c r="AV314" s="1" t="s">
        <v>1941</v>
      </c>
      <c r="AW314" s="7">
        <v>44306.66395676844</v>
      </c>
      <c r="AX314" s="1" t="s">
        <v>414</v>
      </c>
      <c r="AY314" s="6">
        <v>9151.0400000000009</v>
      </c>
      <c r="AZ314" s="1"/>
      <c r="BA314" s="5">
        <v>44346</v>
      </c>
      <c r="BB314" s="7">
        <v>44561</v>
      </c>
      <c r="BC314" s="1" t="s">
        <v>1997</v>
      </c>
      <c r="BD314" s="1"/>
      <c r="BE314" s="1"/>
      <c r="BF314" s="1" t="s">
        <v>118</v>
      </c>
    </row>
    <row r="315" spans="1:58">
      <c r="A315" s="4">
        <v>310</v>
      </c>
      <c r="B315" s="2" t="str">
        <f>HYPERLINK("https://my.zakupki.prom.ua/remote/dispatcher/state_purchase_view/26804327", "UA-2021-05-24-003394-b")</f>
        <v>UA-2021-05-24-003394-b</v>
      </c>
      <c r="C315" s="2" t="s">
        <v>1459</v>
      </c>
      <c r="D315" s="1" t="s">
        <v>1336</v>
      </c>
      <c r="E315" s="1" t="s">
        <v>1337</v>
      </c>
      <c r="F315" s="1" t="s">
        <v>715</v>
      </c>
      <c r="G315" s="1" t="s">
        <v>1364</v>
      </c>
      <c r="H315" s="1" t="s">
        <v>1800</v>
      </c>
      <c r="I315" s="1" t="s">
        <v>1379</v>
      </c>
      <c r="J315" s="1" t="s">
        <v>819</v>
      </c>
      <c r="K315" s="1" t="s">
        <v>1287</v>
      </c>
      <c r="L315" s="1" t="s">
        <v>1216</v>
      </c>
      <c r="M315" s="1" t="s">
        <v>119</v>
      </c>
      <c r="N315" s="1" t="s">
        <v>119</v>
      </c>
      <c r="O315" s="1" t="s">
        <v>119</v>
      </c>
      <c r="P315" s="5">
        <v>44340</v>
      </c>
      <c r="Q315" s="1"/>
      <c r="R315" s="1"/>
      <c r="S315" s="1"/>
      <c r="T315" s="1"/>
      <c r="U315" s="1" t="s">
        <v>1922</v>
      </c>
      <c r="V315" s="4">
        <v>1</v>
      </c>
      <c r="W315" s="6">
        <v>240000</v>
      </c>
      <c r="X315" s="1" t="s">
        <v>1459</v>
      </c>
      <c r="Y315" s="4">
        <v>1</v>
      </c>
      <c r="Z315" s="6">
        <v>240000</v>
      </c>
      <c r="AA315" s="1" t="s">
        <v>2024</v>
      </c>
      <c r="AB315" s="1" t="s">
        <v>1964</v>
      </c>
      <c r="AC315" s="1" t="s">
        <v>1124</v>
      </c>
      <c r="AD315" s="1" t="s">
        <v>1800</v>
      </c>
      <c r="AE315" s="1" t="s">
        <v>1286</v>
      </c>
      <c r="AF315" s="1" t="s">
        <v>1463</v>
      </c>
      <c r="AG315" s="6">
        <v>240000</v>
      </c>
      <c r="AH315" s="6">
        <v>240000</v>
      </c>
      <c r="AI315" s="1"/>
      <c r="AJ315" s="1"/>
      <c r="AK315" s="1"/>
      <c r="AL315" s="1" t="s">
        <v>1792</v>
      </c>
      <c r="AM315" s="1" t="s">
        <v>978</v>
      </c>
      <c r="AN315" s="1"/>
      <c r="AO315" s="1" t="s">
        <v>301</v>
      </c>
      <c r="AP315" s="1"/>
      <c r="AQ315" s="1"/>
      <c r="AR315" s="2"/>
      <c r="AS315" s="1"/>
      <c r="AT315" s="1"/>
      <c r="AU315" s="1"/>
      <c r="AV315" s="1" t="s">
        <v>1941</v>
      </c>
      <c r="AW315" s="7">
        <v>44340.457120339066</v>
      </c>
      <c r="AX315" s="1" t="s">
        <v>498</v>
      </c>
      <c r="AY315" s="6">
        <v>240000</v>
      </c>
      <c r="AZ315" s="1"/>
      <c r="BA315" s="5">
        <v>44561</v>
      </c>
      <c r="BB315" s="7">
        <v>44561</v>
      </c>
      <c r="BC315" s="1" t="s">
        <v>1997</v>
      </c>
      <c r="BD315" s="1"/>
      <c r="BE315" s="1"/>
      <c r="BF315" s="1" t="s">
        <v>118</v>
      </c>
    </row>
    <row r="316" spans="1:58">
      <c r="A316" s="4">
        <v>311</v>
      </c>
      <c r="B316" s="2" t="str">
        <f>HYPERLINK("https://my.zakupki.prom.ua/remote/dispatcher/state_purchase_view/25711805", "UA-2021-04-12-000836-a")</f>
        <v>UA-2021-04-12-000836-a</v>
      </c>
      <c r="C316" s="2" t="s">
        <v>1459</v>
      </c>
      <c r="D316" s="1" t="s">
        <v>1428</v>
      </c>
      <c r="E316" s="1" t="s">
        <v>1217</v>
      </c>
      <c r="F316" s="1" t="s">
        <v>708</v>
      </c>
      <c r="G316" s="1" t="s">
        <v>1280</v>
      </c>
      <c r="H316" s="1" t="s">
        <v>1800</v>
      </c>
      <c r="I316" s="1" t="s">
        <v>1379</v>
      </c>
      <c r="J316" s="1" t="s">
        <v>819</v>
      </c>
      <c r="K316" s="1" t="s">
        <v>1287</v>
      </c>
      <c r="L316" s="1" t="s">
        <v>1216</v>
      </c>
      <c r="M316" s="1" t="s">
        <v>119</v>
      </c>
      <c r="N316" s="1" t="s">
        <v>119</v>
      </c>
      <c r="O316" s="1" t="s">
        <v>119</v>
      </c>
      <c r="P316" s="5">
        <v>44298</v>
      </c>
      <c r="Q316" s="5">
        <v>44298</v>
      </c>
      <c r="R316" s="5">
        <v>44305</v>
      </c>
      <c r="S316" s="5">
        <v>44298</v>
      </c>
      <c r="T316" s="5">
        <v>44315</v>
      </c>
      <c r="U316" s="7">
        <v>44315.659733796296</v>
      </c>
      <c r="V316" s="4">
        <v>2</v>
      </c>
      <c r="W316" s="6">
        <v>200000</v>
      </c>
      <c r="X316" s="1" t="s">
        <v>1459</v>
      </c>
      <c r="Y316" s="1" t="s">
        <v>1956</v>
      </c>
      <c r="Z316" s="1" t="s">
        <v>1956</v>
      </c>
      <c r="AA316" s="1" t="s">
        <v>1956</v>
      </c>
      <c r="AB316" s="6">
        <v>1000</v>
      </c>
      <c r="AC316" s="1" t="s">
        <v>1124</v>
      </c>
      <c r="AD316" s="1" t="s">
        <v>1800</v>
      </c>
      <c r="AE316" s="1" t="s">
        <v>1286</v>
      </c>
      <c r="AF316" s="1" t="s">
        <v>1463</v>
      </c>
      <c r="AG316" s="6">
        <v>199605.18</v>
      </c>
      <c r="AH316" s="1" t="s">
        <v>1956</v>
      </c>
      <c r="AI316" s="1" t="s">
        <v>1865</v>
      </c>
      <c r="AJ316" s="6">
        <v>394.82000000000698</v>
      </c>
      <c r="AK316" s="6">
        <v>1.974100000000035E-3</v>
      </c>
      <c r="AL316" s="1" t="s">
        <v>1865</v>
      </c>
      <c r="AM316" s="1" t="s">
        <v>581</v>
      </c>
      <c r="AN316" s="1" t="s">
        <v>1136</v>
      </c>
      <c r="AO316" s="1" t="s">
        <v>99</v>
      </c>
      <c r="AP316" s="6">
        <v>394.82000000000698</v>
      </c>
      <c r="AQ316" s="6">
        <v>1.974100000000035E-3</v>
      </c>
      <c r="AR316" s="2" t="str">
        <f>HYPERLINK("https://auction.openprocurement.org/tenders/e5979f447cc04855ad3d65f4bb4fa63b")</f>
        <v>https://auction.openprocurement.org/tenders/e5979f447cc04855ad3d65f4bb4fa63b</v>
      </c>
      <c r="AS316" s="7">
        <v>44316.458767898534</v>
      </c>
      <c r="AT316" s="5">
        <v>44327</v>
      </c>
      <c r="AU316" s="5">
        <v>44337</v>
      </c>
      <c r="AV316" s="1" t="s">
        <v>1941</v>
      </c>
      <c r="AW316" s="7">
        <v>44333.542676531921</v>
      </c>
      <c r="AX316" s="1" t="s">
        <v>384</v>
      </c>
      <c r="AY316" s="6">
        <v>199605.18</v>
      </c>
      <c r="AZ316" s="1"/>
      <c r="BA316" s="5">
        <v>44561</v>
      </c>
      <c r="BB316" s="7">
        <v>44561</v>
      </c>
      <c r="BC316" s="1" t="s">
        <v>1997</v>
      </c>
      <c r="BD316" s="1"/>
      <c r="BE316" s="1"/>
      <c r="BF316" s="1" t="s">
        <v>583</v>
      </c>
    </row>
    <row r="317" spans="1:58">
      <c r="A317" s="4">
        <v>312</v>
      </c>
      <c r="B317" s="2" t="str">
        <f>HYPERLINK("https://my.zakupki.prom.ua/remote/dispatcher/state_purchase_view/24872482", "UA-2021-03-15-002073-b")</f>
        <v>UA-2021-03-15-002073-b</v>
      </c>
      <c r="C317" s="2" t="s">
        <v>1459</v>
      </c>
      <c r="D317" s="1" t="s">
        <v>1416</v>
      </c>
      <c r="E317" s="1" t="s">
        <v>1646</v>
      </c>
      <c r="F317" s="1" t="s">
        <v>750</v>
      </c>
      <c r="G317" s="1" t="s">
        <v>1280</v>
      </c>
      <c r="H317" s="1" t="s">
        <v>1800</v>
      </c>
      <c r="I317" s="1" t="s">
        <v>1379</v>
      </c>
      <c r="J317" s="1" t="s">
        <v>819</v>
      </c>
      <c r="K317" s="1" t="s">
        <v>1287</v>
      </c>
      <c r="L317" s="1" t="s">
        <v>1216</v>
      </c>
      <c r="M317" s="1" t="s">
        <v>119</v>
      </c>
      <c r="N317" s="1" t="s">
        <v>119</v>
      </c>
      <c r="O317" s="1" t="s">
        <v>119</v>
      </c>
      <c r="P317" s="5">
        <v>44270</v>
      </c>
      <c r="Q317" s="5">
        <v>44270</v>
      </c>
      <c r="R317" s="5">
        <v>44284</v>
      </c>
      <c r="S317" s="5">
        <v>44270</v>
      </c>
      <c r="T317" s="5">
        <v>44294</v>
      </c>
      <c r="U317" s="7">
        <v>44294.52679398148</v>
      </c>
      <c r="V317" s="4">
        <v>2</v>
      </c>
      <c r="W317" s="6">
        <v>167000</v>
      </c>
      <c r="X317" s="1" t="s">
        <v>1459</v>
      </c>
      <c r="Y317" s="1" t="s">
        <v>1956</v>
      </c>
      <c r="Z317" s="1" t="s">
        <v>1956</v>
      </c>
      <c r="AA317" s="1" t="s">
        <v>1956</v>
      </c>
      <c r="AB317" s="6">
        <v>835</v>
      </c>
      <c r="AC317" s="1" t="s">
        <v>1124</v>
      </c>
      <c r="AD317" s="1" t="s">
        <v>1800</v>
      </c>
      <c r="AE317" s="1" t="s">
        <v>1286</v>
      </c>
      <c r="AF317" s="1" t="s">
        <v>1463</v>
      </c>
      <c r="AG317" s="6">
        <v>166945.56</v>
      </c>
      <c r="AH317" s="1" t="s">
        <v>1956</v>
      </c>
      <c r="AI317" s="1" t="s">
        <v>1862</v>
      </c>
      <c r="AJ317" s="6">
        <v>54.440000000002328</v>
      </c>
      <c r="AK317" s="6">
        <v>3.2598802395210976E-4</v>
      </c>
      <c r="AL317" s="1" t="s">
        <v>1862</v>
      </c>
      <c r="AM317" s="1" t="s">
        <v>526</v>
      </c>
      <c r="AN317" s="1" t="s">
        <v>1183</v>
      </c>
      <c r="AO317" s="1" t="s">
        <v>96</v>
      </c>
      <c r="AP317" s="6">
        <v>54.440000000002328</v>
      </c>
      <c r="AQ317" s="6">
        <v>3.2598802395210976E-4</v>
      </c>
      <c r="AR317" s="2" t="str">
        <f>HYPERLINK("https://auction.openprocurement.org/tenders/5c973d74ea39488e9dc25c51832f0618")</f>
        <v>https://auction.openprocurement.org/tenders/5c973d74ea39488e9dc25c51832f0618</v>
      </c>
      <c r="AS317" s="7">
        <v>44295.500848700613</v>
      </c>
      <c r="AT317" s="5">
        <v>44306</v>
      </c>
      <c r="AU317" s="5">
        <v>44316</v>
      </c>
      <c r="AV317" s="1" t="s">
        <v>1941</v>
      </c>
      <c r="AW317" s="7">
        <v>44308.626972479957</v>
      </c>
      <c r="AX317" s="1" t="s">
        <v>451</v>
      </c>
      <c r="AY317" s="6">
        <v>166945.56</v>
      </c>
      <c r="AZ317" s="1"/>
      <c r="BA317" s="5">
        <v>44561</v>
      </c>
      <c r="BB317" s="7">
        <v>44561</v>
      </c>
      <c r="BC317" s="1" t="s">
        <v>1997</v>
      </c>
      <c r="BD317" s="1"/>
      <c r="BE317" s="1"/>
      <c r="BF317" s="1" t="s">
        <v>529</v>
      </c>
    </row>
    <row r="318" spans="1:58">
      <c r="A318" s="4">
        <v>313</v>
      </c>
      <c r="B318" s="2" t="str">
        <f>HYPERLINK("https://my.zakupki.prom.ua/remote/dispatcher/state_purchase_view/26071921", "UA-2021-04-22-008850-a")</f>
        <v>UA-2021-04-22-008850-a</v>
      </c>
      <c r="C318" s="2" t="s">
        <v>1459</v>
      </c>
      <c r="D318" s="1" t="s">
        <v>1553</v>
      </c>
      <c r="E318" s="1" t="s">
        <v>1553</v>
      </c>
      <c r="F318" s="1" t="s">
        <v>1053</v>
      </c>
      <c r="G318" s="1" t="s">
        <v>1364</v>
      </c>
      <c r="H318" s="1" t="s">
        <v>1800</v>
      </c>
      <c r="I318" s="1" t="s">
        <v>1379</v>
      </c>
      <c r="J318" s="1" t="s">
        <v>819</v>
      </c>
      <c r="K318" s="1" t="s">
        <v>1287</v>
      </c>
      <c r="L318" s="1" t="s">
        <v>1216</v>
      </c>
      <c r="M318" s="1" t="s">
        <v>119</v>
      </c>
      <c r="N318" s="1" t="s">
        <v>119</v>
      </c>
      <c r="O318" s="1" t="s">
        <v>119</v>
      </c>
      <c r="P318" s="5">
        <v>44308</v>
      </c>
      <c r="Q318" s="1"/>
      <c r="R318" s="1"/>
      <c r="S318" s="1"/>
      <c r="T318" s="1"/>
      <c r="U318" s="1" t="s">
        <v>1922</v>
      </c>
      <c r="V318" s="4">
        <v>1</v>
      </c>
      <c r="W318" s="6">
        <v>79562.5</v>
      </c>
      <c r="X318" s="1" t="s">
        <v>1459</v>
      </c>
      <c r="Y318" s="4">
        <v>1</v>
      </c>
      <c r="Z318" s="6">
        <v>79562.5</v>
      </c>
      <c r="AA318" s="1" t="s">
        <v>1976</v>
      </c>
      <c r="AB318" s="1" t="s">
        <v>1964</v>
      </c>
      <c r="AC318" s="1" t="s">
        <v>1124</v>
      </c>
      <c r="AD318" s="1" t="s">
        <v>1800</v>
      </c>
      <c r="AE318" s="1" t="s">
        <v>1286</v>
      </c>
      <c r="AF318" s="1" t="s">
        <v>1463</v>
      </c>
      <c r="AG318" s="6">
        <v>79562.5</v>
      </c>
      <c r="AH318" s="6">
        <v>79562.5</v>
      </c>
      <c r="AI318" s="1"/>
      <c r="AJ318" s="1"/>
      <c r="AK318" s="1"/>
      <c r="AL318" s="1" t="s">
        <v>1225</v>
      </c>
      <c r="AM318" s="1" t="s">
        <v>480</v>
      </c>
      <c r="AN318" s="1"/>
      <c r="AO318" s="1" t="s">
        <v>223</v>
      </c>
      <c r="AP318" s="1"/>
      <c r="AQ318" s="1"/>
      <c r="AR318" s="2"/>
      <c r="AS318" s="1"/>
      <c r="AT318" s="1"/>
      <c r="AU318" s="1"/>
      <c r="AV318" s="1" t="s">
        <v>1941</v>
      </c>
      <c r="AW318" s="7">
        <v>44308.636579055914</v>
      </c>
      <c r="AX318" s="1" t="s">
        <v>1040</v>
      </c>
      <c r="AY318" s="6">
        <v>79562.5</v>
      </c>
      <c r="AZ318" s="1"/>
      <c r="BA318" s="5">
        <v>44561</v>
      </c>
      <c r="BB318" s="7">
        <v>44561</v>
      </c>
      <c r="BC318" s="1" t="s">
        <v>1997</v>
      </c>
      <c r="BD318" s="1"/>
      <c r="BE318" s="1"/>
      <c r="BF318" s="1" t="s">
        <v>118</v>
      </c>
    </row>
    <row r="319" spans="1:58">
      <c r="A319" s="4">
        <v>314</v>
      </c>
      <c r="B319" s="2" t="str">
        <f>HYPERLINK("https://my.zakupki.prom.ua/remote/dispatcher/state_purchase_view/21896543", "UA-2020-12-08-012880-c")</f>
        <v>UA-2020-12-08-012880-c</v>
      </c>
      <c r="C319" s="2" t="s">
        <v>1459</v>
      </c>
      <c r="D319" s="1" t="s">
        <v>1609</v>
      </c>
      <c r="E319" s="1" t="s">
        <v>1609</v>
      </c>
      <c r="F319" s="1" t="s">
        <v>291</v>
      </c>
      <c r="G319" s="1" t="s">
        <v>1675</v>
      </c>
      <c r="H319" s="1" t="s">
        <v>1800</v>
      </c>
      <c r="I319" s="1" t="s">
        <v>1379</v>
      </c>
      <c r="J319" s="1" t="s">
        <v>819</v>
      </c>
      <c r="K319" s="1" t="s">
        <v>1287</v>
      </c>
      <c r="L319" s="1" t="s">
        <v>1216</v>
      </c>
      <c r="M319" s="1" t="s">
        <v>119</v>
      </c>
      <c r="N319" s="1" t="s">
        <v>119</v>
      </c>
      <c r="O319" s="1" t="s">
        <v>119</v>
      </c>
      <c r="P319" s="5">
        <v>44173</v>
      </c>
      <c r="Q319" s="5">
        <v>44173</v>
      </c>
      <c r="R319" s="5">
        <v>44179</v>
      </c>
      <c r="S319" s="5">
        <v>44179</v>
      </c>
      <c r="T319" s="5">
        <v>44183</v>
      </c>
      <c r="U319" s="1" t="s">
        <v>1923</v>
      </c>
      <c r="V319" s="4">
        <v>1</v>
      </c>
      <c r="W319" s="6">
        <v>62410</v>
      </c>
      <c r="X319" s="1" t="s">
        <v>1459</v>
      </c>
      <c r="Y319" s="4">
        <v>7052</v>
      </c>
      <c r="Z319" s="6">
        <v>8.85</v>
      </c>
      <c r="AA319" s="1" t="s">
        <v>1962</v>
      </c>
      <c r="AB319" s="6">
        <v>312.05</v>
      </c>
      <c r="AC319" s="1" t="s">
        <v>1124</v>
      </c>
      <c r="AD319" s="1" t="s">
        <v>1800</v>
      </c>
      <c r="AE319" s="1" t="s">
        <v>1286</v>
      </c>
      <c r="AF319" s="1" t="s">
        <v>1463</v>
      </c>
      <c r="AG319" s="6">
        <v>52890</v>
      </c>
      <c r="AH319" s="6">
        <v>7.5</v>
      </c>
      <c r="AI319" s="1" t="s">
        <v>1830</v>
      </c>
      <c r="AJ319" s="6">
        <v>9520</v>
      </c>
      <c r="AK319" s="6">
        <v>0.15253965710623296</v>
      </c>
      <c r="AL319" s="1" t="s">
        <v>1830</v>
      </c>
      <c r="AM319" s="1" t="s">
        <v>904</v>
      </c>
      <c r="AN319" s="1" t="s">
        <v>1112</v>
      </c>
      <c r="AO319" s="1" t="s">
        <v>822</v>
      </c>
      <c r="AP319" s="6">
        <v>9520</v>
      </c>
      <c r="AQ319" s="6">
        <v>0.15253965710623296</v>
      </c>
      <c r="AR319" s="2"/>
      <c r="AS319" s="7">
        <v>44186.522974891901</v>
      </c>
      <c r="AT319" s="5">
        <v>44189</v>
      </c>
      <c r="AU319" s="5">
        <v>44209</v>
      </c>
      <c r="AV319" s="1" t="s">
        <v>1941</v>
      </c>
      <c r="AW319" s="7">
        <v>44200.47545196471</v>
      </c>
      <c r="AX319" s="1" t="s">
        <v>949</v>
      </c>
      <c r="AY319" s="6">
        <v>52890</v>
      </c>
      <c r="AZ319" s="5">
        <v>44197</v>
      </c>
      <c r="BA319" s="5">
        <v>44561</v>
      </c>
      <c r="BB319" s="7">
        <v>44561</v>
      </c>
      <c r="BC319" s="1" t="s">
        <v>1997</v>
      </c>
      <c r="BD319" s="1"/>
      <c r="BE319" s="1"/>
      <c r="BF319" s="1" t="s">
        <v>905</v>
      </c>
    </row>
    <row r="320" spans="1:58">
      <c r="A320" s="4">
        <v>315</v>
      </c>
      <c r="B320" s="2" t="str">
        <f>HYPERLINK("https://my.zakupki.prom.ua/remote/dispatcher/state_purchase_view/27883168", "UA-2021-07-01-004862-c")</f>
        <v>UA-2021-07-01-004862-c</v>
      </c>
      <c r="C320" s="2" t="s">
        <v>1459</v>
      </c>
      <c r="D320" s="1" t="s">
        <v>14</v>
      </c>
      <c r="E320" s="1" t="s">
        <v>1901</v>
      </c>
      <c r="F320" s="1" t="s">
        <v>961</v>
      </c>
      <c r="G320" s="1" t="s">
        <v>1346</v>
      </c>
      <c r="H320" s="1" t="s">
        <v>1800</v>
      </c>
      <c r="I320" s="1" t="s">
        <v>1379</v>
      </c>
      <c r="J320" s="1" t="s">
        <v>819</v>
      </c>
      <c r="K320" s="1" t="s">
        <v>1287</v>
      </c>
      <c r="L320" s="1" t="s">
        <v>1216</v>
      </c>
      <c r="M320" s="1" t="s">
        <v>119</v>
      </c>
      <c r="N320" s="1" t="s">
        <v>119</v>
      </c>
      <c r="O320" s="1" t="s">
        <v>119</v>
      </c>
      <c r="P320" s="5">
        <v>44378</v>
      </c>
      <c r="Q320" s="5">
        <v>44378</v>
      </c>
      <c r="R320" s="5">
        <v>44384</v>
      </c>
      <c r="S320" s="5">
        <v>44384</v>
      </c>
      <c r="T320" s="5">
        <v>44389</v>
      </c>
      <c r="U320" s="1" t="s">
        <v>1923</v>
      </c>
      <c r="V320" s="4">
        <v>0</v>
      </c>
      <c r="W320" s="6">
        <v>20000</v>
      </c>
      <c r="X320" s="1" t="s">
        <v>1459</v>
      </c>
      <c r="Y320" s="4">
        <v>1</v>
      </c>
      <c r="Z320" s="6">
        <v>20000</v>
      </c>
      <c r="AA320" s="1" t="s">
        <v>2024</v>
      </c>
      <c r="AB320" s="6">
        <v>100</v>
      </c>
      <c r="AC320" s="1" t="s">
        <v>1124</v>
      </c>
      <c r="AD320" s="1" t="s">
        <v>1800</v>
      </c>
      <c r="AE320" s="1" t="s">
        <v>1286</v>
      </c>
      <c r="AF320" s="1" t="s">
        <v>1463</v>
      </c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2"/>
      <c r="AS320" s="1"/>
      <c r="AT320" s="1"/>
      <c r="AU320" s="1"/>
      <c r="AV320" s="1" t="s">
        <v>1942</v>
      </c>
      <c r="AW320" s="7">
        <v>44389.56189566345</v>
      </c>
      <c r="AX320" s="1"/>
      <c r="AY320" s="1"/>
      <c r="AZ320" s="1"/>
      <c r="BA320" s="5">
        <v>44561</v>
      </c>
      <c r="BB320" s="1"/>
      <c r="BC320" s="1"/>
      <c r="BD320" s="1"/>
      <c r="BE320" s="1"/>
      <c r="BF320" s="1"/>
    </row>
    <row r="321" spans="1:58">
      <c r="A321" s="4">
        <v>316</v>
      </c>
      <c r="B321" s="2" t="str">
        <f>HYPERLINK("https://my.zakupki.prom.ua/remote/dispatcher/state_purchase_view/28226878", "UA-2021-07-14-005617-c")</f>
        <v>UA-2021-07-14-005617-c</v>
      </c>
      <c r="C321" s="2" t="s">
        <v>1459</v>
      </c>
      <c r="D321" s="1" t="s">
        <v>1400</v>
      </c>
      <c r="E321" s="1" t="s">
        <v>1400</v>
      </c>
      <c r="F321" s="1" t="s">
        <v>961</v>
      </c>
      <c r="G321" s="1" t="s">
        <v>1346</v>
      </c>
      <c r="H321" s="1" t="s">
        <v>1800</v>
      </c>
      <c r="I321" s="1" t="s">
        <v>1379</v>
      </c>
      <c r="J321" s="1" t="s">
        <v>819</v>
      </c>
      <c r="K321" s="1" t="s">
        <v>1287</v>
      </c>
      <c r="L321" s="1" t="s">
        <v>1287</v>
      </c>
      <c r="M321" s="1" t="s">
        <v>119</v>
      </c>
      <c r="N321" s="1" t="s">
        <v>119</v>
      </c>
      <c r="O321" s="1" t="s">
        <v>119</v>
      </c>
      <c r="P321" s="5">
        <v>44391</v>
      </c>
      <c r="Q321" s="5">
        <v>44391</v>
      </c>
      <c r="R321" s="5">
        <v>44397</v>
      </c>
      <c r="S321" s="5">
        <v>44397</v>
      </c>
      <c r="T321" s="5">
        <v>44400</v>
      </c>
      <c r="U321" s="1" t="s">
        <v>1928</v>
      </c>
      <c r="V321" s="4">
        <v>0</v>
      </c>
      <c r="W321" s="6">
        <v>12000</v>
      </c>
      <c r="X321" s="1" t="s">
        <v>1459</v>
      </c>
      <c r="Y321" s="4">
        <v>1</v>
      </c>
      <c r="Z321" s="6">
        <v>12000</v>
      </c>
      <c r="AA321" s="1" t="s">
        <v>2024</v>
      </c>
      <c r="AB321" s="6">
        <v>60</v>
      </c>
      <c r="AC321" s="1" t="s">
        <v>1124</v>
      </c>
      <c r="AD321" s="1" t="s">
        <v>1800</v>
      </c>
      <c r="AE321" s="1" t="s">
        <v>1286</v>
      </c>
      <c r="AF321" s="1" t="s">
        <v>1463</v>
      </c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2"/>
      <c r="AS321" s="1"/>
      <c r="AT321" s="1"/>
      <c r="AU321" s="1"/>
      <c r="AV321" s="1" t="s">
        <v>1972</v>
      </c>
      <c r="AW321" s="1"/>
      <c r="AX321" s="1"/>
      <c r="AY321" s="1"/>
      <c r="AZ321" s="1"/>
      <c r="BA321" s="5">
        <v>44469</v>
      </c>
      <c r="BB321" s="1"/>
      <c r="BC321" s="1"/>
      <c r="BD321" s="1"/>
      <c r="BE321" s="1"/>
      <c r="BF321" s="1"/>
    </row>
    <row r="322" spans="1:58">
      <c r="A322" s="4">
        <v>317</v>
      </c>
      <c r="B322" s="2" t="str">
        <f>HYPERLINK("https://my.zakupki.prom.ua/remote/dispatcher/state_purchase_view/14189803", "UA-2019-12-20-001050-b")</f>
        <v>UA-2019-12-20-001050-b</v>
      </c>
      <c r="C322" s="2" t="s">
        <v>1459</v>
      </c>
      <c r="D322" s="1" t="s">
        <v>1355</v>
      </c>
      <c r="E322" s="1" t="s">
        <v>902</v>
      </c>
      <c r="F322" s="1" t="s">
        <v>899</v>
      </c>
      <c r="G322" s="1" t="s">
        <v>1364</v>
      </c>
      <c r="H322" s="1" t="s">
        <v>1800</v>
      </c>
      <c r="I322" s="1" t="s">
        <v>1379</v>
      </c>
      <c r="J322" s="1" t="s">
        <v>819</v>
      </c>
      <c r="K322" s="1" t="s">
        <v>1287</v>
      </c>
      <c r="L322" s="1" t="s">
        <v>1915</v>
      </c>
      <c r="M322" s="1" t="s">
        <v>119</v>
      </c>
      <c r="N322" s="1" t="s">
        <v>119</v>
      </c>
      <c r="O322" s="1" t="s">
        <v>119</v>
      </c>
      <c r="P322" s="5">
        <v>43819</v>
      </c>
      <c r="Q322" s="1"/>
      <c r="R322" s="1"/>
      <c r="S322" s="1"/>
      <c r="T322" s="1"/>
      <c r="U322" s="1" t="s">
        <v>1922</v>
      </c>
      <c r="V322" s="4">
        <v>1</v>
      </c>
      <c r="W322" s="6">
        <v>2314.9899999999998</v>
      </c>
      <c r="X322" s="1" t="s">
        <v>1459</v>
      </c>
      <c r="Y322" s="4">
        <v>8</v>
      </c>
      <c r="Z322" s="6">
        <v>289.37</v>
      </c>
      <c r="AA322" s="1" t="s">
        <v>1961</v>
      </c>
      <c r="AB322" s="1" t="s">
        <v>1964</v>
      </c>
      <c r="AC322" s="1" t="s">
        <v>1124</v>
      </c>
      <c r="AD322" s="1" t="s">
        <v>1463</v>
      </c>
      <c r="AE322" s="1" t="s">
        <v>1286</v>
      </c>
      <c r="AF322" s="1" t="s">
        <v>1463</v>
      </c>
      <c r="AG322" s="6">
        <v>2314.9899999999998</v>
      </c>
      <c r="AH322" s="6">
        <v>289.37374999999997</v>
      </c>
      <c r="AI322" s="1"/>
      <c r="AJ322" s="1"/>
      <c r="AK322" s="1"/>
      <c r="AL322" s="1" t="s">
        <v>1905</v>
      </c>
      <c r="AM322" s="1" t="s">
        <v>531</v>
      </c>
      <c r="AN322" s="1"/>
      <c r="AO322" s="1" t="s">
        <v>238</v>
      </c>
      <c r="AP322" s="1"/>
      <c r="AQ322" s="1"/>
      <c r="AR322" s="2"/>
      <c r="AS322" s="1"/>
      <c r="AT322" s="1"/>
      <c r="AU322" s="1"/>
      <c r="AV322" s="1" t="s">
        <v>1941</v>
      </c>
      <c r="AW322" s="7">
        <v>43819.440787543972</v>
      </c>
      <c r="AX322" s="1" t="s">
        <v>346</v>
      </c>
      <c r="AY322" s="6">
        <v>2314.9899999999998</v>
      </c>
      <c r="AZ322" s="5">
        <v>43819</v>
      </c>
      <c r="BA322" s="5">
        <v>43830</v>
      </c>
      <c r="BB322" s="7">
        <v>43830</v>
      </c>
      <c r="BC322" s="1" t="s">
        <v>1997</v>
      </c>
      <c r="BD322" s="1"/>
      <c r="BE322" s="1"/>
      <c r="BF322" s="1" t="s">
        <v>118</v>
      </c>
    </row>
    <row r="323" spans="1:58">
      <c r="A323" s="4">
        <v>318</v>
      </c>
      <c r="B323" s="2" t="str">
        <f>HYPERLINK("https://my.zakupki.prom.ua/remote/dispatcher/state_purchase_view/9206699", "UA-2018-12-06-003135-c")</f>
        <v>UA-2018-12-06-003135-c</v>
      </c>
      <c r="C323" s="2" t="s">
        <v>1459</v>
      </c>
      <c r="D323" s="1" t="s">
        <v>1414</v>
      </c>
      <c r="E323" s="1" t="s">
        <v>1414</v>
      </c>
      <c r="F323" s="1" t="s">
        <v>1093</v>
      </c>
      <c r="G323" s="1" t="s">
        <v>1346</v>
      </c>
      <c r="H323" s="1" t="s">
        <v>1800</v>
      </c>
      <c r="I323" s="1" t="s">
        <v>1379</v>
      </c>
      <c r="J323" s="1" t="s">
        <v>819</v>
      </c>
      <c r="K323" s="1" t="s">
        <v>1287</v>
      </c>
      <c r="L323" s="1" t="s">
        <v>1224</v>
      </c>
      <c r="M323" s="1" t="s">
        <v>119</v>
      </c>
      <c r="N323" s="1" t="s">
        <v>119</v>
      </c>
      <c r="O323" s="1" t="s">
        <v>119</v>
      </c>
      <c r="P323" s="5">
        <v>43440</v>
      </c>
      <c r="Q323" s="5">
        <v>43440</v>
      </c>
      <c r="R323" s="5">
        <v>43441</v>
      </c>
      <c r="S323" s="5">
        <v>43441</v>
      </c>
      <c r="T323" s="5">
        <v>43444</v>
      </c>
      <c r="U323" s="1" t="s">
        <v>1923</v>
      </c>
      <c r="V323" s="4">
        <v>1</v>
      </c>
      <c r="W323" s="6">
        <v>6500</v>
      </c>
      <c r="X323" s="1" t="s">
        <v>1459</v>
      </c>
      <c r="Y323" s="4">
        <v>116</v>
      </c>
      <c r="Z323" s="6">
        <v>56.03</v>
      </c>
      <c r="AA323" s="1" t="s">
        <v>1976</v>
      </c>
      <c r="AB323" s="6">
        <v>32.5</v>
      </c>
      <c r="AC323" s="1" t="s">
        <v>1124</v>
      </c>
      <c r="AD323" s="1" t="s">
        <v>1800</v>
      </c>
      <c r="AE323" s="1" t="s">
        <v>1286</v>
      </c>
      <c r="AF323" s="1" t="s">
        <v>1463</v>
      </c>
      <c r="AG323" s="6">
        <v>6413.99</v>
      </c>
      <c r="AH323" s="6">
        <v>55.29301724137931</v>
      </c>
      <c r="AI323" s="1" t="s">
        <v>1324</v>
      </c>
      <c r="AJ323" s="6">
        <v>86.010000000000218</v>
      </c>
      <c r="AK323" s="6">
        <v>1.3232307692307725E-2</v>
      </c>
      <c r="AL323" s="1" t="s">
        <v>1324</v>
      </c>
      <c r="AM323" s="1" t="s">
        <v>839</v>
      </c>
      <c r="AN323" s="1" t="s">
        <v>1142</v>
      </c>
      <c r="AO323" s="1" t="s">
        <v>34</v>
      </c>
      <c r="AP323" s="6">
        <v>86.010000000000218</v>
      </c>
      <c r="AQ323" s="6">
        <v>1.3232307692307725E-2</v>
      </c>
      <c r="AR323" s="2"/>
      <c r="AS323" s="7">
        <v>43444.734411711644</v>
      </c>
      <c r="AT323" s="5">
        <v>43446</v>
      </c>
      <c r="AU323" s="5">
        <v>43471</v>
      </c>
      <c r="AV323" s="1" t="s">
        <v>1941</v>
      </c>
      <c r="AW323" s="7">
        <v>43452.436689129783</v>
      </c>
      <c r="AX323" s="1" t="s">
        <v>575</v>
      </c>
      <c r="AY323" s="6">
        <v>6413.99</v>
      </c>
      <c r="AZ323" s="1"/>
      <c r="BA323" s="5">
        <v>43465</v>
      </c>
      <c r="BB323" s="7">
        <v>43465</v>
      </c>
      <c r="BC323" s="1" t="s">
        <v>1997</v>
      </c>
      <c r="BD323" s="1"/>
      <c r="BE323" s="1"/>
      <c r="BF323" s="1" t="s">
        <v>840</v>
      </c>
    </row>
    <row r="324" spans="1:58">
      <c r="A324" s="4">
        <v>319</v>
      </c>
      <c r="B324" s="2" t="str">
        <f>HYPERLINK("https://my.zakupki.prom.ua/remote/dispatcher/state_purchase_view/10756959", "UA-2019-02-28-000426-a")</f>
        <v>UA-2019-02-28-000426-a</v>
      </c>
      <c r="C324" s="2" t="s">
        <v>1459</v>
      </c>
      <c r="D324" s="1" t="s">
        <v>1476</v>
      </c>
      <c r="E324" s="1" t="s">
        <v>1475</v>
      </c>
      <c r="F324" s="1" t="s">
        <v>626</v>
      </c>
      <c r="G324" s="1" t="s">
        <v>1346</v>
      </c>
      <c r="H324" s="1" t="s">
        <v>1800</v>
      </c>
      <c r="I324" s="1" t="s">
        <v>1379</v>
      </c>
      <c r="J324" s="1" t="s">
        <v>819</v>
      </c>
      <c r="K324" s="1" t="s">
        <v>1287</v>
      </c>
      <c r="L324" s="1" t="s">
        <v>1224</v>
      </c>
      <c r="M324" s="1" t="s">
        <v>316</v>
      </c>
      <c r="N324" s="1" t="s">
        <v>119</v>
      </c>
      <c r="O324" s="1" t="s">
        <v>119</v>
      </c>
      <c r="P324" s="5">
        <v>43524</v>
      </c>
      <c r="Q324" s="5">
        <v>43524</v>
      </c>
      <c r="R324" s="5">
        <v>43529</v>
      </c>
      <c r="S324" s="5">
        <v>43529</v>
      </c>
      <c r="T324" s="5">
        <v>43535</v>
      </c>
      <c r="U324" s="7">
        <v>43536.635775462964</v>
      </c>
      <c r="V324" s="4">
        <v>4</v>
      </c>
      <c r="W324" s="6">
        <v>11500</v>
      </c>
      <c r="X324" s="1" t="s">
        <v>1459</v>
      </c>
      <c r="Y324" s="4">
        <v>537</v>
      </c>
      <c r="Z324" s="6">
        <v>21.42</v>
      </c>
      <c r="AA324" s="1" t="s">
        <v>2023</v>
      </c>
      <c r="AB324" s="6">
        <v>57.5</v>
      </c>
      <c r="AC324" s="1" t="s">
        <v>1124</v>
      </c>
      <c r="AD324" s="1" t="s">
        <v>1800</v>
      </c>
      <c r="AE324" s="1" t="s">
        <v>1286</v>
      </c>
      <c r="AF324" s="1" t="s">
        <v>1463</v>
      </c>
      <c r="AG324" s="6">
        <v>7389.89</v>
      </c>
      <c r="AH324" s="6">
        <v>13.761433891992551</v>
      </c>
      <c r="AI324" s="1" t="s">
        <v>1697</v>
      </c>
      <c r="AJ324" s="6">
        <v>4110.1099999999997</v>
      </c>
      <c r="AK324" s="6">
        <v>0.35740086956521738</v>
      </c>
      <c r="AL324" s="1" t="s">
        <v>1697</v>
      </c>
      <c r="AM324" s="1" t="s">
        <v>888</v>
      </c>
      <c r="AN324" s="1" t="s">
        <v>1135</v>
      </c>
      <c r="AO324" s="1" t="s">
        <v>48</v>
      </c>
      <c r="AP324" s="6">
        <v>4110.1099999999997</v>
      </c>
      <c r="AQ324" s="6">
        <v>0.35740086956521738</v>
      </c>
      <c r="AR324" s="2" t="str">
        <f>HYPERLINK("https://auction.openprocurement.org/tenders/99efaeed9bd04738acbd461bdb528950")</f>
        <v>https://auction.openprocurement.org/tenders/99efaeed9bd04738acbd461bdb528950</v>
      </c>
      <c r="AS324" s="7">
        <v>43537.659702457</v>
      </c>
      <c r="AT324" s="5">
        <v>43539</v>
      </c>
      <c r="AU324" s="5">
        <v>43559</v>
      </c>
      <c r="AV324" s="1" t="s">
        <v>1941</v>
      </c>
      <c r="AW324" s="7">
        <v>43545.472154056763</v>
      </c>
      <c r="AX324" s="1" t="s">
        <v>434</v>
      </c>
      <c r="AY324" s="6">
        <v>7389.89</v>
      </c>
      <c r="AZ324" s="1"/>
      <c r="BA324" s="5">
        <v>43555</v>
      </c>
      <c r="BB324" s="7">
        <v>43861</v>
      </c>
      <c r="BC324" s="1" t="s">
        <v>1997</v>
      </c>
      <c r="BD324" s="1"/>
      <c r="BE324" s="1"/>
      <c r="BF324" s="1" t="s">
        <v>894</v>
      </c>
    </row>
    <row r="325" spans="1:58">
      <c r="A325" s="4">
        <v>320</v>
      </c>
      <c r="B325" s="2" t="str">
        <f>HYPERLINK("https://my.zakupki.prom.ua/remote/dispatcher/state_purchase_view/11873448", "UA-2019-06-10-000591-b")</f>
        <v>UA-2019-06-10-000591-b</v>
      </c>
      <c r="C325" s="2" t="s">
        <v>1459</v>
      </c>
      <c r="D325" s="1" t="s">
        <v>1335</v>
      </c>
      <c r="E325" s="1" t="s">
        <v>1920</v>
      </c>
      <c r="F325" s="1" t="s">
        <v>837</v>
      </c>
      <c r="G325" s="1" t="s">
        <v>1280</v>
      </c>
      <c r="H325" s="1" t="s">
        <v>1800</v>
      </c>
      <c r="I325" s="1" t="s">
        <v>1379</v>
      </c>
      <c r="J325" s="1" t="s">
        <v>819</v>
      </c>
      <c r="K325" s="1" t="s">
        <v>1287</v>
      </c>
      <c r="L325" s="1" t="s">
        <v>1224</v>
      </c>
      <c r="M325" s="1" t="s">
        <v>119</v>
      </c>
      <c r="N325" s="1" t="s">
        <v>119</v>
      </c>
      <c r="O325" s="1" t="s">
        <v>119</v>
      </c>
      <c r="P325" s="5">
        <v>43626</v>
      </c>
      <c r="Q325" s="5">
        <v>43626</v>
      </c>
      <c r="R325" s="5">
        <v>43631</v>
      </c>
      <c r="S325" s="5">
        <v>43626</v>
      </c>
      <c r="T325" s="5">
        <v>43641</v>
      </c>
      <c r="U325" s="7">
        <v>43642.561469907407</v>
      </c>
      <c r="V325" s="4">
        <v>2</v>
      </c>
      <c r="W325" s="6">
        <v>346600</v>
      </c>
      <c r="X325" s="1" t="s">
        <v>1459</v>
      </c>
      <c r="Y325" s="1" t="s">
        <v>1956</v>
      </c>
      <c r="Z325" s="1" t="s">
        <v>1956</v>
      </c>
      <c r="AA325" s="1" t="s">
        <v>1956</v>
      </c>
      <c r="AB325" s="6">
        <v>1733</v>
      </c>
      <c r="AC325" s="1" t="s">
        <v>1124</v>
      </c>
      <c r="AD325" s="1" t="s">
        <v>1800</v>
      </c>
      <c r="AE325" s="1" t="s">
        <v>1286</v>
      </c>
      <c r="AF325" s="1" t="s">
        <v>1463</v>
      </c>
      <c r="AG325" s="6">
        <v>346579.42</v>
      </c>
      <c r="AH325" s="1" t="s">
        <v>1956</v>
      </c>
      <c r="AI325" s="1" t="s">
        <v>1709</v>
      </c>
      <c r="AJ325" s="6">
        <v>20.580000000016298</v>
      </c>
      <c r="AK325" s="6">
        <v>5.9376803231437677E-5</v>
      </c>
      <c r="AL325" s="1" t="s">
        <v>1709</v>
      </c>
      <c r="AM325" s="1" t="s">
        <v>963</v>
      </c>
      <c r="AN325" s="1" t="s">
        <v>1149</v>
      </c>
      <c r="AO325" s="1" t="s">
        <v>73</v>
      </c>
      <c r="AP325" s="6">
        <v>20.580000000016298</v>
      </c>
      <c r="AQ325" s="6">
        <v>5.9376803231437677E-5</v>
      </c>
      <c r="AR325" s="2" t="str">
        <f>HYPERLINK("https://auction.openprocurement.org/tenders/46cc428b86004949bf5c47873938977a")</f>
        <v>https://auction.openprocurement.org/tenders/46cc428b86004949bf5c47873938977a</v>
      </c>
      <c r="AS325" s="7">
        <v>43643.525792233719</v>
      </c>
      <c r="AT325" s="5">
        <v>43654</v>
      </c>
      <c r="AU325" s="5">
        <v>43664</v>
      </c>
      <c r="AV325" s="1" t="s">
        <v>1941</v>
      </c>
      <c r="AW325" s="7">
        <v>43655.358130892637</v>
      </c>
      <c r="AX325" s="1" t="s">
        <v>1015</v>
      </c>
      <c r="AY325" s="6">
        <v>346579.42</v>
      </c>
      <c r="AZ325" s="1"/>
      <c r="BA325" s="5">
        <v>43830</v>
      </c>
      <c r="BB325" s="7">
        <v>43830</v>
      </c>
      <c r="BC325" s="1" t="s">
        <v>1997</v>
      </c>
      <c r="BD325" s="1"/>
      <c r="BE325" s="1"/>
      <c r="BF325" s="1" t="s">
        <v>968</v>
      </c>
    </row>
    <row r="326" spans="1:58">
      <c r="A326" s="4">
        <v>321</v>
      </c>
      <c r="B326" s="2" t="str">
        <f>HYPERLINK("https://my.zakupki.prom.ua/remote/dispatcher/state_purchase_view/11575518", "UA-2019-05-14-001569-a")</f>
        <v>UA-2019-05-14-001569-a</v>
      </c>
      <c r="C326" s="2" t="s">
        <v>1459</v>
      </c>
      <c r="D326" s="1" t="s">
        <v>732</v>
      </c>
      <c r="E326" s="1" t="s">
        <v>1292</v>
      </c>
      <c r="F326" s="1" t="s">
        <v>733</v>
      </c>
      <c r="G326" s="1" t="s">
        <v>1280</v>
      </c>
      <c r="H326" s="1" t="s">
        <v>1800</v>
      </c>
      <c r="I326" s="1" t="s">
        <v>1379</v>
      </c>
      <c r="J326" s="1" t="s">
        <v>819</v>
      </c>
      <c r="K326" s="1" t="s">
        <v>1287</v>
      </c>
      <c r="L326" s="1" t="s">
        <v>1224</v>
      </c>
      <c r="M326" s="1" t="s">
        <v>119</v>
      </c>
      <c r="N326" s="1" t="s">
        <v>119</v>
      </c>
      <c r="O326" s="1" t="s">
        <v>119</v>
      </c>
      <c r="P326" s="5">
        <v>43599</v>
      </c>
      <c r="Q326" s="5">
        <v>43599</v>
      </c>
      <c r="R326" s="5">
        <v>43604</v>
      </c>
      <c r="S326" s="5">
        <v>43599</v>
      </c>
      <c r="T326" s="5">
        <v>43614</v>
      </c>
      <c r="U326" s="1" t="s">
        <v>1923</v>
      </c>
      <c r="V326" s="4">
        <v>0</v>
      </c>
      <c r="W326" s="6">
        <v>5000</v>
      </c>
      <c r="X326" s="1" t="s">
        <v>1459</v>
      </c>
      <c r="Y326" s="1" t="s">
        <v>1956</v>
      </c>
      <c r="Z326" s="1" t="s">
        <v>1956</v>
      </c>
      <c r="AA326" s="1" t="s">
        <v>1956</v>
      </c>
      <c r="AB326" s="6">
        <v>50</v>
      </c>
      <c r="AC326" s="1" t="s">
        <v>1124</v>
      </c>
      <c r="AD326" s="1" t="s">
        <v>1800</v>
      </c>
      <c r="AE326" s="1" t="s">
        <v>1286</v>
      </c>
      <c r="AF326" s="1" t="s">
        <v>1463</v>
      </c>
      <c r="AG326" s="1"/>
      <c r="AH326" s="1" t="s">
        <v>1956</v>
      </c>
      <c r="AI326" s="1"/>
      <c r="AJ326" s="1"/>
      <c r="AK326" s="1"/>
      <c r="AL326" s="1"/>
      <c r="AM326" s="1"/>
      <c r="AN326" s="1"/>
      <c r="AO326" s="1"/>
      <c r="AP326" s="1"/>
      <c r="AQ326" s="1"/>
      <c r="AR326" s="2"/>
      <c r="AS326" s="1"/>
      <c r="AT326" s="1"/>
      <c r="AU326" s="1"/>
      <c r="AV326" s="1" t="s">
        <v>1942</v>
      </c>
      <c r="AW326" s="7">
        <v>43614.669554456043</v>
      </c>
      <c r="AX326" s="1"/>
      <c r="AY326" s="1"/>
      <c r="AZ326" s="1"/>
      <c r="BA326" s="5">
        <v>43830</v>
      </c>
      <c r="BB326" s="1"/>
      <c r="BC326" s="1"/>
      <c r="BD326" s="1"/>
      <c r="BE326" s="1"/>
      <c r="BF326" s="1"/>
    </row>
    <row r="327" spans="1:58">
      <c r="A327" s="4">
        <v>322</v>
      </c>
      <c r="B327" s="2" t="str">
        <f>HYPERLINK("https://my.zakupki.prom.ua/remote/dispatcher/state_purchase_view/15637229", "UA-2020-03-05-002662-b")</f>
        <v>UA-2020-03-05-002662-b</v>
      </c>
      <c r="C327" s="2" t="s">
        <v>1459</v>
      </c>
      <c r="D327" s="1" t="s">
        <v>1241</v>
      </c>
      <c r="E327" s="1" t="s">
        <v>1241</v>
      </c>
      <c r="F327" s="1" t="s">
        <v>836</v>
      </c>
      <c r="G327" s="1" t="s">
        <v>1346</v>
      </c>
      <c r="H327" s="1" t="s">
        <v>1800</v>
      </c>
      <c r="I327" s="1" t="s">
        <v>1379</v>
      </c>
      <c r="J327" s="1" t="s">
        <v>819</v>
      </c>
      <c r="K327" s="1" t="s">
        <v>1287</v>
      </c>
      <c r="L327" s="1" t="s">
        <v>1216</v>
      </c>
      <c r="M327" s="1" t="s">
        <v>119</v>
      </c>
      <c r="N327" s="1" t="s">
        <v>119</v>
      </c>
      <c r="O327" s="1" t="s">
        <v>119</v>
      </c>
      <c r="P327" s="5">
        <v>43895</v>
      </c>
      <c r="Q327" s="5">
        <v>43895</v>
      </c>
      <c r="R327" s="5">
        <v>43899</v>
      </c>
      <c r="S327" s="5">
        <v>43899</v>
      </c>
      <c r="T327" s="5">
        <v>43901</v>
      </c>
      <c r="U327" s="1" t="s">
        <v>1923</v>
      </c>
      <c r="V327" s="4">
        <v>0</v>
      </c>
      <c r="W327" s="6">
        <v>7500</v>
      </c>
      <c r="X327" s="1" t="s">
        <v>1459</v>
      </c>
      <c r="Y327" s="4">
        <v>5</v>
      </c>
      <c r="Z327" s="6">
        <v>1500</v>
      </c>
      <c r="AA327" s="1" t="s">
        <v>2024</v>
      </c>
      <c r="AB327" s="6">
        <v>75</v>
      </c>
      <c r="AC327" s="1" t="s">
        <v>1124</v>
      </c>
      <c r="AD327" s="1" t="s">
        <v>1800</v>
      </c>
      <c r="AE327" s="1" t="s">
        <v>1286</v>
      </c>
      <c r="AF327" s="1" t="s">
        <v>1463</v>
      </c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2"/>
      <c r="AS327" s="1"/>
      <c r="AT327" s="1"/>
      <c r="AU327" s="1"/>
      <c r="AV327" s="1" t="s">
        <v>1942</v>
      </c>
      <c r="AW327" s="7">
        <v>43901.710268265524</v>
      </c>
      <c r="AX327" s="1"/>
      <c r="AY327" s="1"/>
      <c r="AZ327" s="1"/>
      <c r="BA327" s="5">
        <v>43931</v>
      </c>
      <c r="BB327" s="1"/>
      <c r="BC327" s="1"/>
      <c r="BD327" s="1"/>
      <c r="BE327" s="1"/>
      <c r="BF327" s="1"/>
    </row>
    <row r="328" spans="1:58">
      <c r="A328" s="4">
        <v>323</v>
      </c>
      <c r="B328" s="2" t="str">
        <f>HYPERLINK("https://my.zakupki.prom.ua/remote/dispatcher/state_purchase_view/12865202", "UA-2019-09-17-000319-a")</f>
        <v>UA-2019-09-17-000319-a</v>
      </c>
      <c r="C328" s="2" t="s">
        <v>1459</v>
      </c>
      <c r="D328" s="1" t="s">
        <v>1314</v>
      </c>
      <c r="E328" s="1" t="s">
        <v>1313</v>
      </c>
      <c r="F328" s="1" t="s">
        <v>879</v>
      </c>
      <c r="G328" s="1" t="s">
        <v>1346</v>
      </c>
      <c r="H328" s="1" t="s">
        <v>1800</v>
      </c>
      <c r="I328" s="1" t="s">
        <v>1379</v>
      </c>
      <c r="J328" s="1" t="s">
        <v>819</v>
      </c>
      <c r="K328" s="1" t="s">
        <v>1287</v>
      </c>
      <c r="L328" s="1" t="s">
        <v>1658</v>
      </c>
      <c r="M328" s="1" t="s">
        <v>119</v>
      </c>
      <c r="N328" s="1" t="s">
        <v>119</v>
      </c>
      <c r="O328" s="1" t="s">
        <v>119</v>
      </c>
      <c r="P328" s="5">
        <v>43725</v>
      </c>
      <c r="Q328" s="5">
        <v>43725</v>
      </c>
      <c r="R328" s="5">
        <v>43727</v>
      </c>
      <c r="S328" s="5">
        <v>43727</v>
      </c>
      <c r="T328" s="5">
        <v>43728</v>
      </c>
      <c r="U328" s="7">
        <v>43731.569548611114</v>
      </c>
      <c r="V328" s="4">
        <v>2</v>
      </c>
      <c r="W328" s="6">
        <v>5475</v>
      </c>
      <c r="X328" s="1" t="s">
        <v>1459</v>
      </c>
      <c r="Y328" s="4">
        <v>70</v>
      </c>
      <c r="Z328" s="6">
        <v>78.209999999999994</v>
      </c>
      <c r="AA328" s="1" t="s">
        <v>2023</v>
      </c>
      <c r="AB328" s="6">
        <v>54.75</v>
      </c>
      <c r="AC328" s="1" t="s">
        <v>1124</v>
      </c>
      <c r="AD328" s="1" t="s">
        <v>1800</v>
      </c>
      <c r="AE328" s="1" t="s">
        <v>1286</v>
      </c>
      <c r="AF328" s="1" t="s">
        <v>1463</v>
      </c>
      <c r="AG328" s="6">
        <v>3490</v>
      </c>
      <c r="AH328" s="6">
        <v>49.857142857142854</v>
      </c>
      <c r="AI328" s="1" t="s">
        <v>1883</v>
      </c>
      <c r="AJ328" s="6">
        <v>1985</v>
      </c>
      <c r="AK328" s="6">
        <v>0.36255707762557077</v>
      </c>
      <c r="AL328" s="1" t="s">
        <v>1883</v>
      </c>
      <c r="AM328" s="1" t="s">
        <v>723</v>
      </c>
      <c r="AN328" s="1" t="s">
        <v>1207</v>
      </c>
      <c r="AO328" s="1" t="s">
        <v>69</v>
      </c>
      <c r="AP328" s="6">
        <v>1985</v>
      </c>
      <c r="AQ328" s="6">
        <v>0.36255707762557077</v>
      </c>
      <c r="AR328" s="2" t="str">
        <f>HYPERLINK("https://auction.openprocurement.org/tenders/f53ed4057e53479c9956c300912624d8")</f>
        <v>https://auction.openprocurement.org/tenders/f53ed4057e53479c9956c300912624d8</v>
      </c>
      <c r="AS328" s="7">
        <v>43738.631888182601</v>
      </c>
      <c r="AT328" s="5">
        <v>43740</v>
      </c>
      <c r="AU328" s="5">
        <v>43757</v>
      </c>
      <c r="AV328" s="1" t="s">
        <v>1941</v>
      </c>
      <c r="AW328" s="7">
        <v>43747.568005810106</v>
      </c>
      <c r="AX328" s="1" t="s">
        <v>282</v>
      </c>
      <c r="AY328" s="6">
        <v>3490</v>
      </c>
      <c r="AZ328" s="1"/>
      <c r="BA328" s="5">
        <v>43830</v>
      </c>
      <c r="BB328" s="7">
        <v>43830</v>
      </c>
      <c r="BC328" s="1" t="s">
        <v>1997</v>
      </c>
      <c r="BD328" s="1"/>
      <c r="BE328" s="1"/>
      <c r="BF328" s="1" t="s">
        <v>725</v>
      </c>
    </row>
    <row r="329" spans="1:58">
      <c r="A329" s="4">
        <v>324</v>
      </c>
      <c r="B329" s="2" t="str">
        <f>HYPERLINK("https://my.zakupki.prom.ua/remote/dispatcher/state_purchase_view/13474560", "UA-2019-11-07-001657-b")</f>
        <v>UA-2019-11-07-001657-b</v>
      </c>
      <c r="C329" s="2" t="s">
        <v>1459</v>
      </c>
      <c r="D329" s="1" t="s">
        <v>722</v>
      </c>
      <c r="E329" s="1" t="s">
        <v>722</v>
      </c>
      <c r="F329" s="1" t="s">
        <v>721</v>
      </c>
      <c r="G329" s="1" t="s">
        <v>1280</v>
      </c>
      <c r="H329" s="1" t="s">
        <v>1800</v>
      </c>
      <c r="I329" s="1" t="s">
        <v>1379</v>
      </c>
      <c r="J329" s="1" t="s">
        <v>819</v>
      </c>
      <c r="K329" s="1" t="s">
        <v>1287</v>
      </c>
      <c r="L329" s="1" t="s">
        <v>1915</v>
      </c>
      <c r="M329" s="1" t="s">
        <v>119</v>
      </c>
      <c r="N329" s="1" t="s">
        <v>119</v>
      </c>
      <c r="O329" s="1" t="s">
        <v>119</v>
      </c>
      <c r="P329" s="5">
        <v>43776</v>
      </c>
      <c r="Q329" s="5">
        <v>43776</v>
      </c>
      <c r="R329" s="5">
        <v>43785</v>
      </c>
      <c r="S329" s="5">
        <v>43776</v>
      </c>
      <c r="T329" s="5">
        <v>43795</v>
      </c>
      <c r="U329" s="7">
        <v>43796.583460648151</v>
      </c>
      <c r="V329" s="4">
        <v>2</v>
      </c>
      <c r="W329" s="6">
        <v>17000</v>
      </c>
      <c r="X329" s="1" t="s">
        <v>1459</v>
      </c>
      <c r="Y329" s="4">
        <v>46</v>
      </c>
      <c r="Z329" s="6">
        <v>369.57</v>
      </c>
      <c r="AA329" s="1" t="s">
        <v>2023</v>
      </c>
      <c r="AB329" s="6">
        <v>170</v>
      </c>
      <c r="AC329" s="1" t="s">
        <v>1124</v>
      </c>
      <c r="AD329" s="1" t="s">
        <v>1800</v>
      </c>
      <c r="AE329" s="1" t="s">
        <v>1286</v>
      </c>
      <c r="AF329" s="1" t="s">
        <v>1463</v>
      </c>
      <c r="AG329" s="6">
        <v>12900</v>
      </c>
      <c r="AH329" s="6">
        <v>280.43478260869563</v>
      </c>
      <c r="AI329" s="1" t="s">
        <v>1848</v>
      </c>
      <c r="AJ329" s="6">
        <v>4100</v>
      </c>
      <c r="AK329" s="6">
        <v>0.2411764705882353</v>
      </c>
      <c r="AL329" s="1" t="s">
        <v>1708</v>
      </c>
      <c r="AM329" s="1" t="s">
        <v>805</v>
      </c>
      <c r="AN329" s="1" t="s">
        <v>1158</v>
      </c>
      <c r="AO329" s="1"/>
      <c r="AP329" s="6">
        <v>101</v>
      </c>
      <c r="AQ329" s="6">
        <v>5.9411764705882353E-3</v>
      </c>
      <c r="AR329" s="2" t="str">
        <f>HYPERLINK("https://auction.openprocurement.org/tenders/2707497619dd49d9b787d391c8e5e934")</f>
        <v>https://auction.openprocurement.org/tenders/2707497619dd49d9b787d391c8e5e934</v>
      </c>
      <c r="AS329" s="7">
        <v>43798.380831971517</v>
      </c>
      <c r="AT329" s="5">
        <v>43809</v>
      </c>
      <c r="AU329" s="5">
        <v>43819</v>
      </c>
      <c r="AV329" s="1" t="s">
        <v>1941</v>
      </c>
      <c r="AW329" s="7">
        <v>43809.432171545275</v>
      </c>
      <c r="AX329" s="1" t="s">
        <v>329</v>
      </c>
      <c r="AY329" s="6">
        <v>16899</v>
      </c>
      <c r="AZ329" s="1"/>
      <c r="BA329" s="5">
        <v>43830</v>
      </c>
      <c r="BB329" s="7">
        <v>43830</v>
      </c>
      <c r="BC329" s="1" t="s">
        <v>1997</v>
      </c>
      <c r="BD329" s="1"/>
      <c r="BE329" s="1"/>
      <c r="BF329" s="1" t="s">
        <v>439</v>
      </c>
    </row>
    <row r="330" spans="1:58">
      <c r="A330" s="4">
        <v>325</v>
      </c>
      <c r="B330" s="2" t="str">
        <f>HYPERLINK("https://my.zakupki.prom.ua/remote/dispatcher/state_purchase_view/12142300", "UA-2019-07-05-001853-c")</f>
        <v>UA-2019-07-05-001853-c</v>
      </c>
      <c r="C330" s="2" t="s">
        <v>1459</v>
      </c>
      <c r="D330" s="1" t="s">
        <v>1689</v>
      </c>
      <c r="E330" s="1" t="s">
        <v>1689</v>
      </c>
      <c r="F330" s="1" t="s">
        <v>872</v>
      </c>
      <c r="G330" s="1" t="s">
        <v>1346</v>
      </c>
      <c r="H330" s="1" t="s">
        <v>1800</v>
      </c>
      <c r="I330" s="1" t="s">
        <v>1379</v>
      </c>
      <c r="J330" s="1" t="s">
        <v>819</v>
      </c>
      <c r="K330" s="1" t="s">
        <v>1287</v>
      </c>
      <c r="L330" s="1" t="s">
        <v>1224</v>
      </c>
      <c r="M330" s="1" t="s">
        <v>316</v>
      </c>
      <c r="N330" s="1" t="s">
        <v>119</v>
      </c>
      <c r="O330" s="1" t="s">
        <v>119</v>
      </c>
      <c r="P330" s="5">
        <v>43651</v>
      </c>
      <c r="Q330" s="5">
        <v>43651</v>
      </c>
      <c r="R330" s="5">
        <v>43655</v>
      </c>
      <c r="S330" s="5">
        <v>43655</v>
      </c>
      <c r="T330" s="5">
        <v>43657</v>
      </c>
      <c r="U330" s="1" t="s">
        <v>1923</v>
      </c>
      <c r="V330" s="4">
        <v>1</v>
      </c>
      <c r="W330" s="6">
        <v>8000</v>
      </c>
      <c r="X330" s="1" t="s">
        <v>1459</v>
      </c>
      <c r="Y330" s="4">
        <v>1</v>
      </c>
      <c r="Z330" s="6">
        <v>8000</v>
      </c>
      <c r="AA330" s="1" t="s">
        <v>2023</v>
      </c>
      <c r="AB330" s="6">
        <v>80</v>
      </c>
      <c r="AC330" s="1" t="s">
        <v>1124</v>
      </c>
      <c r="AD330" s="1" t="s">
        <v>1800</v>
      </c>
      <c r="AE330" s="1" t="s">
        <v>1286</v>
      </c>
      <c r="AF330" s="1" t="s">
        <v>1463</v>
      </c>
      <c r="AG330" s="6">
        <v>7175</v>
      </c>
      <c r="AH330" s="6">
        <v>7175</v>
      </c>
      <c r="AI330" s="1" t="s">
        <v>1869</v>
      </c>
      <c r="AJ330" s="6">
        <v>825</v>
      </c>
      <c r="AK330" s="6">
        <v>0.10312499999999999</v>
      </c>
      <c r="AL330" s="1" t="s">
        <v>1869</v>
      </c>
      <c r="AM330" s="1" t="s">
        <v>426</v>
      </c>
      <c r="AN330" s="1" t="s">
        <v>1153</v>
      </c>
      <c r="AO330" s="1" t="s">
        <v>89</v>
      </c>
      <c r="AP330" s="6">
        <v>825</v>
      </c>
      <c r="AQ330" s="6">
        <v>0.10312499999999999</v>
      </c>
      <c r="AR330" s="2"/>
      <c r="AS330" s="7">
        <v>43662.381148791006</v>
      </c>
      <c r="AT330" s="5">
        <v>43664</v>
      </c>
      <c r="AU330" s="5">
        <v>43685</v>
      </c>
      <c r="AV330" s="1" t="s">
        <v>1941</v>
      </c>
      <c r="AW330" s="7">
        <v>43670.364029101089</v>
      </c>
      <c r="AX330" s="1" t="s">
        <v>1035</v>
      </c>
      <c r="AY330" s="6">
        <v>7175</v>
      </c>
      <c r="AZ330" s="1"/>
      <c r="BA330" s="5">
        <v>43830</v>
      </c>
      <c r="BB330" s="7">
        <v>43830</v>
      </c>
      <c r="BC330" s="1" t="s">
        <v>1997</v>
      </c>
      <c r="BD330" s="1"/>
      <c r="BE330" s="1"/>
      <c r="BF330" s="1" t="s">
        <v>427</v>
      </c>
    </row>
    <row r="331" spans="1:58">
      <c r="A331" s="4">
        <v>326</v>
      </c>
      <c r="B331" s="2" t="str">
        <f>HYPERLINK("https://my.zakupki.prom.ua/remote/dispatcher/state_purchase_view/8413586", "UA-2018-10-01-000977-c")</f>
        <v>UA-2018-10-01-000977-c</v>
      </c>
      <c r="C331" s="2" t="s">
        <v>1459</v>
      </c>
      <c r="D331" s="1" t="s">
        <v>369</v>
      </c>
      <c r="E331" s="1" t="s">
        <v>1669</v>
      </c>
      <c r="F331" s="1" t="s">
        <v>364</v>
      </c>
      <c r="G331" s="1" t="s">
        <v>1346</v>
      </c>
      <c r="H331" s="1" t="s">
        <v>1800</v>
      </c>
      <c r="I331" s="1" t="s">
        <v>1379</v>
      </c>
      <c r="J331" s="1" t="s">
        <v>819</v>
      </c>
      <c r="K331" s="1" t="s">
        <v>1287</v>
      </c>
      <c r="L331" s="1" t="s">
        <v>1469</v>
      </c>
      <c r="M331" s="1" t="s">
        <v>119</v>
      </c>
      <c r="N331" s="1" t="s">
        <v>119</v>
      </c>
      <c r="O331" s="1" t="s">
        <v>119</v>
      </c>
      <c r="P331" s="5">
        <v>43374</v>
      </c>
      <c r="Q331" s="5">
        <v>43374</v>
      </c>
      <c r="R331" s="5">
        <v>43377</v>
      </c>
      <c r="S331" s="5">
        <v>43377</v>
      </c>
      <c r="T331" s="5">
        <v>43381</v>
      </c>
      <c r="U331" s="1" t="s">
        <v>1923</v>
      </c>
      <c r="V331" s="4">
        <v>1</v>
      </c>
      <c r="W331" s="6">
        <v>98000</v>
      </c>
      <c r="X331" s="1" t="s">
        <v>1459</v>
      </c>
      <c r="Y331" s="4">
        <v>30</v>
      </c>
      <c r="Z331" s="6">
        <v>3266.67</v>
      </c>
      <c r="AA331" s="1" t="s">
        <v>2023</v>
      </c>
      <c r="AB331" s="6">
        <v>98</v>
      </c>
      <c r="AC331" s="1" t="s">
        <v>1124</v>
      </c>
      <c r="AD331" s="1" t="s">
        <v>1800</v>
      </c>
      <c r="AE331" s="1" t="s">
        <v>1286</v>
      </c>
      <c r="AF331" s="1" t="s">
        <v>1463</v>
      </c>
      <c r="AG331" s="6">
        <v>87000</v>
      </c>
      <c r="AH331" s="6">
        <v>2900</v>
      </c>
      <c r="AI331" s="1" t="s">
        <v>1711</v>
      </c>
      <c r="AJ331" s="6">
        <v>11000</v>
      </c>
      <c r="AK331" s="6">
        <v>0.11224489795918367</v>
      </c>
      <c r="AL331" s="1" t="s">
        <v>1711</v>
      </c>
      <c r="AM331" s="1" t="s">
        <v>875</v>
      </c>
      <c r="AN331" s="1" t="s">
        <v>1185</v>
      </c>
      <c r="AO331" s="1" t="s">
        <v>50</v>
      </c>
      <c r="AP331" s="6">
        <v>11000</v>
      </c>
      <c r="AQ331" s="6">
        <v>0.11224489795918367</v>
      </c>
      <c r="AR331" s="2"/>
      <c r="AS331" s="7">
        <v>43384.51381351809</v>
      </c>
      <c r="AT331" s="5">
        <v>43389</v>
      </c>
      <c r="AU331" s="5">
        <v>43407</v>
      </c>
      <c r="AV331" s="1" t="s">
        <v>1941</v>
      </c>
      <c r="AW331" s="7">
        <v>43404.694014770554</v>
      </c>
      <c r="AX331" s="1" t="s">
        <v>420</v>
      </c>
      <c r="AY331" s="6">
        <v>87000</v>
      </c>
      <c r="AZ331" s="5">
        <v>43405</v>
      </c>
      <c r="BA331" s="5">
        <v>43455</v>
      </c>
      <c r="BB331" s="7">
        <v>43465</v>
      </c>
      <c r="BC331" s="1" t="s">
        <v>1997</v>
      </c>
      <c r="BD331" s="1"/>
      <c r="BE331" s="1"/>
      <c r="BF331" s="1" t="s">
        <v>876</v>
      </c>
    </row>
    <row r="332" spans="1:58">
      <c r="A332" s="4">
        <v>327</v>
      </c>
      <c r="B332" s="2" t="str">
        <f>HYPERLINK("https://my.zakupki.prom.ua/remote/dispatcher/state_purchase_view/8458668", "UA-2018-10-04-002401-c")</f>
        <v>UA-2018-10-04-002401-c</v>
      </c>
      <c r="C332" s="2" t="s">
        <v>1459</v>
      </c>
      <c r="D332" s="1" t="s">
        <v>859</v>
      </c>
      <c r="E332" s="1" t="s">
        <v>1691</v>
      </c>
      <c r="F332" s="1" t="s">
        <v>857</v>
      </c>
      <c r="G332" s="1" t="s">
        <v>1346</v>
      </c>
      <c r="H332" s="1" t="s">
        <v>1800</v>
      </c>
      <c r="I332" s="1" t="s">
        <v>1379</v>
      </c>
      <c r="J332" s="1" t="s">
        <v>819</v>
      </c>
      <c r="K332" s="1" t="s">
        <v>1287</v>
      </c>
      <c r="L332" s="1" t="s">
        <v>1469</v>
      </c>
      <c r="M332" s="1" t="s">
        <v>119</v>
      </c>
      <c r="N332" s="1" t="s">
        <v>119</v>
      </c>
      <c r="O332" s="1" t="s">
        <v>119</v>
      </c>
      <c r="P332" s="5">
        <v>43377</v>
      </c>
      <c r="Q332" s="5">
        <v>43377</v>
      </c>
      <c r="R332" s="5">
        <v>43382</v>
      </c>
      <c r="S332" s="5">
        <v>43382</v>
      </c>
      <c r="T332" s="5">
        <v>43384</v>
      </c>
      <c r="U332" s="7">
        <v>43385.629872685182</v>
      </c>
      <c r="V332" s="4">
        <v>2</v>
      </c>
      <c r="W332" s="6">
        <v>78750</v>
      </c>
      <c r="X332" s="1" t="s">
        <v>1459</v>
      </c>
      <c r="Y332" s="4">
        <v>120</v>
      </c>
      <c r="Z332" s="6">
        <v>656.25</v>
      </c>
      <c r="AA332" s="1" t="s">
        <v>2023</v>
      </c>
      <c r="AB332" s="6">
        <v>787.5</v>
      </c>
      <c r="AC332" s="1" t="s">
        <v>1124</v>
      </c>
      <c r="AD332" s="1" t="s">
        <v>1800</v>
      </c>
      <c r="AE332" s="1" t="s">
        <v>1286</v>
      </c>
      <c r="AF332" s="1" t="s">
        <v>1463</v>
      </c>
      <c r="AG332" s="6">
        <v>47880</v>
      </c>
      <c r="AH332" s="6">
        <v>399</v>
      </c>
      <c r="AI332" s="1" t="s">
        <v>1855</v>
      </c>
      <c r="AJ332" s="6">
        <v>30870</v>
      </c>
      <c r="AK332" s="6">
        <v>0.39200000000000002</v>
      </c>
      <c r="AL332" s="1" t="s">
        <v>1855</v>
      </c>
      <c r="AM332" s="1" t="s">
        <v>599</v>
      </c>
      <c r="AN332" s="1" t="s">
        <v>1193</v>
      </c>
      <c r="AO332" s="1" t="s">
        <v>64</v>
      </c>
      <c r="AP332" s="6">
        <v>30870</v>
      </c>
      <c r="AQ332" s="6">
        <v>0.39200000000000002</v>
      </c>
      <c r="AR332" s="2" t="str">
        <f>HYPERLINK("https://auction.openprocurement.org/tenders/8fca25f568ef4104961f20a5f5d1c867")</f>
        <v>https://auction.openprocurement.org/tenders/8fca25f568ef4104961f20a5f5d1c867</v>
      </c>
      <c r="AS332" s="7">
        <v>43395.665638696097</v>
      </c>
      <c r="AT332" s="5">
        <v>43397</v>
      </c>
      <c r="AU332" s="5">
        <v>43412</v>
      </c>
      <c r="AV332" s="1" t="s">
        <v>1941</v>
      </c>
      <c r="AW332" s="7">
        <v>43409.605321892566</v>
      </c>
      <c r="AX332" s="1" t="s">
        <v>226</v>
      </c>
      <c r="AY332" s="6">
        <v>47880</v>
      </c>
      <c r="AZ332" s="5">
        <v>43391</v>
      </c>
      <c r="BA332" s="5">
        <v>43455</v>
      </c>
      <c r="BB332" s="7">
        <v>43465</v>
      </c>
      <c r="BC332" s="1" t="s">
        <v>1997</v>
      </c>
      <c r="BD332" s="1"/>
      <c r="BE332" s="1"/>
      <c r="BF332" s="1" t="s">
        <v>601</v>
      </c>
    </row>
    <row r="333" spans="1:58">
      <c r="A333" s="4">
        <v>328</v>
      </c>
      <c r="B333" s="2" t="str">
        <f>HYPERLINK("https://my.zakupki.prom.ua/remote/dispatcher/state_purchase_view/10389109", "UA-2019-02-05-001854-b")</f>
        <v>UA-2019-02-05-001854-b</v>
      </c>
      <c r="C333" s="2" t="s">
        <v>1459</v>
      </c>
      <c r="D333" s="1" t="s">
        <v>370</v>
      </c>
      <c r="E333" s="1" t="s">
        <v>2007</v>
      </c>
      <c r="F333" s="1" t="s">
        <v>364</v>
      </c>
      <c r="G333" s="1" t="s">
        <v>1280</v>
      </c>
      <c r="H333" s="1" t="s">
        <v>1800</v>
      </c>
      <c r="I333" s="1" t="s">
        <v>1379</v>
      </c>
      <c r="J333" s="1" t="s">
        <v>819</v>
      </c>
      <c r="K333" s="1" t="s">
        <v>1287</v>
      </c>
      <c r="L333" s="1" t="s">
        <v>1224</v>
      </c>
      <c r="M333" s="1" t="s">
        <v>119</v>
      </c>
      <c r="N333" s="1" t="s">
        <v>119</v>
      </c>
      <c r="O333" s="1" t="s">
        <v>119</v>
      </c>
      <c r="P333" s="5">
        <v>43501</v>
      </c>
      <c r="Q333" s="5">
        <v>43501</v>
      </c>
      <c r="R333" s="5">
        <v>43506</v>
      </c>
      <c r="S333" s="5">
        <v>43501</v>
      </c>
      <c r="T333" s="5">
        <v>43516</v>
      </c>
      <c r="U333" s="7">
        <v>43517.465671296297</v>
      </c>
      <c r="V333" s="4">
        <v>2</v>
      </c>
      <c r="W333" s="6">
        <v>585000</v>
      </c>
      <c r="X333" s="1" t="s">
        <v>1459</v>
      </c>
      <c r="Y333" s="4">
        <v>195</v>
      </c>
      <c r="Z333" s="6">
        <v>3000</v>
      </c>
      <c r="AA333" s="1" t="s">
        <v>2023</v>
      </c>
      <c r="AB333" s="6">
        <v>2925</v>
      </c>
      <c r="AC333" s="1" t="s">
        <v>1124</v>
      </c>
      <c r="AD333" s="1" t="s">
        <v>1800</v>
      </c>
      <c r="AE333" s="1" t="s">
        <v>1286</v>
      </c>
      <c r="AF333" s="1" t="s">
        <v>1463</v>
      </c>
      <c r="AG333" s="6">
        <v>572176.80000000005</v>
      </c>
      <c r="AH333" s="6">
        <v>2934.2400000000002</v>
      </c>
      <c r="AI333" s="1" t="s">
        <v>1711</v>
      </c>
      <c r="AJ333" s="6">
        <v>12823.199999999953</v>
      </c>
      <c r="AK333" s="6">
        <v>2.1919999999999919E-2</v>
      </c>
      <c r="AL333" s="1" t="s">
        <v>1711</v>
      </c>
      <c r="AM333" s="1" t="s">
        <v>875</v>
      </c>
      <c r="AN333" s="1" t="s">
        <v>1185</v>
      </c>
      <c r="AO333" s="1" t="s">
        <v>50</v>
      </c>
      <c r="AP333" s="6">
        <v>12823.199999999953</v>
      </c>
      <c r="AQ333" s="6">
        <v>2.1919999999999919E-2</v>
      </c>
      <c r="AR333" s="2" t="str">
        <f>HYPERLINK("https://auction.openprocurement.org/tenders/353fe8e9eeb9457ca9b5a50a4a59290e")</f>
        <v>https://auction.openprocurement.org/tenders/353fe8e9eeb9457ca9b5a50a4a59290e</v>
      </c>
      <c r="AS333" s="7">
        <v>43521.495824852165</v>
      </c>
      <c r="AT333" s="5">
        <v>43532</v>
      </c>
      <c r="AU333" s="5">
        <v>43542</v>
      </c>
      <c r="AV333" s="1" t="s">
        <v>1941</v>
      </c>
      <c r="AW333" s="7">
        <v>43535.651691013285</v>
      </c>
      <c r="AX333" s="1" t="s">
        <v>419</v>
      </c>
      <c r="AY333" s="6">
        <v>572176.80000000005</v>
      </c>
      <c r="AZ333" s="1"/>
      <c r="BA333" s="5">
        <v>43815</v>
      </c>
      <c r="BB333" s="7">
        <v>43830</v>
      </c>
      <c r="BC333" s="1" t="s">
        <v>1997</v>
      </c>
      <c r="BD333" s="1"/>
      <c r="BE333" s="1"/>
      <c r="BF333" s="1" t="s">
        <v>877</v>
      </c>
    </row>
    <row r="334" spans="1:58">
      <c r="A334" s="4">
        <v>329</v>
      </c>
      <c r="B334" s="2" t="str">
        <f>HYPERLINK("https://my.zakupki.prom.ua/remote/dispatcher/state_purchase_view/12233996", "UA-2019-07-15-001572-b")</f>
        <v>UA-2019-07-15-001572-b</v>
      </c>
      <c r="C334" s="2" t="s">
        <v>1459</v>
      </c>
      <c r="D334" s="1" t="s">
        <v>1595</v>
      </c>
      <c r="E334" s="1" t="s">
        <v>1594</v>
      </c>
      <c r="F334" s="1" t="s">
        <v>1009</v>
      </c>
      <c r="G334" s="1" t="s">
        <v>1280</v>
      </c>
      <c r="H334" s="1" t="s">
        <v>1800</v>
      </c>
      <c r="I334" s="1" t="s">
        <v>1379</v>
      </c>
      <c r="J334" s="1" t="s">
        <v>819</v>
      </c>
      <c r="K334" s="1" t="s">
        <v>1287</v>
      </c>
      <c r="L334" s="1" t="s">
        <v>1658</v>
      </c>
      <c r="M334" s="1" t="s">
        <v>119</v>
      </c>
      <c r="N334" s="1" t="s">
        <v>119</v>
      </c>
      <c r="O334" s="1" t="s">
        <v>119</v>
      </c>
      <c r="P334" s="5">
        <v>43661</v>
      </c>
      <c r="Q334" s="5">
        <v>43661</v>
      </c>
      <c r="R334" s="5">
        <v>43666</v>
      </c>
      <c r="S334" s="5">
        <v>43661</v>
      </c>
      <c r="T334" s="5">
        <v>43676</v>
      </c>
      <c r="U334" s="7">
        <v>43677.609432870369</v>
      </c>
      <c r="V334" s="4">
        <v>4</v>
      </c>
      <c r="W334" s="6">
        <v>789000</v>
      </c>
      <c r="X334" s="1" t="s">
        <v>1459</v>
      </c>
      <c r="Y334" s="4">
        <v>1</v>
      </c>
      <c r="Z334" s="6">
        <v>789000</v>
      </c>
      <c r="AA334" s="1" t="s">
        <v>1976</v>
      </c>
      <c r="AB334" s="6">
        <v>3945</v>
      </c>
      <c r="AC334" s="1" t="s">
        <v>1124</v>
      </c>
      <c r="AD334" s="1" t="s">
        <v>1800</v>
      </c>
      <c r="AE334" s="1" t="s">
        <v>1286</v>
      </c>
      <c r="AF334" s="1" t="s">
        <v>1463</v>
      </c>
      <c r="AG334" s="6">
        <v>689476.17</v>
      </c>
      <c r="AH334" s="6">
        <v>689476.17</v>
      </c>
      <c r="AI334" s="1" t="s">
        <v>1721</v>
      </c>
      <c r="AJ334" s="6">
        <v>99523.829999999958</v>
      </c>
      <c r="AK334" s="6">
        <v>0.12613920152091249</v>
      </c>
      <c r="AL334" s="1" t="s">
        <v>1846</v>
      </c>
      <c r="AM334" s="1" t="s">
        <v>796</v>
      </c>
      <c r="AN334" s="1" t="s">
        <v>1173</v>
      </c>
      <c r="AO334" s="1" t="s">
        <v>108</v>
      </c>
      <c r="AP334" s="6">
        <v>1921.4699999999721</v>
      </c>
      <c r="AQ334" s="6">
        <v>2.4353231939163145E-3</v>
      </c>
      <c r="AR334" s="2" t="str">
        <f>HYPERLINK("https://auction.openprocurement.org/tenders/8b500423fb8449278c24e5ab6417873d")</f>
        <v>https://auction.openprocurement.org/tenders/8b500423fb8449278c24e5ab6417873d</v>
      </c>
      <c r="AS334" s="7">
        <v>43713.588368249453</v>
      </c>
      <c r="AT334" s="5">
        <v>43724</v>
      </c>
      <c r="AU334" s="5">
        <v>43734</v>
      </c>
      <c r="AV334" s="1" t="s">
        <v>1941</v>
      </c>
      <c r="AW334" s="7">
        <v>43733.623179856862</v>
      </c>
      <c r="AX334" s="1" t="s">
        <v>493</v>
      </c>
      <c r="AY334" s="6">
        <v>787078.53</v>
      </c>
      <c r="AZ334" s="1"/>
      <c r="BA334" s="5">
        <v>43739</v>
      </c>
      <c r="BB334" s="7">
        <v>43830</v>
      </c>
      <c r="BC334" s="1" t="s">
        <v>1997</v>
      </c>
      <c r="BD334" s="1"/>
      <c r="BE334" s="1"/>
      <c r="BF334" s="1" t="s">
        <v>936</v>
      </c>
    </row>
    <row r="335" spans="1:58">
      <c r="A335" s="4">
        <v>330</v>
      </c>
      <c r="B335" s="2" t="str">
        <f>HYPERLINK("https://my.zakupki.prom.ua/remote/dispatcher/state_purchase_view/20015930", "UA-2020-10-12-001675-b")</f>
        <v>UA-2020-10-12-001675-b</v>
      </c>
      <c r="C335" s="2" t="s">
        <v>1459</v>
      </c>
      <c r="D335" s="1" t="s">
        <v>1929</v>
      </c>
      <c r="E335" s="1" t="s">
        <v>1305</v>
      </c>
      <c r="F335" s="1" t="s">
        <v>733</v>
      </c>
      <c r="G335" s="1" t="s">
        <v>1280</v>
      </c>
      <c r="H335" s="1" t="s">
        <v>1800</v>
      </c>
      <c r="I335" s="1" t="s">
        <v>1379</v>
      </c>
      <c r="J335" s="1" t="s">
        <v>819</v>
      </c>
      <c r="K335" s="1" t="s">
        <v>1287</v>
      </c>
      <c r="L335" s="1" t="s">
        <v>1216</v>
      </c>
      <c r="M335" s="1" t="s">
        <v>119</v>
      </c>
      <c r="N335" s="1" t="s">
        <v>119</v>
      </c>
      <c r="O335" s="1" t="s">
        <v>119</v>
      </c>
      <c r="P335" s="5">
        <v>44116</v>
      </c>
      <c r="Q335" s="5">
        <v>44116</v>
      </c>
      <c r="R335" s="5">
        <v>44121</v>
      </c>
      <c r="S335" s="5">
        <v>44116</v>
      </c>
      <c r="T335" s="5">
        <v>44131</v>
      </c>
      <c r="U335" s="1" t="s">
        <v>1923</v>
      </c>
      <c r="V335" s="4">
        <v>1</v>
      </c>
      <c r="W335" s="6">
        <v>27500</v>
      </c>
      <c r="X335" s="1" t="s">
        <v>1459</v>
      </c>
      <c r="Y335" s="1" t="s">
        <v>1956</v>
      </c>
      <c r="Z335" s="1" t="s">
        <v>1956</v>
      </c>
      <c r="AA335" s="1" t="s">
        <v>1956</v>
      </c>
      <c r="AB335" s="6">
        <v>275</v>
      </c>
      <c r="AC335" s="1" t="s">
        <v>1124</v>
      </c>
      <c r="AD335" s="1" t="s">
        <v>1800</v>
      </c>
      <c r="AE335" s="1" t="s">
        <v>1286</v>
      </c>
      <c r="AF335" s="1" t="s">
        <v>1463</v>
      </c>
      <c r="AG335" s="1"/>
      <c r="AH335" s="1" t="s">
        <v>1956</v>
      </c>
      <c r="AI335" s="1"/>
      <c r="AJ335" s="1"/>
      <c r="AK335" s="1"/>
      <c r="AL335" s="1"/>
      <c r="AM335" s="1"/>
      <c r="AN335" s="1"/>
      <c r="AO335" s="1"/>
      <c r="AP335" s="1"/>
      <c r="AQ335" s="1"/>
      <c r="AR335" s="2"/>
      <c r="AS335" s="1"/>
      <c r="AT335" s="1"/>
      <c r="AU335" s="1"/>
      <c r="AV335" s="1" t="s">
        <v>1942</v>
      </c>
      <c r="AW335" s="7">
        <v>44131.96032787759</v>
      </c>
      <c r="AX335" s="1"/>
      <c r="AY335" s="1"/>
      <c r="AZ335" s="1"/>
      <c r="BA335" s="5">
        <v>44196</v>
      </c>
      <c r="BB335" s="1"/>
      <c r="BC335" s="1"/>
      <c r="BD335" s="1"/>
      <c r="BE335" s="1"/>
      <c r="BF335" s="1" t="s">
        <v>667</v>
      </c>
    </row>
    <row r="336" spans="1:58">
      <c r="A336" s="4">
        <v>331</v>
      </c>
      <c r="B336" s="2" t="str">
        <f>HYPERLINK("https://my.zakupki.prom.ua/remote/dispatcher/state_purchase_view/22823300", "UA-2020-12-31-000479-c")</f>
        <v>UA-2020-12-31-000479-c</v>
      </c>
      <c r="C336" s="2" t="s">
        <v>1459</v>
      </c>
      <c r="D336" s="1" t="s">
        <v>1641</v>
      </c>
      <c r="E336" s="1" t="s">
        <v>1641</v>
      </c>
      <c r="F336" s="1" t="s">
        <v>1051</v>
      </c>
      <c r="G336" s="1" t="s">
        <v>1364</v>
      </c>
      <c r="H336" s="1" t="s">
        <v>1800</v>
      </c>
      <c r="I336" s="1" t="s">
        <v>1379</v>
      </c>
      <c r="J336" s="1" t="s">
        <v>819</v>
      </c>
      <c r="K336" s="1" t="s">
        <v>1287</v>
      </c>
      <c r="L336" s="1" t="s">
        <v>1216</v>
      </c>
      <c r="M336" s="1" t="s">
        <v>119</v>
      </c>
      <c r="N336" s="1" t="s">
        <v>119</v>
      </c>
      <c r="O336" s="1" t="s">
        <v>119</v>
      </c>
      <c r="P336" s="5">
        <v>44196</v>
      </c>
      <c r="Q336" s="1"/>
      <c r="R336" s="1"/>
      <c r="S336" s="1"/>
      <c r="T336" s="1"/>
      <c r="U336" s="1" t="s">
        <v>1922</v>
      </c>
      <c r="V336" s="4">
        <v>1</v>
      </c>
      <c r="W336" s="6">
        <v>6372</v>
      </c>
      <c r="X336" s="1" t="s">
        <v>1459</v>
      </c>
      <c r="Y336" s="4">
        <v>1</v>
      </c>
      <c r="Z336" s="6">
        <v>6372</v>
      </c>
      <c r="AA336" s="1" t="s">
        <v>1976</v>
      </c>
      <c r="AB336" s="1" t="s">
        <v>1964</v>
      </c>
      <c r="AC336" s="1" t="s">
        <v>1124</v>
      </c>
      <c r="AD336" s="1" t="s">
        <v>1800</v>
      </c>
      <c r="AE336" s="1" t="s">
        <v>1286</v>
      </c>
      <c r="AF336" s="1" t="s">
        <v>1463</v>
      </c>
      <c r="AG336" s="6">
        <v>6372</v>
      </c>
      <c r="AH336" s="6">
        <v>6372</v>
      </c>
      <c r="AI336" s="1"/>
      <c r="AJ336" s="1"/>
      <c r="AK336" s="1"/>
      <c r="AL336" s="1" t="s">
        <v>1226</v>
      </c>
      <c r="AM336" s="1" t="s">
        <v>424</v>
      </c>
      <c r="AN336" s="1"/>
      <c r="AO336" s="1" t="s">
        <v>193</v>
      </c>
      <c r="AP336" s="1"/>
      <c r="AQ336" s="1"/>
      <c r="AR336" s="2"/>
      <c r="AS336" s="1"/>
      <c r="AT336" s="1"/>
      <c r="AU336" s="1"/>
      <c r="AV336" s="1" t="s">
        <v>1941</v>
      </c>
      <c r="AW336" s="7">
        <v>44196.389659623586</v>
      </c>
      <c r="AX336" s="1" t="s">
        <v>974</v>
      </c>
      <c r="AY336" s="6">
        <v>6372</v>
      </c>
      <c r="AZ336" s="5">
        <v>44197</v>
      </c>
      <c r="BA336" s="5">
        <v>44561</v>
      </c>
      <c r="BB336" s="7">
        <v>44561</v>
      </c>
      <c r="BC336" s="1" t="s">
        <v>1997</v>
      </c>
      <c r="BD336" s="1"/>
      <c r="BE336" s="1"/>
      <c r="BF336" s="1" t="s">
        <v>118</v>
      </c>
    </row>
    <row r="337" spans="1:58">
      <c r="A337" s="4">
        <v>332</v>
      </c>
      <c r="B337" s="2" t="str">
        <f>HYPERLINK("https://my.zakupki.prom.ua/remote/dispatcher/state_purchase_view/22422948", "UA-2020-12-21-001018-c")</f>
        <v>UA-2020-12-21-001018-c</v>
      </c>
      <c r="C337" s="2" t="s">
        <v>1459</v>
      </c>
      <c r="D337" s="1" t="s">
        <v>1348</v>
      </c>
      <c r="E337" s="1" t="s">
        <v>1348</v>
      </c>
      <c r="F337" s="1" t="s">
        <v>293</v>
      </c>
      <c r="G337" s="1" t="s">
        <v>1280</v>
      </c>
      <c r="H337" s="1" t="s">
        <v>1800</v>
      </c>
      <c r="I337" s="1" t="s">
        <v>1379</v>
      </c>
      <c r="J337" s="1" t="s">
        <v>819</v>
      </c>
      <c r="K337" s="1" t="s">
        <v>1287</v>
      </c>
      <c r="L337" s="1" t="s">
        <v>1216</v>
      </c>
      <c r="M337" s="1" t="s">
        <v>119</v>
      </c>
      <c r="N337" s="1" t="s">
        <v>119</v>
      </c>
      <c r="O337" s="1" t="s">
        <v>119</v>
      </c>
      <c r="P337" s="5">
        <v>44186</v>
      </c>
      <c r="Q337" s="5">
        <v>44186</v>
      </c>
      <c r="R337" s="5">
        <v>44193</v>
      </c>
      <c r="S337" s="5">
        <v>44186</v>
      </c>
      <c r="T337" s="5">
        <v>44203</v>
      </c>
      <c r="U337" s="1" t="s">
        <v>1923</v>
      </c>
      <c r="V337" s="4">
        <v>1</v>
      </c>
      <c r="W337" s="6">
        <v>414246.82</v>
      </c>
      <c r="X337" s="1" t="s">
        <v>1459</v>
      </c>
      <c r="Y337" s="4">
        <v>139009</v>
      </c>
      <c r="Z337" s="6">
        <v>2.98</v>
      </c>
      <c r="AA337" s="1" t="s">
        <v>1954</v>
      </c>
      <c r="AB337" s="6">
        <v>4142.47</v>
      </c>
      <c r="AC337" s="1" t="s">
        <v>1124</v>
      </c>
      <c r="AD337" s="1" t="s">
        <v>1800</v>
      </c>
      <c r="AE337" s="1" t="s">
        <v>1286</v>
      </c>
      <c r="AF337" s="1" t="s">
        <v>1463</v>
      </c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2"/>
      <c r="AS337" s="1"/>
      <c r="AT337" s="1"/>
      <c r="AU337" s="1"/>
      <c r="AV337" s="1" t="s">
        <v>1942</v>
      </c>
      <c r="AW337" s="7">
        <v>44203.002256463573</v>
      </c>
      <c r="AX337" s="1"/>
      <c r="AY337" s="1"/>
      <c r="AZ337" s="1"/>
      <c r="BA337" s="5">
        <v>44561</v>
      </c>
      <c r="BB337" s="1"/>
      <c r="BC337" s="1"/>
      <c r="BD337" s="1"/>
      <c r="BE337" s="1"/>
      <c r="BF337" s="1" t="s">
        <v>952</v>
      </c>
    </row>
    <row r="338" spans="1:58">
      <c r="A338" s="4">
        <v>333</v>
      </c>
      <c r="B338" s="2" t="str">
        <f>HYPERLINK("https://my.zakupki.prom.ua/remote/dispatcher/state_purchase_view/21747852", "UA-2020-12-04-002840-b")</f>
        <v>UA-2020-12-04-002840-b</v>
      </c>
      <c r="C338" s="2" t="s">
        <v>1459</v>
      </c>
      <c r="D338" s="1" t="s">
        <v>0</v>
      </c>
      <c r="E338" s="1" t="s">
        <v>1547</v>
      </c>
      <c r="F338" s="1" t="s">
        <v>1086</v>
      </c>
      <c r="G338" s="1" t="s">
        <v>1364</v>
      </c>
      <c r="H338" s="1" t="s">
        <v>1800</v>
      </c>
      <c r="I338" s="1" t="s">
        <v>1379</v>
      </c>
      <c r="J338" s="1" t="s">
        <v>819</v>
      </c>
      <c r="K338" s="1" t="s">
        <v>1287</v>
      </c>
      <c r="L338" s="1" t="s">
        <v>1216</v>
      </c>
      <c r="M338" s="1" t="s">
        <v>119</v>
      </c>
      <c r="N338" s="1" t="s">
        <v>119</v>
      </c>
      <c r="O338" s="1" t="s">
        <v>119</v>
      </c>
      <c r="P338" s="5">
        <v>44169</v>
      </c>
      <c r="Q338" s="1"/>
      <c r="R338" s="1"/>
      <c r="S338" s="1"/>
      <c r="T338" s="1"/>
      <c r="U338" s="1" t="s">
        <v>1922</v>
      </c>
      <c r="V338" s="4">
        <v>1</v>
      </c>
      <c r="W338" s="6">
        <v>2400</v>
      </c>
      <c r="X338" s="1" t="s">
        <v>1459</v>
      </c>
      <c r="Y338" s="4">
        <v>1</v>
      </c>
      <c r="Z338" s="6">
        <v>2400</v>
      </c>
      <c r="AA338" s="1" t="s">
        <v>1976</v>
      </c>
      <c r="AB338" s="1" t="s">
        <v>1964</v>
      </c>
      <c r="AC338" s="1" t="s">
        <v>1124</v>
      </c>
      <c r="AD338" s="1" t="s">
        <v>1800</v>
      </c>
      <c r="AE338" s="1" t="s">
        <v>1286</v>
      </c>
      <c r="AF338" s="1" t="s">
        <v>1463</v>
      </c>
      <c r="AG338" s="6">
        <v>2400</v>
      </c>
      <c r="AH338" s="6">
        <v>2400</v>
      </c>
      <c r="AI338" s="1"/>
      <c r="AJ338" s="1"/>
      <c r="AK338" s="1"/>
      <c r="AL338" s="1" t="s">
        <v>1381</v>
      </c>
      <c r="AM338" s="1" t="s">
        <v>157</v>
      </c>
      <c r="AN338" s="1"/>
      <c r="AO338" s="1" t="s">
        <v>181</v>
      </c>
      <c r="AP338" s="1"/>
      <c r="AQ338" s="1"/>
      <c r="AR338" s="2"/>
      <c r="AS338" s="1"/>
      <c r="AT338" s="1"/>
      <c r="AU338" s="1"/>
      <c r="AV338" s="1" t="s">
        <v>1941</v>
      </c>
      <c r="AW338" s="7">
        <v>44169.435930320535</v>
      </c>
      <c r="AX338" s="1" t="s">
        <v>338</v>
      </c>
      <c r="AY338" s="6">
        <v>2400</v>
      </c>
      <c r="AZ338" s="1"/>
      <c r="BA338" s="5">
        <v>44196</v>
      </c>
      <c r="BB338" s="7">
        <v>44196</v>
      </c>
      <c r="BC338" s="1" t="s">
        <v>1997</v>
      </c>
      <c r="BD338" s="1"/>
      <c r="BE338" s="1"/>
      <c r="BF338" s="1" t="s">
        <v>118</v>
      </c>
    </row>
    <row r="339" spans="1:58">
      <c r="A339" s="4">
        <v>334</v>
      </c>
      <c r="B339" s="2" t="str">
        <f>HYPERLINK("https://my.zakupki.prom.ua/remote/dispatcher/state_purchase_view/21533054", "UA-2020-11-27-008069-b")</f>
        <v>UA-2020-11-27-008069-b</v>
      </c>
      <c r="C339" s="2" t="s">
        <v>1459</v>
      </c>
      <c r="D339" s="1" t="s">
        <v>1640</v>
      </c>
      <c r="E339" s="1" t="s">
        <v>1640</v>
      </c>
      <c r="F339" s="1" t="s">
        <v>1020</v>
      </c>
      <c r="G339" s="1" t="s">
        <v>1364</v>
      </c>
      <c r="H339" s="1" t="s">
        <v>1800</v>
      </c>
      <c r="I339" s="1" t="s">
        <v>1379</v>
      </c>
      <c r="J339" s="1" t="s">
        <v>819</v>
      </c>
      <c r="K339" s="1" t="s">
        <v>1287</v>
      </c>
      <c r="L339" s="1" t="s">
        <v>1216</v>
      </c>
      <c r="M339" s="1" t="s">
        <v>119</v>
      </c>
      <c r="N339" s="1" t="s">
        <v>119</v>
      </c>
      <c r="O339" s="1" t="s">
        <v>119</v>
      </c>
      <c r="P339" s="5">
        <v>44162</v>
      </c>
      <c r="Q339" s="1"/>
      <c r="R339" s="1"/>
      <c r="S339" s="1"/>
      <c r="T339" s="1"/>
      <c r="U339" s="1" t="s">
        <v>1922</v>
      </c>
      <c r="V339" s="4">
        <v>1</v>
      </c>
      <c r="W339" s="6">
        <v>745.38</v>
      </c>
      <c r="X339" s="1" t="s">
        <v>1459</v>
      </c>
      <c r="Y339" s="4">
        <v>2</v>
      </c>
      <c r="Z339" s="6">
        <v>372.69</v>
      </c>
      <c r="AA339" s="1" t="s">
        <v>1976</v>
      </c>
      <c r="AB339" s="1" t="s">
        <v>1964</v>
      </c>
      <c r="AC339" s="1" t="s">
        <v>1124</v>
      </c>
      <c r="AD339" s="1" t="s">
        <v>1800</v>
      </c>
      <c r="AE339" s="1" t="s">
        <v>1286</v>
      </c>
      <c r="AF339" s="1" t="s">
        <v>1463</v>
      </c>
      <c r="AG339" s="6">
        <v>745.38</v>
      </c>
      <c r="AH339" s="6">
        <v>372.69</v>
      </c>
      <c r="AI339" s="1"/>
      <c r="AJ339" s="1"/>
      <c r="AK339" s="1"/>
      <c r="AL339" s="1" t="s">
        <v>1225</v>
      </c>
      <c r="AM339" s="1" t="s">
        <v>480</v>
      </c>
      <c r="AN339" s="1"/>
      <c r="AO339" s="1" t="s">
        <v>257</v>
      </c>
      <c r="AP339" s="1"/>
      <c r="AQ339" s="1"/>
      <c r="AR339" s="2"/>
      <c r="AS339" s="1"/>
      <c r="AT339" s="1"/>
      <c r="AU339" s="1"/>
      <c r="AV339" s="1" t="s">
        <v>1941</v>
      </c>
      <c r="AW339" s="7">
        <v>44162.636546879374</v>
      </c>
      <c r="AX339" s="1" t="s">
        <v>1016</v>
      </c>
      <c r="AY339" s="6">
        <v>745.38</v>
      </c>
      <c r="AZ339" s="1"/>
      <c r="BA339" s="5">
        <v>44196</v>
      </c>
      <c r="BB339" s="7">
        <v>44196</v>
      </c>
      <c r="BC339" s="1" t="s">
        <v>1997</v>
      </c>
      <c r="BD339" s="1"/>
      <c r="BE339" s="1"/>
      <c r="BF339" s="1" t="s">
        <v>118</v>
      </c>
    </row>
    <row r="340" spans="1:58">
      <c r="A340" s="4">
        <v>335</v>
      </c>
      <c r="B340" s="2" t="str">
        <f>HYPERLINK("https://my.zakupki.prom.ua/remote/dispatcher/state_purchase_view/14953490", "UA-2020-01-30-000288-c")</f>
        <v>UA-2020-01-30-000288-c</v>
      </c>
      <c r="C340" s="2" t="s">
        <v>1459</v>
      </c>
      <c r="D340" s="1" t="s">
        <v>1544</v>
      </c>
      <c r="E340" s="1" t="s">
        <v>1544</v>
      </c>
      <c r="F340" s="1" t="s">
        <v>1086</v>
      </c>
      <c r="G340" s="1" t="s">
        <v>1364</v>
      </c>
      <c r="H340" s="1" t="s">
        <v>1800</v>
      </c>
      <c r="I340" s="1" t="s">
        <v>1379</v>
      </c>
      <c r="J340" s="1" t="s">
        <v>819</v>
      </c>
      <c r="K340" s="1" t="s">
        <v>1287</v>
      </c>
      <c r="L340" s="1" t="s">
        <v>1915</v>
      </c>
      <c r="M340" s="1" t="s">
        <v>119</v>
      </c>
      <c r="N340" s="1" t="s">
        <v>119</v>
      </c>
      <c r="O340" s="1" t="s">
        <v>119</v>
      </c>
      <c r="P340" s="5">
        <v>43860</v>
      </c>
      <c r="Q340" s="1"/>
      <c r="R340" s="1"/>
      <c r="S340" s="1"/>
      <c r="T340" s="1"/>
      <c r="U340" s="1" t="s">
        <v>1922</v>
      </c>
      <c r="V340" s="4">
        <v>1</v>
      </c>
      <c r="W340" s="6">
        <v>480</v>
      </c>
      <c r="X340" s="1" t="s">
        <v>1459</v>
      </c>
      <c r="Y340" s="4">
        <v>1</v>
      </c>
      <c r="Z340" s="6">
        <v>480</v>
      </c>
      <c r="AA340" s="1" t="s">
        <v>1976</v>
      </c>
      <c r="AB340" s="1" t="s">
        <v>1964</v>
      </c>
      <c r="AC340" s="1" t="s">
        <v>1124</v>
      </c>
      <c r="AD340" s="1" t="s">
        <v>1800</v>
      </c>
      <c r="AE340" s="1" t="s">
        <v>1286</v>
      </c>
      <c r="AF340" s="1" t="s">
        <v>1463</v>
      </c>
      <c r="AG340" s="6">
        <v>480</v>
      </c>
      <c r="AH340" s="6">
        <v>480</v>
      </c>
      <c r="AI340" s="1"/>
      <c r="AJ340" s="1"/>
      <c r="AK340" s="1"/>
      <c r="AL340" s="1" t="s">
        <v>1381</v>
      </c>
      <c r="AM340" s="1" t="s">
        <v>157</v>
      </c>
      <c r="AN340" s="1"/>
      <c r="AO340" s="1" t="s">
        <v>181</v>
      </c>
      <c r="AP340" s="1"/>
      <c r="AQ340" s="1"/>
      <c r="AR340" s="2"/>
      <c r="AS340" s="1"/>
      <c r="AT340" s="1"/>
      <c r="AU340" s="1"/>
      <c r="AV340" s="1" t="s">
        <v>1941</v>
      </c>
      <c r="AW340" s="7">
        <v>43860.395802271283</v>
      </c>
      <c r="AX340" s="1" t="s">
        <v>1028</v>
      </c>
      <c r="AY340" s="6">
        <v>480</v>
      </c>
      <c r="AZ340" s="1"/>
      <c r="BA340" s="5">
        <v>44196</v>
      </c>
      <c r="BB340" s="7">
        <v>44196</v>
      </c>
      <c r="BC340" s="1" t="s">
        <v>1997</v>
      </c>
      <c r="BD340" s="1"/>
      <c r="BE340" s="1"/>
      <c r="BF340" s="1" t="s">
        <v>118</v>
      </c>
    </row>
    <row r="341" spans="1:58">
      <c r="A341" s="4">
        <v>336</v>
      </c>
      <c r="B341" s="2" t="str">
        <f>HYPERLINK("https://my.zakupki.prom.ua/remote/dispatcher/state_purchase_view/14885577", "UA-2020-01-28-000710-b")</f>
        <v>UA-2020-01-28-000710-b</v>
      </c>
      <c r="C341" s="2" t="s">
        <v>1459</v>
      </c>
      <c r="D341" s="1" t="s">
        <v>1532</v>
      </c>
      <c r="E341" s="1" t="s">
        <v>1532</v>
      </c>
      <c r="F341" s="1" t="s">
        <v>1053</v>
      </c>
      <c r="G341" s="1" t="s">
        <v>1364</v>
      </c>
      <c r="H341" s="1" t="s">
        <v>1800</v>
      </c>
      <c r="I341" s="1" t="s">
        <v>1379</v>
      </c>
      <c r="J341" s="1" t="s">
        <v>819</v>
      </c>
      <c r="K341" s="1" t="s">
        <v>1287</v>
      </c>
      <c r="L341" s="1" t="s">
        <v>1915</v>
      </c>
      <c r="M341" s="1" t="s">
        <v>119</v>
      </c>
      <c r="N341" s="1" t="s">
        <v>119</v>
      </c>
      <c r="O341" s="1" t="s">
        <v>119</v>
      </c>
      <c r="P341" s="5">
        <v>43858</v>
      </c>
      <c r="Q341" s="1"/>
      <c r="R341" s="1"/>
      <c r="S341" s="1"/>
      <c r="T341" s="1"/>
      <c r="U341" s="1" t="s">
        <v>1922</v>
      </c>
      <c r="V341" s="4">
        <v>1</v>
      </c>
      <c r="W341" s="6">
        <v>2336.1999999999998</v>
      </c>
      <c r="X341" s="1" t="s">
        <v>1459</v>
      </c>
      <c r="Y341" s="4">
        <v>1</v>
      </c>
      <c r="Z341" s="6">
        <v>2336.1999999999998</v>
      </c>
      <c r="AA341" s="1" t="s">
        <v>1976</v>
      </c>
      <c r="AB341" s="1" t="s">
        <v>1964</v>
      </c>
      <c r="AC341" s="1" t="s">
        <v>1124</v>
      </c>
      <c r="AD341" s="1" t="s">
        <v>1800</v>
      </c>
      <c r="AE341" s="1" t="s">
        <v>1286</v>
      </c>
      <c r="AF341" s="1" t="s">
        <v>1463</v>
      </c>
      <c r="AG341" s="6">
        <v>2336.1999999999998</v>
      </c>
      <c r="AH341" s="6">
        <v>2336.1999999999998</v>
      </c>
      <c r="AI341" s="1"/>
      <c r="AJ341" s="1"/>
      <c r="AK341" s="1"/>
      <c r="AL341" s="1" t="s">
        <v>1225</v>
      </c>
      <c r="AM341" s="1" t="s">
        <v>480</v>
      </c>
      <c r="AN341" s="1"/>
      <c r="AO341" s="1" t="s">
        <v>257</v>
      </c>
      <c r="AP341" s="1"/>
      <c r="AQ341" s="1"/>
      <c r="AR341" s="2"/>
      <c r="AS341" s="1"/>
      <c r="AT341" s="1"/>
      <c r="AU341" s="1"/>
      <c r="AV341" s="1" t="s">
        <v>1941</v>
      </c>
      <c r="AW341" s="7">
        <v>43858.588633002568</v>
      </c>
      <c r="AX341" s="1" t="s">
        <v>1040</v>
      </c>
      <c r="AY341" s="6">
        <v>2336.1999999999998</v>
      </c>
      <c r="AZ341" s="1"/>
      <c r="BA341" s="5">
        <v>44196</v>
      </c>
      <c r="BB341" s="7">
        <v>44196</v>
      </c>
      <c r="BC341" s="1" t="s">
        <v>1997</v>
      </c>
      <c r="BD341" s="1"/>
      <c r="BE341" s="1"/>
      <c r="BF341" s="1" t="s">
        <v>118</v>
      </c>
    </row>
    <row r="342" spans="1:58">
      <c r="A342" s="4">
        <v>337</v>
      </c>
      <c r="B342" s="2" t="str">
        <f>HYPERLINK("https://my.zakupki.prom.ua/remote/dispatcher/state_purchase_view/19350056", "UA-2020-09-17-002447-a")</f>
        <v>UA-2020-09-17-002447-a</v>
      </c>
      <c r="C342" s="2" t="s">
        <v>1459</v>
      </c>
      <c r="D342" s="1" t="s">
        <v>1429</v>
      </c>
      <c r="E342" s="1" t="s">
        <v>1612</v>
      </c>
      <c r="F342" s="1" t="s">
        <v>721</v>
      </c>
      <c r="G342" s="1" t="s">
        <v>1280</v>
      </c>
      <c r="H342" s="1" t="s">
        <v>1800</v>
      </c>
      <c r="I342" s="1" t="s">
        <v>1379</v>
      </c>
      <c r="J342" s="1" t="s">
        <v>819</v>
      </c>
      <c r="K342" s="1" t="s">
        <v>1287</v>
      </c>
      <c r="L342" s="1" t="s">
        <v>1216</v>
      </c>
      <c r="M342" s="1" t="s">
        <v>316</v>
      </c>
      <c r="N342" s="1" t="s">
        <v>119</v>
      </c>
      <c r="O342" s="1" t="s">
        <v>119</v>
      </c>
      <c r="P342" s="5">
        <v>44091</v>
      </c>
      <c r="Q342" s="5">
        <v>44091</v>
      </c>
      <c r="R342" s="5">
        <v>44101</v>
      </c>
      <c r="S342" s="5">
        <v>44091</v>
      </c>
      <c r="T342" s="5">
        <v>44111</v>
      </c>
      <c r="U342" s="7">
        <v>44112.48097222222</v>
      </c>
      <c r="V342" s="4">
        <v>2</v>
      </c>
      <c r="W342" s="6">
        <v>239000</v>
      </c>
      <c r="X342" s="1" t="s">
        <v>1459</v>
      </c>
      <c r="Y342" s="1" t="s">
        <v>1956</v>
      </c>
      <c r="Z342" s="1" t="s">
        <v>1956</v>
      </c>
      <c r="AA342" s="1" t="s">
        <v>1956</v>
      </c>
      <c r="AB342" s="6">
        <v>1195</v>
      </c>
      <c r="AC342" s="1" t="s">
        <v>1124</v>
      </c>
      <c r="AD342" s="1" t="s">
        <v>1800</v>
      </c>
      <c r="AE342" s="1" t="s">
        <v>1286</v>
      </c>
      <c r="AF342" s="1" t="s">
        <v>1463</v>
      </c>
      <c r="AG342" s="6">
        <v>238969.46</v>
      </c>
      <c r="AH342" s="1" t="s">
        <v>1956</v>
      </c>
      <c r="AI342" s="1" t="s">
        <v>1875</v>
      </c>
      <c r="AJ342" s="6">
        <v>30.540000000008149</v>
      </c>
      <c r="AK342" s="6">
        <v>1.2778242677827679E-4</v>
      </c>
      <c r="AL342" s="1" t="s">
        <v>1875</v>
      </c>
      <c r="AM342" s="1" t="s">
        <v>784</v>
      </c>
      <c r="AN342" s="1" t="s">
        <v>1169</v>
      </c>
      <c r="AO342" s="1" t="s">
        <v>88</v>
      </c>
      <c r="AP342" s="6">
        <v>30.540000000008149</v>
      </c>
      <c r="AQ342" s="6">
        <v>1.2778242677827679E-4</v>
      </c>
      <c r="AR342" s="2" t="str">
        <f>HYPERLINK("https://auction.openprocurement.org/tenders/aec918b65e144ce28d3f2fdb59e88f51")</f>
        <v>https://auction.openprocurement.org/tenders/aec918b65e144ce28d3f2fdb59e88f51</v>
      </c>
      <c r="AS342" s="7">
        <v>44116.384631021829</v>
      </c>
      <c r="AT342" s="5">
        <v>44127</v>
      </c>
      <c r="AU342" s="5">
        <v>44137</v>
      </c>
      <c r="AV342" s="1" t="s">
        <v>1941</v>
      </c>
      <c r="AW342" s="7">
        <v>44127.573943865129</v>
      </c>
      <c r="AX342" s="1" t="s">
        <v>472</v>
      </c>
      <c r="AY342" s="6">
        <v>238969.46</v>
      </c>
      <c r="AZ342" s="1"/>
      <c r="BA342" s="5">
        <v>44196</v>
      </c>
      <c r="BB342" s="7">
        <v>44196</v>
      </c>
      <c r="BC342" s="1" t="s">
        <v>1997</v>
      </c>
      <c r="BD342" s="1"/>
      <c r="BE342" s="1"/>
      <c r="BF342" s="1" t="s">
        <v>786</v>
      </c>
    </row>
    <row r="343" spans="1:58">
      <c r="A343" s="4">
        <v>338</v>
      </c>
      <c r="B343" s="2" t="str">
        <f>HYPERLINK("https://my.zakupki.prom.ua/remote/dispatcher/state_purchase_view/20490874", "UA-2020-10-27-000517-a")</f>
        <v>UA-2020-10-27-000517-a</v>
      </c>
      <c r="C343" s="2" t="s">
        <v>1459</v>
      </c>
      <c r="D343" s="1" t="s">
        <v>1223</v>
      </c>
      <c r="E343" s="1" t="s">
        <v>1223</v>
      </c>
      <c r="F343" s="1" t="s">
        <v>1065</v>
      </c>
      <c r="G343" s="1" t="s">
        <v>1364</v>
      </c>
      <c r="H343" s="1" t="s">
        <v>1800</v>
      </c>
      <c r="I343" s="1" t="s">
        <v>1379</v>
      </c>
      <c r="J343" s="1" t="s">
        <v>819</v>
      </c>
      <c r="K343" s="1" t="s">
        <v>1287</v>
      </c>
      <c r="L343" s="1" t="s">
        <v>1216</v>
      </c>
      <c r="M343" s="1" t="s">
        <v>119</v>
      </c>
      <c r="N343" s="1" t="s">
        <v>119</v>
      </c>
      <c r="O343" s="1" t="s">
        <v>119</v>
      </c>
      <c r="P343" s="5">
        <v>44131</v>
      </c>
      <c r="Q343" s="1"/>
      <c r="R343" s="1"/>
      <c r="S343" s="1"/>
      <c r="T343" s="1"/>
      <c r="U343" s="1" t="s">
        <v>1922</v>
      </c>
      <c r="V343" s="4">
        <v>1</v>
      </c>
      <c r="W343" s="6">
        <v>650</v>
      </c>
      <c r="X343" s="1" t="s">
        <v>1459</v>
      </c>
      <c r="Y343" s="4">
        <v>1</v>
      </c>
      <c r="Z343" s="6">
        <v>650</v>
      </c>
      <c r="AA343" s="1" t="s">
        <v>1976</v>
      </c>
      <c r="AB343" s="1" t="s">
        <v>1964</v>
      </c>
      <c r="AC343" s="1" t="s">
        <v>1124</v>
      </c>
      <c r="AD343" s="1" t="s">
        <v>1800</v>
      </c>
      <c r="AE343" s="1" t="s">
        <v>1286</v>
      </c>
      <c r="AF343" s="1" t="s">
        <v>1463</v>
      </c>
      <c r="AG343" s="6">
        <v>650</v>
      </c>
      <c r="AH343" s="6">
        <v>650</v>
      </c>
      <c r="AI343" s="1"/>
      <c r="AJ343" s="1"/>
      <c r="AK343" s="1"/>
      <c r="AL343" s="1" t="s">
        <v>1484</v>
      </c>
      <c r="AM343" s="1" t="s">
        <v>398</v>
      </c>
      <c r="AN343" s="1"/>
      <c r="AO343" s="1" t="s">
        <v>264</v>
      </c>
      <c r="AP343" s="1"/>
      <c r="AQ343" s="1"/>
      <c r="AR343" s="2"/>
      <c r="AS343" s="1"/>
      <c r="AT343" s="1"/>
      <c r="AU343" s="1"/>
      <c r="AV343" s="1" t="s">
        <v>1941</v>
      </c>
      <c r="AW343" s="7">
        <v>44131.383659439409</v>
      </c>
      <c r="AX343" s="1" t="s">
        <v>1045</v>
      </c>
      <c r="AY343" s="6">
        <v>650</v>
      </c>
      <c r="AZ343" s="1"/>
      <c r="BA343" s="5">
        <v>44132</v>
      </c>
      <c r="BB343" s="7">
        <v>44196</v>
      </c>
      <c r="BC343" s="1" t="s">
        <v>1997</v>
      </c>
      <c r="BD343" s="1"/>
      <c r="BE343" s="1"/>
      <c r="BF343" s="1" t="s">
        <v>118</v>
      </c>
    </row>
    <row r="344" spans="1:58">
      <c r="A344" s="4">
        <v>339</v>
      </c>
      <c r="B344" s="2" t="str">
        <f>HYPERLINK("https://my.zakupki.prom.ua/remote/dispatcher/state_purchase_view/15065420", "UA-2020-02-04-000980-c")</f>
        <v>UA-2020-02-04-000980-c</v>
      </c>
      <c r="C344" s="2" t="s">
        <v>1459</v>
      </c>
      <c r="D344" s="1" t="s">
        <v>1018</v>
      </c>
      <c r="E344" s="1" t="s">
        <v>1367</v>
      </c>
      <c r="F344" s="1" t="s">
        <v>1019</v>
      </c>
      <c r="G344" s="1" t="s">
        <v>1346</v>
      </c>
      <c r="H344" s="1" t="s">
        <v>1800</v>
      </c>
      <c r="I344" s="1" t="s">
        <v>1379</v>
      </c>
      <c r="J344" s="1" t="s">
        <v>819</v>
      </c>
      <c r="K344" s="1" t="s">
        <v>1287</v>
      </c>
      <c r="L344" s="1" t="s">
        <v>1915</v>
      </c>
      <c r="M344" s="1" t="s">
        <v>119</v>
      </c>
      <c r="N344" s="1" t="s">
        <v>119</v>
      </c>
      <c r="O344" s="1" t="s">
        <v>119</v>
      </c>
      <c r="P344" s="5">
        <v>43865</v>
      </c>
      <c r="Q344" s="5">
        <v>43865</v>
      </c>
      <c r="R344" s="5">
        <v>43867</v>
      </c>
      <c r="S344" s="5">
        <v>43867</v>
      </c>
      <c r="T344" s="5">
        <v>43871</v>
      </c>
      <c r="U344" s="7">
        <v>43872.61791666667</v>
      </c>
      <c r="V344" s="4">
        <v>6</v>
      </c>
      <c r="W344" s="6">
        <v>47842</v>
      </c>
      <c r="X344" s="1" t="s">
        <v>1459</v>
      </c>
      <c r="Y344" s="4">
        <v>1</v>
      </c>
      <c r="Z344" s="6">
        <v>47842</v>
      </c>
      <c r="AA344" s="1" t="s">
        <v>1976</v>
      </c>
      <c r="AB344" s="6">
        <v>478.42</v>
      </c>
      <c r="AC344" s="1" t="s">
        <v>1124</v>
      </c>
      <c r="AD344" s="1" t="s">
        <v>1800</v>
      </c>
      <c r="AE344" s="1" t="s">
        <v>1286</v>
      </c>
      <c r="AF344" s="1" t="s">
        <v>1463</v>
      </c>
      <c r="AG344" s="6">
        <v>17700</v>
      </c>
      <c r="AH344" s="6">
        <v>17700</v>
      </c>
      <c r="AI344" s="1" t="s">
        <v>1844</v>
      </c>
      <c r="AJ344" s="6">
        <v>30142</v>
      </c>
      <c r="AK344" s="6">
        <v>0.63003218928974536</v>
      </c>
      <c r="AL344" s="1" t="s">
        <v>1844</v>
      </c>
      <c r="AM344" s="1" t="s">
        <v>678</v>
      </c>
      <c r="AN344" s="1" t="s">
        <v>1176</v>
      </c>
      <c r="AO344" s="1" t="s">
        <v>44</v>
      </c>
      <c r="AP344" s="6">
        <v>30142</v>
      </c>
      <c r="AQ344" s="6">
        <v>0.63003218928974536</v>
      </c>
      <c r="AR344" s="2" t="str">
        <f>HYPERLINK("https://auction.openprocurement.org/tenders/f4d3d2ec17884f99a87e5491722c233f")</f>
        <v>https://auction.openprocurement.org/tenders/f4d3d2ec17884f99a87e5491722c233f</v>
      </c>
      <c r="AS344" s="7">
        <v>43873.60251373794</v>
      </c>
      <c r="AT344" s="5">
        <v>43875</v>
      </c>
      <c r="AU344" s="5">
        <v>43897</v>
      </c>
      <c r="AV344" s="1" t="s">
        <v>1941</v>
      </c>
      <c r="AW344" s="7">
        <v>43879.474256861322</v>
      </c>
      <c r="AX344" s="1" t="s">
        <v>394</v>
      </c>
      <c r="AY344" s="6">
        <v>17700</v>
      </c>
      <c r="AZ344" s="1"/>
      <c r="BA344" s="5">
        <v>44196</v>
      </c>
      <c r="BB344" s="7">
        <v>44196</v>
      </c>
      <c r="BC344" s="1" t="s">
        <v>1997</v>
      </c>
      <c r="BD344" s="1"/>
      <c r="BE344" s="1"/>
      <c r="BF344" s="1" t="s">
        <v>679</v>
      </c>
    </row>
    <row r="345" spans="1:58">
      <c r="A345" s="4">
        <v>340</v>
      </c>
      <c r="B345" s="2" t="str">
        <f>HYPERLINK("https://my.zakupki.prom.ua/remote/dispatcher/state_purchase_view/16520592", "UA-2020-04-30-001832-b")</f>
        <v>UA-2020-04-30-001832-b</v>
      </c>
      <c r="C345" s="2" t="s">
        <v>1459</v>
      </c>
      <c r="D345" s="1" t="s">
        <v>898</v>
      </c>
      <c r="E345" s="1" t="s">
        <v>1939</v>
      </c>
      <c r="F345" s="1" t="s">
        <v>899</v>
      </c>
      <c r="G345" s="1" t="s">
        <v>1346</v>
      </c>
      <c r="H345" s="1" t="s">
        <v>1800</v>
      </c>
      <c r="I345" s="1" t="s">
        <v>1379</v>
      </c>
      <c r="J345" s="1" t="s">
        <v>819</v>
      </c>
      <c r="K345" s="1" t="s">
        <v>1287</v>
      </c>
      <c r="L345" s="1" t="s">
        <v>1216</v>
      </c>
      <c r="M345" s="1" t="s">
        <v>407</v>
      </c>
      <c r="N345" s="1" t="s">
        <v>119</v>
      </c>
      <c r="O345" s="1" t="s">
        <v>119</v>
      </c>
      <c r="P345" s="5">
        <v>43951</v>
      </c>
      <c r="Q345" s="5">
        <v>43951</v>
      </c>
      <c r="R345" s="5">
        <v>43958</v>
      </c>
      <c r="S345" s="5">
        <v>43958</v>
      </c>
      <c r="T345" s="5">
        <v>43964</v>
      </c>
      <c r="U345" s="7">
        <v>43965.608206018522</v>
      </c>
      <c r="V345" s="4">
        <v>2</v>
      </c>
      <c r="W345" s="6">
        <v>9500</v>
      </c>
      <c r="X345" s="1" t="s">
        <v>1459</v>
      </c>
      <c r="Y345" s="4">
        <v>19</v>
      </c>
      <c r="Z345" s="6">
        <v>500</v>
      </c>
      <c r="AA345" s="1" t="s">
        <v>2024</v>
      </c>
      <c r="AB345" s="6">
        <v>47.5</v>
      </c>
      <c r="AC345" s="1" t="s">
        <v>1124</v>
      </c>
      <c r="AD345" s="1" t="s">
        <v>1800</v>
      </c>
      <c r="AE345" s="1" t="s">
        <v>1286</v>
      </c>
      <c r="AF345" s="1" t="s">
        <v>1463</v>
      </c>
      <c r="AG345" s="6">
        <v>8900</v>
      </c>
      <c r="AH345" s="6">
        <v>468.42105263157896</v>
      </c>
      <c r="AI345" s="1" t="s">
        <v>1879</v>
      </c>
      <c r="AJ345" s="6">
        <v>600</v>
      </c>
      <c r="AK345" s="6">
        <v>6.3157894736842107E-2</v>
      </c>
      <c r="AL345" s="1" t="s">
        <v>1879</v>
      </c>
      <c r="AM345" s="1" t="s">
        <v>602</v>
      </c>
      <c r="AN345" s="1" t="s">
        <v>1166</v>
      </c>
      <c r="AO345" s="1" t="s">
        <v>57</v>
      </c>
      <c r="AP345" s="6">
        <v>600</v>
      </c>
      <c r="AQ345" s="6">
        <v>6.3157894736842107E-2</v>
      </c>
      <c r="AR345" s="2" t="str">
        <f>HYPERLINK("https://auction.openprocurement.org/tenders/fb957df1f00f41da8135dea76db2f9db")</f>
        <v>https://auction.openprocurement.org/tenders/fb957df1f00f41da8135dea76db2f9db</v>
      </c>
      <c r="AS345" s="7">
        <v>43970.595912299192</v>
      </c>
      <c r="AT345" s="5">
        <v>43972</v>
      </c>
      <c r="AU345" s="5">
        <v>43988</v>
      </c>
      <c r="AV345" s="1" t="s">
        <v>1941</v>
      </c>
      <c r="AW345" s="7">
        <v>43979.640372460337</v>
      </c>
      <c r="AX345" s="1" t="s">
        <v>562</v>
      </c>
      <c r="AY345" s="6">
        <v>8900</v>
      </c>
      <c r="AZ345" s="1"/>
      <c r="BA345" s="5">
        <v>44012</v>
      </c>
      <c r="BB345" s="7">
        <v>44196</v>
      </c>
      <c r="BC345" s="1" t="s">
        <v>1997</v>
      </c>
      <c r="BD345" s="1"/>
      <c r="BE345" s="1"/>
      <c r="BF345" s="1" t="s">
        <v>604</v>
      </c>
    </row>
    <row r="346" spans="1:58">
      <c r="A346" s="4">
        <v>341</v>
      </c>
      <c r="B346" s="2" t="str">
        <f>HYPERLINK("https://my.zakupki.prom.ua/remote/dispatcher/state_purchase_view/16557583", "UA-2020-05-06-000113-b")</f>
        <v>UA-2020-05-06-000113-b</v>
      </c>
      <c r="C346" s="2" t="s">
        <v>1459</v>
      </c>
      <c r="D346" s="1" t="s">
        <v>1827</v>
      </c>
      <c r="E346" s="1" t="s">
        <v>1827</v>
      </c>
      <c r="F346" s="1" t="s">
        <v>1060</v>
      </c>
      <c r="G346" s="1" t="s">
        <v>1364</v>
      </c>
      <c r="H346" s="1" t="s">
        <v>1800</v>
      </c>
      <c r="I346" s="1" t="s">
        <v>1379</v>
      </c>
      <c r="J346" s="1" t="s">
        <v>819</v>
      </c>
      <c r="K346" s="1" t="s">
        <v>1287</v>
      </c>
      <c r="L346" s="1" t="s">
        <v>1216</v>
      </c>
      <c r="M346" s="1" t="s">
        <v>119</v>
      </c>
      <c r="N346" s="1" t="s">
        <v>119</v>
      </c>
      <c r="O346" s="1" t="s">
        <v>119</v>
      </c>
      <c r="P346" s="5">
        <v>43957</v>
      </c>
      <c r="Q346" s="1"/>
      <c r="R346" s="1"/>
      <c r="S346" s="1"/>
      <c r="T346" s="1"/>
      <c r="U346" s="1" t="s">
        <v>1922</v>
      </c>
      <c r="V346" s="4">
        <v>1</v>
      </c>
      <c r="W346" s="6">
        <v>10000</v>
      </c>
      <c r="X346" s="1" t="s">
        <v>1459</v>
      </c>
      <c r="Y346" s="4">
        <v>1</v>
      </c>
      <c r="Z346" s="6">
        <v>10000</v>
      </c>
      <c r="AA346" s="1" t="s">
        <v>1976</v>
      </c>
      <c r="AB346" s="1" t="s">
        <v>1964</v>
      </c>
      <c r="AC346" s="1" t="s">
        <v>1124</v>
      </c>
      <c r="AD346" s="1" t="s">
        <v>1800</v>
      </c>
      <c r="AE346" s="1" t="s">
        <v>1286</v>
      </c>
      <c r="AF346" s="1" t="s">
        <v>1463</v>
      </c>
      <c r="AG346" s="6">
        <v>10000</v>
      </c>
      <c r="AH346" s="6">
        <v>10000</v>
      </c>
      <c r="AI346" s="1"/>
      <c r="AJ346" s="1"/>
      <c r="AK346" s="1"/>
      <c r="AL346" s="1" t="s">
        <v>1410</v>
      </c>
      <c r="AM346" s="1" t="s">
        <v>445</v>
      </c>
      <c r="AN346" s="1"/>
      <c r="AO346" s="1" t="s">
        <v>180</v>
      </c>
      <c r="AP346" s="1"/>
      <c r="AQ346" s="1"/>
      <c r="AR346" s="2"/>
      <c r="AS346" s="1"/>
      <c r="AT346" s="1"/>
      <c r="AU346" s="1"/>
      <c r="AV346" s="1" t="s">
        <v>1941</v>
      </c>
      <c r="AW346" s="7">
        <v>43957.370657000494</v>
      </c>
      <c r="AX346" s="1" t="s">
        <v>234</v>
      </c>
      <c r="AY346" s="6">
        <v>10000</v>
      </c>
      <c r="AZ346" s="1"/>
      <c r="BA346" s="5">
        <v>43977</v>
      </c>
      <c r="BB346" s="7">
        <v>44196</v>
      </c>
      <c r="BC346" s="1" t="s">
        <v>1997</v>
      </c>
      <c r="BD346" s="1"/>
      <c r="BE346" s="1"/>
      <c r="BF346" s="1" t="s">
        <v>118</v>
      </c>
    </row>
    <row r="347" spans="1:58">
      <c r="A347" s="4">
        <v>342</v>
      </c>
      <c r="B347" s="2" t="str">
        <f>HYPERLINK("https://my.zakupki.prom.ua/remote/dispatcher/state_purchase_view/15321931", "UA-2020-02-17-001352-a")</f>
        <v>UA-2020-02-17-001352-a</v>
      </c>
      <c r="C347" s="2" t="s">
        <v>1459</v>
      </c>
      <c r="D347" s="1" t="s">
        <v>1581</v>
      </c>
      <c r="E347" s="1" t="s">
        <v>1581</v>
      </c>
      <c r="F347" s="1" t="s">
        <v>1101</v>
      </c>
      <c r="G347" s="1" t="s">
        <v>1364</v>
      </c>
      <c r="H347" s="1" t="s">
        <v>1800</v>
      </c>
      <c r="I347" s="1" t="s">
        <v>1379</v>
      </c>
      <c r="J347" s="1" t="s">
        <v>819</v>
      </c>
      <c r="K347" s="1" t="s">
        <v>1287</v>
      </c>
      <c r="L347" s="1" t="s">
        <v>1915</v>
      </c>
      <c r="M347" s="1" t="s">
        <v>119</v>
      </c>
      <c r="N347" s="1" t="s">
        <v>119</v>
      </c>
      <c r="O347" s="1" t="s">
        <v>119</v>
      </c>
      <c r="P347" s="5">
        <v>43878</v>
      </c>
      <c r="Q347" s="1"/>
      <c r="R347" s="1"/>
      <c r="S347" s="1"/>
      <c r="T347" s="1"/>
      <c r="U347" s="1" t="s">
        <v>1922</v>
      </c>
      <c r="V347" s="4">
        <v>1</v>
      </c>
      <c r="W347" s="6">
        <v>3552.8</v>
      </c>
      <c r="X347" s="1" t="s">
        <v>1459</v>
      </c>
      <c r="Y347" s="4">
        <v>1</v>
      </c>
      <c r="Z347" s="6">
        <v>3552.8</v>
      </c>
      <c r="AA347" s="1" t="s">
        <v>1976</v>
      </c>
      <c r="AB347" s="1" t="s">
        <v>1964</v>
      </c>
      <c r="AC347" s="1" t="s">
        <v>1124</v>
      </c>
      <c r="AD347" s="1" t="s">
        <v>1463</v>
      </c>
      <c r="AE347" s="1" t="s">
        <v>1286</v>
      </c>
      <c r="AF347" s="1" t="s">
        <v>1463</v>
      </c>
      <c r="AG347" s="6">
        <v>3552.8</v>
      </c>
      <c r="AH347" s="6">
        <v>3552.8</v>
      </c>
      <c r="AI347" s="1"/>
      <c r="AJ347" s="1"/>
      <c r="AK347" s="1"/>
      <c r="AL347" s="1" t="s">
        <v>1755</v>
      </c>
      <c r="AM347" s="1" t="s">
        <v>979</v>
      </c>
      <c r="AN347" s="1"/>
      <c r="AO347" s="1" t="s">
        <v>174</v>
      </c>
      <c r="AP347" s="1"/>
      <c r="AQ347" s="1"/>
      <c r="AR347" s="2"/>
      <c r="AS347" s="1"/>
      <c r="AT347" s="1"/>
      <c r="AU347" s="1"/>
      <c r="AV347" s="1" t="s">
        <v>1941</v>
      </c>
      <c r="AW347" s="7">
        <v>43878.569945855394</v>
      </c>
      <c r="AX347" s="1" t="s">
        <v>698</v>
      </c>
      <c r="AY347" s="6">
        <v>3552.8</v>
      </c>
      <c r="AZ347" s="1"/>
      <c r="BA347" s="5">
        <v>44196</v>
      </c>
      <c r="BB347" s="7">
        <v>44196</v>
      </c>
      <c r="BC347" s="1" t="s">
        <v>1997</v>
      </c>
      <c r="BD347" s="1"/>
      <c r="BE347" s="1"/>
      <c r="BF347" s="1" t="s">
        <v>118</v>
      </c>
    </row>
    <row r="348" spans="1:58">
      <c r="A348" s="4">
        <v>343</v>
      </c>
      <c r="B348" s="2" t="str">
        <f>HYPERLINK("https://my.zakupki.prom.ua/remote/dispatcher/state_purchase_view/14492873", "UA-2020-01-15-000274-c")</f>
        <v>UA-2020-01-15-000274-c</v>
      </c>
      <c r="C348" s="2" t="s">
        <v>1459</v>
      </c>
      <c r="D348" s="1" t="s">
        <v>1566</v>
      </c>
      <c r="E348" s="1" t="s">
        <v>1567</v>
      </c>
      <c r="F348" s="1" t="s">
        <v>1050</v>
      </c>
      <c r="G348" s="1" t="s">
        <v>1364</v>
      </c>
      <c r="H348" s="1" t="s">
        <v>1800</v>
      </c>
      <c r="I348" s="1" t="s">
        <v>1379</v>
      </c>
      <c r="J348" s="1" t="s">
        <v>819</v>
      </c>
      <c r="K348" s="1" t="s">
        <v>1287</v>
      </c>
      <c r="L348" s="1" t="s">
        <v>1915</v>
      </c>
      <c r="M348" s="1" t="s">
        <v>119</v>
      </c>
      <c r="N348" s="1" t="s">
        <v>119</v>
      </c>
      <c r="O348" s="1" t="s">
        <v>119</v>
      </c>
      <c r="P348" s="5">
        <v>43845</v>
      </c>
      <c r="Q348" s="1"/>
      <c r="R348" s="1"/>
      <c r="S348" s="1"/>
      <c r="T348" s="1"/>
      <c r="U348" s="1" t="s">
        <v>1922</v>
      </c>
      <c r="V348" s="4">
        <v>1</v>
      </c>
      <c r="W348" s="6">
        <v>43882.8</v>
      </c>
      <c r="X348" s="1" t="s">
        <v>1459</v>
      </c>
      <c r="Y348" s="4">
        <v>2</v>
      </c>
      <c r="Z348" s="6">
        <v>21941.4</v>
      </c>
      <c r="AA348" s="1" t="s">
        <v>1976</v>
      </c>
      <c r="AB348" s="1" t="s">
        <v>1964</v>
      </c>
      <c r="AC348" s="1" t="s">
        <v>1124</v>
      </c>
      <c r="AD348" s="1" t="s">
        <v>1800</v>
      </c>
      <c r="AE348" s="1" t="s">
        <v>1286</v>
      </c>
      <c r="AF348" s="1" t="s">
        <v>1463</v>
      </c>
      <c r="AG348" s="6">
        <v>43882.8</v>
      </c>
      <c r="AH348" s="6">
        <v>21941.4</v>
      </c>
      <c r="AI348" s="1"/>
      <c r="AJ348" s="1"/>
      <c r="AK348" s="1"/>
      <c r="AL348" s="1" t="s">
        <v>1383</v>
      </c>
      <c r="AM348" s="1" t="s">
        <v>156</v>
      </c>
      <c r="AN348" s="1"/>
      <c r="AO348" s="1" t="s">
        <v>208</v>
      </c>
      <c r="AP348" s="1"/>
      <c r="AQ348" s="1"/>
      <c r="AR348" s="2"/>
      <c r="AS348" s="1"/>
      <c r="AT348" s="1"/>
      <c r="AU348" s="1"/>
      <c r="AV348" s="1" t="s">
        <v>1941</v>
      </c>
      <c r="AW348" s="7">
        <v>43845.405840126492</v>
      </c>
      <c r="AX348" s="1" t="s">
        <v>339</v>
      </c>
      <c r="AY348" s="6">
        <v>43882.8</v>
      </c>
      <c r="AZ348" s="5">
        <v>43831</v>
      </c>
      <c r="BA348" s="5">
        <v>44196</v>
      </c>
      <c r="BB348" s="7">
        <v>44196</v>
      </c>
      <c r="BC348" s="1" t="s">
        <v>1997</v>
      </c>
      <c r="BD348" s="1"/>
      <c r="BE348" s="1"/>
      <c r="BF348" s="1" t="s">
        <v>118</v>
      </c>
    </row>
    <row r="349" spans="1:58">
      <c r="A349" s="4">
        <v>344</v>
      </c>
      <c r="B349" s="2" t="str">
        <f>HYPERLINK("https://my.zakupki.prom.ua/remote/dispatcher/state_purchase_view/18766380", "UA-2020-08-25-005937-a")</f>
        <v>UA-2020-08-25-005937-a</v>
      </c>
      <c r="C349" s="2" t="s">
        <v>1459</v>
      </c>
      <c r="D349" s="1" t="s">
        <v>1267</v>
      </c>
      <c r="E349" s="1" t="s">
        <v>1267</v>
      </c>
      <c r="F349" s="1" t="s">
        <v>1052</v>
      </c>
      <c r="G349" s="1" t="s">
        <v>1364</v>
      </c>
      <c r="H349" s="1" t="s">
        <v>1800</v>
      </c>
      <c r="I349" s="1" t="s">
        <v>1379</v>
      </c>
      <c r="J349" s="1" t="s">
        <v>819</v>
      </c>
      <c r="K349" s="1" t="s">
        <v>1287</v>
      </c>
      <c r="L349" s="1" t="s">
        <v>1216</v>
      </c>
      <c r="M349" s="1" t="s">
        <v>119</v>
      </c>
      <c r="N349" s="1" t="s">
        <v>119</v>
      </c>
      <c r="O349" s="1" t="s">
        <v>119</v>
      </c>
      <c r="P349" s="5">
        <v>44068</v>
      </c>
      <c r="Q349" s="1"/>
      <c r="R349" s="1"/>
      <c r="S349" s="1"/>
      <c r="T349" s="1"/>
      <c r="U349" s="1" t="s">
        <v>1922</v>
      </c>
      <c r="V349" s="4">
        <v>1</v>
      </c>
      <c r="W349" s="6">
        <v>64140</v>
      </c>
      <c r="X349" s="1" t="s">
        <v>1459</v>
      </c>
      <c r="Y349" s="4">
        <v>1</v>
      </c>
      <c r="Z349" s="6">
        <v>64140</v>
      </c>
      <c r="AA349" s="1" t="s">
        <v>1976</v>
      </c>
      <c r="AB349" s="1" t="s">
        <v>1964</v>
      </c>
      <c r="AC349" s="1" t="s">
        <v>1124</v>
      </c>
      <c r="AD349" s="1" t="s">
        <v>1800</v>
      </c>
      <c r="AE349" s="1" t="s">
        <v>1286</v>
      </c>
      <c r="AF349" s="1" t="s">
        <v>1463</v>
      </c>
      <c r="AG349" s="6">
        <v>64140</v>
      </c>
      <c r="AH349" s="6">
        <v>64140</v>
      </c>
      <c r="AI349" s="1"/>
      <c r="AJ349" s="1"/>
      <c r="AK349" s="1"/>
      <c r="AL349" s="1" t="s">
        <v>1225</v>
      </c>
      <c r="AM349" s="1" t="s">
        <v>480</v>
      </c>
      <c r="AN349" s="1"/>
      <c r="AO349" s="1" t="s">
        <v>179</v>
      </c>
      <c r="AP349" s="1"/>
      <c r="AQ349" s="1"/>
      <c r="AR349" s="2"/>
      <c r="AS349" s="1"/>
      <c r="AT349" s="1"/>
      <c r="AU349" s="1"/>
      <c r="AV349" s="1" t="s">
        <v>1941</v>
      </c>
      <c r="AW349" s="7">
        <v>44068.642410352848</v>
      </c>
      <c r="AX349" s="1" t="s">
        <v>129</v>
      </c>
      <c r="AY349" s="6">
        <v>64140</v>
      </c>
      <c r="AZ349" s="1"/>
      <c r="BA349" s="5">
        <v>44079</v>
      </c>
      <c r="BB349" s="7">
        <v>44079</v>
      </c>
      <c r="BC349" s="1" t="s">
        <v>1997</v>
      </c>
      <c r="BD349" s="1"/>
      <c r="BE349" s="1"/>
      <c r="BF349" s="1" t="s">
        <v>118</v>
      </c>
    </row>
    <row r="350" spans="1:58">
      <c r="A350" s="4">
        <v>345</v>
      </c>
      <c r="B350" s="2" t="str">
        <f>HYPERLINK("https://my.zakupki.prom.ua/remote/dispatcher/state_purchase_view/17851082", "UA-2020-07-14-001900-c")</f>
        <v>UA-2020-07-14-001900-c</v>
      </c>
      <c r="C350" s="2" t="s">
        <v>1459</v>
      </c>
      <c r="D350" s="1" t="s">
        <v>710</v>
      </c>
      <c r="E350" s="1" t="s">
        <v>1423</v>
      </c>
      <c r="F350" s="1" t="s">
        <v>708</v>
      </c>
      <c r="G350" s="1" t="s">
        <v>1280</v>
      </c>
      <c r="H350" s="1" t="s">
        <v>1800</v>
      </c>
      <c r="I350" s="1" t="s">
        <v>1379</v>
      </c>
      <c r="J350" s="1" t="s">
        <v>819</v>
      </c>
      <c r="K350" s="1" t="s">
        <v>1287</v>
      </c>
      <c r="L350" s="1" t="s">
        <v>1216</v>
      </c>
      <c r="M350" s="1" t="s">
        <v>316</v>
      </c>
      <c r="N350" s="1" t="s">
        <v>119</v>
      </c>
      <c r="O350" s="1" t="s">
        <v>119</v>
      </c>
      <c r="P350" s="5">
        <v>44026</v>
      </c>
      <c r="Q350" s="5">
        <v>44026</v>
      </c>
      <c r="R350" s="5">
        <v>44032</v>
      </c>
      <c r="S350" s="5">
        <v>44026</v>
      </c>
      <c r="T350" s="5">
        <v>44042</v>
      </c>
      <c r="U350" s="7">
        <v>44043.482800925929</v>
      </c>
      <c r="V350" s="4">
        <v>2</v>
      </c>
      <c r="W350" s="6">
        <v>129000</v>
      </c>
      <c r="X350" s="1" t="s">
        <v>1459</v>
      </c>
      <c r="Y350" s="1" t="s">
        <v>1956</v>
      </c>
      <c r="Z350" s="1" t="s">
        <v>1956</v>
      </c>
      <c r="AA350" s="1" t="s">
        <v>1956</v>
      </c>
      <c r="AB350" s="6">
        <v>645</v>
      </c>
      <c r="AC350" s="1" t="s">
        <v>1124</v>
      </c>
      <c r="AD350" s="1" t="s">
        <v>1800</v>
      </c>
      <c r="AE350" s="1" t="s">
        <v>1286</v>
      </c>
      <c r="AF350" s="1" t="s">
        <v>1463</v>
      </c>
      <c r="AG350" s="6">
        <v>128820</v>
      </c>
      <c r="AH350" s="1" t="s">
        <v>1956</v>
      </c>
      <c r="AI350" s="1" t="s">
        <v>1869</v>
      </c>
      <c r="AJ350" s="6">
        <v>180</v>
      </c>
      <c r="AK350" s="6">
        <v>1.3953488372093023E-3</v>
      </c>
      <c r="AL350" s="1" t="s">
        <v>1869</v>
      </c>
      <c r="AM350" s="1" t="s">
        <v>426</v>
      </c>
      <c r="AN350" s="1" t="s">
        <v>1153</v>
      </c>
      <c r="AO350" s="1" t="s">
        <v>89</v>
      </c>
      <c r="AP350" s="6">
        <v>180</v>
      </c>
      <c r="AQ350" s="6">
        <v>1.3953488372093023E-3</v>
      </c>
      <c r="AR350" s="2" t="str">
        <f>HYPERLINK("https://auction.openprocurement.org/tenders/0d7edb442f5e447e9ad2ff1eaf55f5c9")</f>
        <v>https://auction.openprocurement.org/tenders/0d7edb442f5e447e9ad2ff1eaf55f5c9</v>
      </c>
      <c r="AS350" s="7">
        <v>44046.55410608252</v>
      </c>
      <c r="AT350" s="5">
        <v>44057</v>
      </c>
      <c r="AU350" s="5">
        <v>44067</v>
      </c>
      <c r="AV350" s="1" t="s">
        <v>1941</v>
      </c>
      <c r="AW350" s="7">
        <v>44057.594926011792</v>
      </c>
      <c r="AX350" s="1" t="s">
        <v>340</v>
      </c>
      <c r="AY350" s="6">
        <v>128820</v>
      </c>
      <c r="AZ350" s="1"/>
      <c r="BA350" s="5">
        <v>44084</v>
      </c>
      <c r="BB350" s="7">
        <v>44196</v>
      </c>
      <c r="BC350" s="1" t="s">
        <v>1997</v>
      </c>
      <c r="BD350" s="1"/>
      <c r="BE350" s="1"/>
      <c r="BF350" s="1" t="s">
        <v>428</v>
      </c>
    </row>
    <row r="351" spans="1:58">
      <c r="A351" s="4">
        <v>346</v>
      </c>
      <c r="B351" s="2" t="str">
        <f>HYPERLINK("https://my.zakupki.prom.ua/remote/dispatcher/state_purchase_view/19518330", "UA-2020-09-23-003912-b")</f>
        <v>UA-2020-09-23-003912-b</v>
      </c>
      <c r="C351" s="2" t="s">
        <v>1459</v>
      </c>
      <c r="D351" s="1" t="s">
        <v>1584</v>
      </c>
      <c r="E351" s="1" t="s">
        <v>1683</v>
      </c>
      <c r="F351" s="1" t="s">
        <v>1054</v>
      </c>
      <c r="G351" s="1" t="s">
        <v>1364</v>
      </c>
      <c r="H351" s="1" t="s">
        <v>1800</v>
      </c>
      <c r="I351" s="1" t="s">
        <v>1379</v>
      </c>
      <c r="J351" s="1" t="s">
        <v>819</v>
      </c>
      <c r="K351" s="1" t="s">
        <v>1287</v>
      </c>
      <c r="L351" s="1" t="s">
        <v>1216</v>
      </c>
      <c r="M351" s="1" t="s">
        <v>119</v>
      </c>
      <c r="N351" s="1" t="s">
        <v>119</v>
      </c>
      <c r="O351" s="1" t="s">
        <v>119</v>
      </c>
      <c r="P351" s="5">
        <v>44097</v>
      </c>
      <c r="Q351" s="1"/>
      <c r="R351" s="1"/>
      <c r="S351" s="1"/>
      <c r="T351" s="1"/>
      <c r="U351" s="1" t="s">
        <v>1922</v>
      </c>
      <c r="V351" s="4">
        <v>1</v>
      </c>
      <c r="W351" s="6">
        <v>2088</v>
      </c>
      <c r="X351" s="1" t="s">
        <v>1459</v>
      </c>
      <c r="Y351" s="4">
        <v>1</v>
      </c>
      <c r="Z351" s="6">
        <v>2088</v>
      </c>
      <c r="AA351" s="1" t="s">
        <v>1976</v>
      </c>
      <c r="AB351" s="1" t="s">
        <v>1964</v>
      </c>
      <c r="AC351" s="1" t="s">
        <v>1124</v>
      </c>
      <c r="AD351" s="1" t="s">
        <v>1463</v>
      </c>
      <c r="AE351" s="1" t="s">
        <v>1286</v>
      </c>
      <c r="AF351" s="1" t="s">
        <v>1463</v>
      </c>
      <c r="AG351" s="6">
        <v>2088</v>
      </c>
      <c r="AH351" s="6">
        <v>2088</v>
      </c>
      <c r="AI351" s="1"/>
      <c r="AJ351" s="1"/>
      <c r="AK351" s="1"/>
      <c r="AL351" s="1" t="s">
        <v>1495</v>
      </c>
      <c r="AM351" s="1" t="s">
        <v>349</v>
      </c>
      <c r="AN351" s="1"/>
      <c r="AO351" s="1" t="s">
        <v>1072</v>
      </c>
      <c r="AP351" s="1"/>
      <c r="AQ351" s="1"/>
      <c r="AR351" s="2"/>
      <c r="AS351" s="1"/>
      <c r="AT351" s="1"/>
      <c r="AU351" s="1"/>
      <c r="AV351" s="1" t="s">
        <v>1941</v>
      </c>
      <c r="AW351" s="7">
        <v>44097.46945172397</v>
      </c>
      <c r="AX351" s="1" t="s">
        <v>783</v>
      </c>
      <c r="AY351" s="6">
        <v>2088</v>
      </c>
      <c r="AZ351" s="1"/>
      <c r="BA351" s="5">
        <v>44457</v>
      </c>
      <c r="BB351" s="7">
        <v>44457</v>
      </c>
      <c r="BC351" s="1" t="s">
        <v>1997</v>
      </c>
      <c r="BD351" s="1"/>
      <c r="BE351" s="1"/>
      <c r="BF351" s="1" t="s">
        <v>118</v>
      </c>
    </row>
    <row r="352" spans="1:58">
      <c r="A352" s="4">
        <v>347</v>
      </c>
      <c r="B352" s="2" t="str">
        <f>HYPERLINK("https://my.zakupki.prom.ua/remote/dispatcher/state_purchase_view/18979736", "UA-2020-09-03-004316-b")</f>
        <v>UA-2020-09-03-004316-b</v>
      </c>
      <c r="C352" s="2" t="s">
        <v>1459</v>
      </c>
      <c r="D352" s="1" t="s">
        <v>1899</v>
      </c>
      <c r="E352" s="1" t="s">
        <v>1898</v>
      </c>
      <c r="F352" s="1" t="s">
        <v>907</v>
      </c>
      <c r="G352" s="1" t="s">
        <v>1346</v>
      </c>
      <c r="H352" s="1" t="s">
        <v>1800</v>
      </c>
      <c r="I352" s="1" t="s">
        <v>1379</v>
      </c>
      <c r="J352" s="1" t="s">
        <v>819</v>
      </c>
      <c r="K352" s="1" t="s">
        <v>1287</v>
      </c>
      <c r="L352" s="1" t="s">
        <v>1216</v>
      </c>
      <c r="M352" s="1" t="s">
        <v>608</v>
      </c>
      <c r="N352" s="1" t="s">
        <v>119</v>
      </c>
      <c r="O352" s="1" t="s">
        <v>119</v>
      </c>
      <c r="P352" s="5">
        <v>44077</v>
      </c>
      <c r="Q352" s="5">
        <v>44077</v>
      </c>
      <c r="R352" s="5">
        <v>44083</v>
      </c>
      <c r="S352" s="5">
        <v>44083</v>
      </c>
      <c r="T352" s="5">
        <v>44088</v>
      </c>
      <c r="U352" s="7">
        <v>44088.498078703706</v>
      </c>
      <c r="V352" s="4">
        <v>3</v>
      </c>
      <c r="W352" s="6">
        <v>40000</v>
      </c>
      <c r="X352" s="1" t="s">
        <v>1459</v>
      </c>
      <c r="Y352" s="4">
        <v>1</v>
      </c>
      <c r="Z352" s="6">
        <v>40000</v>
      </c>
      <c r="AA352" s="1" t="s">
        <v>2024</v>
      </c>
      <c r="AB352" s="6">
        <v>400</v>
      </c>
      <c r="AC352" s="1" t="s">
        <v>1124</v>
      </c>
      <c r="AD352" s="1" t="s">
        <v>1800</v>
      </c>
      <c r="AE352" s="1" t="s">
        <v>1286</v>
      </c>
      <c r="AF352" s="1" t="s">
        <v>1463</v>
      </c>
      <c r="AG352" s="6">
        <v>28018</v>
      </c>
      <c r="AH352" s="6">
        <v>28018</v>
      </c>
      <c r="AI352" s="1" t="s">
        <v>1795</v>
      </c>
      <c r="AJ352" s="6">
        <v>11982</v>
      </c>
      <c r="AK352" s="6">
        <v>0.29954999999999998</v>
      </c>
      <c r="AL352" s="1" t="s">
        <v>1845</v>
      </c>
      <c r="AM352" s="1" t="s">
        <v>475</v>
      </c>
      <c r="AN352" s="1" t="s">
        <v>1184</v>
      </c>
      <c r="AO352" s="1" t="s">
        <v>94</v>
      </c>
      <c r="AP352" s="6">
        <v>5350</v>
      </c>
      <c r="AQ352" s="6">
        <v>0.13375000000000001</v>
      </c>
      <c r="AR352" s="2" t="str">
        <f>HYPERLINK("https://auction.openprocurement.org/tenders/2d15cd3ab894484098e407478ac9b7c5")</f>
        <v>https://auction.openprocurement.org/tenders/2d15cd3ab894484098e407478ac9b7c5</v>
      </c>
      <c r="AS352" s="7">
        <v>44090.410088297176</v>
      </c>
      <c r="AT352" s="5">
        <v>44092</v>
      </c>
      <c r="AU352" s="5">
        <v>44113</v>
      </c>
      <c r="AV352" s="1" t="s">
        <v>1941</v>
      </c>
      <c r="AW352" s="7">
        <v>44098.535494918469</v>
      </c>
      <c r="AX352" s="1" t="s">
        <v>499</v>
      </c>
      <c r="AY352" s="6">
        <v>34650</v>
      </c>
      <c r="AZ352" s="1"/>
      <c r="BA352" s="5">
        <v>44119</v>
      </c>
      <c r="BB352" s="7">
        <v>44196</v>
      </c>
      <c r="BC352" s="1" t="s">
        <v>1997</v>
      </c>
      <c r="BD352" s="1"/>
      <c r="BE352" s="1"/>
      <c r="BF352" s="1" t="s">
        <v>835</v>
      </c>
    </row>
    <row r="353" spans="1:58">
      <c r="A353" s="4">
        <v>348</v>
      </c>
      <c r="B353" s="2" t="str">
        <f>HYPERLINK("https://my.zakupki.prom.ua/remote/dispatcher/state_purchase_view/16038907", "UA-2020-03-31-001296-a")</f>
        <v>UA-2020-03-31-001296-a</v>
      </c>
      <c r="C353" s="2" t="s">
        <v>1459</v>
      </c>
      <c r="D353" s="1" t="s">
        <v>509</v>
      </c>
      <c r="E353" s="1" t="s">
        <v>1333</v>
      </c>
      <c r="F353" s="1" t="s">
        <v>507</v>
      </c>
      <c r="G353" s="1" t="s">
        <v>1346</v>
      </c>
      <c r="H353" s="1" t="s">
        <v>1800</v>
      </c>
      <c r="I353" s="1" t="s">
        <v>1379</v>
      </c>
      <c r="J353" s="1" t="s">
        <v>819</v>
      </c>
      <c r="K353" s="1" t="s">
        <v>1287</v>
      </c>
      <c r="L353" s="1" t="s">
        <v>1216</v>
      </c>
      <c r="M353" s="1" t="s">
        <v>119</v>
      </c>
      <c r="N353" s="1" t="s">
        <v>119</v>
      </c>
      <c r="O353" s="1" t="s">
        <v>119</v>
      </c>
      <c r="P353" s="5">
        <v>43921</v>
      </c>
      <c r="Q353" s="5">
        <v>43921</v>
      </c>
      <c r="R353" s="5">
        <v>43924</v>
      </c>
      <c r="S353" s="5">
        <v>43924</v>
      </c>
      <c r="T353" s="5">
        <v>43928</v>
      </c>
      <c r="U353" s="7">
        <v>43929.633310185185</v>
      </c>
      <c r="V353" s="4">
        <v>2</v>
      </c>
      <c r="W353" s="6">
        <v>25000</v>
      </c>
      <c r="X353" s="1" t="s">
        <v>1459</v>
      </c>
      <c r="Y353" s="4">
        <v>80</v>
      </c>
      <c r="Z353" s="6">
        <v>312.5</v>
      </c>
      <c r="AA353" s="1" t="s">
        <v>2024</v>
      </c>
      <c r="AB353" s="6">
        <v>250</v>
      </c>
      <c r="AC353" s="1" t="s">
        <v>1124</v>
      </c>
      <c r="AD353" s="1" t="s">
        <v>1800</v>
      </c>
      <c r="AE353" s="1" t="s">
        <v>1286</v>
      </c>
      <c r="AF353" s="1" t="s">
        <v>1463</v>
      </c>
      <c r="AG353" s="6">
        <v>18720</v>
      </c>
      <c r="AH353" s="6">
        <v>234</v>
      </c>
      <c r="AI353" s="1" t="s">
        <v>1723</v>
      </c>
      <c r="AJ353" s="6">
        <v>6280</v>
      </c>
      <c r="AK353" s="6">
        <v>0.25119999999999998</v>
      </c>
      <c r="AL353" s="1" t="s">
        <v>1734</v>
      </c>
      <c r="AM353" s="1" t="s">
        <v>981</v>
      </c>
      <c r="AN353" s="1" t="s">
        <v>1197</v>
      </c>
      <c r="AO353" s="1" t="s">
        <v>85</v>
      </c>
      <c r="AP353" s="6">
        <v>520</v>
      </c>
      <c r="AQ353" s="6">
        <v>2.0799999999999999E-2</v>
      </c>
      <c r="AR353" s="2" t="str">
        <f>HYPERLINK("https://auction.openprocurement.org/tenders/4609124b2e8f4b6f95ec17b0cce84727")</f>
        <v>https://auction.openprocurement.org/tenders/4609124b2e8f4b6f95ec17b0cce84727</v>
      </c>
      <c r="AS353" s="7">
        <v>43930.598630685454</v>
      </c>
      <c r="AT353" s="5">
        <v>43934</v>
      </c>
      <c r="AU353" s="5">
        <v>43954</v>
      </c>
      <c r="AV353" s="1" t="s">
        <v>1941</v>
      </c>
      <c r="AW353" s="7">
        <v>43934.67347571045</v>
      </c>
      <c r="AX353" s="1" t="s">
        <v>347</v>
      </c>
      <c r="AY353" s="6">
        <v>24480</v>
      </c>
      <c r="AZ353" s="1"/>
      <c r="BA353" s="5">
        <v>43951</v>
      </c>
      <c r="BB353" s="7">
        <v>44196</v>
      </c>
      <c r="BC353" s="1" t="s">
        <v>1997</v>
      </c>
      <c r="BD353" s="1"/>
      <c r="BE353" s="1"/>
      <c r="BF353" s="1" t="s">
        <v>813</v>
      </c>
    </row>
    <row r="354" spans="1:58">
      <c r="A354" s="4">
        <v>349</v>
      </c>
      <c r="B354" s="2" t="str">
        <f>HYPERLINK("https://my.zakupki.prom.ua/remote/dispatcher/state_purchase_view/15675233", "UA-2020-03-10-001436-a")</f>
        <v>UA-2020-03-10-001436-a</v>
      </c>
      <c r="C354" s="2" t="s">
        <v>1459</v>
      </c>
      <c r="D354" s="1" t="s">
        <v>1370</v>
      </c>
      <c r="E354" s="1" t="s">
        <v>1370</v>
      </c>
      <c r="F354" s="1" t="s">
        <v>908</v>
      </c>
      <c r="G354" s="1" t="s">
        <v>1346</v>
      </c>
      <c r="H354" s="1" t="s">
        <v>1800</v>
      </c>
      <c r="I354" s="1" t="s">
        <v>1379</v>
      </c>
      <c r="J354" s="1" t="s">
        <v>819</v>
      </c>
      <c r="K354" s="1" t="s">
        <v>1287</v>
      </c>
      <c r="L354" s="1" t="s">
        <v>1216</v>
      </c>
      <c r="M354" s="1" t="s">
        <v>119</v>
      </c>
      <c r="N354" s="1" t="s">
        <v>119</v>
      </c>
      <c r="O354" s="1" t="s">
        <v>119</v>
      </c>
      <c r="P354" s="5">
        <v>43900</v>
      </c>
      <c r="Q354" s="5">
        <v>43900</v>
      </c>
      <c r="R354" s="5">
        <v>43902</v>
      </c>
      <c r="S354" s="5">
        <v>43902</v>
      </c>
      <c r="T354" s="5">
        <v>43903</v>
      </c>
      <c r="U354" s="7">
        <v>43906.650555555556</v>
      </c>
      <c r="V354" s="4">
        <v>3</v>
      </c>
      <c r="W354" s="6">
        <v>10220</v>
      </c>
      <c r="X354" s="1" t="s">
        <v>1459</v>
      </c>
      <c r="Y354" s="4">
        <v>495</v>
      </c>
      <c r="Z354" s="6">
        <v>20.65</v>
      </c>
      <c r="AA354" s="1" t="s">
        <v>2024</v>
      </c>
      <c r="AB354" s="6">
        <v>102.2</v>
      </c>
      <c r="AC354" s="1" t="s">
        <v>1124</v>
      </c>
      <c r="AD354" s="1" t="s">
        <v>1800</v>
      </c>
      <c r="AE354" s="1" t="s">
        <v>1286</v>
      </c>
      <c r="AF354" s="1" t="s">
        <v>1463</v>
      </c>
      <c r="AG354" s="6">
        <v>6950</v>
      </c>
      <c r="AH354" s="6">
        <v>14.04040404040404</v>
      </c>
      <c r="AI354" s="1" t="s">
        <v>1697</v>
      </c>
      <c r="AJ354" s="6">
        <v>3270</v>
      </c>
      <c r="AK354" s="6">
        <v>0.31996086105675148</v>
      </c>
      <c r="AL354" s="1" t="s">
        <v>1697</v>
      </c>
      <c r="AM354" s="1" t="s">
        <v>888</v>
      </c>
      <c r="AN354" s="1" t="s">
        <v>1135</v>
      </c>
      <c r="AO354" s="1" t="s">
        <v>48</v>
      </c>
      <c r="AP354" s="6">
        <v>3270</v>
      </c>
      <c r="AQ354" s="6">
        <v>0.31996086105675148</v>
      </c>
      <c r="AR354" s="2" t="str">
        <f>HYPERLINK("https://auction.openprocurement.org/tenders/9ca1d73717004cd7a4ac3e88c0b25030")</f>
        <v>https://auction.openprocurement.org/tenders/9ca1d73717004cd7a4ac3e88c0b25030</v>
      </c>
      <c r="AS354" s="7">
        <v>43907.559273397499</v>
      </c>
      <c r="AT354" s="5">
        <v>43909</v>
      </c>
      <c r="AU354" s="5">
        <v>43932</v>
      </c>
      <c r="AV354" s="1" t="s">
        <v>1941</v>
      </c>
      <c r="AW354" s="7">
        <v>43909.657544773632</v>
      </c>
      <c r="AX354" s="1" t="s">
        <v>396</v>
      </c>
      <c r="AY354" s="6">
        <v>6949.8</v>
      </c>
      <c r="AZ354" s="1"/>
      <c r="BA354" s="5">
        <v>43982</v>
      </c>
      <c r="BB354" s="7">
        <v>44196</v>
      </c>
      <c r="BC354" s="1" t="s">
        <v>1997</v>
      </c>
      <c r="BD354" s="1"/>
      <c r="BE354" s="1"/>
      <c r="BF354" s="1" t="s">
        <v>897</v>
      </c>
    </row>
    <row r="355" spans="1:58">
      <c r="A355" s="4">
        <v>350</v>
      </c>
      <c r="B355" s="2" t="str">
        <f>HYPERLINK("https://my.zakupki.prom.ua/remote/dispatcher/state_purchase_view/24377674", "UA-2021-02-25-000811-b")</f>
        <v>UA-2021-02-25-000811-b</v>
      </c>
      <c r="C355" s="2" t="s">
        <v>1459</v>
      </c>
      <c r="D355" s="1" t="s">
        <v>1434</v>
      </c>
      <c r="E355" s="1" t="s">
        <v>1434</v>
      </c>
      <c r="F355" s="1" t="s">
        <v>989</v>
      </c>
      <c r="G355" s="1" t="s">
        <v>1364</v>
      </c>
      <c r="H355" s="1" t="s">
        <v>1800</v>
      </c>
      <c r="I355" s="1" t="s">
        <v>1379</v>
      </c>
      <c r="J355" s="1" t="s">
        <v>819</v>
      </c>
      <c r="K355" s="1" t="s">
        <v>1287</v>
      </c>
      <c r="L355" s="1" t="s">
        <v>1216</v>
      </c>
      <c r="M355" s="1" t="s">
        <v>119</v>
      </c>
      <c r="N355" s="1" t="s">
        <v>119</v>
      </c>
      <c r="O355" s="1" t="s">
        <v>119</v>
      </c>
      <c r="P355" s="5">
        <v>44252</v>
      </c>
      <c r="Q355" s="1"/>
      <c r="R355" s="1"/>
      <c r="S355" s="1"/>
      <c r="T355" s="1"/>
      <c r="U355" s="1" t="s">
        <v>1922</v>
      </c>
      <c r="V355" s="4">
        <v>1</v>
      </c>
      <c r="W355" s="6">
        <v>6550</v>
      </c>
      <c r="X355" s="1" t="s">
        <v>1459</v>
      </c>
      <c r="Y355" s="4">
        <v>1</v>
      </c>
      <c r="Z355" s="6">
        <v>6550</v>
      </c>
      <c r="AA355" s="1" t="s">
        <v>2024</v>
      </c>
      <c r="AB355" s="1" t="s">
        <v>1964</v>
      </c>
      <c r="AC355" s="1" t="s">
        <v>1124</v>
      </c>
      <c r="AD355" s="1" t="s">
        <v>1800</v>
      </c>
      <c r="AE355" s="1" t="s">
        <v>1286</v>
      </c>
      <c r="AF355" s="1" t="s">
        <v>1463</v>
      </c>
      <c r="AG355" s="6">
        <v>6550</v>
      </c>
      <c r="AH355" s="6">
        <v>6550</v>
      </c>
      <c r="AI355" s="1"/>
      <c r="AJ355" s="1"/>
      <c r="AK355" s="1"/>
      <c r="AL355" s="1" t="s">
        <v>1261</v>
      </c>
      <c r="AM355" s="1" t="s">
        <v>642</v>
      </c>
      <c r="AN355" s="1"/>
      <c r="AO355" s="1" t="s">
        <v>214</v>
      </c>
      <c r="AP355" s="1"/>
      <c r="AQ355" s="1"/>
      <c r="AR355" s="2"/>
      <c r="AS355" s="1"/>
      <c r="AT355" s="1"/>
      <c r="AU355" s="1"/>
      <c r="AV355" s="1" t="s">
        <v>1941</v>
      </c>
      <c r="AW355" s="7">
        <v>44252.378885591577</v>
      </c>
      <c r="AX355" s="1" t="s">
        <v>520</v>
      </c>
      <c r="AY355" s="6">
        <v>6550</v>
      </c>
      <c r="AZ355" s="1"/>
      <c r="BA355" s="5">
        <v>44270</v>
      </c>
      <c r="BB355" s="7">
        <v>44561</v>
      </c>
      <c r="BC355" s="1" t="s">
        <v>1997</v>
      </c>
      <c r="BD355" s="1"/>
      <c r="BE355" s="1"/>
      <c r="BF355" s="1" t="s">
        <v>118</v>
      </c>
    </row>
    <row r="356" spans="1:58">
      <c r="A356" s="4">
        <v>351</v>
      </c>
      <c r="B356" s="2" t="str">
        <f>HYPERLINK("https://my.zakupki.prom.ua/remote/dispatcher/state_purchase_view/24670729", "UA-2021-03-05-008404-c")</f>
        <v>UA-2021-03-05-008404-c</v>
      </c>
      <c r="C356" s="2" t="s">
        <v>1459</v>
      </c>
      <c r="D356" s="1" t="s">
        <v>1991</v>
      </c>
      <c r="E356" s="1" t="s">
        <v>1991</v>
      </c>
      <c r="F356" s="1" t="s">
        <v>1050</v>
      </c>
      <c r="G356" s="1" t="s">
        <v>1364</v>
      </c>
      <c r="H356" s="1" t="s">
        <v>1800</v>
      </c>
      <c r="I356" s="1" t="s">
        <v>1379</v>
      </c>
      <c r="J356" s="1" t="s">
        <v>819</v>
      </c>
      <c r="K356" s="1" t="s">
        <v>1287</v>
      </c>
      <c r="L356" s="1" t="s">
        <v>1216</v>
      </c>
      <c r="M356" s="1" t="s">
        <v>119</v>
      </c>
      <c r="N356" s="1" t="s">
        <v>119</v>
      </c>
      <c r="O356" s="1" t="s">
        <v>119</v>
      </c>
      <c r="P356" s="5">
        <v>44260</v>
      </c>
      <c r="Q356" s="1"/>
      <c r="R356" s="1"/>
      <c r="S356" s="1"/>
      <c r="T356" s="1"/>
      <c r="U356" s="1" t="s">
        <v>1922</v>
      </c>
      <c r="V356" s="4">
        <v>1</v>
      </c>
      <c r="W356" s="6">
        <v>39255</v>
      </c>
      <c r="X356" s="1" t="s">
        <v>1459</v>
      </c>
      <c r="Y356" s="4">
        <v>1</v>
      </c>
      <c r="Z356" s="6">
        <v>39255</v>
      </c>
      <c r="AA356" s="1" t="s">
        <v>1976</v>
      </c>
      <c r="AB356" s="1" t="s">
        <v>1964</v>
      </c>
      <c r="AC356" s="1" t="s">
        <v>1124</v>
      </c>
      <c r="AD356" s="1" t="s">
        <v>1800</v>
      </c>
      <c r="AE356" s="1" t="s">
        <v>1286</v>
      </c>
      <c r="AF356" s="1" t="s">
        <v>1463</v>
      </c>
      <c r="AG356" s="6">
        <v>50755</v>
      </c>
      <c r="AH356" s="6">
        <v>50755</v>
      </c>
      <c r="AI356" s="1"/>
      <c r="AJ356" s="6">
        <v>-11500</v>
      </c>
      <c r="AK356" s="6">
        <v>-0.29295631129792382</v>
      </c>
      <c r="AL356" s="1" t="s">
        <v>1383</v>
      </c>
      <c r="AM356" s="1" t="s">
        <v>156</v>
      </c>
      <c r="AN356" s="1"/>
      <c r="AO356" s="1" t="s">
        <v>1071</v>
      </c>
      <c r="AP356" s="6">
        <v>-11500</v>
      </c>
      <c r="AQ356" s="6">
        <v>-0.29295631129792382</v>
      </c>
      <c r="AR356" s="2"/>
      <c r="AS356" s="1"/>
      <c r="AT356" s="1"/>
      <c r="AU356" s="1"/>
      <c r="AV356" s="1" t="s">
        <v>1941</v>
      </c>
      <c r="AW356" s="7">
        <v>44260.607884577585</v>
      </c>
      <c r="AX356" s="1" t="s">
        <v>339</v>
      </c>
      <c r="AY356" s="6">
        <v>50755</v>
      </c>
      <c r="AZ356" s="1"/>
      <c r="BA356" s="5">
        <v>44561</v>
      </c>
      <c r="BB356" s="7">
        <v>44561</v>
      </c>
      <c r="BC356" s="1" t="s">
        <v>1997</v>
      </c>
      <c r="BD356" s="1"/>
      <c r="BE356" s="1"/>
      <c r="BF356" s="1" t="s">
        <v>118</v>
      </c>
    </row>
    <row r="357" spans="1:58">
      <c r="A357" s="4">
        <v>352</v>
      </c>
      <c r="B357" s="2" t="str">
        <f>HYPERLINK("https://my.zakupki.prom.ua/remote/dispatcher/state_purchase_view/23269062", "UA-2021-01-26-005387-b")</f>
        <v>UA-2021-01-26-005387-b</v>
      </c>
      <c r="C357" s="2" t="s">
        <v>1459</v>
      </c>
      <c r="D357" s="1" t="s">
        <v>1815</v>
      </c>
      <c r="E357" s="1" t="s">
        <v>1815</v>
      </c>
      <c r="F357" s="1" t="s">
        <v>1024</v>
      </c>
      <c r="G357" s="1" t="s">
        <v>1364</v>
      </c>
      <c r="H357" s="1" t="s">
        <v>1800</v>
      </c>
      <c r="I357" s="1" t="s">
        <v>1379</v>
      </c>
      <c r="J357" s="1" t="s">
        <v>819</v>
      </c>
      <c r="K357" s="1" t="s">
        <v>1287</v>
      </c>
      <c r="L357" s="1" t="s">
        <v>1216</v>
      </c>
      <c r="M357" s="1" t="s">
        <v>119</v>
      </c>
      <c r="N357" s="1" t="s">
        <v>119</v>
      </c>
      <c r="O357" s="1" t="s">
        <v>119</v>
      </c>
      <c r="P357" s="5">
        <v>44222</v>
      </c>
      <c r="Q357" s="1"/>
      <c r="R357" s="1"/>
      <c r="S357" s="1"/>
      <c r="T357" s="1"/>
      <c r="U357" s="1" t="s">
        <v>1922</v>
      </c>
      <c r="V357" s="4">
        <v>1</v>
      </c>
      <c r="W357" s="6">
        <v>6262.3</v>
      </c>
      <c r="X357" s="1" t="s">
        <v>1459</v>
      </c>
      <c r="Y357" s="4">
        <v>6</v>
      </c>
      <c r="Z357" s="6">
        <v>1043.72</v>
      </c>
      <c r="AA357" s="1" t="s">
        <v>1976</v>
      </c>
      <c r="AB357" s="1" t="s">
        <v>1964</v>
      </c>
      <c r="AC357" s="1" t="s">
        <v>1124</v>
      </c>
      <c r="AD357" s="1" t="s">
        <v>1800</v>
      </c>
      <c r="AE357" s="1" t="s">
        <v>1286</v>
      </c>
      <c r="AF357" s="1" t="s">
        <v>1463</v>
      </c>
      <c r="AG357" s="6">
        <v>6262.3</v>
      </c>
      <c r="AH357" s="6">
        <v>1043.7166666666667</v>
      </c>
      <c r="AI357" s="1"/>
      <c r="AJ357" s="1"/>
      <c r="AK357" s="1"/>
      <c r="AL357" s="1" t="s">
        <v>1226</v>
      </c>
      <c r="AM357" s="1" t="s">
        <v>424</v>
      </c>
      <c r="AN357" s="1"/>
      <c r="AO357" s="1" t="s">
        <v>251</v>
      </c>
      <c r="AP357" s="1"/>
      <c r="AQ357" s="1"/>
      <c r="AR357" s="2"/>
      <c r="AS357" s="1"/>
      <c r="AT357" s="1"/>
      <c r="AU357" s="1"/>
      <c r="AV357" s="1" t="s">
        <v>1941</v>
      </c>
      <c r="AW357" s="7">
        <v>44222.552012427026</v>
      </c>
      <c r="AX357" s="1" t="s">
        <v>577</v>
      </c>
      <c r="AY357" s="6">
        <v>6262.3</v>
      </c>
      <c r="AZ357" s="1"/>
      <c r="BA357" s="5">
        <v>44561</v>
      </c>
      <c r="BB357" s="7">
        <v>44561</v>
      </c>
      <c r="BC357" s="1" t="s">
        <v>1997</v>
      </c>
      <c r="BD357" s="1"/>
      <c r="BE357" s="1"/>
      <c r="BF357" s="1" t="s">
        <v>118</v>
      </c>
    </row>
    <row r="358" spans="1:58">
      <c r="A358" s="4">
        <v>353</v>
      </c>
      <c r="B358" s="2" t="str">
        <f>HYPERLINK("https://my.zakupki.prom.ua/remote/dispatcher/state_purchase_view/27392990", "UA-2021-06-11-002991-b")</f>
        <v>UA-2021-06-11-002991-b</v>
      </c>
      <c r="C358" s="2" t="s">
        <v>1459</v>
      </c>
      <c r="D358" s="1" t="s">
        <v>1507</v>
      </c>
      <c r="E358" s="1" t="s">
        <v>1507</v>
      </c>
      <c r="F358" s="1" t="s">
        <v>626</v>
      </c>
      <c r="G358" s="1" t="s">
        <v>1346</v>
      </c>
      <c r="H358" s="1" t="s">
        <v>1800</v>
      </c>
      <c r="I358" s="1" t="s">
        <v>1379</v>
      </c>
      <c r="J358" s="1" t="s">
        <v>819</v>
      </c>
      <c r="K358" s="1" t="s">
        <v>1287</v>
      </c>
      <c r="L358" s="1" t="s">
        <v>1216</v>
      </c>
      <c r="M358" s="1" t="s">
        <v>119</v>
      </c>
      <c r="N358" s="1" t="s">
        <v>119</v>
      </c>
      <c r="O358" s="1" t="s">
        <v>119</v>
      </c>
      <c r="P358" s="5">
        <v>44358</v>
      </c>
      <c r="Q358" s="5">
        <v>44358</v>
      </c>
      <c r="R358" s="5">
        <v>44364</v>
      </c>
      <c r="S358" s="5">
        <v>44364</v>
      </c>
      <c r="T358" s="5">
        <v>44370</v>
      </c>
      <c r="U358" s="7">
        <v>44371.64875</v>
      </c>
      <c r="V358" s="4">
        <v>2</v>
      </c>
      <c r="W358" s="6">
        <v>30000</v>
      </c>
      <c r="X358" s="1" t="s">
        <v>1459</v>
      </c>
      <c r="Y358" s="4">
        <v>300</v>
      </c>
      <c r="Z358" s="6">
        <v>100</v>
      </c>
      <c r="AA358" s="1" t="s">
        <v>1971</v>
      </c>
      <c r="AB358" s="6">
        <v>150</v>
      </c>
      <c r="AC358" s="1" t="s">
        <v>1124</v>
      </c>
      <c r="AD358" s="1" t="s">
        <v>1800</v>
      </c>
      <c r="AE358" s="1" t="s">
        <v>1286</v>
      </c>
      <c r="AF358" s="1" t="s">
        <v>1463</v>
      </c>
      <c r="AG358" s="6">
        <v>22662</v>
      </c>
      <c r="AH358" s="6">
        <v>75.540000000000006</v>
      </c>
      <c r="AI358" s="1" t="s">
        <v>1790</v>
      </c>
      <c r="AJ358" s="6">
        <v>7338</v>
      </c>
      <c r="AK358" s="6">
        <v>0.24460000000000001</v>
      </c>
      <c r="AL358" s="1" t="s">
        <v>1790</v>
      </c>
      <c r="AM358" s="1" t="s">
        <v>986</v>
      </c>
      <c r="AN358" s="1" t="s">
        <v>1200</v>
      </c>
      <c r="AO358" s="1" t="s">
        <v>825</v>
      </c>
      <c r="AP358" s="6">
        <v>7338</v>
      </c>
      <c r="AQ358" s="6">
        <v>0.24460000000000001</v>
      </c>
      <c r="AR358" s="2" t="str">
        <f>HYPERLINK("https://auctions.prozorro.gov.ua/tenders/d215d70855fa4646b230d6c558619e90")</f>
        <v>https://auctions.prozorro.gov.ua/tenders/d215d70855fa4646b230d6c558619e90</v>
      </c>
      <c r="AS358" s="7">
        <v>44372.593845435054</v>
      </c>
      <c r="AT358" s="5">
        <v>44378</v>
      </c>
      <c r="AU358" s="5">
        <v>44394</v>
      </c>
      <c r="AV358" s="1" t="s">
        <v>1941</v>
      </c>
      <c r="AW358" s="7">
        <v>44378.505476946921</v>
      </c>
      <c r="AX358" s="1" t="s">
        <v>135</v>
      </c>
      <c r="AY358" s="6">
        <v>22662</v>
      </c>
      <c r="AZ358" s="1"/>
      <c r="BA358" s="5">
        <v>44561</v>
      </c>
      <c r="BB358" s="7">
        <v>44561</v>
      </c>
      <c r="BC358" s="1" t="s">
        <v>1997</v>
      </c>
      <c r="BD358" s="1"/>
      <c r="BE358" s="1"/>
      <c r="BF358" s="1" t="s">
        <v>987</v>
      </c>
    </row>
    <row r="359" spans="1:58">
      <c r="A359" s="4">
        <v>354</v>
      </c>
      <c r="B359" s="2" t="str">
        <f>HYPERLINK("https://my.zakupki.prom.ua/remote/dispatcher/state_purchase_view/11489053", "UA-2019-05-06-001221-a")</f>
        <v>UA-2019-05-06-001221-a</v>
      </c>
      <c r="C359" s="2" t="s">
        <v>1459</v>
      </c>
      <c r="D359" s="1" t="s">
        <v>1308</v>
      </c>
      <c r="E359" s="1" t="s">
        <v>1569</v>
      </c>
      <c r="F359" s="1" t="s">
        <v>1099</v>
      </c>
      <c r="G359" s="1" t="s">
        <v>1346</v>
      </c>
      <c r="H359" s="1" t="s">
        <v>1800</v>
      </c>
      <c r="I359" s="1" t="s">
        <v>1379</v>
      </c>
      <c r="J359" s="1" t="s">
        <v>819</v>
      </c>
      <c r="K359" s="1" t="s">
        <v>1287</v>
      </c>
      <c r="L359" s="1" t="s">
        <v>1224</v>
      </c>
      <c r="M359" s="1" t="s">
        <v>119</v>
      </c>
      <c r="N359" s="1" t="s">
        <v>119</v>
      </c>
      <c r="O359" s="1" t="s">
        <v>119</v>
      </c>
      <c r="P359" s="5">
        <v>43591</v>
      </c>
      <c r="Q359" s="5">
        <v>43591</v>
      </c>
      <c r="R359" s="5">
        <v>43593</v>
      </c>
      <c r="S359" s="5">
        <v>43593</v>
      </c>
      <c r="T359" s="5">
        <v>43596</v>
      </c>
      <c r="U359" s="1" t="s">
        <v>1923</v>
      </c>
      <c r="V359" s="4">
        <v>1</v>
      </c>
      <c r="W359" s="6">
        <v>4500</v>
      </c>
      <c r="X359" s="1" t="s">
        <v>1459</v>
      </c>
      <c r="Y359" s="4">
        <v>1</v>
      </c>
      <c r="Z359" s="6">
        <v>4500</v>
      </c>
      <c r="AA359" s="1" t="s">
        <v>1976</v>
      </c>
      <c r="AB359" s="6">
        <v>45</v>
      </c>
      <c r="AC359" s="1" t="s">
        <v>1124</v>
      </c>
      <c r="AD359" s="1" t="s">
        <v>1800</v>
      </c>
      <c r="AE359" s="1" t="s">
        <v>1286</v>
      </c>
      <c r="AF359" s="1" t="s">
        <v>1463</v>
      </c>
      <c r="AG359" s="6">
        <v>3900</v>
      </c>
      <c r="AH359" s="6">
        <v>3900</v>
      </c>
      <c r="AI359" s="1" t="s">
        <v>1757</v>
      </c>
      <c r="AJ359" s="6">
        <v>600</v>
      </c>
      <c r="AK359" s="6">
        <v>0.13333333333333333</v>
      </c>
      <c r="AL359" s="1" t="s">
        <v>1757</v>
      </c>
      <c r="AM359" s="1" t="s">
        <v>816</v>
      </c>
      <c r="AN359" s="1" t="s">
        <v>1198</v>
      </c>
      <c r="AO359" s="1" t="s">
        <v>53</v>
      </c>
      <c r="AP359" s="6">
        <v>600</v>
      </c>
      <c r="AQ359" s="6">
        <v>0.13333333333333333</v>
      </c>
      <c r="AR359" s="2"/>
      <c r="AS359" s="7">
        <v>43599.475369328829</v>
      </c>
      <c r="AT359" s="5">
        <v>43601</v>
      </c>
      <c r="AU359" s="5">
        <v>43623</v>
      </c>
      <c r="AV359" s="1" t="s">
        <v>1941</v>
      </c>
      <c r="AW359" s="7">
        <v>43602.63957820119</v>
      </c>
      <c r="AX359" s="1" t="s">
        <v>590</v>
      </c>
      <c r="AY359" s="6">
        <v>3900</v>
      </c>
      <c r="AZ359" s="1"/>
      <c r="BA359" s="5">
        <v>43830</v>
      </c>
      <c r="BB359" s="7">
        <v>43830</v>
      </c>
      <c r="BC359" s="1" t="s">
        <v>1997</v>
      </c>
      <c r="BD359" s="1"/>
      <c r="BE359" s="1"/>
      <c r="BF359" s="1" t="s">
        <v>817</v>
      </c>
    </row>
    <row r="360" spans="1:58">
      <c r="A360" s="4">
        <v>355</v>
      </c>
      <c r="B360" s="2" t="str">
        <f>HYPERLINK("https://my.zakupki.prom.ua/remote/dispatcher/state_purchase_view/12381092", "UA-2019-07-30-001408-b")</f>
        <v>UA-2019-07-30-001408-b</v>
      </c>
      <c r="C360" s="2" t="s">
        <v>1459</v>
      </c>
      <c r="D360" s="1" t="s">
        <v>1543</v>
      </c>
      <c r="E360" s="1" t="s">
        <v>1983</v>
      </c>
      <c r="F360" s="1" t="s">
        <v>1023</v>
      </c>
      <c r="G360" s="1" t="s">
        <v>1346</v>
      </c>
      <c r="H360" s="1" t="s">
        <v>1800</v>
      </c>
      <c r="I360" s="1" t="s">
        <v>1379</v>
      </c>
      <c r="J360" s="1" t="s">
        <v>819</v>
      </c>
      <c r="K360" s="1" t="s">
        <v>1287</v>
      </c>
      <c r="L360" s="1" t="s">
        <v>1658</v>
      </c>
      <c r="M360" s="1" t="s">
        <v>119</v>
      </c>
      <c r="N360" s="1" t="s">
        <v>119</v>
      </c>
      <c r="O360" s="1" t="s">
        <v>119</v>
      </c>
      <c r="P360" s="5">
        <v>43676</v>
      </c>
      <c r="Q360" s="5">
        <v>43676</v>
      </c>
      <c r="R360" s="5">
        <v>43678</v>
      </c>
      <c r="S360" s="5">
        <v>43678</v>
      </c>
      <c r="T360" s="5">
        <v>43682</v>
      </c>
      <c r="U360" s="1" t="s">
        <v>1923</v>
      </c>
      <c r="V360" s="4">
        <v>1</v>
      </c>
      <c r="W360" s="6">
        <v>8500</v>
      </c>
      <c r="X360" s="1" t="s">
        <v>1459</v>
      </c>
      <c r="Y360" s="4">
        <v>2</v>
      </c>
      <c r="Z360" s="6">
        <v>4250</v>
      </c>
      <c r="AA360" s="1" t="s">
        <v>1976</v>
      </c>
      <c r="AB360" s="6">
        <v>42.5</v>
      </c>
      <c r="AC360" s="1" t="s">
        <v>1124</v>
      </c>
      <c r="AD360" s="1" t="s">
        <v>1800</v>
      </c>
      <c r="AE360" s="1" t="s">
        <v>1286</v>
      </c>
      <c r="AF360" s="1" t="s">
        <v>1463</v>
      </c>
      <c r="AG360" s="6">
        <v>8438.42</v>
      </c>
      <c r="AH360" s="6">
        <v>4219.21</v>
      </c>
      <c r="AI360" s="1" t="s">
        <v>1727</v>
      </c>
      <c r="AJ360" s="6">
        <v>61.579999999999927</v>
      </c>
      <c r="AK360" s="6">
        <v>7.2447058823529326E-3</v>
      </c>
      <c r="AL360" s="1" t="s">
        <v>1727</v>
      </c>
      <c r="AM360" s="1" t="s">
        <v>849</v>
      </c>
      <c r="AN360" s="1" t="s">
        <v>1137</v>
      </c>
      <c r="AO360" s="1" t="s">
        <v>52</v>
      </c>
      <c r="AP360" s="6">
        <v>61.579999999999927</v>
      </c>
      <c r="AQ360" s="6">
        <v>7.2447058823529326E-3</v>
      </c>
      <c r="AR360" s="2"/>
      <c r="AS360" s="7">
        <v>43684.549357304371</v>
      </c>
      <c r="AT360" s="5">
        <v>43686</v>
      </c>
      <c r="AU360" s="5">
        <v>43708</v>
      </c>
      <c r="AV360" s="1" t="s">
        <v>1941</v>
      </c>
      <c r="AW360" s="7">
        <v>43699.431765315021</v>
      </c>
      <c r="AX360" s="1" t="s">
        <v>2029</v>
      </c>
      <c r="AY360" s="6">
        <v>8438.42</v>
      </c>
      <c r="AZ360" s="1"/>
      <c r="BA360" s="5">
        <v>43708</v>
      </c>
      <c r="BB360" s="7">
        <v>43830</v>
      </c>
      <c r="BC360" s="1" t="s">
        <v>1997</v>
      </c>
      <c r="BD360" s="1"/>
      <c r="BE360" s="1"/>
      <c r="BF360" s="1" t="s">
        <v>850</v>
      </c>
    </row>
    <row r="361" spans="1:58">
      <c r="A361" s="4">
        <v>356</v>
      </c>
      <c r="B361" s="2" t="str">
        <f>HYPERLINK("https://my.zakupki.prom.ua/remote/dispatcher/state_purchase_view/12771158", "UA-2019-09-09-000383-b")</f>
        <v>UA-2019-09-09-000383-b</v>
      </c>
      <c r="C361" s="2" t="s">
        <v>1459</v>
      </c>
      <c r="D361" s="1" t="s">
        <v>717</v>
      </c>
      <c r="E361" s="1" t="s">
        <v>1233</v>
      </c>
      <c r="F361" s="1" t="s">
        <v>715</v>
      </c>
      <c r="G361" s="1" t="s">
        <v>1346</v>
      </c>
      <c r="H361" s="1" t="s">
        <v>1800</v>
      </c>
      <c r="I361" s="1" t="s">
        <v>1379</v>
      </c>
      <c r="J361" s="1" t="s">
        <v>819</v>
      </c>
      <c r="K361" s="1" t="s">
        <v>1287</v>
      </c>
      <c r="L361" s="1" t="s">
        <v>1658</v>
      </c>
      <c r="M361" s="1" t="s">
        <v>119</v>
      </c>
      <c r="N361" s="1" t="s">
        <v>119</v>
      </c>
      <c r="O361" s="1" t="s">
        <v>119</v>
      </c>
      <c r="P361" s="5">
        <v>43717</v>
      </c>
      <c r="Q361" s="5">
        <v>43717</v>
      </c>
      <c r="R361" s="5">
        <v>43719</v>
      </c>
      <c r="S361" s="5">
        <v>43719</v>
      </c>
      <c r="T361" s="5">
        <v>43721</v>
      </c>
      <c r="U361" s="7">
        <v>43724.56653935185</v>
      </c>
      <c r="V361" s="4">
        <v>2</v>
      </c>
      <c r="W361" s="6">
        <v>6500</v>
      </c>
      <c r="X361" s="1" t="s">
        <v>1459</v>
      </c>
      <c r="Y361" s="4">
        <v>2</v>
      </c>
      <c r="Z361" s="6">
        <v>3250</v>
      </c>
      <c r="AA361" s="1" t="s">
        <v>2023</v>
      </c>
      <c r="AB361" s="6">
        <v>32.5</v>
      </c>
      <c r="AC361" s="1" t="s">
        <v>1124</v>
      </c>
      <c r="AD361" s="1" t="s">
        <v>1800</v>
      </c>
      <c r="AE361" s="1" t="s">
        <v>1286</v>
      </c>
      <c r="AF361" s="1" t="s">
        <v>1463</v>
      </c>
      <c r="AG361" s="6">
        <v>6100</v>
      </c>
      <c r="AH361" s="6">
        <v>3050</v>
      </c>
      <c r="AI361" s="1" t="s">
        <v>1889</v>
      </c>
      <c r="AJ361" s="6">
        <v>400</v>
      </c>
      <c r="AK361" s="6">
        <v>6.1538461538461542E-2</v>
      </c>
      <c r="AL361" s="1" t="s">
        <v>1889</v>
      </c>
      <c r="AM361" s="1" t="s">
        <v>483</v>
      </c>
      <c r="AN361" s="1" t="s">
        <v>1147</v>
      </c>
      <c r="AO361" s="1" t="s">
        <v>117</v>
      </c>
      <c r="AP361" s="6">
        <v>400</v>
      </c>
      <c r="AQ361" s="6">
        <v>6.1538461538461542E-2</v>
      </c>
      <c r="AR361" s="2" t="str">
        <f>HYPERLINK("https://auction.openprocurement.org/tenders/4bf96b95b943452f8a9be27884e59666")</f>
        <v>https://auction.openprocurement.org/tenders/4bf96b95b943452f8a9be27884e59666</v>
      </c>
      <c r="AS361" s="7">
        <v>43725.449893404875</v>
      </c>
      <c r="AT361" s="5">
        <v>43727</v>
      </c>
      <c r="AU361" s="5">
        <v>43749</v>
      </c>
      <c r="AV361" s="1" t="s">
        <v>1941</v>
      </c>
      <c r="AW361" s="7">
        <v>43728.472016062013</v>
      </c>
      <c r="AX361" s="1" t="s">
        <v>413</v>
      </c>
      <c r="AY361" s="6">
        <v>6100</v>
      </c>
      <c r="AZ361" s="1"/>
      <c r="BA361" s="5">
        <v>43738</v>
      </c>
      <c r="BB361" s="7">
        <v>43830</v>
      </c>
      <c r="BC361" s="1" t="s">
        <v>1997</v>
      </c>
      <c r="BD361" s="1"/>
      <c r="BE361" s="1"/>
      <c r="BF361" s="1" t="s">
        <v>485</v>
      </c>
    </row>
    <row r="362" spans="1:58">
      <c r="A362" s="4">
        <v>357</v>
      </c>
      <c r="B362" s="2" t="str">
        <f>HYPERLINK("https://my.zakupki.prom.ua/remote/dispatcher/state_purchase_view/12708057", "UA-2019-09-03-000712-a")</f>
        <v>UA-2019-09-03-000712-a</v>
      </c>
      <c r="C362" s="2" t="s">
        <v>1459</v>
      </c>
      <c r="D362" s="1" t="s">
        <v>1472</v>
      </c>
      <c r="E362" s="1" t="s">
        <v>1473</v>
      </c>
      <c r="F362" s="1" t="s">
        <v>658</v>
      </c>
      <c r="G362" s="1" t="s">
        <v>1346</v>
      </c>
      <c r="H362" s="1" t="s">
        <v>1800</v>
      </c>
      <c r="I362" s="1" t="s">
        <v>1379</v>
      </c>
      <c r="J362" s="1" t="s">
        <v>819</v>
      </c>
      <c r="K362" s="1" t="s">
        <v>1287</v>
      </c>
      <c r="L362" s="1" t="s">
        <v>1658</v>
      </c>
      <c r="M362" s="1" t="s">
        <v>119</v>
      </c>
      <c r="N362" s="1" t="s">
        <v>119</v>
      </c>
      <c r="O362" s="1" t="s">
        <v>119</v>
      </c>
      <c r="P362" s="5">
        <v>43711</v>
      </c>
      <c r="Q362" s="5">
        <v>43711</v>
      </c>
      <c r="R362" s="5">
        <v>43713</v>
      </c>
      <c r="S362" s="5">
        <v>43713</v>
      </c>
      <c r="T362" s="5">
        <v>43714</v>
      </c>
      <c r="U362" s="7">
        <v>43717.63690972222</v>
      </c>
      <c r="V362" s="4">
        <v>5</v>
      </c>
      <c r="W362" s="6">
        <v>3000</v>
      </c>
      <c r="X362" s="1" t="s">
        <v>1459</v>
      </c>
      <c r="Y362" s="4">
        <v>240</v>
      </c>
      <c r="Z362" s="6">
        <v>12.5</v>
      </c>
      <c r="AA362" s="1" t="s">
        <v>2023</v>
      </c>
      <c r="AB362" s="6">
        <v>30</v>
      </c>
      <c r="AC362" s="1" t="s">
        <v>1124</v>
      </c>
      <c r="AD362" s="1" t="s">
        <v>1463</v>
      </c>
      <c r="AE362" s="1" t="s">
        <v>1286</v>
      </c>
      <c r="AF362" s="1" t="s">
        <v>1463</v>
      </c>
      <c r="AG362" s="6">
        <v>1913</v>
      </c>
      <c r="AH362" s="6">
        <v>7.9708333333333332</v>
      </c>
      <c r="AI362" s="1" t="s">
        <v>1881</v>
      </c>
      <c r="AJ362" s="6">
        <v>1087</v>
      </c>
      <c r="AK362" s="6">
        <v>0.36233333333333334</v>
      </c>
      <c r="AL362" s="1" t="s">
        <v>1881</v>
      </c>
      <c r="AM362" s="1" t="s">
        <v>591</v>
      </c>
      <c r="AN362" s="1" t="s">
        <v>1123</v>
      </c>
      <c r="AO362" s="1" t="s">
        <v>45</v>
      </c>
      <c r="AP362" s="6">
        <v>1087</v>
      </c>
      <c r="AQ362" s="6">
        <v>0.36233333333333334</v>
      </c>
      <c r="AR362" s="2" t="str">
        <f>HYPERLINK("https://auction.openprocurement.org/tenders/62b95c08c19742df8cb5299d3dff1913")</f>
        <v>https://auction.openprocurement.org/tenders/62b95c08c19742df8cb5299d3dff1913</v>
      </c>
      <c r="AS362" s="7">
        <v>43719.494278993021</v>
      </c>
      <c r="AT362" s="5">
        <v>43721</v>
      </c>
      <c r="AU362" s="5">
        <v>43743</v>
      </c>
      <c r="AV362" s="1" t="s">
        <v>1941</v>
      </c>
      <c r="AW362" s="7">
        <v>43727.555433199203</v>
      </c>
      <c r="AX362" s="1" t="s">
        <v>380</v>
      </c>
      <c r="AY362" s="6">
        <v>1913</v>
      </c>
      <c r="AZ362" s="1"/>
      <c r="BA362" s="5">
        <v>43738</v>
      </c>
      <c r="BB362" s="7">
        <v>43830</v>
      </c>
      <c r="BC362" s="1" t="s">
        <v>1997</v>
      </c>
      <c r="BD362" s="1"/>
      <c r="BE362" s="1"/>
      <c r="BF362" s="1" t="s">
        <v>592</v>
      </c>
    </row>
    <row r="363" spans="1:58">
      <c r="A363" s="4">
        <v>358</v>
      </c>
      <c r="B363" s="2" t="str">
        <f>HYPERLINK("https://my.zakupki.prom.ua/remote/dispatcher/state_purchase_view/13354464", "UA-2019-10-29-000594-b")</f>
        <v>UA-2019-10-29-000594-b</v>
      </c>
      <c r="C363" s="2" t="s">
        <v>1459</v>
      </c>
      <c r="D363" s="1" t="s">
        <v>716</v>
      </c>
      <c r="E363" s="1" t="s">
        <v>716</v>
      </c>
      <c r="F363" s="1" t="s">
        <v>715</v>
      </c>
      <c r="G363" s="1" t="s">
        <v>1346</v>
      </c>
      <c r="H363" s="1" t="s">
        <v>1800</v>
      </c>
      <c r="I363" s="1" t="s">
        <v>1379</v>
      </c>
      <c r="J363" s="1" t="s">
        <v>819</v>
      </c>
      <c r="K363" s="1" t="s">
        <v>1287</v>
      </c>
      <c r="L363" s="1" t="s">
        <v>1915</v>
      </c>
      <c r="M363" s="1" t="s">
        <v>119</v>
      </c>
      <c r="N363" s="1" t="s">
        <v>119</v>
      </c>
      <c r="O363" s="1" t="s">
        <v>119</v>
      </c>
      <c r="P363" s="5">
        <v>43767</v>
      </c>
      <c r="Q363" s="5">
        <v>43767</v>
      </c>
      <c r="R363" s="5">
        <v>43768</v>
      </c>
      <c r="S363" s="5">
        <v>43768</v>
      </c>
      <c r="T363" s="5">
        <v>43773</v>
      </c>
      <c r="U363" s="1" t="s">
        <v>1923</v>
      </c>
      <c r="V363" s="4">
        <v>1</v>
      </c>
      <c r="W363" s="6">
        <v>9200</v>
      </c>
      <c r="X363" s="1" t="s">
        <v>1459</v>
      </c>
      <c r="Y363" s="4">
        <v>3</v>
      </c>
      <c r="Z363" s="6">
        <v>3066.67</v>
      </c>
      <c r="AA363" s="1" t="s">
        <v>2023</v>
      </c>
      <c r="AB363" s="6">
        <v>46</v>
      </c>
      <c r="AC363" s="1" t="s">
        <v>1124</v>
      </c>
      <c r="AD363" s="1" t="s">
        <v>1800</v>
      </c>
      <c r="AE363" s="1" t="s">
        <v>1286</v>
      </c>
      <c r="AF363" s="1" t="s">
        <v>1463</v>
      </c>
      <c r="AG363" s="6">
        <v>9100</v>
      </c>
      <c r="AH363" s="6">
        <v>3033.3333333333335</v>
      </c>
      <c r="AI363" s="1" t="s">
        <v>1889</v>
      </c>
      <c r="AJ363" s="6">
        <v>100</v>
      </c>
      <c r="AK363" s="6">
        <v>1.0869565217391304E-2</v>
      </c>
      <c r="AL363" s="1" t="s">
        <v>1889</v>
      </c>
      <c r="AM363" s="1" t="s">
        <v>483</v>
      </c>
      <c r="AN363" s="1" t="s">
        <v>1147</v>
      </c>
      <c r="AO363" s="1" t="s">
        <v>117</v>
      </c>
      <c r="AP363" s="6">
        <v>100</v>
      </c>
      <c r="AQ363" s="6">
        <v>1.0869565217391304E-2</v>
      </c>
      <c r="AR363" s="2"/>
      <c r="AS363" s="7">
        <v>43774.586444497269</v>
      </c>
      <c r="AT363" s="5">
        <v>43776</v>
      </c>
      <c r="AU363" s="5">
        <v>43798</v>
      </c>
      <c r="AV363" s="1" t="s">
        <v>1941</v>
      </c>
      <c r="AW363" s="7">
        <v>43780.632987475532</v>
      </c>
      <c r="AX363" s="1" t="s">
        <v>336</v>
      </c>
      <c r="AY363" s="6">
        <v>9100</v>
      </c>
      <c r="AZ363" s="1"/>
      <c r="BA363" s="5">
        <v>43799</v>
      </c>
      <c r="BB363" s="7">
        <v>43830</v>
      </c>
      <c r="BC363" s="1" t="s">
        <v>1997</v>
      </c>
      <c r="BD363" s="1"/>
      <c r="BE363" s="1"/>
      <c r="BF363" s="1" t="s">
        <v>484</v>
      </c>
    </row>
    <row r="364" spans="1:58">
      <c r="A364" s="4">
        <v>359</v>
      </c>
      <c r="B364" s="2" t="str">
        <f>HYPERLINK("https://my.zakupki.prom.ua/remote/dispatcher/state_purchase_view/11193498", "UA-2019-04-05-000118-a")</f>
        <v>UA-2019-04-05-000118-a</v>
      </c>
      <c r="C364" s="2" t="s">
        <v>1459</v>
      </c>
      <c r="D364" s="1" t="s">
        <v>707</v>
      </c>
      <c r="E364" s="1" t="s">
        <v>1660</v>
      </c>
      <c r="F364" s="1" t="s">
        <v>708</v>
      </c>
      <c r="G364" s="1" t="s">
        <v>1280</v>
      </c>
      <c r="H364" s="1" t="s">
        <v>1800</v>
      </c>
      <c r="I364" s="1" t="s">
        <v>1379</v>
      </c>
      <c r="J364" s="1" t="s">
        <v>819</v>
      </c>
      <c r="K364" s="1" t="s">
        <v>1287</v>
      </c>
      <c r="L364" s="1" t="s">
        <v>1224</v>
      </c>
      <c r="M364" s="1" t="s">
        <v>119</v>
      </c>
      <c r="N364" s="1" t="s">
        <v>119</v>
      </c>
      <c r="O364" s="1" t="s">
        <v>119</v>
      </c>
      <c r="P364" s="5">
        <v>43560</v>
      </c>
      <c r="Q364" s="5">
        <v>43560</v>
      </c>
      <c r="R364" s="5">
        <v>43567</v>
      </c>
      <c r="S364" s="5">
        <v>43560</v>
      </c>
      <c r="T364" s="5">
        <v>43577</v>
      </c>
      <c r="U364" s="7">
        <v>43578.549039351848</v>
      </c>
      <c r="V364" s="4">
        <v>2</v>
      </c>
      <c r="W364" s="6">
        <v>61400</v>
      </c>
      <c r="X364" s="1" t="s">
        <v>1459</v>
      </c>
      <c r="Y364" s="1" t="s">
        <v>1956</v>
      </c>
      <c r="Z364" s="1" t="s">
        <v>1956</v>
      </c>
      <c r="AA364" s="1" t="s">
        <v>1956</v>
      </c>
      <c r="AB364" s="6">
        <v>307</v>
      </c>
      <c r="AC364" s="1" t="s">
        <v>1124</v>
      </c>
      <c r="AD364" s="1" t="s">
        <v>1800</v>
      </c>
      <c r="AE364" s="1" t="s">
        <v>1286</v>
      </c>
      <c r="AF364" s="1" t="s">
        <v>1463</v>
      </c>
      <c r="AG364" s="6">
        <v>61374</v>
      </c>
      <c r="AH364" s="1" t="s">
        <v>1956</v>
      </c>
      <c r="AI364" s="1" t="s">
        <v>1868</v>
      </c>
      <c r="AJ364" s="6">
        <v>26</v>
      </c>
      <c r="AK364" s="6">
        <v>4.2345276872964168E-4</v>
      </c>
      <c r="AL364" s="1" t="s">
        <v>1868</v>
      </c>
      <c r="AM364" s="1" t="s">
        <v>675</v>
      </c>
      <c r="AN364" s="1" t="s">
        <v>1154</v>
      </c>
      <c r="AO364" s="1" t="s">
        <v>111</v>
      </c>
      <c r="AP364" s="6">
        <v>26</v>
      </c>
      <c r="AQ364" s="6">
        <v>4.2345276872964168E-4</v>
      </c>
      <c r="AR364" s="2" t="str">
        <f>HYPERLINK("https://auction.openprocurement.org/tenders/1d205d5f57cd40f49db9ee92b6cef1fd")</f>
        <v>https://auction.openprocurement.org/tenders/1d205d5f57cd40f49db9ee92b6cef1fd</v>
      </c>
      <c r="AS364" s="7">
        <v>43587.398661354928</v>
      </c>
      <c r="AT364" s="5">
        <v>43598</v>
      </c>
      <c r="AU364" s="5">
        <v>43608</v>
      </c>
      <c r="AV364" s="1" t="s">
        <v>1941</v>
      </c>
      <c r="AW364" s="7">
        <v>43599.416665820405</v>
      </c>
      <c r="AX364" s="1" t="s">
        <v>810</v>
      </c>
      <c r="AY364" s="6">
        <v>61374</v>
      </c>
      <c r="AZ364" s="1"/>
      <c r="BA364" s="5">
        <v>43830</v>
      </c>
      <c r="BB364" s="7">
        <v>43830</v>
      </c>
      <c r="BC364" s="1" t="s">
        <v>1997</v>
      </c>
      <c r="BD364" s="1"/>
      <c r="BE364" s="1"/>
      <c r="BF364" s="1" t="s">
        <v>676</v>
      </c>
    </row>
    <row r="365" spans="1:58">
      <c r="A365" s="4">
        <v>360</v>
      </c>
      <c r="B365" s="2" t="str">
        <f>HYPERLINK("https://my.zakupki.prom.ua/remote/dispatcher/state_purchase_view/11034699", "UA-2019-03-22-001286-b")</f>
        <v>UA-2019-03-22-001286-b</v>
      </c>
      <c r="C365" s="2" t="s">
        <v>1459</v>
      </c>
      <c r="D365" s="1" t="s">
        <v>1310</v>
      </c>
      <c r="E365" s="1" t="s">
        <v>834</v>
      </c>
      <c r="F365" s="1" t="s">
        <v>833</v>
      </c>
      <c r="G365" s="1" t="s">
        <v>1346</v>
      </c>
      <c r="H365" s="1" t="s">
        <v>1800</v>
      </c>
      <c r="I365" s="1" t="s">
        <v>1379</v>
      </c>
      <c r="J365" s="1" t="s">
        <v>819</v>
      </c>
      <c r="K365" s="1" t="s">
        <v>1287</v>
      </c>
      <c r="L365" s="1" t="s">
        <v>1224</v>
      </c>
      <c r="M365" s="1" t="s">
        <v>316</v>
      </c>
      <c r="N365" s="1" t="s">
        <v>119</v>
      </c>
      <c r="O365" s="1" t="s">
        <v>119</v>
      </c>
      <c r="P365" s="5">
        <v>43546</v>
      </c>
      <c r="Q365" s="5">
        <v>43546</v>
      </c>
      <c r="R365" s="5">
        <v>43551</v>
      </c>
      <c r="S365" s="5">
        <v>43551</v>
      </c>
      <c r="T365" s="5">
        <v>43553</v>
      </c>
      <c r="U365" s="1" t="s">
        <v>1923</v>
      </c>
      <c r="V365" s="4">
        <v>1</v>
      </c>
      <c r="W365" s="6">
        <v>41350</v>
      </c>
      <c r="X365" s="1" t="s">
        <v>1459</v>
      </c>
      <c r="Y365" s="1" t="s">
        <v>1956</v>
      </c>
      <c r="Z365" s="1" t="s">
        <v>1956</v>
      </c>
      <c r="AA365" s="1" t="s">
        <v>1956</v>
      </c>
      <c r="AB365" s="6">
        <v>206.75</v>
      </c>
      <c r="AC365" s="1" t="s">
        <v>1124</v>
      </c>
      <c r="AD365" s="1" t="s">
        <v>1800</v>
      </c>
      <c r="AE365" s="1" t="s">
        <v>1286</v>
      </c>
      <c r="AF365" s="1" t="s">
        <v>1463</v>
      </c>
      <c r="AG365" s="6">
        <v>41335.199999999997</v>
      </c>
      <c r="AH365" s="1" t="s">
        <v>1956</v>
      </c>
      <c r="AI365" s="1" t="s">
        <v>1733</v>
      </c>
      <c r="AJ365" s="6">
        <v>14.80000000000291</v>
      </c>
      <c r="AK365" s="6">
        <v>3.5792019347044525E-4</v>
      </c>
      <c r="AL365" s="1" t="s">
        <v>1733</v>
      </c>
      <c r="AM365" s="1" t="s">
        <v>963</v>
      </c>
      <c r="AN365" s="1" t="s">
        <v>1149</v>
      </c>
      <c r="AO365" s="1" t="s">
        <v>73</v>
      </c>
      <c r="AP365" s="6">
        <v>14.80000000000291</v>
      </c>
      <c r="AQ365" s="6">
        <v>3.5792019347044525E-4</v>
      </c>
      <c r="AR365" s="2"/>
      <c r="AS365" s="7">
        <v>43556.576244923439</v>
      </c>
      <c r="AT365" s="5">
        <v>43558</v>
      </c>
      <c r="AU365" s="5">
        <v>43581</v>
      </c>
      <c r="AV365" s="1" t="s">
        <v>1941</v>
      </c>
      <c r="AW365" s="7">
        <v>43558.652079598578</v>
      </c>
      <c r="AX365" s="1" t="s">
        <v>700</v>
      </c>
      <c r="AY365" s="6">
        <v>41335.199999999997</v>
      </c>
      <c r="AZ365" s="1"/>
      <c r="BA365" s="5">
        <v>43580</v>
      </c>
      <c r="BB365" s="7">
        <v>43830</v>
      </c>
      <c r="BC365" s="1" t="s">
        <v>1997</v>
      </c>
      <c r="BD365" s="1"/>
      <c r="BE365" s="1"/>
      <c r="BF365" s="1" t="s">
        <v>970</v>
      </c>
    </row>
    <row r="366" spans="1:58">
      <c r="A366" s="4">
        <v>361</v>
      </c>
      <c r="B366" s="2" t="str">
        <f>HYPERLINK("https://my.zakupki.prom.ua/remote/dispatcher/state_purchase_view/10754409", "UA-2019-02-28-000086-a")</f>
        <v>UA-2019-02-28-000086-a</v>
      </c>
      <c r="C366" s="2" t="s">
        <v>1459</v>
      </c>
      <c r="D366" s="1" t="s">
        <v>1265</v>
      </c>
      <c r="E366" s="1" t="s">
        <v>1311</v>
      </c>
      <c r="F366" s="1" t="s">
        <v>871</v>
      </c>
      <c r="G366" s="1" t="s">
        <v>1346</v>
      </c>
      <c r="H366" s="1" t="s">
        <v>1800</v>
      </c>
      <c r="I366" s="1" t="s">
        <v>1379</v>
      </c>
      <c r="J366" s="1" t="s">
        <v>819</v>
      </c>
      <c r="K366" s="1" t="s">
        <v>1287</v>
      </c>
      <c r="L366" s="1" t="s">
        <v>1224</v>
      </c>
      <c r="M366" s="1" t="s">
        <v>119</v>
      </c>
      <c r="N366" s="1" t="s">
        <v>119</v>
      </c>
      <c r="O366" s="1" t="s">
        <v>119</v>
      </c>
      <c r="P366" s="5">
        <v>43524</v>
      </c>
      <c r="Q366" s="5">
        <v>43524</v>
      </c>
      <c r="R366" s="5">
        <v>43529</v>
      </c>
      <c r="S366" s="5">
        <v>43529</v>
      </c>
      <c r="T366" s="5">
        <v>43531</v>
      </c>
      <c r="U366" s="1" t="s">
        <v>1923</v>
      </c>
      <c r="V366" s="4">
        <v>1</v>
      </c>
      <c r="W366" s="6">
        <v>20050</v>
      </c>
      <c r="X366" s="1" t="s">
        <v>1459</v>
      </c>
      <c r="Y366" s="4">
        <v>8</v>
      </c>
      <c r="Z366" s="6">
        <v>2506.25</v>
      </c>
      <c r="AA366" s="1" t="s">
        <v>2023</v>
      </c>
      <c r="AB366" s="6">
        <v>100.25</v>
      </c>
      <c r="AC366" s="1" t="s">
        <v>1124</v>
      </c>
      <c r="AD366" s="1" t="s">
        <v>1800</v>
      </c>
      <c r="AE366" s="1" t="s">
        <v>1286</v>
      </c>
      <c r="AF366" s="1" t="s">
        <v>1463</v>
      </c>
      <c r="AG366" s="6">
        <v>20048.400000000001</v>
      </c>
      <c r="AH366" s="6">
        <v>2506.0500000000002</v>
      </c>
      <c r="AI366" s="1" t="s">
        <v>16</v>
      </c>
      <c r="AJ366" s="6">
        <v>1.5999999999985448</v>
      </c>
      <c r="AK366" s="6">
        <v>7.980049875304463E-5</v>
      </c>
      <c r="AL366" s="1"/>
      <c r="AM366" s="1"/>
      <c r="AN366" s="1"/>
      <c r="AO366" s="1"/>
      <c r="AP366" s="1"/>
      <c r="AQ366" s="1"/>
      <c r="AR366" s="2"/>
      <c r="AS366" s="7">
        <v>43535.603796175579</v>
      </c>
      <c r="AT366" s="1"/>
      <c r="AU366" s="1"/>
      <c r="AV366" s="1" t="s">
        <v>2002</v>
      </c>
      <c r="AW366" s="7">
        <v>43535.607872940484</v>
      </c>
      <c r="AX366" s="1"/>
      <c r="AY366" s="1"/>
      <c r="AZ366" s="5">
        <v>43538</v>
      </c>
      <c r="BA366" s="5">
        <v>43553</v>
      </c>
      <c r="BB366" s="1"/>
      <c r="BC366" s="1"/>
      <c r="BD366" s="1" t="s">
        <v>2012</v>
      </c>
      <c r="BE366" s="1"/>
      <c r="BF366" s="1" t="s">
        <v>525</v>
      </c>
    </row>
    <row r="367" spans="1:58">
      <c r="A367" s="4">
        <v>362</v>
      </c>
      <c r="B367" s="2" t="str">
        <f>HYPERLINK("https://my.zakupki.prom.ua/remote/dispatcher/state_purchase_view/11283968", "UA-2019-04-12-001051-a")</f>
        <v>UA-2019-04-12-001051-a</v>
      </c>
      <c r="C367" s="2" t="s">
        <v>1459</v>
      </c>
      <c r="D367" s="1" t="s">
        <v>739</v>
      </c>
      <c r="E367" s="1" t="s">
        <v>1661</v>
      </c>
      <c r="F367" s="1" t="s">
        <v>733</v>
      </c>
      <c r="G367" s="1" t="s">
        <v>1280</v>
      </c>
      <c r="H367" s="1" t="s">
        <v>1800</v>
      </c>
      <c r="I367" s="1" t="s">
        <v>1379</v>
      </c>
      <c r="J367" s="1" t="s">
        <v>819</v>
      </c>
      <c r="K367" s="1" t="s">
        <v>1287</v>
      </c>
      <c r="L367" s="1" t="s">
        <v>1224</v>
      </c>
      <c r="M367" s="1" t="s">
        <v>119</v>
      </c>
      <c r="N367" s="1" t="s">
        <v>119</v>
      </c>
      <c r="O367" s="1" t="s">
        <v>119</v>
      </c>
      <c r="P367" s="5">
        <v>43567</v>
      </c>
      <c r="Q367" s="5">
        <v>43567</v>
      </c>
      <c r="R367" s="5">
        <v>43572</v>
      </c>
      <c r="S367" s="5">
        <v>43567</v>
      </c>
      <c r="T367" s="5">
        <v>43582</v>
      </c>
      <c r="U367" s="1" t="s">
        <v>1923</v>
      </c>
      <c r="V367" s="4">
        <v>0</v>
      </c>
      <c r="W367" s="6">
        <v>4865</v>
      </c>
      <c r="X367" s="1" t="s">
        <v>1459</v>
      </c>
      <c r="Y367" s="4">
        <v>10</v>
      </c>
      <c r="Z367" s="6">
        <v>486.5</v>
      </c>
      <c r="AA367" s="1" t="s">
        <v>2017</v>
      </c>
      <c r="AB367" s="6">
        <v>24.32</v>
      </c>
      <c r="AC367" s="1" t="s">
        <v>1124</v>
      </c>
      <c r="AD367" s="1" t="s">
        <v>1800</v>
      </c>
      <c r="AE367" s="1" t="s">
        <v>1286</v>
      </c>
      <c r="AF367" s="1" t="s">
        <v>1463</v>
      </c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2"/>
      <c r="AS367" s="1"/>
      <c r="AT367" s="1"/>
      <c r="AU367" s="1"/>
      <c r="AV367" s="1" t="s">
        <v>1942</v>
      </c>
      <c r="AW367" s="7">
        <v>43582.585927242711</v>
      </c>
      <c r="AX367" s="1"/>
      <c r="AY367" s="1"/>
      <c r="AZ367" s="1"/>
      <c r="BA367" s="5">
        <v>43642</v>
      </c>
      <c r="BB367" s="1"/>
      <c r="BC367" s="1"/>
      <c r="BD367" s="1"/>
      <c r="BE367" s="1"/>
      <c r="BF367" s="1"/>
    </row>
    <row r="368" spans="1:58">
      <c r="A368" s="4">
        <v>363</v>
      </c>
      <c r="B368" s="2" t="str">
        <f>HYPERLINK("https://my.zakupki.prom.ua/remote/dispatcher/state_purchase_view/10303006", "UA-2019-01-31-003633-b")</f>
        <v>UA-2019-01-31-003633-b</v>
      </c>
      <c r="C368" s="2" t="s">
        <v>1459</v>
      </c>
      <c r="D368" s="1" t="s">
        <v>367</v>
      </c>
      <c r="E368" s="1" t="s">
        <v>1213</v>
      </c>
      <c r="F368" s="1" t="s">
        <v>364</v>
      </c>
      <c r="G368" s="1" t="s">
        <v>1280</v>
      </c>
      <c r="H368" s="1" t="s">
        <v>1800</v>
      </c>
      <c r="I368" s="1" t="s">
        <v>1379</v>
      </c>
      <c r="J368" s="1" t="s">
        <v>819</v>
      </c>
      <c r="K368" s="1" t="s">
        <v>1287</v>
      </c>
      <c r="L368" s="1" t="s">
        <v>1224</v>
      </c>
      <c r="M368" s="1" t="s">
        <v>119</v>
      </c>
      <c r="N368" s="1" t="s">
        <v>119</v>
      </c>
      <c r="O368" s="1" t="s">
        <v>119</v>
      </c>
      <c r="P368" s="5">
        <v>43496</v>
      </c>
      <c r="Q368" s="5">
        <v>43496</v>
      </c>
      <c r="R368" s="5">
        <v>43501</v>
      </c>
      <c r="S368" s="5">
        <v>43496</v>
      </c>
      <c r="T368" s="5">
        <v>43511</v>
      </c>
      <c r="U368" s="7">
        <v>43514.506331018521</v>
      </c>
      <c r="V368" s="4">
        <v>2</v>
      </c>
      <c r="W368" s="6">
        <v>17200</v>
      </c>
      <c r="X368" s="1" t="s">
        <v>1459</v>
      </c>
      <c r="Y368" s="1" t="s">
        <v>1956</v>
      </c>
      <c r="Z368" s="1" t="s">
        <v>1956</v>
      </c>
      <c r="AA368" s="1" t="s">
        <v>1956</v>
      </c>
      <c r="AB368" s="6">
        <v>172</v>
      </c>
      <c r="AC368" s="1" t="s">
        <v>1124</v>
      </c>
      <c r="AD368" s="1" t="s">
        <v>1800</v>
      </c>
      <c r="AE368" s="1" t="s">
        <v>1286</v>
      </c>
      <c r="AF368" s="1" t="s">
        <v>1463</v>
      </c>
      <c r="AG368" s="6">
        <v>17143.8</v>
      </c>
      <c r="AH368" s="1" t="s">
        <v>1956</v>
      </c>
      <c r="AI368" s="1" t="s">
        <v>1736</v>
      </c>
      <c r="AJ368" s="6">
        <v>56.200000000000728</v>
      </c>
      <c r="AK368" s="6">
        <v>3.2674418604651586E-3</v>
      </c>
      <c r="AL368" s="1" t="s">
        <v>1736</v>
      </c>
      <c r="AM368" s="1" t="s">
        <v>652</v>
      </c>
      <c r="AN368" s="1" t="s">
        <v>1209</v>
      </c>
      <c r="AO368" s="1" t="s">
        <v>63</v>
      </c>
      <c r="AP368" s="6">
        <v>56.200000000000728</v>
      </c>
      <c r="AQ368" s="6">
        <v>3.2674418604651586E-3</v>
      </c>
      <c r="AR368" s="2" t="str">
        <f>HYPERLINK("https://auction.openprocurement.org/tenders/6942704bc7174fb2844d102c9c387bb4")</f>
        <v>https://auction.openprocurement.org/tenders/6942704bc7174fb2844d102c9c387bb4</v>
      </c>
      <c r="AS368" s="7">
        <v>43516.373868797891</v>
      </c>
      <c r="AT368" s="5">
        <v>43527</v>
      </c>
      <c r="AU368" s="5">
        <v>43537</v>
      </c>
      <c r="AV368" s="1" t="s">
        <v>1941</v>
      </c>
      <c r="AW368" s="7">
        <v>43530.588284566897</v>
      </c>
      <c r="AX368" s="1" t="s">
        <v>133</v>
      </c>
      <c r="AY368" s="6">
        <v>17143.8</v>
      </c>
      <c r="AZ368" s="5">
        <v>43525</v>
      </c>
      <c r="BA368" s="5">
        <v>43616</v>
      </c>
      <c r="BB368" s="7">
        <v>43830</v>
      </c>
      <c r="BC368" s="1" t="s">
        <v>1997</v>
      </c>
      <c r="BD368" s="1"/>
      <c r="BE368" s="1"/>
      <c r="BF368" s="1" t="s">
        <v>654</v>
      </c>
    </row>
    <row r="369" spans="1:58">
      <c r="A369" s="4">
        <v>364</v>
      </c>
      <c r="B369" s="2" t="str">
        <f>HYPERLINK("https://my.zakupki.prom.ua/remote/dispatcher/state_purchase_view/8521666", "UA-2018-10-11-000573-b")</f>
        <v>UA-2018-10-11-000573-b</v>
      </c>
      <c r="C369" s="2" t="s">
        <v>1459</v>
      </c>
      <c r="D369" s="1" t="s">
        <v>1477</v>
      </c>
      <c r="E369" s="1" t="s">
        <v>1477</v>
      </c>
      <c r="F369" s="1" t="s">
        <v>626</v>
      </c>
      <c r="G369" s="1" t="s">
        <v>1346</v>
      </c>
      <c r="H369" s="1" t="s">
        <v>1800</v>
      </c>
      <c r="I369" s="1" t="s">
        <v>1379</v>
      </c>
      <c r="J369" s="1" t="s">
        <v>819</v>
      </c>
      <c r="K369" s="1" t="s">
        <v>1287</v>
      </c>
      <c r="L369" s="1" t="s">
        <v>1469</v>
      </c>
      <c r="M369" s="1" t="s">
        <v>316</v>
      </c>
      <c r="N369" s="1" t="s">
        <v>119</v>
      </c>
      <c r="O369" s="1" t="s">
        <v>119</v>
      </c>
      <c r="P369" s="5">
        <v>43384</v>
      </c>
      <c r="Q369" s="5">
        <v>43384</v>
      </c>
      <c r="R369" s="5">
        <v>43388</v>
      </c>
      <c r="S369" s="5">
        <v>43388</v>
      </c>
      <c r="T369" s="5">
        <v>43390</v>
      </c>
      <c r="U369" s="7">
        <v>43391.522615740738</v>
      </c>
      <c r="V369" s="4">
        <v>2</v>
      </c>
      <c r="W369" s="6">
        <v>6695</v>
      </c>
      <c r="X369" s="1" t="s">
        <v>1459</v>
      </c>
      <c r="Y369" s="4">
        <v>73</v>
      </c>
      <c r="Z369" s="6">
        <v>91.71</v>
      </c>
      <c r="AA369" s="1" t="s">
        <v>2023</v>
      </c>
      <c r="AB369" s="6">
        <v>33.479999999999997</v>
      </c>
      <c r="AC369" s="1" t="s">
        <v>1124</v>
      </c>
      <c r="AD369" s="1" t="s">
        <v>1800</v>
      </c>
      <c r="AE369" s="1" t="s">
        <v>1286</v>
      </c>
      <c r="AF369" s="1" t="s">
        <v>1463</v>
      </c>
      <c r="AG369" s="6">
        <v>2999</v>
      </c>
      <c r="AH369" s="6">
        <v>41.082191780821915</v>
      </c>
      <c r="AI369" s="1" t="s">
        <v>1884</v>
      </c>
      <c r="AJ369" s="6">
        <v>3696</v>
      </c>
      <c r="AK369" s="6">
        <v>0.55205377147124723</v>
      </c>
      <c r="AL369" s="1" t="s">
        <v>1884</v>
      </c>
      <c r="AM369" s="1" t="s">
        <v>532</v>
      </c>
      <c r="AN369" s="1" t="s">
        <v>1181</v>
      </c>
      <c r="AO369" s="1" t="s">
        <v>80</v>
      </c>
      <c r="AP369" s="6">
        <v>3696</v>
      </c>
      <c r="AQ369" s="6">
        <v>0.55205377147124723</v>
      </c>
      <c r="AR369" s="2" t="str">
        <f>HYPERLINK("https://auction.openprocurement.org/tenders/dd02c9e6722b4ba488962694693a8120")</f>
        <v>https://auction.openprocurement.org/tenders/dd02c9e6722b4ba488962694693a8120</v>
      </c>
      <c r="AS369" s="7">
        <v>43395.685806977592</v>
      </c>
      <c r="AT369" s="5">
        <v>43397</v>
      </c>
      <c r="AU369" s="5">
        <v>43418</v>
      </c>
      <c r="AV369" s="1" t="s">
        <v>1941</v>
      </c>
      <c r="AW369" s="7">
        <v>43405.748890643845</v>
      </c>
      <c r="AX369" s="1" t="s">
        <v>613</v>
      </c>
      <c r="AY369" s="6">
        <v>2999</v>
      </c>
      <c r="AZ369" s="5">
        <v>43403</v>
      </c>
      <c r="BA369" s="5">
        <v>43413</v>
      </c>
      <c r="BB369" s="7">
        <v>43465</v>
      </c>
      <c r="BC369" s="1" t="s">
        <v>1997</v>
      </c>
      <c r="BD369" s="1"/>
      <c r="BE369" s="1"/>
      <c r="BF369" s="1" t="s">
        <v>533</v>
      </c>
    </row>
    <row r="370" spans="1:58">
      <c r="A370" s="4">
        <v>365</v>
      </c>
      <c r="B370" s="2" t="str">
        <f>HYPERLINK("https://my.zakupki.prom.ua/remote/dispatcher/state_purchase_view/9166750", "UA-2018-12-04-005094-c")</f>
        <v>UA-2018-12-04-005094-c</v>
      </c>
      <c r="C370" s="2" t="s">
        <v>1459</v>
      </c>
      <c r="D370" s="1" t="s">
        <v>1543</v>
      </c>
      <c r="E370" s="1" t="s">
        <v>1022</v>
      </c>
      <c r="F370" s="1" t="s">
        <v>1023</v>
      </c>
      <c r="G370" s="1" t="s">
        <v>1346</v>
      </c>
      <c r="H370" s="1" t="s">
        <v>1800</v>
      </c>
      <c r="I370" s="1" t="s">
        <v>1379</v>
      </c>
      <c r="J370" s="1" t="s">
        <v>819</v>
      </c>
      <c r="K370" s="1" t="s">
        <v>1287</v>
      </c>
      <c r="L370" s="1" t="s">
        <v>1224</v>
      </c>
      <c r="M370" s="1" t="s">
        <v>119</v>
      </c>
      <c r="N370" s="1" t="s">
        <v>119</v>
      </c>
      <c r="O370" s="1" t="s">
        <v>119</v>
      </c>
      <c r="P370" s="5">
        <v>43438</v>
      </c>
      <c r="Q370" s="5">
        <v>43438</v>
      </c>
      <c r="R370" s="5">
        <v>43439</v>
      </c>
      <c r="S370" s="5">
        <v>43439</v>
      </c>
      <c r="T370" s="5">
        <v>43441</v>
      </c>
      <c r="U370" s="1" t="s">
        <v>1923</v>
      </c>
      <c r="V370" s="4">
        <v>1</v>
      </c>
      <c r="W370" s="6">
        <v>5187</v>
      </c>
      <c r="X370" s="1" t="s">
        <v>1459</v>
      </c>
      <c r="Y370" s="4">
        <v>1</v>
      </c>
      <c r="Z370" s="6">
        <v>5187</v>
      </c>
      <c r="AA370" s="1" t="s">
        <v>1976</v>
      </c>
      <c r="AB370" s="6">
        <v>3</v>
      </c>
      <c r="AC370" s="1" t="s">
        <v>1124</v>
      </c>
      <c r="AD370" s="1" t="s">
        <v>1800</v>
      </c>
      <c r="AE370" s="1" t="s">
        <v>1286</v>
      </c>
      <c r="AF370" s="1" t="s">
        <v>1463</v>
      </c>
      <c r="AG370" s="6">
        <v>5187</v>
      </c>
      <c r="AH370" s="6">
        <v>5187</v>
      </c>
      <c r="AI370" s="1" t="s">
        <v>1727</v>
      </c>
      <c r="AJ370" s="1"/>
      <c r="AK370" s="1"/>
      <c r="AL370" s="1" t="s">
        <v>1727</v>
      </c>
      <c r="AM370" s="1" t="s">
        <v>849</v>
      </c>
      <c r="AN370" s="1" t="s">
        <v>1137</v>
      </c>
      <c r="AO370" s="1" t="s">
        <v>52</v>
      </c>
      <c r="AP370" s="1"/>
      <c r="AQ370" s="1"/>
      <c r="AR370" s="2"/>
      <c r="AS370" s="7">
        <v>43444.404757352604</v>
      </c>
      <c r="AT370" s="5">
        <v>43446</v>
      </c>
      <c r="AU370" s="5">
        <v>43469</v>
      </c>
      <c r="AV370" s="1" t="s">
        <v>1941</v>
      </c>
      <c r="AW370" s="7">
        <v>43451.631838615627</v>
      </c>
      <c r="AX370" s="1" t="s">
        <v>346</v>
      </c>
      <c r="AY370" s="6">
        <v>5187</v>
      </c>
      <c r="AZ370" s="1"/>
      <c r="BA370" s="5">
        <v>43465</v>
      </c>
      <c r="BB370" s="7">
        <v>43465</v>
      </c>
      <c r="BC370" s="1" t="s">
        <v>1997</v>
      </c>
      <c r="BD370" s="1"/>
      <c r="BE370" s="1"/>
      <c r="BF370" s="1" t="s">
        <v>850</v>
      </c>
    </row>
    <row r="371" spans="1:58">
      <c r="A371" s="4">
        <v>366</v>
      </c>
      <c r="B371" s="2" t="str">
        <f>HYPERLINK("https://my.zakupki.prom.ua/remote/dispatcher/state_purchase_view/13605512", "UA-2019-11-18-001442-b")</f>
        <v>UA-2019-11-18-001442-b</v>
      </c>
      <c r="C371" s="2" t="s">
        <v>1459</v>
      </c>
      <c r="D371" s="1" t="s">
        <v>6</v>
      </c>
      <c r="E371" s="1" t="s">
        <v>1312</v>
      </c>
      <c r="F371" s="1" t="s">
        <v>857</v>
      </c>
      <c r="G371" s="1" t="s">
        <v>1346</v>
      </c>
      <c r="H371" s="1" t="s">
        <v>1800</v>
      </c>
      <c r="I371" s="1" t="s">
        <v>1379</v>
      </c>
      <c r="J371" s="1" t="s">
        <v>819</v>
      </c>
      <c r="K371" s="1" t="s">
        <v>1287</v>
      </c>
      <c r="L371" s="1" t="s">
        <v>1915</v>
      </c>
      <c r="M371" s="1" t="s">
        <v>119</v>
      </c>
      <c r="N371" s="1" t="s">
        <v>119</v>
      </c>
      <c r="O371" s="1" t="s">
        <v>119</v>
      </c>
      <c r="P371" s="5">
        <v>43787</v>
      </c>
      <c r="Q371" s="5">
        <v>43787</v>
      </c>
      <c r="R371" s="5">
        <v>43788</v>
      </c>
      <c r="S371" s="5">
        <v>43788</v>
      </c>
      <c r="T371" s="5">
        <v>43789</v>
      </c>
      <c r="U371" s="7">
        <v>43790.465497685182</v>
      </c>
      <c r="V371" s="4">
        <v>4</v>
      </c>
      <c r="W371" s="6">
        <v>33000</v>
      </c>
      <c r="X371" s="1" t="s">
        <v>1459</v>
      </c>
      <c r="Y371" s="4">
        <v>60</v>
      </c>
      <c r="Z371" s="6">
        <v>550</v>
      </c>
      <c r="AA371" s="1" t="s">
        <v>2023</v>
      </c>
      <c r="AB371" s="6">
        <v>330</v>
      </c>
      <c r="AC371" s="1" t="s">
        <v>1124</v>
      </c>
      <c r="AD371" s="1" t="s">
        <v>1800</v>
      </c>
      <c r="AE371" s="1" t="s">
        <v>1286</v>
      </c>
      <c r="AF371" s="1" t="s">
        <v>1463</v>
      </c>
      <c r="AG371" s="6">
        <v>21420</v>
      </c>
      <c r="AH371" s="6">
        <v>357</v>
      </c>
      <c r="AI371" s="1" t="s">
        <v>1719</v>
      </c>
      <c r="AJ371" s="6">
        <v>11580</v>
      </c>
      <c r="AK371" s="6">
        <v>0.35090909090909089</v>
      </c>
      <c r="AL371" s="1" t="s">
        <v>1719</v>
      </c>
      <c r="AM371" s="1" t="s">
        <v>972</v>
      </c>
      <c r="AN371" s="1" t="s">
        <v>1150</v>
      </c>
      <c r="AO371" s="1" t="s">
        <v>64</v>
      </c>
      <c r="AP371" s="6">
        <v>11580</v>
      </c>
      <c r="AQ371" s="6">
        <v>0.35090909090909089</v>
      </c>
      <c r="AR371" s="2" t="str">
        <f>HYPERLINK("https://auction.openprocurement.org/tenders/b06394e0bd474395bdceb62ca92f4c45")</f>
        <v>https://auction.openprocurement.org/tenders/b06394e0bd474395bdceb62ca92f4c45</v>
      </c>
      <c r="AS371" s="7">
        <v>43791.471515607278</v>
      </c>
      <c r="AT371" s="5">
        <v>43795</v>
      </c>
      <c r="AU371" s="5">
        <v>43818</v>
      </c>
      <c r="AV371" s="1" t="s">
        <v>1941</v>
      </c>
      <c r="AW371" s="7">
        <v>43795.540590519806</v>
      </c>
      <c r="AX371" s="1" t="s">
        <v>536</v>
      </c>
      <c r="AY371" s="6">
        <v>21420</v>
      </c>
      <c r="AZ371" s="1"/>
      <c r="BA371" s="5">
        <v>43830</v>
      </c>
      <c r="BB371" s="7">
        <v>43830</v>
      </c>
      <c r="BC371" s="1" t="s">
        <v>1997</v>
      </c>
      <c r="BD371" s="1"/>
      <c r="BE371" s="1"/>
      <c r="BF371" s="1" t="s">
        <v>973</v>
      </c>
    </row>
    <row r="372" spans="1:58">
      <c r="A372" s="4">
        <v>367</v>
      </c>
      <c r="B372" s="2" t="str">
        <f>HYPERLINK("https://my.zakupki.prom.ua/remote/dispatcher/state_purchase_view/17021310", "UA-2020-06-03-004072-b")</f>
        <v>UA-2020-06-03-004072-b</v>
      </c>
      <c r="C372" s="2" t="s">
        <v>1459</v>
      </c>
      <c r="D372" s="1" t="s">
        <v>1432</v>
      </c>
      <c r="E372" s="1" t="s">
        <v>1432</v>
      </c>
      <c r="F372" s="1" t="s">
        <v>992</v>
      </c>
      <c r="G372" s="1" t="s">
        <v>1346</v>
      </c>
      <c r="H372" s="1" t="s">
        <v>1800</v>
      </c>
      <c r="I372" s="1" t="s">
        <v>1379</v>
      </c>
      <c r="J372" s="1" t="s">
        <v>819</v>
      </c>
      <c r="K372" s="1" t="s">
        <v>1287</v>
      </c>
      <c r="L372" s="1" t="s">
        <v>1216</v>
      </c>
      <c r="M372" s="1" t="s">
        <v>119</v>
      </c>
      <c r="N372" s="1" t="s">
        <v>119</v>
      </c>
      <c r="O372" s="1" t="s">
        <v>119</v>
      </c>
      <c r="P372" s="5">
        <v>43985</v>
      </c>
      <c r="Q372" s="5">
        <v>43985</v>
      </c>
      <c r="R372" s="5">
        <v>43992</v>
      </c>
      <c r="S372" s="5">
        <v>43992</v>
      </c>
      <c r="T372" s="5">
        <v>43997</v>
      </c>
      <c r="U372" s="7">
        <v>43998.492291666669</v>
      </c>
      <c r="V372" s="4">
        <v>2</v>
      </c>
      <c r="W372" s="6">
        <v>40000</v>
      </c>
      <c r="X372" s="1" t="s">
        <v>1459</v>
      </c>
      <c r="Y372" s="4">
        <v>7</v>
      </c>
      <c r="Z372" s="6">
        <v>5714.29</v>
      </c>
      <c r="AA372" s="1" t="s">
        <v>2024</v>
      </c>
      <c r="AB372" s="6">
        <v>200</v>
      </c>
      <c r="AC372" s="1" t="s">
        <v>1124</v>
      </c>
      <c r="AD372" s="1" t="s">
        <v>1800</v>
      </c>
      <c r="AE372" s="1" t="s">
        <v>1286</v>
      </c>
      <c r="AF372" s="1" t="s">
        <v>1463</v>
      </c>
      <c r="AG372" s="6">
        <v>23000</v>
      </c>
      <c r="AH372" s="6">
        <v>3285.7142857142858</v>
      </c>
      <c r="AI372" s="1" t="s">
        <v>1849</v>
      </c>
      <c r="AJ372" s="6">
        <v>17000</v>
      </c>
      <c r="AK372" s="6">
        <v>0.42499999999999999</v>
      </c>
      <c r="AL372" s="1"/>
      <c r="AM372" s="1"/>
      <c r="AN372" s="1"/>
      <c r="AO372" s="1"/>
      <c r="AP372" s="1"/>
      <c r="AQ372" s="1"/>
      <c r="AR372" s="2" t="str">
        <f>HYPERLINK("https://auction.openprocurement.org/tenders/1b7f920efcc84e208bd0712637056b35")</f>
        <v>https://auction.openprocurement.org/tenders/1b7f920efcc84e208bd0712637056b35</v>
      </c>
      <c r="AS372" s="7">
        <v>44019.645532891052</v>
      </c>
      <c r="AT372" s="1"/>
      <c r="AU372" s="1"/>
      <c r="AV372" s="1" t="s">
        <v>1942</v>
      </c>
      <c r="AW372" s="7">
        <v>44023.351790893692</v>
      </c>
      <c r="AX372" s="1"/>
      <c r="AY372" s="1"/>
      <c r="AZ372" s="1"/>
      <c r="BA372" s="5">
        <v>44043</v>
      </c>
      <c r="BB372" s="1"/>
      <c r="BC372" s="1"/>
      <c r="BD372" s="1"/>
      <c r="BE372" s="1"/>
      <c r="BF372" s="1" t="s">
        <v>571</v>
      </c>
    </row>
    <row r="373" spans="1:58">
      <c r="A373" s="4">
        <v>368</v>
      </c>
      <c r="B373" s="2" t="str">
        <f>HYPERLINK("https://my.zakupki.prom.ua/remote/dispatcher/state_purchase_view/15853253", "UA-2020-03-19-001932-b")</f>
        <v>UA-2020-03-19-001932-b</v>
      </c>
      <c r="C373" s="2" t="s">
        <v>1459</v>
      </c>
      <c r="D373" s="1" t="s">
        <v>1240</v>
      </c>
      <c r="E373" s="1" t="s">
        <v>1240</v>
      </c>
      <c r="F373" s="1" t="s">
        <v>836</v>
      </c>
      <c r="G373" s="1" t="s">
        <v>1346</v>
      </c>
      <c r="H373" s="1" t="s">
        <v>1800</v>
      </c>
      <c r="I373" s="1" t="s">
        <v>1379</v>
      </c>
      <c r="J373" s="1" t="s">
        <v>819</v>
      </c>
      <c r="K373" s="1" t="s">
        <v>1287</v>
      </c>
      <c r="L373" s="1" t="s">
        <v>1216</v>
      </c>
      <c r="M373" s="1" t="s">
        <v>119</v>
      </c>
      <c r="N373" s="1" t="s">
        <v>119</v>
      </c>
      <c r="O373" s="1" t="s">
        <v>119</v>
      </c>
      <c r="P373" s="5">
        <v>43909</v>
      </c>
      <c r="Q373" s="5">
        <v>43909</v>
      </c>
      <c r="R373" s="5">
        <v>43913</v>
      </c>
      <c r="S373" s="5">
        <v>43913</v>
      </c>
      <c r="T373" s="5">
        <v>43915</v>
      </c>
      <c r="U373" s="1" t="s">
        <v>1923</v>
      </c>
      <c r="V373" s="4">
        <v>0</v>
      </c>
      <c r="W373" s="6">
        <v>10000</v>
      </c>
      <c r="X373" s="1" t="s">
        <v>1459</v>
      </c>
      <c r="Y373" s="4">
        <v>5</v>
      </c>
      <c r="Z373" s="6">
        <v>2000</v>
      </c>
      <c r="AA373" s="1" t="s">
        <v>2024</v>
      </c>
      <c r="AB373" s="6">
        <v>100</v>
      </c>
      <c r="AC373" s="1" t="s">
        <v>1124</v>
      </c>
      <c r="AD373" s="1" t="s">
        <v>1800</v>
      </c>
      <c r="AE373" s="1" t="s">
        <v>1286</v>
      </c>
      <c r="AF373" s="1" t="s">
        <v>1463</v>
      </c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2"/>
      <c r="AS373" s="1"/>
      <c r="AT373" s="1"/>
      <c r="AU373" s="1"/>
      <c r="AV373" s="1" t="s">
        <v>1942</v>
      </c>
      <c r="AW373" s="7">
        <v>43915.668462823138</v>
      </c>
      <c r="AX373" s="1"/>
      <c r="AY373" s="1"/>
      <c r="AZ373" s="1"/>
      <c r="BA373" s="5">
        <v>43941</v>
      </c>
      <c r="BB373" s="1"/>
      <c r="BC373" s="1"/>
      <c r="BD373" s="1"/>
      <c r="BE373" s="1"/>
      <c r="BF373" s="1"/>
    </row>
    <row r="374" spans="1:58">
      <c r="A374" s="4">
        <v>369</v>
      </c>
      <c r="B374" s="2" t="str">
        <f>HYPERLINK("https://my.zakupki.prom.ua/remote/dispatcher/state_purchase_view/15743740", "UA-2020-03-13-000520-b")</f>
        <v>UA-2020-03-13-000520-b</v>
      </c>
      <c r="C374" s="2" t="s">
        <v>1459</v>
      </c>
      <c r="D374" s="1" t="s">
        <v>1240</v>
      </c>
      <c r="E374" s="1" t="s">
        <v>1240</v>
      </c>
      <c r="F374" s="1" t="s">
        <v>836</v>
      </c>
      <c r="G374" s="1" t="s">
        <v>1346</v>
      </c>
      <c r="H374" s="1" t="s">
        <v>1800</v>
      </c>
      <c r="I374" s="1" t="s">
        <v>1379</v>
      </c>
      <c r="J374" s="1" t="s">
        <v>819</v>
      </c>
      <c r="K374" s="1" t="s">
        <v>1287</v>
      </c>
      <c r="L374" s="1" t="s">
        <v>1216</v>
      </c>
      <c r="M374" s="1" t="s">
        <v>119</v>
      </c>
      <c r="N374" s="1" t="s">
        <v>119</v>
      </c>
      <c r="O374" s="1" t="s">
        <v>119</v>
      </c>
      <c r="P374" s="5">
        <v>43903</v>
      </c>
      <c r="Q374" s="5">
        <v>43903</v>
      </c>
      <c r="R374" s="5">
        <v>43906</v>
      </c>
      <c r="S374" s="5">
        <v>43906</v>
      </c>
      <c r="T374" s="5">
        <v>43908</v>
      </c>
      <c r="U374" s="1" t="s">
        <v>1923</v>
      </c>
      <c r="V374" s="4">
        <v>0</v>
      </c>
      <c r="W374" s="6">
        <v>7500</v>
      </c>
      <c r="X374" s="1" t="s">
        <v>1459</v>
      </c>
      <c r="Y374" s="4">
        <v>5</v>
      </c>
      <c r="Z374" s="6">
        <v>1500</v>
      </c>
      <c r="AA374" s="1" t="s">
        <v>2024</v>
      </c>
      <c r="AB374" s="6">
        <v>75</v>
      </c>
      <c r="AC374" s="1" t="s">
        <v>1124</v>
      </c>
      <c r="AD374" s="1" t="s">
        <v>1800</v>
      </c>
      <c r="AE374" s="1" t="s">
        <v>1286</v>
      </c>
      <c r="AF374" s="1" t="s">
        <v>1463</v>
      </c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2"/>
      <c r="AS374" s="1"/>
      <c r="AT374" s="1"/>
      <c r="AU374" s="1"/>
      <c r="AV374" s="1" t="s">
        <v>1942</v>
      </c>
      <c r="AW374" s="7">
        <v>43908.75232834286</v>
      </c>
      <c r="AX374" s="1"/>
      <c r="AY374" s="1"/>
      <c r="AZ374" s="1"/>
      <c r="BA374" s="5">
        <v>43931</v>
      </c>
      <c r="BB374" s="1"/>
      <c r="BC374" s="1"/>
      <c r="BD374" s="1"/>
      <c r="BE374" s="1"/>
      <c r="BF374" s="1"/>
    </row>
    <row r="375" spans="1:58">
      <c r="A375" s="4">
        <v>370</v>
      </c>
      <c r="B375" s="2" t="str">
        <f>HYPERLINK("https://my.zakupki.prom.ua/remote/dispatcher/state_purchase_view/13761934", "UA-2019-11-28-000279-b")</f>
        <v>UA-2019-11-28-000279-b</v>
      </c>
      <c r="C375" s="2" t="s">
        <v>1459</v>
      </c>
      <c r="D375" s="1" t="s">
        <v>900</v>
      </c>
      <c r="E375" s="1" t="s">
        <v>1356</v>
      </c>
      <c r="F375" s="1" t="s">
        <v>899</v>
      </c>
      <c r="G375" s="1" t="s">
        <v>1346</v>
      </c>
      <c r="H375" s="1" t="s">
        <v>1800</v>
      </c>
      <c r="I375" s="1" t="s">
        <v>1379</v>
      </c>
      <c r="J375" s="1" t="s">
        <v>819</v>
      </c>
      <c r="K375" s="1" t="s">
        <v>1287</v>
      </c>
      <c r="L375" s="1" t="s">
        <v>1915</v>
      </c>
      <c r="M375" s="1" t="s">
        <v>316</v>
      </c>
      <c r="N375" s="1" t="s">
        <v>119</v>
      </c>
      <c r="O375" s="1" t="s">
        <v>119</v>
      </c>
      <c r="P375" s="5">
        <v>43797</v>
      </c>
      <c r="Q375" s="5">
        <v>43797</v>
      </c>
      <c r="R375" s="5">
        <v>43798</v>
      </c>
      <c r="S375" s="5">
        <v>43798</v>
      </c>
      <c r="T375" s="5">
        <v>43802</v>
      </c>
      <c r="U375" s="1" t="s">
        <v>1923</v>
      </c>
      <c r="V375" s="4">
        <v>0</v>
      </c>
      <c r="W375" s="6">
        <v>6650</v>
      </c>
      <c r="X375" s="1" t="s">
        <v>1459</v>
      </c>
      <c r="Y375" s="1" t="s">
        <v>1956</v>
      </c>
      <c r="Z375" s="1" t="s">
        <v>1956</v>
      </c>
      <c r="AA375" s="1" t="s">
        <v>1956</v>
      </c>
      <c r="AB375" s="6">
        <v>66.5</v>
      </c>
      <c r="AC375" s="1" t="s">
        <v>1124</v>
      </c>
      <c r="AD375" s="1" t="s">
        <v>1800</v>
      </c>
      <c r="AE375" s="1" t="s">
        <v>1286</v>
      </c>
      <c r="AF375" s="1" t="s">
        <v>1463</v>
      </c>
      <c r="AG375" s="1"/>
      <c r="AH375" s="1" t="s">
        <v>1956</v>
      </c>
      <c r="AI375" s="1"/>
      <c r="AJ375" s="1"/>
      <c r="AK375" s="1"/>
      <c r="AL375" s="1"/>
      <c r="AM375" s="1"/>
      <c r="AN375" s="1"/>
      <c r="AO375" s="1"/>
      <c r="AP375" s="1"/>
      <c r="AQ375" s="1"/>
      <c r="AR375" s="2"/>
      <c r="AS375" s="1"/>
      <c r="AT375" s="1"/>
      <c r="AU375" s="1"/>
      <c r="AV375" s="1" t="s">
        <v>1942</v>
      </c>
      <c r="AW375" s="7">
        <v>43802.418867788787</v>
      </c>
      <c r="AX375" s="1"/>
      <c r="AY375" s="1"/>
      <c r="AZ375" s="1"/>
      <c r="BA375" s="5">
        <v>43830</v>
      </c>
      <c r="BB375" s="1"/>
      <c r="BC375" s="1"/>
      <c r="BD375" s="1"/>
      <c r="BE375" s="1"/>
      <c r="BF375" s="1"/>
    </row>
    <row r="376" spans="1:58">
      <c r="A376" s="4">
        <v>371</v>
      </c>
      <c r="B376" s="2" t="str">
        <f>HYPERLINK("https://my.zakupki.prom.ua/remote/dispatcher/state_purchase_view/18781229", "UA-2020-08-26-001228-a")</f>
        <v>UA-2020-08-26-001228-a</v>
      </c>
      <c r="C376" s="2" t="s">
        <v>1459</v>
      </c>
      <c r="D376" s="1" t="s">
        <v>1931</v>
      </c>
      <c r="E376" s="1" t="s">
        <v>1931</v>
      </c>
      <c r="F376" s="1" t="s">
        <v>879</v>
      </c>
      <c r="G376" s="1" t="s">
        <v>1346</v>
      </c>
      <c r="H376" s="1" t="s">
        <v>1800</v>
      </c>
      <c r="I376" s="1" t="s">
        <v>1379</v>
      </c>
      <c r="J376" s="1" t="s">
        <v>819</v>
      </c>
      <c r="K376" s="1" t="s">
        <v>1287</v>
      </c>
      <c r="L376" s="1" t="s">
        <v>1216</v>
      </c>
      <c r="M376" s="1" t="s">
        <v>119</v>
      </c>
      <c r="N376" s="1" t="s">
        <v>119</v>
      </c>
      <c r="O376" s="1" t="s">
        <v>119</v>
      </c>
      <c r="P376" s="5">
        <v>44069</v>
      </c>
      <c r="Q376" s="5">
        <v>44069</v>
      </c>
      <c r="R376" s="5">
        <v>44075</v>
      </c>
      <c r="S376" s="5">
        <v>44075</v>
      </c>
      <c r="T376" s="5">
        <v>44078</v>
      </c>
      <c r="U376" s="1" t="s">
        <v>1923</v>
      </c>
      <c r="V376" s="4">
        <v>0</v>
      </c>
      <c r="W376" s="6">
        <v>4000</v>
      </c>
      <c r="X376" s="1" t="s">
        <v>1459</v>
      </c>
      <c r="Y376" s="4">
        <v>33</v>
      </c>
      <c r="Z376" s="6">
        <v>121.21</v>
      </c>
      <c r="AA376" s="1" t="s">
        <v>2024</v>
      </c>
      <c r="AB376" s="6">
        <v>20</v>
      </c>
      <c r="AC376" s="1" t="s">
        <v>1124</v>
      </c>
      <c r="AD376" s="1" t="s">
        <v>1800</v>
      </c>
      <c r="AE376" s="1" t="s">
        <v>1286</v>
      </c>
      <c r="AF376" s="1" t="s">
        <v>1463</v>
      </c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2"/>
      <c r="AS376" s="1"/>
      <c r="AT376" s="1"/>
      <c r="AU376" s="1"/>
      <c r="AV376" s="1" t="s">
        <v>1942</v>
      </c>
      <c r="AW376" s="7">
        <v>44078.711483245796</v>
      </c>
      <c r="AX376" s="1"/>
      <c r="AY376" s="1"/>
      <c r="AZ376" s="1"/>
      <c r="BA376" s="5">
        <v>44196</v>
      </c>
      <c r="BB376" s="1"/>
      <c r="BC376" s="1"/>
      <c r="BD376" s="1"/>
      <c r="BE376" s="1"/>
      <c r="BF376" s="1"/>
    </row>
    <row r="377" spans="1:58">
      <c r="A377" s="4">
        <v>372</v>
      </c>
      <c r="B377" s="2" t="str">
        <f>HYPERLINK("https://my.zakupki.prom.ua/remote/dispatcher/state_purchase_view/18822660", "UA-2020-08-27-003232-a")</f>
        <v>UA-2020-08-27-003232-a</v>
      </c>
      <c r="C377" s="2" t="s">
        <v>1459</v>
      </c>
      <c r="D377" s="1" t="s">
        <v>1583</v>
      </c>
      <c r="E377" s="1" t="s">
        <v>1583</v>
      </c>
      <c r="F377" s="1" t="s">
        <v>1110</v>
      </c>
      <c r="G377" s="1" t="s">
        <v>1364</v>
      </c>
      <c r="H377" s="1" t="s">
        <v>1800</v>
      </c>
      <c r="I377" s="1" t="s">
        <v>1379</v>
      </c>
      <c r="J377" s="1" t="s">
        <v>819</v>
      </c>
      <c r="K377" s="1" t="s">
        <v>1287</v>
      </c>
      <c r="L377" s="1" t="s">
        <v>1216</v>
      </c>
      <c r="M377" s="1" t="s">
        <v>119</v>
      </c>
      <c r="N377" s="1" t="s">
        <v>119</v>
      </c>
      <c r="O377" s="1" t="s">
        <v>119</v>
      </c>
      <c r="P377" s="5">
        <v>44070</v>
      </c>
      <c r="Q377" s="1"/>
      <c r="R377" s="1"/>
      <c r="S377" s="1"/>
      <c r="T377" s="1"/>
      <c r="U377" s="1" t="s">
        <v>1922</v>
      </c>
      <c r="V377" s="4">
        <v>1</v>
      </c>
      <c r="W377" s="6">
        <v>8334</v>
      </c>
      <c r="X377" s="1" t="s">
        <v>1459</v>
      </c>
      <c r="Y377" s="4">
        <v>1</v>
      </c>
      <c r="Z377" s="6">
        <v>8334</v>
      </c>
      <c r="AA377" s="1" t="s">
        <v>1976</v>
      </c>
      <c r="AB377" s="1" t="s">
        <v>1964</v>
      </c>
      <c r="AC377" s="1" t="s">
        <v>1124</v>
      </c>
      <c r="AD377" s="1" t="s">
        <v>1463</v>
      </c>
      <c r="AE377" s="1" t="s">
        <v>1286</v>
      </c>
      <c r="AF377" s="1" t="s">
        <v>1463</v>
      </c>
      <c r="AG377" s="6">
        <v>8334</v>
      </c>
      <c r="AH377" s="6">
        <v>8334</v>
      </c>
      <c r="AI377" s="1"/>
      <c r="AJ377" s="1"/>
      <c r="AK377" s="1"/>
      <c r="AL377" s="1" t="s">
        <v>1464</v>
      </c>
      <c r="AM377" s="1" t="s">
        <v>925</v>
      </c>
      <c r="AN377" s="1"/>
      <c r="AO377" s="1" t="s">
        <v>263</v>
      </c>
      <c r="AP377" s="1"/>
      <c r="AQ377" s="1"/>
      <c r="AR377" s="2"/>
      <c r="AS377" s="1"/>
      <c r="AT377" s="1"/>
      <c r="AU377" s="1"/>
      <c r="AV377" s="1" t="s">
        <v>1941</v>
      </c>
      <c r="AW377" s="7">
        <v>44070.491464152503</v>
      </c>
      <c r="AX377" s="1" t="s">
        <v>406</v>
      </c>
      <c r="AY377" s="6">
        <v>8334</v>
      </c>
      <c r="AZ377" s="1"/>
      <c r="BA377" s="5">
        <v>44196</v>
      </c>
      <c r="BB377" s="7">
        <v>44196</v>
      </c>
      <c r="BC377" s="1" t="s">
        <v>1997</v>
      </c>
      <c r="BD377" s="1"/>
      <c r="BE377" s="1"/>
      <c r="BF377" s="1" t="s">
        <v>118</v>
      </c>
    </row>
    <row r="378" spans="1:58">
      <c r="A378" s="4">
        <v>373</v>
      </c>
      <c r="B378" s="2" t="str">
        <f>HYPERLINK("https://my.zakupki.prom.ua/remote/dispatcher/state_purchase_view/17690513", "UA-2020-07-07-000980-a")</f>
        <v>UA-2020-07-07-000980-a</v>
      </c>
      <c r="C378" s="2" t="s">
        <v>1459</v>
      </c>
      <c r="D378" s="1" t="s">
        <v>1549</v>
      </c>
      <c r="E378" s="1" t="s">
        <v>1549</v>
      </c>
      <c r="F378" s="1" t="s">
        <v>1089</v>
      </c>
      <c r="G378" s="1" t="s">
        <v>1364</v>
      </c>
      <c r="H378" s="1" t="s">
        <v>1800</v>
      </c>
      <c r="I378" s="1" t="s">
        <v>1379</v>
      </c>
      <c r="J378" s="1" t="s">
        <v>819</v>
      </c>
      <c r="K378" s="1" t="s">
        <v>1287</v>
      </c>
      <c r="L378" s="1" t="s">
        <v>1216</v>
      </c>
      <c r="M378" s="1" t="s">
        <v>119</v>
      </c>
      <c r="N378" s="1" t="s">
        <v>119</v>
      </c>
      <c r="O378" s="1" t="s">
        <v>119</v>
      </c>
      <c r="P378" s="5">
        <v>44019</v>
      </c>
      <c r="Q378" s="1"/>
      <c r="R378" s="1"/>
      <c r="S378" s="1"/>
      <c r="T378" s="1"/>
      <c r="U378" s="1" t="s">
        <v>1922</v>
      </c>
      <c r="V378" s="4">
        <v>1</v>
      </c>
      <c r="W378" s="6">
        <v>4764</v>
      </c>
      <c r="X378" s="1" t="s">
        <v>1459</v>
      </c>
      <c r="Y378" s="4">
        <v>1</v>
      </c>
      <c r="Z378" s="6">
        <v>4764</v>
      </c>
      <c r="AA378" s="1" t="s">
        <v>1976</v>
      </c>
      <c r="AB378" s="1" t="s">
        <v>1964</v>
      </c>
      <c r="AC378" s="1" t="s">
        <v>1124</v>
      </c>
      <c r="AD378" s="1" t="s">
        <v>1463</v>
      </c>
      <c r="AE378" s="1" t="s">
        <v>1286</v>
      </c>
      <c r="AF378" s="1" t="s">
        <v>1463</v>
      </c>
      <c r="AG378" s="6">
        <v>4764</v>
      </c>
      <c r="AH378" s="6">
        <v>4764</v>
      </c>
      <c r="AI378" s="1"/>
      <c r="AJ378" s="1"/>
      <c r="AK378" s="1"/>
      <c r="AL378" s="1" t="s">
        <v>1303</v>
      </c>
      <c r="AM378" s="1" t="s">
        <v>146</v>
      </c>
      <c r="AN378" s="1"/>
      <c r="AO378" s="1" t="s">
        <v>183</v>
      </c>
      <c r="AP378" s="1"/>
      <c r="AQ378" s="1"/>
      <c r="AR378" s="2"/>
      <c r="AS378" s="1"/>
      <c r="AT378" s="1"/>
      <c r="AU378" s="1"/>
      <c r="AV378" s="1" t="s">
        <v>1941</v>
      </c>
      <c r="AW378" s="7">
        <v>44019.414540584919</v>
      </c>
      <c r="AX378" s="1" t="s">
        <v>1031</v>
      </c>
      <c r="AY378" s="6">
        <v>4764</v>
      </c>
      <c r="AZ378" s="5">
        <v>43983</v>
      </c>
      <c r="BA378" s="5">
        <v>44196</v>
      </c>
      <c r="BB378" s="7">
        <v>44196</v>
      </c>
      <c r="BC378" s="1" t="s">
        <v>1997</v>
      </c>
      <c r="BD378" s="1"/>
      <c r="BE378" s="1"/>
      <c r="BF378" s="1" t="s">
        <v>118</v>
      </c>
    </row>
    <row r="379" spans="1:58">
      <c r="A379" s="4">
        <v>374</v>
      </c>
      <c r="B379" s="2" t="str">
        <f>HYPERLINK("https://my.zakupki.prom.ua/remote/dispatcher/state_purchase_view/23167917", "UA-2021-01-22-005953-b")</f>
        <v>UA-2021-01-22-005953-b</v>
      </c>
      <c r="C379" s="2" t="s">
        <v>1459</v>
      </c>
      <c r="D379" s="1" t="s">
        <v>1590</v>
      </c>
      <c r="E379" s="1" t="s">
        <v>1590</v>
      </c>
      <c r="F379" s="1" t="s">
        <v>1053</v>
      </c>
      <c r="G379" s="1" t="s">
        <v>1364</v>
      </c>
      <c r="H379" s="1" t="s">
        <v>1800</v>
      </c>
      <c r="I379" s="1" t="s">
        <v>1379</v>
      </c>
      <c r="J379" s="1" t="s">
        <v>819</v>
      </c>
      <c r="K379" s="1" t="s">
        <v>1287</v>
      </c>
      <c r="L379" s="1" t="s">
        <v>1216</v>
      </c>
      <c r="M379" s="1" t="s">
        <v>119</v>
      </c>
      <c r="N379" s="1" t="s">
        <v>119</v>
      </c>
      <c r="O379" s="1" t="s">
        <v>119</v>
      </c>
      <c r="P379" s="5">
        <v>44218</v>
      </c>
      <c r="Q379" s="1"/>
      <c r="R379" s="1"/>
      <c r="S379" s="1"/>
      <c r="T379" s="1"/>
      <c r="U379" s="1" t="s">
        <v>1922</v>
      </c>
      <c r="V379" s="4">
        <v>1</v>
      </c>
      <c r="W379" s="6">
        <v>2519.11</v>
      </c>
      <c r="X379" s="1" t="s">
        <v>1459</v>
      </c>
      <c r="Y379" s="4">
        <v>1</v>
      </c>
      <c r="Z379" s="6">
        <v>2519.11</v>
      </c>
      <c r="AA379" s="1" t="s">
        <v>1976</v>
      </c>
      <c r="AB379" s="1" t="s">
        <v>1964</v>
      </c>
      <c r="AC379" s="1" t="s">
        <v>1124</v>
      </c>
      <c r="AD379" s="1" t="s">
        <v>1800</v>
      </c>
      <c r="AE379" s="1" t="s">
        <v>1286</v>
      </c>
      <c r="AF379" s="1" t="s">
        <v>1463</v>
      </c>
      <c r="AG379" s="6">
        <v>2519.11</v>
      </c>
      <c r="AH379" s="6">
        <v>2519.11</v>
      </c>
      <c r="AI379" s="1"/>
      <c r="AJ379" s="1"/>
      <c r="AK379" s="1"/>
      <c r="AL379" s="1" t="s">
        <v>1225</v>
      </c>
      <c r="AM379" s="1" t="s">
        <v>480</v>
      </c>
      <c r="AN379" s="1"/>
      <c r="AO379" s="1" t="s">
        <v>223</v>
      </c>
      <c r="AP379" s="1"/>
      <c r="AQ379" s="1"/>
      <c r="AR379" s="2"/>
      <c r="AS379" s="1"/>
      <c r="AT379" s="1"/>
      <c r="AU379" s="1"/>
      <c r="AV379" s="1" t="s">
        <v>1941</v>
      </c>
      <c r="AW379" s="7">
        <v>44221.35498304441</v>
      </c>
      <c r="AX379" s="1" t="s">
        <v>1041</v>
      </c>
      <c r="AY379" s="6">
        <v>2519.11</v>
      </c>
      <c r="AZ379" s="1"/>
      <c r="BA379" s="5">
        <v>44561</v>
      </c>
      <c r="BB379" s="7">
        <v>44561</v>
      </c>
      <c r="BC379" s="1" t="s">
        <v>1997</v>
      </c>
      <c r="BD379" s="1"/>
      <c r="BE379" s="1"/>
      <c r="BF379" s="1" t="s">
        <v>118</v>
      </c>
    </row>
    <row r="380" spans="1:58">
      <c r="A380" s="4">
        <v>375</v>
      </c>
      <c r="B380" s="2" t="str">
        <f>HYPERLINK("https://my.zakupki.prom.ua/remote/dispatcher/state_purchase_view/14953883", "UA-2020-01-30-000367-c")</f>
        <v>UA-2020-01-30-000367-c</v>
      </c>
      <c r="C380" s="2" t="s">
        <v>1459</v>
      </c>
      <c r="D380" s="1" t="s">
        <v>1546</v>
      </c>
      <c r="E380" s="1" t="s">
        <v>1544</v>
      </c>
      <c r="F380" s="1" t="s">
        <v>1086</v>
      </c>
      <c r="G380" s="1" t="s">
        <v>1364</v>
      </c>
      <c r="H380" s="1" t="s">
        <v>1800</v>
      </c>
      <c r="I380" s="1" t="s">
        <v>1379</v>
      </c>
      <c r="J380" s="1" t="s">
        <v>819</v>
      </c>
      <c r="K380" s="1" t="s">
        <v>1287</v>
      </c>
      <c r="L380" s="1" t="s">
        <v>1915</v>
      </c>
      <c r="M380" s="1" t="s">
        <v>119</v>
      </c>
      <c r="N380" s="1" t="s">
        <v>119</v>
      </c>
      <c r="O380" s="1" t="s">
        <v>119</v>
      </c>
      <c r="P380" s="5">
        <v>43860</v>
      </c>
      <c r="Q380" s="1"/>
      <c r="R380" s="1"/>
      <c r="S380" s="1"/>
      <c r="T380" s="1"/>
      <c r="U380" s="1" t="s">
        <v>1922</v>
      </c>
      <c r="V380" s="4">
        <v>1</v>
      </c>
      <c r="W380" s="6">
        <v>420</v>
      </c>
      <c r="X380" s="1" t="s">
        <v>1459</v>
      </c>
      <c r="Y380" s="4">
        <v>1</v>
      </c>
      <c r="Z380" s="6">
        <v>420</v>
      </c>
      <c r="AA380" s="1" t="s">
        <v>1976</v>
      </c>
      <c r="AB380" s="1" t="s">
        <v>1964</v>
      </c>
      <c r="AC380" s="1" t="s">
        <v>1124</v>
      </c>
      <c r="AD380" s="1" t="s">
        <v>1800</v>
      </c>
      <c r="AE380" s="1" t="s">
        <v>1286</v>
      </c>
      <c r="AF380" s="1" t="s">
        <v>1463</v>
      </c>
      <c r="AG380" s="6">
        <v>420</v>
      </c>
      <c r="AH380" s="6">
        <v>420</v>
      </c>
      <c r="AI380" s="1"/>
      <c r="AJ380" s="1"/>
      <c r="AK380" s="1"/>
      <c r="AL380" s="1" t="s">
        <v>1381</v>
      </c>
      <c r="AM380" s="1" t="s">
        <v>157</v>
      </c>
      <c r="AN380" s="1"/>
      <c r="AO380" s="1" t="s">
        <v>181</v>
      </c>
      <c r="AP380" s="1"/>
      <c r="AQ380" s="1"/>
      <c r="AR380" s="2"/>
      <c r="AS380" s="1"/>
      <c r="AT380" s="1"/>
      <c r="AU380" s="1"/>
      <c r="AV380" s="1" t="s">
        <v>1941</v>
      </c>
      <c r="AW380" s="7">
        <v>43860.403653829424</v>
      </c>
      <c r="AX380" s="1" t="s">
        <v>1034</v>
      </c>
      <c r="AY380" s="6">
        <v>420</v>
      </c>
      <c r="AZ380" s="1"/>
      <c r="BA380" s="5">
        <v>44196</v>
      </c>
      <c r="BB380" s="7">
        <v>44196</v>
      </c>
      <c r="BC380" s="1" t="s">
        <v>1997</v>
      </c>
      <c r="BD380" s="1"/>
      <c r="BE380" s="1"/>
      <c r="BF380" s="1" t="s">
        <v>118</v>
      </c>
    </row>
    <row r="381" spans="1:58">
      <c r="A381" s="4">
        <v>376</v>
      </c>
      <c r="B381" s="2" t="str">
        <f>HYPERLINK("https://my.zakupki.prom.ua/remote/dispatcher/state_purchase_view/14391152", "UA-2020-01-08-000393-c")</f>
        <v>UA-2020-01-08-000393-c</v>
      </c>
      <c r="C381" s="2" t="s">
        <v>1459</v>
      </c>
      <c r="D381" s="1" t="s">
        <v>1371</v>
      </c>
      <c r="E381" s="1" t="s">
        <v>909</v>
      </c>
      <c r="F381" s="1" t="s">
        <v>908</v>
      </c>
      <c r="G381" s="1" t="s">
        <v>1346</v>
      </c>
      <c r="H381" s="1" t="s">
        <v>1800</v>
      </c>
      <c r="I381" s="1" t="s">
        <v>1379</v>
      </c>
      <c r="J381" s="1" t="s">
        <v>819</v>
      </c>
      <c r="K381" s="1" t="s">
        <v>1287</v>
      </c>
      <c r="L381" s="1" t="s">
        <v>1915</v>
      </c>
      <c r="M381" s="1" t="s">
        <v>119</v>
      </c>
      <c r="N381" s="1" t="s">
        <v>119</v>
      </c>
      <c r="O381" s="1" t="s">
        <v>119</v>
      </c>
      <c r="P381" s="5">
        <v>43838</v>
      </c>
      <c r="Q381" s="5">
        <v>43838</v>
      </c>
      <c r="R381" s="5">
        <v>43839</v>
      </c>
      <c r="S381" s="5">
        <v>43839</v>
      </c>
      <c r="T381" s="5">
        <v>43841</v>
      </c>
      <c r="U381" s="7">
        <v>43843.563206018516</v>
      </c>
      <c r="V381" s="4">
        <v>5</v>
      </c>
      <c r="W381" s="6">
        <v>5050</v>
      </c>
      <c r="X381" s="1" t="s">
        <v>1459</v>
      </c>
      <c r="Y381" s="4">
        <v>245</v>
      </c>
      <c r="Z381" s="6">
        <v>20.61</v>
      </c>
      <c r="AA381" s="1" t="s">
        <v>2023</v>
      </c>
      <c r="AB381" s="6">
        <v>25.25</v>
      </c>
      <c r="AC381" s="1" t="s">
        <v>1124</v>
      </c>
      <c r="AD381" s="1" t="s">
        <v>1800</v>
      </c>
      <c r="AE381" s="1" t="s">
        <v>1286</v>
      </c>
      <c r="AF381" s="1" t="s">
        <v>1463</v>
      </c>
      <c r="AG381" s="6">
        <v>3532.32</v>
      </c>
      <c r="AH381" s="6">
        <v>14.417632653061226</v>
      </c>
      <c r="AI381" s="1" t="s">
        <v>1697</v>
      </c>
      <c r="AJ381" s="6">
        <v>1517.6799999999998</v>
      </c>
      <c r="AK381" s="6">
        <v>0.30053069306930691</v>
      </c>
      <c r="AL381" s="1" t="s">
        <v>1697</v>
      </c>
      <c r="AM381" s="1" t="s">
        <v>888</v>
      </c>
      <c r="AN381" s="1" t="s">
        <v>1135</v>
      </c>
      <c r="AO381" s="1" t="s">
        <v>48</v>
      </c>
      <c r="AP381" s="6">
        <v>1517.6799999999998</v>
      </c>
      <c r="AQ381" s="6">
        <v>0.30053069306930691</v>
      </c>
      <c r="AR381" s="2" t="str">
        <f>HYPERLINK("https://auction.openprocurement.org/tenders/3a84508ad8a648eaa8ea82d76a76eb73")</f>
        <v>https://auction.openprocurement.org/tenders/3a84508ad8a648eaa8ea82d76a76eb73</v>
      </c>
      <c r="AS381" s="7">
        <v>43844.638227641481</v>
      </c>
      <c r="AT381" s="5">
        <v>43846</v>
      </c>
      <c r="AU381" s="5">
        <v>43869</v>
      </c>
      <c r="AV381" s="1" t="s">
        <v>1941</v>
      </c>
      <c r="AW381" s="7">
        <v>43851.611486377398</v>
      </c>
      <c r="AX381" s="1" t="s">
        <v>433</v>
      </c>
      <c r="AY381" s="6">
        <v>3532.32</v>
      </c>
      <c r="AZ381" s="1"/>
      <c r="BA381" s="5">
        <v>43861</v>
      </c>
      <c r="BB381" s="7">
        <v>44196</v>
      </c>
      <c r="BC381" s="1" t="s">
        <v>1997</v>
      </c>
      <c r="BD381" s="1"/>
      <c r="BE381" s="1"/>
      <c r="BF381" s="1" t="s">
        <v>895</v>
      </c>
    </row>
    <row r="382" spans="1:58">
      <c r="A382" s="4">
        <v>377</v>
      </c>
      <c r="B382" s="2" t="str">
        <f>HYPERLINK("https://my.zakupki.prom.ua/remote/dispatcher/state_purchase_view/19013480", "UA-2020-09-04-004504-b")</f>
        <v>UA-2020-09-04-004504-b</v>
      </c>
      <c r="C382" s="2" t="s">
        <v>1459</v>
      </c>
      <c r="D382" s="1" t="s">
        <v>1564</v>
      </c>
      <c r="E382" s="1" t="s">
        <v>1564</v>
      </c>
      <c r="F382" s="1" t="s">
        <v>1060</v>
      </c>
      <c r="G382" s="1" t="s">
        <v>1364</v>
      </c>
      <c r="H382" s="1" t="s">
        <v>1800</v>
      </c>
      <c r="I382" s="1" t="s">
        <v>1379</v>
      </c>
      <c r="J382" s="1" t="s">
        <v>819</v>
      </c>
      <c r="K382" s="1" t="s">
        <v>1287</v>
      </c>
      <c r="L382" s="1" t="s">
        <v>1216</v>
      </c>
      <c r="M382" s="1" t="s">
        <v>119</v>
      </c>
      <c r="N382" s="1" t="s">
        <v>119</v>
      </c>
      <c r="O382" s="1" t="s">
        <v>119</v>
      </c>
      <c r="P382" s="5">
        <v>44078</v>
      </c>
      <c r="Q382" s="1"/>
      <c r="R382" s="1"/>
      <c r="S382" s="1"/>
      <c r="T382" s="1"/>
      <c r="U382" s="1" t="s">
        <v>1922</v>
      </c>
      <c r="V382" s="4">
        <v>1</v>
      </c>
      <c r="W382" s="6">
        <v>2950</v>
      </c>
      <c r="X382" s="1" t="s">
        <v>1459</v>
      </c>
      <c r="Y382" s="4">
        <v>1</v>
      </c>
      <c r="Z382" s="6">
        <v>2950</v>
      </c>
      <c r="AA382" s="1" t="s">
        <v>1976</v>
      </c>
      <c r="AB382" s="1" t="s">
        <v>1964</v>
      </c>
      <c r="AC382" s="1" t="s">
        <v>1124</v>
      </c>
      <c r="AD382" s="1" t="s">
        <v>1800</v>
      </c>
      <c r="AE382" s="1" t="s">
        <v>1286</v>
      </c>
      <c r="AF382" s="1" t="s">
        <v>1463</v>
      </c>
      <c r="AG382" s="6">
        <v>2950</v>
      </c>
      <c r="AH382" s="6">
        <v>2950</v>
      </c>
      <c r="AI382" s="1"/>
      <c r="AJ382" s="1"/>
      <c r="AK382" s="1"/>
      <c r="AL382" s="1" t="s">
        <v>1776</v>
      </c>
      <c r="AM382" s="1" t="s">
        <v>801</v>
      </c>
      <c r="AN382" s="1"/>
      <c r="AO382" s="1" t="s">
        <v>222</v>
      </c>
      <c r="AP382" s="1"/>
      <c r="AQ382" s="1"/>
      <c r="AR382" s="2"/>
      <c r="AS382" s="1"/>
      <c r="AT382" s="1"/>
      <c r="AU382" s="1"/>
      <c r="AV382" s="1" t="s">
        <v>1941</v>
      </c>
      <c r="AW382" s="7">
        <v>44078.492793401943</v>
      </c>
      <c r="AX382" s="1" t="s">
        <v>290</v>
      </c>
      <c r="AY382" s="6">
        <v>2950</v>
      </c>
      <c r="AZ382" s="1"/>
      <c r="BA382" s="5">
        <v>44196</v>
      </c>
      <c r="BB382" s="7">
        <v>44196</v>
      </c>
      <c r="BC382" s="1" t="s">
        <v>1997</v>
      </c>
      <c r="BD382" s="1"/>
      <c r="BE382" s="1"/>
      <c r="BF382" s="1" t="s">
        <v>118</v>
      </c>
    </row>
    <row r="383" spans="1:58">
      <c r="A383" s="4">
        <v>378</v>
      </c>
      <c r="B383" s="2" t="str">
        <f>HYPERLINK("https://my.zakupki.prom.ua/remote/dispatcher/state_purchase_view/18964901", "UA-2020-09-03-000388-b")</f>
        <v>UA-2020-09-03-000388-b</v>
      </c>
      <c r="C383" s="2" t="s">
        <v>1459</v>
      </c>
      <c r="D383" s="1" t="s">
        <v>1624</v>
      </c>
      <c r="E383" s="1" t="s">
        <v>1624</v>
      </c>
      <c r="F383" s="1" t="s">
        <v>1086</v>
      </c>
      <c r="G383" s="1" t="s">
        <v>1364</v>
      </c>
      <c r="H383" s="1" t="s">
        <v>1800</v>
      </c>
      <c r="I383" s="1" t="s">
        <v>1379</v>
      </c>
      <c r="J383" s="1" t="s">
        <v>819</v>
      </c>
      <c r="K383" s="1" t="s">
        <v>1287</v>
      </c>
      <c r="L383" s="1" t="s">
        <v>1216</v>
      </c>
      <c r="M383" s="1" t="s">
        <v>119</v>
      </c>
      <c r="N383" s="1" t="s">
        <v>119</v>
      </c>
      <c r="O383" s="1" t="s">
        <v>119</v>
      </c>
      <c r="P383" s="5">
        <v>44077</v>
      </c>
      <c r="Q383" s="1"/>
      <c r="R383" s="1"/>
      <c r="S383" s="1"/>
      <c r="T383" s="1"/>
      <c r="U383" s="1" t="s">
        <v>1922</v>
      </c>
      <c r="V383" s="4">
        <v>1</v>
      </c>
      <c r="W383" s="6">
        <v>432</v>
      </c>
      <c r="X383" s="1" t="s">
        <v>1459</v>
      </c>
      <c r="Y383" s="4">
        <v>1</v>
      </c>
      <c r="Z383" s="6">
        <v>432</v>
      </c>
      <c r="AA383" s="1" t="s">
        <v>1976</v>
      </c>
      <c r="AB383" s="1" t="s">
        <v>1964</v>
      </c>
      <c r="AC383" s="1" t="s">
        <v>1124</v>
      </c>
      <c r="AD383" s="1" t="s">
        <v>1463</v>
      </c>
      <c r="AE383" s="1" t="s">
        <v>1286</v>
      </c>
      <c r="AF383" s="1" t="s">
        <v>1463</v>
      </c>
      <c r="AG383" s="6">
        <v>432</v>
      </c>
      <c r="AH383" s="6">
        <v>432</v>
      </c>
      <c r="AI383" s="1"/>
      <c r="AJ383" s="1"/>
      <c r="AK383" s="1"/>
      <c r="AL383" s="1" t="s">
        <v>1450</v>
      </c>
      <c r="AM383" s="1" t="s">
        <v>311</v>
      </c>
      <c r="AN383" s="1"/>
      <c r="AO383" s="1" t="s">
        <v>204</v>
      </c>
      <c r="AP383" s="1"/>
      <c r="AQ383" s="1"/>
      <c r="AR383" s="2"/>
      <c r="AS383" s="1"/>
      <c r="AT383" s="1"/>
      <c r="AU383" s="1"/>
      <c r="AV383" s="1" t="s">
        <v>1941</v>
      </c>
      <c r="AW383" s="7">
        <v>44077.380254640622</v>
      </c>
      <c r="AX383" s="1" t="s">
        <v>915</v>
      </c>
      <c r="AY383" s="6">
        <v>432</v>
      </c>
      <c r="AZ383" s="1"/>
      <c r="BA383" s="5">
        <v>44196</v>
      </c>
      <c r="BB383" s="7">
        <v>44196</v>
      </c>
      <c r="BC383" s="1" t="s">
        <v>1997</v>
      </c>
      <c r="BD383" s="1"/>
      <c r="BE383" s="1"/>
      <c r="BF383" s="1" t="s">
        <v>118</v>
      </c>
    </row>
    <row r="384" spans="1:58">
      <c r="A384" s="4">
        <v>379</v>
      </c>
      <c r="B384" s="2" t="str">
        <f>HYPERLINK("https://my.zakupki.prom.ua/remote/dispatcher/state_purchase_view/15220655", "UA-2020-02-11-002763-b")</f>
        <v>UA-2020-02-11-002763-b</v>
      </c>
      <c r="C384" s="2" t="s">
        <v>1459</v>
      </c>
      <c r="D384" s="1" t="s">
        <v>753</v>
      </c>
      <c r="E384" s="1" t="s">
        <v>1645</v>
      </c>
      <c r="F384" s="1" t="s">
        <v>750</v>
      </c>
      <c r="G384" s="1" t="s">
        <v>1280</v>
      </c>
      <c r="H384" s="1" t="s">
        <v>1800</v>
      </c>
      <c r="I384" s="1" t="s">
        <v>1379</v>
      </c>
      <c r="J384" s="1" t="s">
        <v>819</v>
      </c>
      <c r="K384" s="1" t="s">
        <v>1287</v>
      </c>
      <c r="L384" s="1" t="s">
        <v>1915</v>
      </c>
      <c r="M384" s="1" t="s">
        <v>119</v>
      </c>
      <c r="N384" s="1" t="s">
        <v>119</v>
      </c>
      <c r="O384" s="1" t="s">
        <v>119</v>
      </c>
      <c r="P384" s="5">
        <v>43872</v>
      </c>
      <c r="Q384" s="5">
        <v>43872</v>
      </c>
      <c r="R384" s="5">
        <v>43882</v>
      </c>
      <c r="S384" s="5">
        <v>43872</v>
      </c>
      <c r="T384" s="5">
        <v>43892</v>
      </c>
      <c r="U384" s="7">
        <v>43893.606782407405</v>
      </c>
      <c r="V384" s="4">
        <v>2</v>
      </c>
      <c r="W384" s="6">
        <v>205336.9</v>
      </c>
      <c r="X384" s="1" t="s">
        <v>1459</v>
      </c>
      <c r="Y384" s="1" t="s">
        <v>1956</v>
      </c>
      <c r="Z384" s="1" t="s">
        <v>1956</v>
      </c>
      <c r="AA384" s="1" t="s">
        <v>1956</v>
      </c>
      <c r="AB384" s="6">
        <v>1026.68</v>
      </c>
      <c r="AC384" s="1" t="s">
        <v>1124</v>
      </c>
      <c r="AD384" s="1" t="s">
        <v>1800</v>
      </c>
      <c r="AE384" s="1" t="s">
        <v>1286</v>
      </c>
      <c r="AF384" s="1" t="s">
        <v>1463</v>
      </c>
      <c r="AG384" s="6">
        <v>205306.3</v>
      </c>
      <c r="AH384" s="1" t="s">
        <v>1956</v>
      </c>
      <c r="AI384" s="1" t="s">
        <v>1877</v>
      </c>
      <c r="AJ384" s="6">
        <v>30.600000000005821</v>
      </c>
      <c r="AK384" s="6">
        <v>1.4902338547044308E-4</v>
      </c>
      <c r="AL384" s="1" t="s">
        <v>1877</v>
      </c>
      <c r="AM384" s="1" t="s">
        <v>659</v>
      </c>
      <c r="AN384" s="1" t="s">
        <v>1164</v>
      </c>
      <c r="AO384" s="1" t="s">
        <v>76</v>
      </c>
      <c r="AP384" s="6">
        <v>30.600000000005821</v>
      </c>
      <c r="AQ384" s="6">
        <v>1.4902338547044308E-4</v>
      </c>
      <c r="AR384" s="2" t="str">
        <f>HYPERLINK("https://auction.openprocurement.org/tenders/96744a2881064b3eb5a7e4d6f8840e7b")</f>
        <v>https://auction.openprocurement.org/tenders/96744a2881064b3eb5a7e4d6f8840e7b</v>
      </c>
      <c r="AS384" s="7">
        <v>43895.517334700569</v>
      </c>
      <c r="AT384" s="5">
        <v>43906</v>
      </c>
      <c r="AU384" s="5">
        <v>43916</v>
      </c>
      <c r="AV384" s="1" t="s">
        <v>1941</v>
      </c>
      <c r="AW384" s="7">
        <v>43906.560134244355</v>
      </c>
      <c r="AX384" s="1" t="s">
        <v>373</v>
      </c>
      <c r="AY384" s="6">
        <v>205306.3</v>
      </c>
      <c r="AZ384" s="1"/>
      <c r="BA384" s="5">
        <v>44196</v>
      </c>
      <c r="BB384" s="7">
        <v>44196</v>
      </c>
      <c r="BC384" s="1" t="s">
        <v>1997</v>
      </c>
      <c r="BD384" s="1"/>
      <c r="BE384" s="1"/>
      <c r="BF384" s="1" t="s">
        <v>661</v>
      </c>
    </row>
    <row r="385" spans="1:58">
      <c r="A385" s="4">
        <v>380</v>
      </c>
      <c r="B385" s="2" t="str">
        <f>HYPERLINK("https://my.zakupki.prom.ua/remote/dispatcher/state_purchase_view/15040983", "UA-2020-02-03-002222-a")</f>
        <v>UA-2020-02-03-002222-a</v>
      </c>
      <c r="C385" s="2" t="s">
        <v>1459</v>
      </c>
      <c r="D385" s="1" t="s">
        <v>1580</v>
      </c>
      <c r="E385" s="1" t="s">
        <v>1580</v>
      </c>
      <c r="F385" s="1" t="s">
        <v>1065</v>
      </c>
      <c r="G385" s="1" t="s">
        <v>1364</v>
      </c>
      <c r="H385" s="1" t="s">
        <v>1800</v>
      </c>
      <c r="I385" s="1" t="s">
        <v>1379</v>
      </c>
      <c r="J385" s="1" t="s">
        <v>819</v>
      </c>
      <c r="K385" s="1" t="s">
        <v>1287</v>
      </c>
      <c r="L385" s="1" t="s">
        <v>1915</v>
      </c>
      <c r="M385" s="1" t="s">
        <v>119</v>
      </c>
      <c r="N385" s="1" t="s">
        <v>119</v>
      </c>
      <c r="O385" s="1" t="s">
        <v>119</v>
      </c>
      <c r="P385" s="5">
        <v>43864</v>
      </c>
      <c r="Q385" s="1"/>
      <c r="R385" s="1"/>
      <c r="S385" s="1"/>
      <c r="T385" s="1"/>
      <c r="U385" s="1" t="s">
        <v>1922</v>
      </c>
      <c r="V385" s="4">
        <v>1</v>
      </c>
      <c r="W385" s="6">
        <v>1200</v>
      </c>
      <c r="X385" s="1" t="s">
        <v>1459</v>
      </c>
      <c r="Y385" s="4">
        <v>1</v>
      </c>
      <c r="Z385" s="6">
        <v>1200</v>
      </c>
      <c r="AA385" s="1" t="s">
        <v>1976</v>
      </c>
      <c r="AB385" s="1" t="s">
        <v>1964</v>
      </c>
      <c r="AC385" s="1" t="s">
        <v>1124</v>
      </c>
      <c r="AD385" s="1" t="s">
        <v>1463</v>
      </c>
      <c r="AE385" s="1" t="s">
        <v>1286</v>
      </c>
      <c r="AF385" s="1" t="s">
        <v>1463</v>
      </c>
      <c r="AG385" s="6">
        <v>1200</v>
      </c>
      <c r="AH385" s="6">
        <v>1200</v>
      </c>
      <c r="AI385" s="1"/>
      <c r="AJ385" s="1"/>
      <c r="AK385" s="1"/>
      <c r="AL385" s="1" t="s">
        <v>1914</v>
      </c>
      <c r="AM385" s="1" t="s">
        <v>543</v>
      </c>
      <c r="AN385" s="1"/>
      <c r="AO385" s="1" t="s">
        <v>202</v>
      </c>
      <c r="AP385" s="1"/>
      <c r="AQ385" s="1"/>
      <c r="AR385" s="2"/>
      <c r="AS385" s="1"/>
      <c r="AT385" s="1"/>
      <c r="AU385" s="1"/>
      <c r="AV385" s="1" t="s">
        <v>1941</v>
      </c>
      <c r="AW385" s="7">
        <v>43864.616281320057</v>
      </c>
      <c r="AX385" s="1" t="s">
        <v>1082</v>
      </c>
      <c r="AY385" s="6">
        <v>1200</v>
      </c>
      <c r="AZ385" s="1"/>
      <c r="BA385" s="5">
        <v>44196</v>
      </c>
      <c r="BB385" s="7">
        <v>44196</v>
      </c>
      <c r="BC385" s="1" t="s">
        <v>1997</v>
      </c>
      <c r="BD385" s="1"/>
      <c r="BE385" s="1"/>
      <c r="BF385" s="1" t="s">
        <v>118</v>
      </c>
    </row>
    <row r="386" spans="1:58">
      <c r="A386" s="4">
        <v>381</v>
      </c>
      <c r="B386" s="2" t="str">
        <f>HYPERLINK("https://my.zakupki.prom.ua/remote/dispatcher/state_purchase_view/19658799", "UA-2020-09-28-006677-a")</f>
        <v>UA-2020-09-28-006677-a</v>
      </c>
      <c r="C386" s="2" t="s">
        <v>1459</v>
      </c>
      <c r="D386" s="1" t="s">
        <v>1522</v>
      </c>
      <c r="E386" s="1" t="s">
        <v>1522</v>
      </c>
      <c r="F386" s="1" t="s">
        <v>1020</v>
      </c>
      <c r="G386" s="1" t="s">
        <v>1364</v>
      </c>
      <c r="H386" s="1" t="s">
        <v>1800</v>
      </c>
      <c r="I386" s="1" t="s">
        <v>1379</v>
      </c>
      <c r="J386" s="1" t="s">
        <v>819</v>
      </c>
      <c r="K386" s="1" t="s">
        <v>1287</v>
      </c>
      <c r="L386" s="1" t="s">
        <v>1216</v>
      </c>
      <c r="M386" s="1" t="s">
        <v>119</v>
      </c>
      <c r="N386" s="1" t="s">
        <v>119</v>
      </c>
      <c r="O386" s="1" t="s">
        <v>119</v>
      </c>
      <c r="P386" s="5">
        <v>44102</v>
      </c>
      <c r="Q386" s="1"/>
      <c r="R386" s="1"/>
      <c r="S386" s="1"/>
      <c r="T386" s="1"/>
      <c r="U386" s="1" t="s">
        <v>1922</v>
      </c>
      <c r="V386" s="4">
        <v>1</v>
      </c>
      <c r="W386" s="6">
        <v>2251.8000000000002</v>
      </c>
      <c r="X386" s="1" t="s">
        <v>1459</v>
      </c>
      <c r="Y386" s="4">
        <v>1</v>
      </c>
      <c r="Z386" s="6">
        <v>2251.8000000000002</v>
      </c>
      <c r="AA386" s="1" t="s">
        <v>1976</v>
      </c>
      <c r="AB386" s="1" t="s">
        <v>1964</v>
      </c>
      <c r="AC386" s="1" t="s">
        <v>1124</v>
      </c>
      <c r="AD386" s="1" t="s">
        <v>1800</v>
      </c>
      <c r="AE386" s="1" t="s">
        <v>1286</v>
      </c>
      <c r="AF386" s="1" t="s">
        <v>1463</v>
      </c>
      <c r="AG386" s="6">
        <v>2251.8000000000002</v>
      </c>
      <c r="AH386" s="6">
        <v>2251.8000000000002</v>
      </c>
      <c r="AI386" s="1"/>
      <c r="AJ386" s="1"/>
      <c r="AK386" s="1"/>
      <c r="AL386" s="1" t="s">
        <v>1777</v>
      </c>
      <c r="AM386" s="1" t="s">
        <v>682</v>
      </c>
      <c r="AN386" s="1"/>
      <c r="AO386" s="1" t="s">
        <v>246</v>
      </c>
      <c r="AP386" s="1"/>
      <c r="AQ386" s="1"/>
      <c r="AR386" s="2"/>
      <c r="AS386" s="1"/>
      <c r="AT386" s="1"/>
      <c r="AU386" s="1"/>
      <c r="AV386" s="1" t="s">
        <v>1941</v>
      </c>
      <c r="AW386" s="7">
        <v>44102.635857252462</v>
      </c>
      <c r="AX386" s="1" t="s">
        <v>1090</v>
      </c>
      <c r="AY386" s="6">
        <v>2251.8000000000002</v>
      </c>
      <c r="AZ386" s="1"/>
      <c r="BA386" s="5">
        <v>44196</v>
      </c>
      <c r="BB386" s="7">
        <v>44196</v>
      </c>
      <c r="BC386" s="1" t="s">
        <v>1997</v>
      </c>
      <c r="BD386" s="1"/>
      <c r="BE386" s="1"/>
      <c r="BF386" s="1" t="s">
        <v>118</v>
      </c>
    </row>
    <row r="387" spans="1:58">
      <c r="A387" s="4">
        <v>382</v>
      </c>
      <c r="B387" s="2" t="str">
        <f>HYPERLINK("https://my.zakupki.prom.ua/remote/dispatcher/state_purchase_view/22017159", "UA-2020-12-10-013940-c")</f>
        <v>UA-2020-12-10-013940-c</v>
      </c>
      <c r="C387" s="2" t="s">
        <v>1459</v>
      </c>
      <c r="D387" s="1" t="s">
        <v>1285</v>
      </c>
      <c r="E387" s="1" t="s">
        <v>1285</v>
      </c>
      <c r="F387" s="1" t="s">
        <v>879</v>
      </c>
      <c r="G387" s="1" t="s">
        <v>1364</v>
      </c>
      <c r="H387" s="1" t="s">
        <v>1800</v>
      </c>
      <c r="I387" s="1" t="s">
        <v>1379</v>
      </c>
      <c r="J387" s="1" t="s">
        <v>819</v>
      </c>
      <c r="K387" s="1" t="s">
        <v>1287</v>
      </c>
      <c r="L387" s="1" t="s">
        <v>1216</v>
      </c>
      <c r="M387" s="1" t="s">
        <v>119</v>
      </c>
      <c r="N387" s="1" t="s">
        <v>119</v>
      </c>
      <c r="O387" s="1" t="s">
        <v>119</v>
      </c>
      <c r="P387" s="5">
        <v>44175</v>
      </c>
      <c r="Q387" s="1"/>
      <c r="R387" s="1"/>
      <c r="S387" s="1"/>
      <c r="T387" s="1"/>
      <c r="U387" s="1" t="s">
        <v>1922</v>
      </c>
      <c r="V387" s="4">
        <v>1</v>
      </c>
      <c r="W387" s="6">
        <v>9600</v>
      </c>
      <c r="X387" s="1" t="s">
        <v>1459</v>
      </c>
      <c r="Y387" s="4">
        <v>40</v>
      </c>
      <c r="Z387" s="6">
        <v>240</v>
      </c>
      <c r="AA387" s="1" t="s">
        <v>2024</v>
      </c>
      <c r="AB387" s="1" t="s">
        <v>1964</v>
      </c>
      <c r="AC387" s="1" t="s">
        <v>1124</v>
      </c>
      <c r="AD387" s="1" t="s">
        <v>1800</v>
      </c>
      <c r="AE387" s="1" t="s">
        <v>1286</v>
      </c>
      <c r="AF387" s="1" t="s">
        <v>1463</v>
      </c>
      <c r="AG387" s="6">
        <v>9600</v>
      </c>
      <c r="AH387" s="6">
        <v>240</v>
      </c>
      <c r="AI387" s="1"/>
      <c r="AJ387" s="1"/>
      <c r="AK387" s="1"/>
      <c r="AL387" s="1" t="s">
        <v>1635</v>
      </c>
      <c r="AM387" s="1" t="s">
        <v>477</v>
      </c>
      <c r="AN387" s="1"/>
      <c r="AO387" s="1" t="s">
        <v>313</v>
      </c>
      <c r="AP387" s="1"/>
      <c r="AQ387" s="1"/>
      <c r="AR387" s="2"/>
      <c r="AS387" s="1"/>
      <c r="AT387" s="1"/>
      <c r="AU387" s="1"/>
      <c r="AV387" s="1" t="s">
        <v>1941</v>
      </c>
      <c r="AW387" s="7">
        <v>44175.683999312416</v>
      </c>
      <c r="AX387" s="1" t="s">
        <v>329</v>
      </c>
      <c r="AY387" s="6">
        <v>9600</v>
      </c>
      <c r="AZ387" s="1"/>
      <c r="BA387" s="5">
        <v>44182</v>
      </c>
      <c r="BB387" s="7">
        <v>44196</v>
      </c>
      <c r="BC387" s="1" t="s">
        <v>1997</v>
      </c>
      <c r="BD387" s="1"/>
      <c r="BE387" s="1"/>
      <c r="BF387" s="1" t="s">
        <v>118</v>
      </c>
    </row>
    <row r="388" spans="1:58">
      <c r="A388" s="4">
        <v>383</v>
      </c>
      <c r="B388" s="2" t="str">
        <f>HYPERLINK("https://my.zakupki.prom.ua/remote/dispatcher/state_purchase_view/19619864", "UA-2020-09-25-009279-a")</f>
        <v>UA-2020-09-25-009279-a</v>
      </c>
      <c r="C388" s="2" t="s">
        <v>1459</v>
      </c>
      <c r="D388" s="1" t="s">
        <v>1596</v>
      </c>
      <c r="E388" s="1" t="s">
        <v>1596</v>
      </c>
      <c r="F388" s="1" t="s">
        <v>1009</v>
      </c>
      <c r="G388" s="1" t="s">
        <v>1280</v>
      </c>
      <c r="H388" s="1" t="s">
        <v>1800</v>
      </c>
      <c r="I388" s="1" t="s">
        <v>1379</v>
      </c>
      <c r="J388" s="1" t="s">
        <v>819</v>
      </c>
      <c r="K388" s="1" t="s">
        <v>1287</v>
      </c>
      <c r="L388" s="1" t="s">
        <v>1216</v>
      </c>
      <c r="M388" s="1" t="s">
        <v>316</v>
      </c>
      <c r="N388" s="1" t="s">
        <v>119</v>
      </c>
      <c r="O388" s="1" t="s">
        <v>119</v>
      </c>
      <c r="P388" s="5">
        <v>44099</v>
      </c>
      <c r="Q388" s="5">
        <v>44099</v>
      </c>
      <c r="R388" s="5">
        <v>44105</v>
      </c>
      <c r="S388" s="5">
        <v>44099</v>
      </c>
      <c r="T388" s="5">
        <v>44115</v>
      </c>
      <c r="U388" s="7">
        <v>44116.581817129627</v>
      </c>
      <c r="V388" s="4">
        <v>2</v>
      </c>
      <c r="W388" s="6">
        <v>342000</v>
      </c>
      <c r="X388" s="1" t="s">
        <v>1459</v>
      </c>
      <c r="Y388" s="4">
        <v>1</v>
      </c>
      <c r="Z388" s="6">
        <v>342000</v>
      </c>
      <c r="AA388" s="1" t="s">
        <v>1976</v>
      </c>
      <c r="AB388" s="6">
        <v>1710</v>
      </c>
      <c r="AC388" s="1" t="s">
        <v>1124</v>
      </c>
      <c r="AD388" s="1" t="s">
        <v>1800</v>
      </c>
      <c r="AE388" s="1" t="s">
        <v>1286</v>
      </c>
      <c r="AF388" s="1" t="s">
        <v>1463</v>
      </c>
      <c r="AG388" s="6">
        <v>341935.57</v>
      </c>
      <c r="AH388" s="6">
        <v>341935.57</v>
      </c>
      <c r="AI388" s="1" t="s">
        <v>1882</v>
      </c>
      <c r="AJ388" s="6">
        <v>64.429999999993015</v>
      </c>
      <c r="AK388" s="6">
        <v>1.8839181286547666E-4</v>
      </c>
      <c r="AL388" s="1" t="s">
        <v>1882</v>
      </c>
      <c r="AM388" s="1" t="s">
        <v>568</v>
      </c>
      <c r="AN388" s="1" t="s">
        <v>1174</v>
      </c>
      <c r="AO388" s="1" t="s">
        <v>66</v>
      </c>
      <c r="AP388" s="6">
        <v>64.429999999993015</v>
      </c>
      <c r="AQ388" s="6">
        <v>1.8839181286547666E-4</v>
      </c>
      <c r="AR388" s="2" t="str">
        <f>HYPERLINK("https://auction.openprocurement.org/tenders/a7c1228aae1c4427af3c6846fefb9ee8")</f>
        <v>https://auction.openprocurement.org/tenders/a7c1228aae1c4427af3c6846fefb9ee8</v>
      </c>
      <c r="AS388" s="7">
        <v>44117.527679934406</v>
      </c>
      <c r="AT388" s="5">
        <v>44128</v>
      </c>
      <c r="AU388" s="5">
        <v>44138</v>
      </c>
      <c r="AV388" s="1" t="s">
        <v>1941</v>
      </c>
      <c r="AW388" s="7">
        <v>44132.620027811456</v>
      </c>
      <c r="AX388" s="1" t="s">
        <v>566</v>
      </c>
      <c r="AY388" s="6">
        <v>341935.57</v>
      </c>
      <c r="AZ388" s="1"/>
      <c r="BA388" s="5">
        <v>44196</v>
      </c>
      <c r="BB388" s="7">
        <v>44196</v>
      </c>
      <c r="BC388" s="1" t="s">
        <v>1997</v>
      </c>
      <c r="BD388" s="1"/>
      <c r="BE388" s="1"/>
      <c r="BF388" s="1" t="s">
        <v>570</v>
      </c>
    </row>
    <row r="389" spans="1:58">
      <c r="A389" s="4">
        <v>384</v>
      </c>
      <c r="B389" s="2" t="str">
        <f>HYPERLINK("https://my.zakupki.prom.ua/remote/dispatcher/state_purchase_view/22940750", "UA-2021-01-13-004254-a")</f>
        <v>UA-2021-01-13-004254-a</v>
      </c>
      <c r="C389" s="2" t="s">
        <v>1459</v>
      </c>
      <c r="D389" s="1" t="s">
        <v>1582</v>
      </c>
      <c r="E389" s="1" t="s">
        <v>1582</v>
      </c>
      <c r="F389" s="1" t="s">
        <v>1049</v>
      </c>
      <c r="G389" s="1" t="s">
        <v>1364</v>
      </c>
      <c r="H389" s="1" t="s">
        <v>1800</v>
      </c>
      <c r="I389" s="1" t="s">
        <v>1379</v>
      </c>
      <c r="J389" s="1" t="s">
        <v>819</v>
      </c>
      <c r="K389" s="1" t="s">
        <v>1287</v>
      </c>
      <c r="L389" s="1" t="s">
        <v>1216</v>
      </c>
      <c r="M389" s="1" t="s">
        <v>119</v>
      </c>
      <c r="N389" s="1" t="s">
        <v>119</v>
      </c>
      <c r="O389" s="1" t="s">
        <v>119</v>
      </c>
      <c r="P389" s="5">
        <v>44209</v>
      </c>
      <c r="Q389" s="1"/>
      <c r="R389" s="1"/>
      <c r="S389" s="1"/>
      <c r="T389" s="1"/>
      <c r="U389" s="1" t="s">
        <v>1922</v>
      </c>
      <c r="V389" s="4">
        <v>1</v>
      </c>
      <c r="W389" s="6">
        <v>90000</v>
      </c>
      <c r="X389" s="1" t="s">
        <v>1459</v>
      </c>
      <c r="Y389" s="4">
        <v>1</v>
      </c>
      <c r="Z389" s="6">
        <v>90000</v>
      </c>
      <c r="AA389" s="1" t="s">
        <v>1976</v>
      </c>
      <c r="AB389" s="1" t="s">
        <v>1964</v>
      </c>
      <c r="AC389" s="1" t="s">
        <v>1124</v>
      </c>
      <c r="AD389" s="1" t="s">
        <v>1800</v>
      </c>
      <c r="AE389" s="1" t="s">
        <v>1286</v>
      </c>
      <c r="AF389" s="1" t="s">
        <v>1463</v>
      </c>
      <c r="AG389" s="6">
        <v>90000</v>
      </c>
      <c r="AH389" s="6">
        <v>90000</v>
      </c>
      <c r="AI389" s="1"/>
      <c r="AJ389" s="1"/>
      <c r="AK389" s="1"/>
      <c r="AL389" s="1" t="s">
        <v>1492</v>
      </c>
      <c r="AM389" s="1" t="s">
        <v>444</v>
      </c>
      <c r="AN389" s="1"/>
      <c r="AO389" s="1" t="s">
        <v>4</v>
      </c>
      <c r="AP389" s="1"/>
      <c r="AQ389" s="1"/>
      <c r="AR389" s="2"/>
      <c r="AS389" s="1"/>
      <c r="AT389" s="1"/>
      <c r="AU389" s="1"/>
      <c r="AV389" s="1" t="s">
        <v>1941</v>
      </c>
      <c r="AW389" s="7">
        <v>44209.647926790058</v>
      </c>
      <c r="AX389" s="1" t="s">
        <v>1091</v>
      </c>
      <c r="AY389" s="6">
        <v>90000</v>
      </c>
      <c r="AZ389" s="1"/>
      <c r="BA389" s="5">
        <v>44561</v>
      </c>
      <c r="BB389" s="7">
        <v>44561</v>
      </c>
      <c r="BC389" s="1" t="s">
        <v>1997</v>
      </c>
      <c r="BD389" s="1"/>
      <c r="BE389" s="1"/>
      <c r="BF389" s="1" t="s">
        <v>118</v>
      </c>
    </row>
    <row r="390" spans="1:58">
      <c r="A390" s="4">
        <v>385</v>
      </c>
      <c r="B390" s="2" t="str">
        <f>HYPERLINK("https://my.zakupki.prom.ua/remote/dispatcher/state_purchase_view/22968694", "UA-2021-01-15-000890-a")</f>
        <v>UA-2021-01-15-000890-a</v>
      </c>
      <c r="C390" s="2" t="s">
        <v>1459</v>
      </c>
      <c r="D390" s="1" t="s">
        <v>1813</v>
      </c>
      <c r="E390" s="1" t="s">
        <v>1813</v>
      </c>
      <c r="F390" s="1" t="s">
        <v>1027</v>
      </c>
      <c r="G390" s="1" t="s">
        <v>1364</v>
      </c>
      <c r="H390" s="1" t="s">
        <v>1800</v>
      </c>
      <c r="I390" s="1" t="s">
        <v>1379</v>
      </c>
      <c r="J390" s="1" t="s">
        <v>819</v>
      </c>
      <c r="K390" s="1" t="s">
        <v>1287</v>
      </c>
      <c r="L390" s="1" t="s">
        <v>1216</v>
      </c>
      <c r="M390" s="1" t="s">
        <v>119</v>
      </c>
      <c r="N390" s="1" t="s">
        <v>119</v>
      </c>
      <c r="O390" s="1" t="s">
        <v>119</v>
      </c>
      <c r="P390" s="5">
        <v>44211</v>
      </c>
      <c r="Q390" s="1"/>
      <c r="R390" s="1"/>
      <c r="S390" s="1"/>
      <c r="T390" s="1"/>
      <c r="U390" s="1" t="s">
        <v>1922</v>
      </c>
      <c r="V390" s="4">
        <v>1</v>
      </c>
      <c r="W390" s="6">
        <v>18173.16</v>
      </c>
      <c r="X390" s="1" t="s">
        <v>1459</v>
      </c>
      <c r="Y390" s="4">
        <v>1</v>
      </c>
      <c r="Z390" s="6">
        <v>18173.16</v>
      </c>
      <c r="AA390" s="1" t="s">
        <v>1976</v>
      </c>
      <c r="AB390" s="1" t="s">
        <v>1964</v>
      </c>
      <c r="AC390" s="1" t="s">
        <v>1124</v>
      </c>
      <c r="AD390" s="1" t="s">
        <v>1800</v>
      </c>
      <c r="AE390" s="1" t="s">
        <v>1286</v>
      </c>
      <c r="AF390" s="1" t="s">
        <v>1463</v>
      </c>
      <c r="AG390" s="6">
        <v>18173.16</v>
      </c>
      <c r="AH390" s="6">
        <v>18173.16</v>
      </c>
      <c r="AI390" s="1"/>
      <c r="AJ390" s="1"/>
      <c r="AK390" s="1"/>
      <c r="AL390" s="1" t="s">
        <v>1766</v>
      </c>
      <c r="AM390" s="1" t="s">
        <v>799</v>
      </c>
      <c r="AN390" s="1"/>
      <c r="AO390" s="1" t="s">
        <v>197</v>
      </c>
      <c r="AP390" s="1"/>
      <c r="AQ390" s="1"/>
      <c r="AR390" s="2"/>
      <c r="AS390" s="1"/>
      <c r="AT390" s="1"/>
      <c r="AU390" s="1"/>
      <c r="AV390" s="1" t="s">
        <v>1941</v>
      </c>
      <c r="AW390" s="7">
        <v>44211.404763948492</v>
      </c>
      <c r="AX390" s="1" t="s">
        <v>1070</v>
      </c>
      <c r="AY390" s="6">
        <v>18173.16</v>
      </c>
      <c r="AZ390" s="1"/>
      <c r="BA390" s="5">
        <v>44561</v>
      </c>
      <c r="BB390" s="7">
        <v>44561</v>
      </c>
      <c r="BC390" s="1" t="s">
        <v>1997</v>
      </c>
      <c r="BD390" s="1"/>
      <c r="BE390" s="1"/>
      <c r="BF390" s="1" t="s">
        <v>118</v>
      </c>
    </row>
    <row r="391" spans="1:58">
      <c r="A391" s="4">
        <v>386</v>
      </c>
      <c r="B391" s="2" t="str">
        <f>HYPERLINK("https://my.zakupki.prom.ua/remote/dispatcher/state_purchase_view/18933496", "UA-2020-09-02-001768-b")</f>
        <v>UA-2020-09-02-001768-b</v>
      </c>
      <c r="C391" s="2" t="s">
        <v>1459</v>
      </c>
      <c r="D391" s="1" t="s">
        <v>457</v>
      </c>
      <c r="E391" s="1" t="s">
        <v>457</v>
      </c>
      <c r="F391" s="1" t="s">
        <v>456</v>
      </c>
      <c r="G391" s="1" t="s">
        <v>1346</v>
      </c>
      <c r="H391" s="1" t="s">
        <v>1800</v>
      </c>
      <c r="I391" s="1" t="s">
        <v>1379</v>
      </c>
      <c r="J391" s="1" t="s">
        <v>819</v>
      </c>
      <c r="K391" s="1" t="s">
        <v>1287</v>
      </c>
      <c r="L391" s="1" t="s">
        <v>1216</v>
      </c>
      <c r="M391" s="1" t="s">
        <v>119</v>
      </c>
      <c r="N391" s="1" t="s">
        <v>119</v>
      </c>
      <c r="O391" s="1" t="s">
        <v>119</v>
      </c>
      <c r="P391" s="5">
        <v>44076</v>
      </c>
      <c r="Q391" s="5">
        <v>44076</v>
      </c>
      <c r="R391" s="5">
        <v>44082</v>
      </c>
      <c r="S391" s="5">
        <v>44082</v>
      </c>
      <c r="T391" s="5">
        <v>44085</v>
      </c>
      <c r="U391" s="1" t="s">
        <v>1923</v>
      </c>
      <c r="V391" s="4">
        <v>1</v>
      </c>
      <c r="W391" s="6">
        <v>22000</v>
      </c>
      <c r="X391" s="1" t="s">
        <v>1459</v>
      </c>
      <c r="Y391" s="4">
        <v>5</v>
      </c>
      <c r="Z391" s="6">
        <v>4400</v>
      </c>
      <c r="AA391" s="1" t="s">
        <v>2024</v>
      </c>
      <c r="AB391" s="6">
        <v>110</v>
      </c>
      <c r="AC391" s="1" t="s">
        <v>1124</v>
      </c>
      <c r="AD391" s="1" t="s">
        <v>1800</v>
      </c>
      <c r="AE391" s="1" t="s">
        <v>1286</v>
      </c>
      <c r="AF391" s="1" t="s">
        <v>1463</v>
      </c>
      <c r="AG391" s="6">
        <v>21913.02</v>
      </c>
      <c r="AH391" s="6">
        <v>4382.6040000000003</v>
      </c>
      <c r="AI391" s="1" t="s">
        <v>1856</v>
      </c>
      <c r="AJ391" s="6">
        <v>86.979999999999563</v>
      </c>
      <c r="AK391" s="6">
        <v>3.9536363636363441E-3</v>
      </c>
      <c r="AL391" s="1" t="s">
        <v>1856</v>
      </c>
      <c r="AM391" s="1" t="s">
        <v>518</v>
      </c>
      <c r="AN391" s="1" t="s">
        <v>1190</v>
      </c>
      <c r="AO391" s="1" t="s">
        <v>92</v>
      </c>
      <c r="AP391" s="6">
        <v>86.979999999999563</v>
      </c>
      <c r="AQ391" s="6">
        <v>3.9536363636363441E-3</v>
      </c>
      <c r="AR391" s="2"/>
      <c r="AS391" s="7">
        <v>44089.482612809952</v>
      </c>
      <c r="AT391" s="5">
        <v>44091</v>
      </c>
      <c r="AU391" s="5">
        <v>44112</v>
      </c>
      <c r="AV391" s="1" t="s">
        <v>1941</v>
      </c>
      <c r="AW391" s="7">
        <v>44092.556936545414</v>
      </c>
      <c r="AX391" s="1" t="s">
        <v>392</v>
      </c>
      <c r="AY391" s="6">
        <v>21913.02</v>
      </c>
      <c r="AZ391" s="5">
        <v>44197</v>
      </c>
      <c r="BA391" s="5">
        <v>44561</v>
      </c>
      <c r="BB391" s="7">
        <v>44196</v>
      </c>
      <c r="BC391" s="1" t="s">
        <v>1997</v>
      </c>
      <c r="BD391" s="1"/>
      <c r="BE391" s="1"/>
      <c r="BF391" s="1" t="s">
        <v>519</v>
      </c>
    </row>
    <row r="392" spans="1:58">
      <c r="A392" s="4">
        <v>387</v>
      </c>
      <c r="B392" s="2" t="str">
        <f>HYPERLINK("https://my.zakupki.prom.ua/remote/dispatcher/state_purchase_view/24040313", "UA-2021-02-16-001603-a")</f>
        <v>UA-2021-02-16-001603-a</v>
      </c>
      <c r="C392" s="2" t="s">
        <v>1459</v>
      </c>
      <c r="D392" s="1" t="s">
        <v>1451</v>
      </c>
      <c r="E392" s="1" t="s">
        <v>1630</v>
      </c>
      <c r="F392" s="1" t="s">
        <v>758</v>
      </c>
      <c r="G392" s="1" t="s">
        <v>1280</v>
      </c>
      <c r="H392" s="1" t="s">
        <v>1800</v>
      </c>
      <c r="I392" s="1" t="s">
        <v>1379</v>
      </c>
      <c r="J392" s="1" t="s">
        <v>819</v>
      </c>
      <c r="K392" s="1" t="s">
        <v>1287</v>
      </c>
      <c r="L392" s="1" t="s">
        <v>1216</v>
      </c>
      <c r="M392" s="1" t="s">
        <v>119</v>
      </c>
      <c r="N392" s="1" t="s">
        <v>119</v>
      </c>
      <c r="O392" s="1" t="s">
        <v>119</v>
      </c>
      <c r="P392" s="5">
        <v>44243</v>
      </c>
      <c r="Q392" s="5">
        <v>44243</v>
      </c>
      <c r="R392" s="5">
        <v>44249</v>
      </c>
      <c r="S392" s="5">
        <v>44243</v>
      </c>
      <c r="T392" s="5">
        <v>44259</v>
      </c>
      <c r="U392" s="1" t="s">
        <v>1923</v>
      </c>
      <c r="V392" s="4">
        <v>1</v>
      </c>
      <c r="W392" s="6">
        <v>735258</v>
      </c>
      <c r="X392" s="1" t="s">
        <v>1459</v>
      </c>
      <c r="Y392" s="1" t="s">
        <v>1956</v>
      </c>
      <c r="Z392" s="1" t="s">
        <v>1956</v>
      </c>
      <c r="AA392" s="1" t="s">
        <v>1956</v>
      </c>
      <c r="AB392" s="6">
        <v>3676.29</v>
      </c>
      <c r="AC392" s="1" t="s">
        <v>1124</v>
      </c>
      <c r="AD392" s="1" t="s">
        <v>1800</v>
      </c>
      <c r="AE392" s="1" t="s">
        <v>1286</v>
      </c>
      <c r="AF392" s="1" t="s">
        <v>1463</v>
      </c>
      <c r="AG392" s="1"/>
      <c r="AH392" s="1" t="s">
        <v>1956</v>
      </c>
      <c r="AI392" s="1"/>
      <c r="AJ392" s="1"/>
      <c r="AK392" s="1"/>
      <c r="AL392" s="1"/>
      <c r="AM392" s="1"/>
      <c r="AN392" s="1"/>
      <c r="AO392" s="1"/>
      <c r="AP392" s="1"/>
      <c r="AQ392" s="1"/>
      <c r="AR392" s="2"/>
      <c r="AS392" s="1"/>
      <c r="AT392" s="1"/>
      <c r="AU392" s="1"/>
      <c r="AV392" s="1" t="s">
        <v>1942</v>
      </c>
      <c r="AW392" s="7">
        <v>44259.000913516298</v>
      </c>
      <c r="AX392" s="1"/>
      <c r="AY392" s="1"/>
      <c r="AZ392" s="1"/>
      <c r="BA392" s="5">
        <v>44561</v>
      </c>
      <c r="BB392" s="1"/>
      <c r="BC392" s="1"/>
      <c r="BD392" s="1"/>
      <c r="BE392" s="1"/>
      <c r="BF392" s="1" t="s">
        <v>527</v>
      </c>
    </row>
    <row r="393" spans="1:58">
      <c r="A393" s="4">
        <v>388</v>
      </c>
      <c r="B393" s="2" t="str">
        <f>HYPERLINK("https://my.zakupki.prom.ua/remote/dispatcher/state_purchase_view/24428301", "UA-2021-02-26-002899-a")</f>
        <v>UA-2021-02-26-002899-a</v>
      </c>
      <c r="C393" s="2" t="s">
        <v>1459</v>
      </c>
      <c r="D393" s="1" t="s">
        <v>1599</v>
      </c>
      <c r="E393" s="1" t="s">
        <v>1598</v>
      </c>
      <c r="F393" s="1" t="s">
        <v>1026</v>
      </c>
      <c r="G393" s="1" t="s">
        <v>1346</v>
      </c>
      <c r="H393" s="1" t="s">
        <v>1800</v>
      </c>
      <c r="I393" s="1" t="s">
        <v>1379</v>
      </c>
      <c r="J393" s="1" t="s">
        <v>819</v>
      </c>
      <c r="K393" s="1" t="s">
        <v>1287</v>
      </c>
      <c r="L393" s="1" t="s">
        <v>1216</v>
      </c>
      <c r="M393" s="1" t="s">
        <v>119</v>
      </c>
      <c r="N393" s="1" t="s">
        <v>119</v>
      </c>
      <c r="O393" s="1" t="s">
        <v>119</v>
      </c>
      <c r="P393" s="5">
        <v>44253</v>
      </c>
      <c r="Q393" s="5">
        <v>44253</v>
      </c>
      <c r="R393" s="5">
        <v>44259</v>
      </c>
      <c r="S393" s="5">
        <v>44259</v>
      </c>
      <c r="T393" s="5">
        <v>44265</v>
      </c>
      <c r="U393" s="1" t="s">
        <v>1923</v>
      </c>
      <c r="V393" s="4">
        <v>0</v>
      </c>
      <c r="W393" s="6">
        <v>5500</v>
      </c>
      <c r="X393" s="1" t="s">
        <v>1459</v>
      </c>
      <c r="Y393" s="4">
        <v>1</v>
      </c>
      <c r="Z393" s="6">
        <v>5500</v>
      </c>
      <c r="AA393" s="1" t="s">
        <v>1976</v>
      </c>
      <c r="AB393" s="6">
        <v>27.5</v>
      </c>
      <c r="AC393" s="1" t="s">
        <v>1124</v>
      </c>
      <c r="AD393" s="1" t="s">
        <v>1800</v>
      </c>
      <c r="AE393" s="1" t="s">
        <v>1286</v>
      </c>
      <c r="AF393" s="1" t="s">
        <v>1463</v>
      </c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2"/>
      <c r="AS393" s="1"/>
      <c r="AT393" s="1"/>
      <c r="AU393" s="1"/>
      <c r="AV393" s="1" t="s">
        <v>1942</v>
      </c>
      <c r="AW393" s="7">
        <v>44265.501615738554</v>
      </c>
      <c r="AX393" s="1"/>
      <c r="AY393" s="1"/>
      <c r="AZ393" s="1"/>
      <c r="BA393" s="5">
        <v>44286</v>
      </c>
      <c r="BB393" s="1"/>
      <c r="BC393" s="1"/>
      <c r="BD393" s="1"/>
      <c r="BE393" s="1"/>
      <c r="BF393" s="1"/>
    </row>
    <row r="394" spans="1:58">
      <c r="A394" s="4">
        <v>389</v>
      </c>
      <c r="B394" s="2" t="str">
        <f>HYPERLINK("https://my.zakupki.prom.ua/remote/dispatcher/state_purchase_view/24698248", "UA-2021-03-09-005549-c")</f>
        <v>UA-2021-03-09-005549-c</v>
      </c>
      <c r="C394" s="2" t="s">
        <v>1459</v>
      </c>
      <c r="D394" s="1" t="s">
        <v>1451</v>
      </c>
      <c r="E394" s="1" t="s">
        <v>1629</v>
      </c>
      <c r="F394" s="1" t="s">
        <v>758</v>
      </c>
      <c r="G394" s="1" t="s">
        <v>1280</v>
      </c>
      <c r="H394" s="1" t="s">
        <v>1800</v>
      </c>
      <c r="I394" s="1" t="s">
        <v>1379</v>
      </c>
      <c r="J394" s="1" t="s">
        <v>819</v>
      </c>
      <c r="K394" s="1" t="s">
        <v>1287</v>
      </c>
      <c r="L394" s="1" t="s">
        <v>1216</v>
      </c>
      <c r="M394" s="1" t="s">
        <v>119</v>
      </c>
      <c r="N394" s="1" t="s">
        <v>119</v>
      </c>
      <c r="O394" s="1" t="s">
        <v>119</v>
      </c>
      <c r="P394" s="5">
        <v>44264</v>
      </c>
      <c r="Q394" s="5">
        <v>44264</v>
      </c>
      <c r="R394" s="5">
        <v>44271</v>
      </c>
      <c r="S394" s="5">
        <v>44264</v>
      </c>
      <c r="T394" s="5">
        <v>44281</v>
      </c>
      <c r="U394" s="7">
        <v>44281.478495370371</v>
      </c>
      <c r="V394" s="4">
        <v>2</v>
      </c>
      <c r="W394" s="6">
        <v>735258</v>
      </c>
      <c r="X394" s="1" t="s">
        <v>1459</v>
      </c>
      <c r="Y394" s="1" t="s">
        <v>1956</v>
      </c>
      <c r="Z394" s="1" t="s">
        <v>1956</v>
      </c>
      <c r="AA394" s="1" t="s">
        <v>1956</v>
      </c>
      <c r="AB394" s="6">
        <v>3676.29</v>
      </c>
      <c r="AC394" s="1" t="s">
        <v>1124</v>
      </c>
      <c r="AD394" s="1" t="s">
        <v>1800</v>
      </c>
      <c r="AE394" s="1" t="s">
        <v>1286</v>
      </c>
      <c r="AF394" s="1" t="s">
        <v>1463</v>
      </c>
      <c r="AG394" s="6">
        <v>709947.79</v>
      </c>
      <c r="AH394" s="1" t="s">
        <v>1956</v>
      </c>
      <c r="AI394" s="1" t="s">
        <v>1862</v>
      </c>
      <c r="AJ394" s="6">
        <v>25310.209999999963</v>
      </c>
      <c r="AK394" s="6">
        <v>3.4423576486076947E-2</v>
      </c>
      <c r="AL394" s="1" t="s">
        <v>1862</v>
      </c>
      <c r="AM394" s="1" t="s">
        <v>526</v>
      </c>
      <c r="AN394" s="1" t="s">
        <v>1183</v>
      </c>
      <c r="AO394" s="1" t="s">
        <v>96</v>
      </c>
      <c r="AP394" s="6">
        <v>25310.209999999963</v>
      </c>
      <c r="AQ394" s="6">
        <v>3.4423576486076947E-2</v>
      </c>
      <c r="AR394" s="2" t="str">
        <f>HYPERLINK("https://auction.openprocurement.org/tenders/e81b35038f8d495a96544d52422809d5")</f>
        <v>https://auction.openprocurement.org/tenders/e81b35038f8d495a96544d52422809d5</v>
      </c>
      <c r="AS394" s="7">
        <v>44284.485815949251</v>
      </c>
      <c r="AT394" s="5">
        <v>44295</v>
      </c>
      <c r="AU394" s="5">
        <v>44305</v>
      </c>
      <c r="AV394" s="1" t="s">
        <v>1941</v>
      </c>
      <c r="AW394" s="7">
        <v>44295.447184845129</v>
      </c>
      <c r="AX394" s="1" t="s">
        <v>285</v>
      </c>
      <c r="AY394" s="6">
        <v>709947.79</v>
      </c>
      <c r="AZ394" s="1"/>
      <c r="BA394" s="5">
        <v>44561</v>
      </c>
      <c r="BB394" s="7">
        <v>44561</v>
      </c>
      <c r="BC394" s="1" t="s">
        <v>1997</v>
      </c>
      <c r="BD394" s="1"/>
      <c r="BE394" s="1"/>
      <c r="BF394" s="1" t="s">
        <v>529</v>
      </c>
    </row>
    <row r="395" spans="1:58">
      <c r="A395" s="4">
        <v>390</v>
      </c>
      <c r="B395" s="2" t="str">
        <f>HYPERLINK("https://my.zakupki.prom.ua/remote/dispatcher/state_purchase_view/27361590", "UA-2021-06-10-005948-b")</f>
        <v>UA-2021-06-10-005948-b</v>
      </c>
      <c r="C395" s="2" t="str">
        <f>HYPERLINK("https://my.zakupki.prom.ua/remote/dispatcher/state_purchase_lot_view/665675", "UA-2021-06-10-005948-b-L1")</f>
        <v>UA-2021-06-10-005948-b-L1</v>
      </c>
      <c r="D395" s="1" t="s">
        <v>1673</v>
      </c>
      <c r="E395" s="1" t="s">
        <v>1119</v>
      </c>
      <c r="F395" s="1" t="s">
        <v>364</v>
      </c>
      <c r="G395" s="1" t="s">
        <v>1280</v>
      </c>
      <c r="H395" s="1" t="s">
        <v>1800</v>
      </c>
      <c r="I395" s="1" t="s">
        <v>1379</v>
      </c>
      <c r="J395" s="1" t="s">
        <v>819</v>
      </c>
      <c r="K395" s="1" t="s">
        <v>1287</v>
      </c>
      <c r="L395" s="1" t="s">
        <v>1216</v>
      </c>
      <c r="M395" s="1" t="s">
        <v>120</v>
      </c>
      <c r="N395" s="1" t="s">
        <v>120</v>
      </c>
      <c r="O395" s="1" t="s">
        <v>120</v>
      </c>
      <c r="P395" s="5">
        <v>44357</v>
      </c>
      <c r="Q395" s="5">
        <v>44357</v>
      </c>
      <c r="R395" s="5">
        <v>44365</v>
      </c>
      <c r="S395" s="5">
        <v>44357</v>
      </c>
      <c r="T395" s="5">
        <v>44375</v>
      </c>
      <c r="U395" s="7">
        <v>44376.4925</v>
      </c>
      <c r="V395" s="4">
        <v>2</v>
      </c>
      <c r="W395" s="6">
        <v>527000</v>
      </c>
      <c r="X395" s="6">
        <v>388500</v>
      </c>
      <c r="Y395" s="4">
        <v>111</v>
      </c>
      <c r="Z395" s="6">
        <v>3500</v>
      </c>
      <c r="AA395" s="1" t="s">
        <v>2024</v>
      </c>
      <c r="AB395" s="6">
        <v>1942.5</v>
      </c>
      <c r="AC395" s="1" t="s">
        <v>1124</v>
      </c>
      <c r="AD395" s="1" t="s">
        <v>1800</v>
      </c>
      <c r="AE395" s="1" t="s">
        <v>1286</v>
      </c>
      <c r="AF395" s="1" t="s">
        <v>1463</v>
      </c>
      <c r="AG395" s="6">
        <v>376290</v>
      </c>
      <c r="AH395" s="6">
        <v>3390</v>
      </c>
      <c r="AI395" s="1" t="s">
        <v>1703</v>
      </c>
      <c r="AJ395" s="6">
        <v>12210</v>
      </c>
      <c r="AK395" s="6">
        <v>3.1428571428571431E-2</v>
      </c>
      <c r="AL395" s="1" t="s">
        <v>1703</v>
      </c>
      <c r="AM395" s="1" t="s">
        <v>916</v>
      </c>
      <c r="AN395" s="1" t="s">
        <v>1170</v>
      </c>
      <c r="AO395" s="1" t="s">
        <v>79</v>
      </c>
      <c r="AP395" s="6">
        <v>12210</v>
      </c>
      <c r="AQ395" s="6">
        <v>3.1428571428571431E-2</v>
      </c>
      <c r="AR395" s="2" t="str">
        <f>HYPERLINK("https://auction.openprocurement.org/tenders/7f97cb92f95947cb9c17b28f01768c6c_41053cc8d43d4edfaccef418c23c1a04")</f>
        <v>https://auction.openprocurement.org/tenders/7f97cb92f95947cb9c17b28f01768c6c_41053cc8d43d4edfaccef418c23c1a04</v>
      </c>
      <c r="AS395" s="7">
        <v>44377.585800989698</v>
      </c>
      <c r="AT395" s="5">
        <v>44388</v>
      </c>
      <c r="AU395" s="5">
        <v>44398</v>
      </c>
      <c r="AV395" s="1" t="s">
        <v>1940</v>
      </c>
      <c r="AW395" s="7">
        <v>44389.521771915926</v>
      </c>
      <c r="AX395" s="1" t="s">
        <v>343</v>
      </c>
      <c r="AY395" s="6">
        <v>376290</v>
      </c>
      <c r="AZ395" s="1"/>
      <c r="BA395" s="5">
        <v>44561</v>
      </c>
      <c r="BB395" s="7">
        <v>44561</v>
      </c>
      <c r="BC395" s="1" t="s">
        <v>1997</v>
      </c>
      <c r="BD395" s="1"/>
      <c r="BE395" s="1"/>
      <c r="BF395" s="1" t="s">
        <v>918</v>
      </c>
    </row>
    <row r="396" spans="1:58">
      <c r="A396" s="4">
        <v>391</v>
      </c>
      <c r="B396" s="2" t="str">
        <f>HYPERLINK("https://my.zakupki.prom.ua/remote/dispatcher/state_purchase_view/27361590", "UA-2021-06-10-005948-b")</f>
        <v>UA-2021-06-10-005948-b</v>
      </c>
      <c r="C396" s="2" t="str">
        <f>HYPERLINK("https://my.zakupki.prom.ua/remote/dispatcher/state_purchase_lot_view/665676", "UA-2021-06-10-005948-b-L2")</f>
        <v>UA-2021-06-10-005948-b-L2</v>
      </c>
      <c r="D396" s="1" t="s">
        <v>1672</v>
      </c>
      <c r="E396" s="1" t="s">
        <v>1115</v>
      </c>
      <c r="F396" s="1" t="s">
        <v>364</v>
      </c>
      <c r="G396" s="1" t="s">
        <v>1280</v>
      </c>
      <c r="H396" s="1" t="s">
        <v>1800</v>
      </c>
      <c r="I396" s="1" t="s">
        <v>1379</v>
      </c>
      <c r="J396" s="1" t="s">
        <v>819</v>
      </c>
      <c r="K396" s="1" t="s">
        <v>1287</v>
      </c>
      <c r="L396" s="1" t="s">
        <v>1216</v>
      </c>
      <c r="M396" s="1" t="s">
        <v>120</v>
      </c>
      <c r="N396" s="1" t="s">
        <v>120</v>
      </c>
      <c r="O396" s="1" t="s">
        <v>120</v>
      </c>
      <c r="P396" s="5">
        <v>44357</v>
      </c>
      <c r="Q396" s="5">
        <v>44357</v>
      </c>
      <c r="R396" s="5">
        <v>44365</v>
      </c>
      <c r="S396" s="5">
        <v>44357</v>
      </c>
      <c r="T396" s="5">
        <v>44375</v>
      </c>
      <c r="U396" s="7">
        <v>44376.507013888891</v>
      </c>
      <c r="V396" s="4">
        <v>2</v>
      </c>
      <c r="W396" s="6">
        <v>527000</v>
      </c>
      <c r="X396" s="6">
        <v>138500</v>
      </c>
      <c r="Y396" s="4">
        <v>43</v>
      </c>
      <c r="Z396" s="6">
        <v>3220.93</v>
      </c>
      <c r="AA396" s="1" t="s">
        <v>2024</v>
      </c>
      <c r="AB396" s="6">
        <v>692.5</v>
      </c>
      <c r="AC396" s="1" t="s">
        <v>1124</v>
      </c>
      <c r="AD396" s="1" t="s">
        <v>1800</v>
      </c>
      <c r="AE396" s="1" t="s">
        <v>1286</v>
      </c>
      <c r="AF396" s="1" t="s">
        <v>1463</v>
      </c>
      <c r="AG396" s="6">
        <v>137804.47</v>
      </c>
      <c r="AH396" s="6">
        <v>3204.7551162790696</v>
      </c>
      <c r="AI396" s="1" t="s">
        <v>1735</v>
      </c>
      <c r="AJ396" s="6">
        <v>695.52999999999884</v>
      </c>
      <c r="AK396" s="6">
        <v>5.0218772563176807E-3</v>
      </c>
      <c r="AL396" s="1" t="s">
        <v>1735</v>
      </c>
      <c r="AM396" s="1" t="s">
        <v>855</v>
      </c>
      <c r="AN396" s="1" t="s">
        <v>1196</v>
      </c>
      <c r="AO396" s="1" t="s">
        <v>59</v>
      </c>
      <c r="AP396" s="6">
        <v>695.52999999999884</v>
      </c>
      <c r="AQ396" s="6">
        <v>5.0218772563176807E-3</v>
      </c>
      <c r="AR396" s="2" t="str">
        <f>HYPERLINK("https://auction.openprocurement.org/tenders/7f97cb92f95947cb9c17b28f01768c6c_77d53fb6cc1f491da17fd3c2bf5a2f9e")</f>
        <v>https://auction.openprocurement.org/tenders/7f97cb92f95947cb9c17b28f01768c6c_77d53fb6cc1f491da17fd3c2bf5a2f9e</v>
      </c>
      <c r="AS396" s="7">
        <v>44377.585800989698</v>
      </c>
      <c r="AT396" s="5">
        <v>44388</v>
      </c>
      <c r="AU396" s="5">
        <v>44398</v>
      </c>
      <c r="AV396" s="1" t="s">
        <v>1940</v>
      </c>
      <c r="AW396" s="7">
        <v>44389.52574657325</v>
      </c>
      <c r="AX396" s="1" t="s">
        <v>344</v>
      </c>
      <c r="AY396" s="6">
        <v>137804.47</v>
      </c>
      <c r="AZ396" s="1"/>
      <c r="BA396" s="5">
        <v>44561</v>
      </c>
      <c r="BB396" s="7">
        <v>44561</v>
      </c>
      <c r="BC396" s="1" t="s">
        <v>1997</v>
      </c>
      <c r="BD396" s="1"/>
      <c r="BE396" s="1"/>
      <c r="BF396" s="1" t="s">
        <v>856</v>
      </c>
    </row>
    <row r="397" spans="1:58">
      <c r="A397" s="4">
        <v>392</v>
      </c>
      <c r="B397" s="2" t="str">
        <f>HYPERLINK("https://my.zakupki.prom.ua/remote/dispatcher/state_purchase_view/26600741", "UA-2021-05-17-012121-b")</f>
        <v>UA-2021-05-17-012121-b</v>
      </c>
      <c r="C397" s="2" t="s">
        <v>1459</v>
      </c>
      <c r="D397" s="1" t="s">
        <v>1271</v>
      </c>
      <c r="E397" s="1" t="s">
        <v>1616</v>
      </c>
      <c r="F397" s="1" t="s">
        <v>721</v>
      </c>
      <c r="G397" s="1" t="s">
        <v>1280</v>
      </c>
      <c r="H397" s="1" t="s">
        <v>1800</v>
      </c>
      <c r="I397" s="1" t="s">
        <v>1379</v>
      </c>
      <c r="J397" s="1" t="s">
        <v>819</v>
      </c>
      <c r="K397" s="1" t="s">
        <v>1287</v>
      </c>
      <c r="L397" s="1" t="s">
        <v>1216</v>
      </c>
      <c r="M397" s="1" t="s">
        <v>407</v>
      </c>
      <c r="N397" s="1" t="s">
        <v>317</v>
      </c>
      <c r="O397" s="1" t="s">
        <v>317</v>
      </c>
      <c r="P397" s="5">
        <v>44333</v>
      </c>
      <c r="Q397" s="5">
        <v>44333</v>
      </c>
      <c r="R397" s="5">
        <v>44340</v>
      </c>
      <c r="S397" s="5">
        <v>44333</v>
      </c>
      <c r="T397" s="5">
        <v>44350</v>
      </c>
      <c r="U397" s="7">
        <v>44351.65415509259</v>
      </c>
      <c r="V397" s="4">
        <v>2</v>
      </c>
      <c r="W397" s="6">
        <v>298000</v>
      </c>
      <c r="X397" s="1" t="s">
        <v>1459</v>
      </c>
      <c r="Y397" s="1" t="s">
        <v>1956</v>
      </c>
      <c r="Z397" s="1" t="s">
        <v>1956</v>
      </c>
      <c r="AA397" s="1" t="s">
        <v>1956</v>
      </c>
      <c r="AB397" s="6">
        <v>1490</v>
      </c>
      <c r="AC397" s="1" t="s">
        <v>1124</v>
      </c>
      <c r="AD397" s="1" t="s">
        <v>1800</v>
      </c>
      <c r="AE397" s="1" t="s">
        <v>1286</v>
      </c>
      <c r="AF397" s="1" t="s">
        <v>1463</v>
      </c>
      <c r="AG397" s="6">
        <v>297994.76</v>
      </c>
      <c r="AH397" s="1" t="s">
        <v>1956</v>
      </c>
      <c r="AI397" s="1" t="s">
        <v>1870</v>
      </c>
      <c r="AJ397" s="6">
        <v>5.2399999999906868</v>
      </c>
      <c r="AK397" s="6">
        <v>1.7583892617418413E-5</v>
      </c>
      <c r="AL397" s="1" t="s">
        <v>1870</v>
      </c>
      <c r="AM397" s="1" t="s">
        <v>662</v>
      </c>
      <c r="AN397" s="1" t="s">
        <v>1133</v>
      </c>
      <c r="AO397" s="1" t="s">
        <v>98</v>
      </c>
      <c r="AP397" s="6">
        <v>5.2399999999906868</v>
      </c>
      <c r="AQ397" s="6">
        <v>1.7583892617418413E-5</v>
      </c>
      <c r="AR397" s="2" t="str">
        <f>HYPERLINK("https://auction.openprocurement.org/tenders/b764c64b97d64cc483f04b39cea23e04")</f>
        <v>https://auction.openprocurement.org/tenders/b764c64b97d64cc483f04b39cea23e04</v>
      </c>
      <c r="AS397" s="7">
        <v>44354.597407413312</v>
      </c>
      <c r="AT397" s="5">
        <v>44365</v>
      </c>
      <c r="AU397" s="5">
        <v>44375</v>
      </c>
      <c r="AV397" s="1" t="s">
        <v>1941</v>
      </c>
      <c r="AW397" s="7">
        <v>44369.523850113888</v>
      </c>
      <c r="AX397" s="1" t="s">
        <v>452</v>
      </c>
      <c r="AY397" s="6">
        <v>297994.76</v>
      </c>
      <c r="AZ397" s="1"/>
      <c r="BA397" s="5">
        <v>44561</v>
      </c>
      <c r="BB397" s="7">
        <v>44561</v>
      </c>
      <c r="BC397" s="1" t="s">
        <v>1997</v>
      </c>
      <c r="BD397" s="1"/>
      <c r="BE397" s="1"/>
      <c r="BF397" s="1" t="s">
        <v>663</v>
      </c>
    </row>
    <row r="398" spans="1:58">
      <c r="A398" s="4">
        <v>393</v>
      </c>
      <c r="B398" s="2" t="str">
        <f>HYPERLINK("https://my.zakupki.prom.ua/remote/dispatcher/state_purchase_view/27625800", "UA-2021-06-18-009792-c")</f>
        <v>UA-2021-06-18-009792-c</v>
      </c>
      <c r="C398" s="2" t="s">
        <v>1459</v>
      </c>
      <c r="D398" s="1" t="s">
        <v>1373</v>
      </c>
      <c r="E398" s="1" t="s">
        <v>1836</v>
      </c>
      <c r="F398" s="1" t="s">
        <v>758</v>
      </c>
      <c r="G398" s="1" t="s">
        <v>1280</v>
      </c>
      <c r="H398" s="1" t="s">
        <v>1800</v>
      </c>
      <c r="I398" s="1" t="s">
        <v>1379</v>
      </c>
      <c r="J398" s="1" t="s">
        <v>819</v>
      </c>
      <c r="K398" s="1" t="s">
        <v>1287</v>
      </c>
      <c r="L398" s="1" t="s">
        <v>1216</v>
      </c>
      <c r="M398" s="1" t="s">
        <v>119</v>
      </c>
      <c r="N398" s="1" t="s">
        <v>119</v>
      </c>
      <c r="O398" s="1" t="s">
        <v>119</v>
      </c>
      <c r="P398" s="5">
        <v>44365</v>
      </c>
      <c r="Q398" s="5">
        <v>44365</v>
      </c>
      <c r="R398" s="5">
        <v>44372</v>
      </c>
      <c r="S398" s="5">
        <v>44365</v>
      </c>
      <c r="T398" s="5">
        <v>44382</v>
      </c>
      <c r="U398" s="7">
        <v>44383.648472222223</v>
      </c>
      <c r="V398" s="4">
        <v>2</v>
      </c>
      <c r="W398" s="6">
        <v>58480</v>
      </c>
      <c r="X398" s="1" t="s">
        <v>1459</v>
      </c>
      <c r="Y398" s="1" t="s">
        <v>1956</v>
      </c>
      <c r="Z398" s="1" t="s">
        <v>1956</v>
      </c>
      <c r="AA398" s="1" t="s">
        <v>1956</v>
      </c>
      <c r="AB398" s="6">
        <v>292.39999999999998</v>
      </c>
      <c r="AC398" s="1" t="s">
        <v>1124</v>
      </c>
      <c r="AD398" s="1" t="s">
        <v>1800</v>
      </c>
      <c r="AE398" s="1" t="s">
        <v>1286</v>
      </c>
      <c r="AF398" s="1" t="s">
        <v>1463</v>
      </c>
      <c r="AG398" s="6">
        <v>58471.43</v>
      </c>
      <c r="AH398" s="1" t="s">
        <v>1956</v>
      </c>
      <c r="AI398" s="1" t="s">
        <v>1862</v>
      </c>
      <c r="AJ398" s="6">
        <v>8.569999999999709</v>
      </c>
      <c r="AK398" s="6">
        <v>1.4654582763337396E-4</v>
      </c>
      <c r="AL398" s="1" t="s">
        <v>1862</v>
      </c>
      <c r="AM398" s="1" t="s">
        <v>526</v>
      </c>
      <c r="AN398" s="1" t="s">
        <v>1183</v>
      </c>
      <c r="AO398" s="1" t="s">
        <v>96</v>
      </c>
      <c r="AP398" s="6">
        <v>8.569999999999709</v>
      </c>
      <c r="AQ398" s="6">
        <v>1.4654582763337396E-4</v>
      </c>
      <c r="AR398" s="2" t="str">
        <f>HYPERLINK("https://auction.openprocurement.org/tenders/e8965efd75284b6ea29d1dada4551fd8")</f>
        <v>https://auction.openprocurement.org/tenders/e8965efd75284b6ea29d1dada4551fd8</v>
      </c>
      <c r="AS398" s="7">
        <v>44384.476123486944</v>
      </c>
      <c r="AT398" s="1"/>
      <c r="AU398" s="1"/>
      <c r="AV398" s="1" t="s">
        <v>1996</v>
      </c>
      <c r="AW398" s="1"/>
      <c r="AX398" s="1"/>
      <c r="AY398" s="6">
        <v>58471.43</v>
      </c>
      <c r="AZ398" s="1"/>
      <c r="BA398" s="5">
        <v>44561</v>
      </c>
      <c r="BB398" s="1"/>
      <c r="BC398" s="1" t="s">
        <v>1968</v>
      </c>
      <c r="BD398" s="1"/>
      <c r="BE398" s="1"/>
      <c r="BF398" s="1" t="s">
        <v>528</v>
      </c>
    </row>
    <row r="399" spans="1:58">
      <c r="A399" s="4">
        <v>394</v>
      </c>
      <c r="B399" s="2" t="str">
        <f>HYPERLINK("https://my.zakupki.prom.ua/remote/dispatcher/state_purchase_view/12704305", "UA-2019-09-03-000089-a")</f>
        <v>UA-2019-09-03-000089-a</v>
      </c>
      <c r="C399" s="2" t="s">
        <v>1459</v>
      </c>
      <c r="D399" s="1" t="s">
        <v>1525</v>
      </c>
      <c r="E399" s="1" t="s">
        <v>1319</v>
      </c>
      <c r="F399" s="1" t="s">
        <v>1007</v>
      </c>
      <c r="G399" s="1" t="s">
        <v>1364</v>
      </c>
      <c r="H399" s="1" t="s">
        <v>1800</v>
      </c>
      <c r="I399" s="1" t="s">
        <v>1379</v>
      </c>
      <c r="J399" s="1" t="s">
        <v>819</v>
      </c>
      <c r="K399" s="1" t="s">
        <v>1287</v>
      </c>
      <c r="L399" s="1" t="s">
        <v>1658</v>
      </c>
      <c r="M399" s="1" t="s">
        <v>119</v>
      </c>
      <c r="N399" s="1" t="s">
        <v>119</v>
      </c>
      <c r="O399" s="1" t="s">
        <v>119</v>
      </c>
      <c r="P399" s="5">
        <v>43711</v>
      </c>
      <c r="Q399" s="1"/>
      <c r="R399" s="1"/>
      <c r="S399" s="1"/>
      <c r="T399" s="1"/>
      <c r="U399" s="1" t="s">
        <v>1922</v>
      </c>
      <c r="V399" s="4">
        <v>1</v>
      </c>
      <c r="W399" s="6">
        <v>18000</v>
      </c>
      <c r="X399" s="1" t="s">
        <v>1459</v>
      </c>
      <c r="Y399" s="4">
        <v>1</v>
      </c>
      <c r="Z399" s="6">
        <v>18000</v>
      </c>
      <c r="AA399" s="1" t="s">
        <v>1976</v>
      </c>
      <c r="AB399" s="1" t="s">
        <v>1964</v>
      </c>
      <c r="AC399" s="1" t="s">
        <v>1124</v>
      </c>
      <c r="AD399" s="1" t="s">
        <v>1463</v>
      </c>
      <c r="AE399" s="1" t="s">
        <v>1286</v>
      </c>
      <c r="AF399" s="1" t="s">
        <v>1463</v>
      </c>
      <c r="AG399" s="6">
        <v>18000</v>
      </c>
      <c r="AH399" s="6">
        <v>18000</v>
      </c>
      <c r="AI399" s="1"/>
      <c r="AJ399" s="1"/>
      <c r="AK399" s="1"/>
      <c r="AL399" s="1" t="s">
        <v>1461</v>
      </c>
      <c r="AM399" s="1" t="s">
        <v>636</v>
      </c>
      <c r="AN399" s="1"/>
      <c r="AO399" s="1" t="s">
        <v>43</v>
      </c>
      <c r="AP399" s="1"/>
      <c r="AQ399" s="1"/>
      <c r="AR399" s="2"/>
      <c r="AS399" s="1"/>
      <c r="AT399" s="1"/>
      <c r="AU399" s="1"/>
      <c r="AV399" s="1" t="s">
        <v>1941</v>
      </c>
      <c r="AW399" s="7">
        <v>43711.358576705228</v>
      </c>
      <c r="AX399" s="1" t="s">
        <v>1013</v>
      </c>
      <c r="AY399" s="6">
        <v>18000</v>
      </c>
      <c r="AZ399" s="5">
        <v>43710</v>
      </c>
      <c r="BA399" s="5">
        <v>43830</v>
      </c>
      <c r="BB399" s="7">
        <v>43830</v>
      </c>
      <c r="BC399" s="1" t="s">
        <v>1997</v>
      </c>
      <c r="BD399" s="1"/>
      <c r="BE399" s="1"/>
      <c r="BF399" s="1" t="s">
        <v>118</v>
      </c>
    </row>
    <row r="400" spans="1:58">
      <c r="A400" s="4">
        <v>395</v>
      </c>
      <c r="B400" s="2" t="str">
        <f>HYPERLINK("https://my.zakupki.prom.ua/remote/dispatcher/state_purchase_view/13491268", "UA-2019-11-08-001692-b")</f>
        <v>UA-2019-11-08-001692-b</v>
      </c>
      <c r="C400" s="2" t="s">
        <v>1459</v>
      </c>
      <c r="D400" s="1" t="s">
        <v>1557</v>
      </c>
      <c r="E400" s="1" t="s">
        <v>1557</v>
      </c>
      <c r="F400" s="1" t="s">
        <v>1058</v>
      </c>
      <c r="G400" s="1" t="s">
        <v>1364</v>
      </c>
      <c r="H400" s="1" t="s">
        <v>1800</v>
      </c>
      <c r="I400" s="1" t="s">
        <v>1379</v>
      </c>
      <c r="J400" s="1" t="s">
        <v>819</v>
      </c>
      <c r="K400" s="1" t="s">
        <v>1287</v>
      </c>
      <c r="L400" s="1" t="s">
        <v>1915</v>
      </c>
      <c r="M400" s="1" t="s">
        <v>119</v>
      </c>
      <c r="N400" s="1" t="s">
        <v>119</v>
      </c>
      <c r="O400" s="1" t="s">
        <v>119</v>
      </c>
      <c r="P400" s="5">
        <v>43777</v>
      </c>
      <c r="Q400" s="1"/>
      <c r="R400" s="1"/>
      <c r="S400" s="1"/>
      <c r="T400" s="1"/>
      <c r="U400" s="1" t="s">
        <v>1922</v>
      </c>
      <c r="V400" s="4">
        <v>1</v>
      </c>
      <c r="W400" s="6">
        <v>11665.22</v>
      </c>
      <c r="X400" s="1" t="s">
        <v>1459</v>
      </c>
      <c r="Y400" s="4">
        <v>1</v>
      </c>
      <c r="Z400" s="6">
        <v>11665.22</v>
      </c>
      <c r="AA400" s="1" t="s">
        <v>1976</v>
      </c>
      <c r="AB400" s="1" t="s">
        <v>1964</v>
      </c>
      <c r="AC400" s="1" t="s">
        <v>1124</v>
      </c>
      <c r="AD400" s="1" t="s">
        <v>1800</v>
      </c>
      <c r="AE400" s="1" t="s">
        <v>1286</v>
      </c>
      <c r="AF400" s="1" t="s">
        <v>1463</v>
      </c>
      <c r="AG400" s="6">
        <v>11665.22</v>
      </c>
      <c r="AH400" s="6">
        <v>11665.22</v>
      </c>
      <c r="AI400" s="1"/>
      <c r="AJ400" s="1"/>
      <c r="AK400" s="1"/>
      <c r="AL400" s="1" t="s">
        <v>1779</v>
      </c>
      <c r="AM400" s="1" t="s">
        <v>854</v>
      </c>
      <c r="AN400" s="1"/>
      <c r="AO400" s="1" t="s">
        <v>46</v>
      </c>
      <c r="AP400" s="1"/>
      <c r="AQ400" s="1"/>
      <c r="AR400" s="2"/>
      <c r="AS400" s="1"/>
      <c r="AT400" s="1"/>
      <c r="AU400" s="1"/>
      <c r="AV400" s="1" t="s">
        <v>1941</v>
      </c>
      <c r="AW400" s="7">
        <v>43777.556484458808</v>
      </c>
      <c r="AX400" s="1" t="s">
        <v>1084</v>
      </c>
      <c r="AY400" s="6">
        <v>11665.22</v>
      </c>
      <c r="AZ400" s="5">
        <v>43777</v>
      </c>
      <c r="BA400" s="5">
        <v>43830</v>
      </c>
      <c r="BB400" s="7">
        <v>43830</v>
      </c>
      <c r="BC400" s="1" t="s">
        <v>1997</v>
      </c>
      <c r="BD400" s="1"/>
      <c r="BE400" s="1"/>
      <c r="BF400" s="1" t="s">
        <v>118</v>
      </c>
    </row>
    <row r="401" spans="1:58">
      <c r="A401" s="4">
        <v>396</v>
      </c>
      <c r="B401" s="2" t="str">
        <f>HYPERLINK("https://my.zakupki.prom.ua/remote/dispatcher/state_purchase_view/11811209", "UA-2019-06-04-001612-b")</f>
        <v>UA-2019-06-04-001612-b</v>
      </c>
      <c r="C401" s="2" t="s">
        <v>1459</v>
      </c>
      <c r="D401" s="1" t="s">
        <v>739</v>
      </c>
      <c r="E401" s="1" t="s">
        <v>1661</v>
      </c>
      <c r="F401" s="1" t="s">
        <v>733</v>
      </c>
      <c r="G401" s="1" t="s">
        <v>1513</v>
      </c>
      <c r="H401" s="1" t="s">
        <v>1800</v>
      </c>
      <c r="I401" s="1" t="s">
        <v>1379</v>
      </c>
      <c r="J401" s="1" t="s">
        <v>819</v>
      </c>
      <c r="K401" s="1" t="s">
        <v>1287</v>
      </c>
      <c r="L401" s="1" t="s">
        <v>1224</v>
      </c>
      <c r="M401" s="1" t="s">
        <v>119</v>
      </c>
      <c r="N401" s="1" t="s">
        <v>119</v>
      </c>
      <c r="O401" s="1" t="s">
        <v>119</v>
      </c>
      <c r="P401" s="5">
        <v>43620</v>
      </c>
      <c r="Q401" s="1"/>
      <c r="R401" s="1"/>
      <c r="S401" s="1"/>
      <c r="T401" s="1"/>
      <c r="U401" s="1" t="s">
        <v>1922</v>
      </c>
      <c r="V401" s="4">
        <v>1</v>
      </c>
      <c r="W401" s="6">
        <v>4814.7</v>
      </c>
      <c r="X401" s="1" t="s">
        <v>1459</v>
      </c>
      <c r="Y401" s="4">
        <v>10</v>
      </c>
      <c r="Z401" s="6">
        <v>481.47</v>
      </c>
      <c r="AA401" s="1" t="s">
        <v>2017</v>
      </c>
      <c r="AB401" s="1" t="s">
        <v>1964</v>
      </c>
      <c r="AC401" s="1" t="s">
        <v>1124</v>
      </c>
      <c r="AD401" s="1" t="s">
        <v>1800</v>
      </c>
      <c r="AE401" s="1" t="s">
        <v>1286</v>
      </c>
      <c r="AF401" s="1" t="s">
        <v>1463</v>
      </c>
      <c r="AG401" s="6">
        <v>4814.7</v>
      </c>
      <c r="AH401" s="6">
        <v>481.46999999999997</v>
      </c>
      <c r="AI401" s="1"/>
      <c r="AJ401" s="1"/>
      <c r="AK401" s="1"/>
      <c r="AL401" s="1"/>
      <c r="AM401" s="1"/>
      <c r="AN401" s="1"/>
      <c r="AO401" s="1"/>
      <c r="AP401" s="1"/>
      <c r="AQ401" s="1"/>
      <c r="AR401" s="2"/>
      <c r="AS401" s="1"/>
      <c r="AT401" s="1"/>
      <c r="AU401" s="1"/>
      <c r="AV401" s="1" t="s">
        <v>2002</v>
      </c>
      <c r="AW401" s="7">
        <v>43622.582916443782</v>
      </c>
      <c r="AX401" s="1"/>
      <c r="AY401" s="1"/>
      <c r="AZ401" s="1"/>
      <c r="BA401" s="5">
        <v>43830</v>
      </c>
      <c r="BB401" s="1"/>
      <c r="BC401" s="1"/>
      <c r="BD401" s="1" t="s">
        <v>2011</v>
      </c>
      <c r="BE401" s="1"/>
      <c r="BF401" s="1" t="s">
        <v>118</v>
      </c>
    </row>
    <row r="402" spans="1:58">
      <c r="A402" s="4">
        <v>397</v>
      </c>
      <c r="B402" s="2" t="str">
        <f>HYPERLINK("https://my.zakupki.prom.ua/remote/dispatcher/state_purchase_view/12488838", "UA-2019-08-09-000703-a")</f>
        <v>UA-2019-08-09-000703-a</v>
      </c>
      <c r="C402" s="2" t="s">
        <v>1459</v>
      </c>
      <c r="D402" s="1" t="s">
        <v>10</v>
      </c>
      <c r="E402" s="1" t="s">
        <v>1478</v>
      </c>
      <c r="F402" s="1" t="s">
        <v>857</v>
      </c>
      <c r="G402" s="1" t="s">
        <v>1346</v>
      </c>
      <c r="H402" s="1" t="s">
        <v>1800</v>
      </c>
      <c r="I402" s="1" t="s">
        <v>1379</v>
      </c>
      <c r="J402" s="1" t="s">
        <v>819</v>
      </c>
      <c r="K402" s="1" t="s">
        <v>1287</v>
      </c>
      <c r="L402" s="1" t="s">
        <v>1658</v>
      </c>
      <c r="M402" s="1" t="s">
        <v>119</v>
      </c>
      <c r="N402" s="1" t="s">
        <v>119</v>
      </c>
      <c r="O402" s="1" t="s">
        <v>119</v>
      </c>
      <c r="P402" s="5">
        <v>43686</v>
      </c>
      <c r="Q402" s="5">
        <v>43686</v>
      </c>
      <c r="R402" s="5">
        <v>43689</v>
      </c>
      <c r="S402" s="5">
        <v>43689</v>
      </c>
      <c r="T402" s="5">
        <v>43691</v>
      </c>
      <c r="U402" s="1" t="s">
        <v>1923</v>
      </c>
      <c r="V402" s="4">
        <v>0</v>
      </c>
      <c r="W402" s="6">
        <v>15500</v>
      </c>
      <c r="X402" s="1" t="s">
        <v>1459</v>
      </c>
      <c r="Y402" s="4">
        <v>2</v>
      </c>
      <c r="Z402" s="6">
        <v>7750</v>
      </c>
      <c r="AA402" s="1" t="s">
        <v>2023</v>
      </c>
      <c r="AB402" s="6">
        <v>155</v>
      </c>
      <c r="AC402" s="1" t="s">
        <v>1124</v>
      </c>
      <c r="AD402" s="1" t="s">
        <v>1800</v>
      </c>
      <c r="AE402" s="1" t="s">
        <v>1286</v>
      </c>
      <c r="AF402" s="1" t="s">
        <v>1463</v>
      </c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2"/>
      <c r="AS402" s="1"/>
      <c r="AT402" s="1"/>
      <c r="AU402" s="1"/>
      <c r="AV402" s="1" t="s">
        <v>1942</v>
      </c>
      <c r="AW402" s="7">
        <v>43691.492976208006</v>
      </c>
      <c r="AX402" s="1"/>
      <c r="AY402" s="1"/>
      <c r="AZ402" s="1"/>
      <c r="BA402" s="5">
        <v>43708</v>
      </c>
      <c r="BB402" s="1"/>
      <c r="BC402" s="1"/>
      <c r="BD402" s="1"/>
      <c r="BE402" s="1"/>
      <c r="BF402" s="1"/>
    </row>
    <row r="403" spans="1:58">
      <c r="A403" s="4">
        <v>398</v>
      </c>
      <c r="B403" s="2" t="str">
        <f>HYPERLINK("https://my.zakupki.prom.ua/remote/dispatcher/state_purchase_view/12707681", "UA-2019-09-03-000632-a")</f>
        <v>UA-2019-09-03-000632-a</v>
      </c>
      <c r="C403" s="2" t="s">
        <v>1459</v>
      </c>
      <c r="D403" s="1" t="s">
        <v>1365</v>
      </c>
      <c r="E403" s="1" t="s">
        <v>8</v>
      </c>
      <c r="F403" s="1" t="s">
        <v>1000</v>
      </c>
      <c r="G403" s="1" t="s">
        <v>1346</v>
      </c>
      <c r="H403" s="1" t="s">
        <v>1800</v>
      </c>
      <c r="I403" s="1" t="s">
        <v>1379</v>
      </c>
      <c r="J403" s="1" t="s">
        <v>819</v>
      </c>
      <c r="K403" s="1" t="s">
        <v>1287</v>
      </c>
      <c r="L403" s="1" t="s">
        <v>1658</v>
      </c>
      <c r="M403" s="1" t="s">
        <v>316</v>
      </c>
      <c r="N403" s="1" t="s">
        <v>119</v>
      </c>
      <c r="O403" s="1" t="s">
        <v>119</v>
      </c>
      <c r="P403" s="5">
        <v>43711</v>
      </c>
      <c r="Q403" s="5">
        <v>43711</v>
      </c>
      <c r="R403" s="5">
        <v>43713</v>
      </c>
      <c r="S403" s="5">
        <v>43713</v>
      </c>
      <c r="T403" s="5">
        <v>43717</v>
      </c>
      <c r="U403" s="7">
        <v>43718.588182870371</v>
      </c>
      <c r="V403" s="4">
        <v>2</v>
      </c>
      <c r="W403" s="6">
        <v>3000</v>
      </c>
      <c r="X403" s="1" t="s">
        <v>1459</v>
      </c>
      <c r="Y403" s="4">
        <v>18</v>
      </c>
      <c r="Z403" s="6">
        <v>166.67</v>
      </c>
      <c r="AA403" s="1" t="s">
        <v>2023</v>
      </c>
      <c r="AB403" s="6">
        <v>30</v>
      </c>
      <c r="AC403" s="1" t="s">
        <v>1124</v>
      </c>
      <c r="AD403" s="1" t="s">
        <v>1800</v>
      </c>
      <c r="AE403" s="1" t="s">
        <v>1286</v>
      </c>
      <c r="AF403" s="1" t="s">
        <v>1463</v>
      </c>
      <c r="AG403" s="6">
        <v>2435</v>
      </c>
      <c r="AH403" s="6">
        <v>135.27777777777777</v>
      </c>
      <c r="AI403" s="1" t="s">
        <v>1864</v>
      </c>
      <c r="AJ403" s="6">
        <v>565</v>
      </c>
      <c r="AK403" s="6">
        <v>0.18833333333333332</v>
      </c>
      <c r="AL403" s="1" t="s">
        <v>1864</v>
      </c>
      <c r="AM403" s="1" t="s">
        <v>510</v>
      </c>
      <c r="AN403" s="1" t="s">
        <v>1160</v>
      </c>
      <c r="AO403" s="1" t="s">
        <v>27</v>
      </c>
      <c r="AP403" s="6">
        <v>565</v>
      </c>
      <c r="AQ403" s="6">
        <v>0.18833333333333332</v>
      </c>
      <c r="AR403" s="2" t="str">
        <f>HYPERLINK("https://auction.openprocurement.org/tenders/86a5ccf087c74c3e9cb04af0a8af07e2")</f>
        <v>https://auction.openprocurement.org/tenders/86a5ccf087c74c3e9cb04af0a8af07e2</v>
      </c>
      <c r="AS403" s="7">
        <v>43719.493105965761</v>
      </c>
      <c r="AT403" s="5">
        <v>43721</v>
      </c>
      <c r="AU403" s="5">
        <v>43743</v>
      </c>
      <c r="AV403" s="1" t="s">
        <v>1941</v>
      </c>
      <c r="AW403" s="7">
        <v>43727.55964012535</v>
      </c>
      <c r="AX403" s="1" t="s">
        <v>388</v>
      </c>
      <c r="AY403" s="6">
        <v>2435</v>
      </c>
      <c r="AZ403" s="1"/>
      <c r="BA403" s="5">
        <v>43738</v>
      </c>
      <c r="BB403" s="7">
        <v>43830</v>
      </c>
      <c r="BC403" s="1" t="s">
        <v>1997</v>
      </c>
      <c r="BD403" s="1"/>
      <c r="BE403" s="1"/>
      <c r="BF403" s="1" t="s">
        <v>511</v>
      </c>
    </row>
    <row r="404" spans="1:58">
      <c r="A404" s="4">
        <v>399</v>
      </c>
      <c r="B404" s="2" t="str">
        <f>HYPERLINK("https://my.zakupki.prom.ua/remote/dispatcher/state_purchase_view/12709098", "UA-2019-09-03-000512-b")</f>
        <v>UA-2019-09-03-000512-b</v>
      </c>
      <c r="C404" s="2" t="s">
        <v>1459</v>
      </c>
      <c r="D404" s="1" t="s">
        <v>1664</v>
      </c>
      <c r="E404" s="1" t="s">
        <v>1233</v>
      </c>
      <c r="F404" s="1" t="s">
        <v>715</v>
      </c>
      <c r="G404" s="1" t="s">
        <v>1346</v>
      </c>
      <c r="H404" s="1" t="s">
        <v>1800</v>
      </c>
      <c r="I404" s="1" t="s">
        <v>1379</v>
      </c>
      <c r="J404" s="1" t="s">
        <v>819</v>
      </c>
      <c r="K404" s="1" t="s">
        <v>1287</v>
      </c>
      <c r="L404" s="1" t="s">
        <v>1658</v>
      </c>
      <c r="M404" s="1" t="s">
        <v>119</v>
      </c>
      <c r="N404" s="1" t="s">
        <v>119</v>
      </c>
      <c r="O404" s="1" t="s">
        <v>119</v>
      </c>
      <c r="P404" s="5">
        <v>43711</v>
      </c>
      <c r="Q404" s="5">
        <v>43711</v>
      </c>
      <c r="R404" s="5">
        <v>43712</v>
      </c>
      <c r="S404" s="5">
        <v>43712</v>
      </c>
      <c r="T404" s="5">
        <v>43714</v>
      </c>
      <c r="U404" s="1" t="s">
        <v>1923</v>
      </c>
      <c r="V404" s="4">
        <v>0</v>
      </c>
      <c r="W404" s="6">
        <v>6500</v>
      </c>
      <c r="X404" s="1" t="s">
        <v>1459</v>
      </c>
      <c r="Y404" s="4">
        <v>2</v>
      </c>
      <c r="Z404" s="6">
        <v>3250</v>
      </c>
      <c r="AA404" s="1" t="s">
        <v>2023</v>
      </c>
      <c r="AB404" s="6">
        <v>32.5</v>
      </c>
      <c r="AC404" s="1" t="s">
        <v>1124</v>
      </c>
      <c r="AD404" s="1" t="s">
        <v>1800</v>
      </c>
      <c r="AE404" s="1" t="s">
        <v>1286</v>
      </c>
      <c r="AF404" s="1" t="s">
        <v>1463</v>
      </c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2"/>
      <c r="AS404" s="1"/>
      <c r="AT404" s="1"/>
      <c r="AU404" s="1"/>
      <c r="AV404" s="1" t="s">
        <v>1942</v>
      </c>
      <c r="AW404" s="7">
        <v>43714.627375449316</v>
      </c>
      <c r="AX404" s="1"/>
      <c r="AY404" s="1"/>
      <c r="AZ404" s="1"/>
      <c r="BA404" s="5">
        <v>43738</v>
      </c>
      <c r="BB404" s="1"/>
      <c r="BC404" s="1"/>
      <c r="BD404" s="1"/>
      <c r="BE404" s="1"/>
      <c r="BF404" s="1"/>
    </row>
    <row r="405" spans="1:58">
      <c r="A405" s="4">
        <v>400</v>
      </c>
      <c r="B405" s="2" t="str">
        <f>HYPERLINK("https://my.zakupki.prom.ua/remote/dispatcher/state_purchase_view/12509481", "UA-2019-08-12-001557-a")</f>
        <v>UA-2019-08-12-001557-a</v>
      </c>
      <c r="C405" s="2" t="s">
        <v>1459</v>
      </c>
      <c r="D405" s="1" t="s">
        <v>1506</v>
      </c>
      <c r="E405" s="1" t="s">
        <v>1309</v>
      </c>
      <c r="F405" s="1" t="s">
        <v>1012</v>
      </c>
      <c r="G405" s="1" t="s">
        <v>1346</v>
      </c>
      <c r="H405" s="1" t="s">
        <v>1800</v>
      </c>
      <c r="I405" s="1" t="s">
        <v>1379</v>
      </c>
      <c r="J405" s="1" t="s">
        <v>819</v>
      </c>
      <c r="K405" s="1" t="s">
        <v>1287</v>
      </c>
      <c r="L405" s="1" t="s">
        <v>1658</v>
      </c>
      <c r="M405" s="1" t="s">
        <v>119</v>
      </c>
      <c r="N405" s="1" t="s">
        <v>119</v>
      </c>
      <c r="O405" s="1" t="s">
        <v>119</v>
      </c>
      <c r="P405" s="5">
        <v>43689</v>
      </c>
      <c r="Q405" s="5">
        <v>43689</v>
      </c>
      <c r="R405" s="5">
        <v>43692</v>
      </c>
      <c r="S405" s="5">
        <v>43692</v>
      </c>
      <c r="T405" s="5">
        <v>43697</v>
      </c>
      <c r="U405" s="1" t="s">
        <v>1923</v>
      </c>
      <c r="V405" s="4">
        <v>2</v>
      </c>
      <c r="W405" s="6">
        <v>78000</v>
      </c>
      <c r="X405" s="1" t="s">
        <v>1459</v>
      </c>
      <c r="Y405" s="4">
        <v>1</v>
      </c>
      <c r="Z405" s="6">
        <v>78000</v>
      </c>
      <c r="AA405" s="1" t="s">
        <v>1976</v>
      </c>
      <c r="AB405" s="6">
        <v>390</v>
      </c>
      <c r="AC405" s="1" t="s">
        <v>1124</v>
      </c>
      <c r="AD405" s="1" t="s">
        <v>1800</v>
      </c>
      <c r="AE405" s="1" t="s">
        <v>1286</v>
      </c>
      <c r="AF405" s="1" t="s">
        <v>1463</v>
      </c>
      <c r="AG405" s="6">
        <v>74000</v>
      </c>
      <c r="AH405" s="6">
        <v>74000</v>
      </c>
      <c r="AI405" s="1" t="s">
        <v>1768</v>
      </c>
      <c r="AJ405" s="6">
        <v>4000</v>
      </c>
      <c r="AK405" s="6">
        <v>5.128205128205128E-2</v>
      </c>
      <c r="AL405" s="1"/>
      <c r="AM405" s="1"/>
      <c r="AN405" s="1"/>
      <c r="AO405" s="1"/>
      <c r="AP405" s="1"/>
      <c r="AQ405" s="1"/>
      <c r="AR405" s="2" t="str">
        <f>HYPERLINK("https://auction.openprocurement.org/tenders/c6005ea2956a4dbcbe1580048cf992fe")</f>
        <v>https://auction.openprocurement.org/tenders/c6005ea2956a4dbcbe1580048cf992fe</v>
      </c>
      <c r="AS405" s="7">
        <v>43719.410447287155</v>
      </c>
      <c r="AT405" s="1"/>
      <c r="AU405" s="1"/>
      <c r="AV405" s="1" t="s">
        <v>2002</v>
      </c>
      <c r="AW405" s="7">
        <v>43719.415474932219</v>
      </c>
      <c r="AX405" s="1"/>
      <c r="AY405" s="1"/>
      <c r="AZ405" s="1"/>
      <c r="BA405" s="5">
        <v>43708</v>
      </c>
      <c r="BB405" s="1"/>
      <c r="BC405" s="1"/>
      <c r="BD405" s="1" t="s">
        <v>1266</v>
      </c>
      <c r="BE405" s="1"/>
      <c r="BF405" s="1" t="s">
        <v>937</v>
      </c>
    </row>
    <row r="406" spans="1:58">
      <c r="A406" s="4">
        <v>401</v>
      </c>
      <c r="B406" s="2" t="str">
        <f>HYPERLINK("https://my.zakupki.prom.ua/remote/dispatcher/state_purchase_view/12793650", "UA-2019-09-10-002384-b")</f>
        <v>UA-2019-09-10-002384-b</v>
      </c>
      <c r="C406" s="2" t="s">
        <v>1459</v>
      </c>
      <c r="D406" s="1" t="s">
        <v>713</v>
      </c>
      <c r="E406" s="1" t="s">
        <v>714</v>
      </c>
      <c r="F406" s="1" t="s">
        <v>708</v>
      </c>
      <c r="G406" s="1" t="s">
        <v>1280</v>
      </c>
      <c r="H406" s="1" t="s">
        <v>1800</v>
      </c>
      <c r="I406" s="1" t="s">
        <v>1379</v>
      </c>
      <c r="J406" s="1" t="s">
        <v>819</v>
      </c>
      <c r="K406" s="1" t="s">
        <v>1287</v>
      </c>
      <c r="L406" s="1" t="s">
        <v>1658</v>
      </c>
      <c r="M406" s="1" t="s">
        <v>119</v>
      </c>
      <c r="N406" s="1" t="s">
        <v>119</v>
      </c>
      <c r="O406" s="1" t="s">
        <v>119</v>
      </c>
      <c r="P406" s="5">
        <v>43718</v>
      </c>
      <c r="Q406" s="5">
        <v>43718</v>
      </c>
      <c r="R406" s="5">
        <v>43723</v>
      </c>
      <c r="S406" s="5">
        <v>43718</v>
      </c>
      <c r="T406" s="5">
        <v>43733</v>
      </c>
      <c r="U406" s="7">
        <v>43734.646782407406</v>
      </c>
      <c r="V406" s="4">
        <v>4</v>
      </c>
      <c r="W406" s="6">
        <v>211865</v>
      </c>
      <c r="X406" s="1" t="s">
        <v>1459</v>
      </c>
      <c r="Y406" s="4">
        <v>64649</v>
      </c>
      <c r="Z406" s="6">
        <v>3.28</v>
      </c>
      <c r="AA406" s="1" t="s">
        <v>2023</v>
      </c>
      <c r="AB406" s="6">
        <v>1059.33</v>
      </c>
      <c r="AC406" s="1" t="s">
        <v>1124</v>
      </c>
      <c r="AD406" s="1" t="s">
        <v>1800</v>
      </c>
      <c r="AE406" s="1" t="s">
        <v>1286</v>
      </c>
      <c r="AF406" s="1" t="s">
        <v>1463</v>
      </c>
      <c r="AG406" s="6">
        <v>114603.06</v>
      </c>
      <c r="AH406" s="6">
        <v>1.7726965614317314</v>
      </c>
      <c r="AI406" s="1" t="s">
        <v>1732</v>
      </c>
      <c r="AJ406" s="6">
        <v>97261.94</v>
      </c>
      <c r="AK406" s="6">
        <v>0.45907507138980014</v>
      </c>
      <c r="AL406" s="1" t="s">
        <v>1869</v>
      </c>
      <c r="AM406" s="1" t="s">
        <v>426</v>
      </c>
      <c r="AN406" s="1" t="s">
        <v>1153</v>
      </c>
      <c r="AO406" s="1" t="s">
        <v>89</v>
      </c>
      <c r="AP406" s="6">
        <v>0.44000000000232831</v>
      </c>
      <c r="AQ406" s="6">
        <v>2.0767941849872718E-6</v>
      </c>
      <c r="AR406" s="2" t="str">
        <f>HYPERLINK("https://auction.openprocurement.org/tenders/a42960c5a31845948f3ab86a72f03f74")</f>
        <v>https://auction.openprocurement.org/tenders/a42960c5a31845948f3ab86a72f03f74</v>
      </c>
      <c r="AS406" s="7">
        <v>43745.590078566645</v>
      </c>
      <c r="AT406" s="5">
        <v>43756</v>
      </c>
      <c r="AU406" s="5">
        <v>43766</v>
      </c>
      <c r="AV406" s="1" t="s">
        <v>1941</v>
      </c>
      <c r="AW406" s="7">
        <v>43756.472788184721</v>
      </c>
      <c r="AX406" s="1" t="s">
        <v>389</v>
      </c>
      <c r="AY406" s="6">
        <v>211864.56</v>
      </c>
      <c r="AZ406" s="1"/>
      <c r="BA406" s="5">
        <v>43830</v>
      </c>
      <c r="BB406" s="7">
        <v>43830</v>
      </c>
      <c r="BC406" s="1" t="s">
        <v>1997</v>
      </c>
      <c r="BD406" s="1"/>
      <c r="BE406" s="1"/>
      <c r="BF406" s="1" t="s">
        <v>637</v>
      </c>
    </row>
    <row r="407" spans="1:58">
      <c r="A407" s="4">
        <v>402</v>
      </c>
      <c r="B407" s="2" t="str">
        <f>HYPERLINK("https://my.zakupki.prom.ua/remote/dispatcher/state_purchase_view/14802529", "UA-2020-01-24-001550-b")</f>
        <v>UA-2020-01-24-001550-b</v>
      </c>
      <c r="C407" s="2" t="s">
        <v>1459</v>
      </c>
      <c r="D407" s="1" t="s">
        <v>508</v>
      </c>
      <c r="E407" s="1" t="s">
        <v>1331</v>
      </c>
      <c r="F407" s="1" t="s">
        <v>507</v>
      </c>
      <c r="G407" s="1" t="s">
        <v>1346</v>
      </c>
      <c r="H407" s="1" t="s">
        <v>1800</v>
      </c>
      <c r="I407" s="1" t="s">
        <v>1379</v>
      </c>
      <c r="J407" s="1" t="s">
        <v>819</v>
      </c>
      <c r="K407" s="1" t="s">
        <v>1287</v>
      </c>
      <c r="L407" s="1" t="s">
        <v>1915</v>
      </c>
      <c r="M407" s="1" t="s">
        <v>119</v>
      </c>
      <c r="N407" s="1" t="s">
        <v>119</v>
      </c>
      <c r="O407" s="1" t="s">
        <v>317</v>
      </c>
      <c r="P407" s="5">
        <v>43854</v>
      </c>
      <c r="Q407" s="5">
        <v>43854</v>
      </c>
      <c r="R407" s="5">
        <v>43859</v>
      </c>
      <c r="S407" s="5">
        <v>43859</v>
      </c>
      <c r="T407" s="5">
        <v>43861</v>
      </c>
      <c r="U407" s="1" t="s">
        <v>1923</v>
      </c>
      <c r="V407" s="4">
        <v>0</v>
      </c>
      <c r="W407" s="6">
        <v>51200</v>
      </c>
      <c r="X407" s="1" t="s">
        <v>1459</v>
      </c>
      <c r="Y407" s="4">
        <v>280</v>
      </c>
      <c r="Z407" s="6">
        <v>182.86</v>
      </c>
      <c r="AA407" s="1" t="s">
        <v>2024</v>
      </c>
      <c r="AB407" s="6">
        <v>512</v>
      </c>
      <c r="AC407" s="1" t="s">
        <v>1124</v>
      </c>
      <c r="AD407" s="1" t="s">
        <v>1800</v>
      </c>
      <c r="AE407" s="1" t="s">
        <v>1286</v>
      </c>
      <c r="AF407" s="1" t="s">
        <v>1463</v>
      </c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2"/>
      <c r="AS407" s="1"/>
      <c r="AT407" s="1"/>
      <c r="AU407" s="1"/>
      <c r="AV407" s="1" t="s">
        <v>2002</v>
      </c>
      <c r="AW407" s="7">
        <v>43859.56963802332</v>
      </c>
      <c r="AX407" s="1"/>
      <c r="AY407" s="1"/>
      <c r="AZ407" s="1"/>
      <c r="BA407" s="5">
        <v>43890</v>
      </c>
      <c r="BB407" s="1"/>
      <c r="BC407" s="1"/>
      <c r="BD407" s="1" t="s">
        <v>1281</v>
      </c>
      <c r="BE407" s="1"/>
      <c r="BF407" s="1"/>
    </row>
    <row r="408" spans="1:58">
      <c r="A408" s="4">
        <v>403</v>
      </c>
      <c r="B408" s="2" t="str">
        <f>HYPERLINK("https://my.zakupki.prom.ua/remote/dispatcher/state_purchase_view/11907305", "UA-2019-06-12-000783-b")</f>
        <v>UA-2019-06-12-000783-b</v>
      </c>
      <c r="C408" s="2" t="s">
        <v>1459</v>
      </c>
      <c r="D408" s="1" t="s">
        <v>1347</v>
      </c>
      <c r="E408" s="1" t="s">
        <v>1347</v>
      </c>
      <c r="F408" s="1" t="s">
        <v>464</v>
      </c>
      <c r="G408" s="1" t="s">
        <v>1346</v>
      </c>
      <c r="H408" s="1" t="s">
        <v>1800</v>
      </c>
      <c r="I408" s="1" t="s">
        <v>1379</v>
      </c>
      <c r="J408" s="1" t="s">
        <v>819</v>
      </c>
      <c r="K408" s="1" t="s">
        <v>1287</v>
      </c>
      <c r="L408" s="1" t="s">
        <v>1224</v>
      </c>
      <c r="M408" s="1" t="s">
        <v>119</v>
      </c>
      <c r="N408" s="1" t="s">
        <v>119</v>
      </c>
      <c r="O408" s="1" t="s">
        <v>119</v>
      </c>
      <c r="P408" s="5">
        <v>43628</v>
      </c>
      <c r="Q408" s="5">
        <v>43628</v>
      </c>
      <c r="R408" s="5">
        <v>43630</v>
      </c>
      <c r="S408" s="5">
        <v>43630</v>
      </c>
      <c r="T408" s="5">
        <v>43634</v>
      </c>
      <c r="U408" s="7">
        <v>43635.64508101852</v>
      </c>
      <c r="V408" s="4">
        <v>2</v>
      </c>
      <c r="W408" s="6">
        <v>28100</v>
      </c>
      <c r="X408" s="1" t="s">
        <v>1459</v>
      </c>
      <c r="Y408" s="4">
        <v>74154</v>
      </c>
      <c r="Z408" s="6">
        <v>0.38</v>
      </c>
      <c r="AA408" s="1" t="s">
        <v>2023</v>
      </c>
      <c r="AB408" s="6">
        <v>281</v>
      </c>
      <c r="AC408" s="1" t="s">
        <v>1124</v>
      </c>
      <c r="AD408" s="1" t="s">
        <v>1800</v>
      </c>
      <c r="AE408" s="1" t="s">
        <v>1286</v>
      </c>
      <c r="AF408" s="1" t="s">
        <v>1463</v>
      </c>
      <c r="AG408" s="6">
        <v>16761</v>
      </c>
      <c r="AH408" s="6">
        <v>0.22602961404644389</v>
      </c>
      <c r="AI408" s="1" t="s">
        <v>1787</v>
      </c>
      <c r="AJ408" s="6">
        <v>11339</v>
      </c>
      <c r="AK408" s="6">
        <v>0.40352313167259785</v>
      </c>
      <c r="AL408" s="1" t="s">
        <v>1787</v>
      </c>
      <c r="AM408" s="1" t="s">
        <v>513</v>
      </c>
      <c r="AN408" s="1" t="s">
        <v>1202</v>
      </c>
      <c r="AO408" s="1" t="s">
        <v>70</v>
      </c>
      <c r="AP408" s="6">
        <v>11339</v>
      </c>
      <c r="AQ408" s="6">
        <v>0.40352313167259785</v>
      </c>
      <c r="AR408" s="2" t="str">
        <f>HYPERLINK("https://auction.openprocurement.org/tenders/cb3027d5e8ed4b16a8c31f79fb54438e")</f>
        <v>https://auction.openprocurement.org/tenders/cb3027d5e8ed4b16a8c31f79fb54438e</v>
      </c>
      <c r="AS408" s="7">
        <v>43640.642465685683</v>
      </c>
      <c r="AT408" s="5">
        <v>43642</v>
      </c>
      <c r="AU408" s="5">
        <v>43660</v>
      </c>
      <c r="AV408" s="1" t="s">
        <v>1941</v>
      </c>
      <c r="AW408" s="7">
        <v>43654.593360873412</v>
      </c>
      <c r="AX408" s="1" t="s">
        <v>1013</v>
      </c>
      <c r="AY408" s="6">
        <v>16761</v>
      </c>
      <c r="AZ408" s="1"/>
      <c r="BA408" s="5">
        <v>43665</v>
      </c>
      <c r="BB408" s="7">
        <v>43830</v>
      </c>
      <c r="BC408" s="1" t="s">
        <v>1997</v>
      </c>
      <c r="BD408" s="1"/>
      <c r="BE408" s="1"/>
      <c r="BF408" s="1" t="s">
        <v>515</v>
      </c>
    </row>
    <row r="409" spans="1:58">
      <c r="A409" s="4">
        <v>404</v>
      </c>
      <c r="B409" s="2" t="str">
        <f>HYPERLINK("https://my.zakupki.prom.ua/remote/dispatcher/state_purchase_view/18074347", "UA-2020-07-23-004858-b")</f>
        <v>UA-2020-07-23-004858-b</v>
      </c>
      <c r="C409" s="2" t="s">
        <v>1459</v>
      </c>
      <c r="D409" s="1" t="s">
        <v>1432</v>
      </c>
      <c r="E409" s="1" t="s">
        <v>1432</v>
      </c>
      <c r="F409" s="1" t="s">
        <v>992</v>
      </c>
      <c r="G409" s="1" t="s">
        <v>1346</v>
      </c>
      <c r="H409" s="1" t="s">
        <v>1800</v>
      </c>
      <c r="I409" s="1" t="s">
        <v>1379</v>
      </c>
      <c r="J409" s="1" t="s">
        <v>819</v>
      </c>
      <c r="K409" s="1" t="s">
        <v>1287</v>
      </c>
      <c r="L409" s="1" t="s">
        <v>1216</v>
      </c>
      <c r="M409" s="1" t="s">
        <v>119</v>
      </c>
      <c r="N409" s="1" t="s">
        <v>119</v>
      </c>
      <c r="O409" s="1" t="s">
        <v>119</v>
      </c>
      <c r="P409" s="5">
        <v>44035</v>
      </c>
      <c r="Q409" s="5">
        <v>44035</v>
      </c>
      <c r="R409" s="5">
        <v>44043</v>
      </c>
      <c r="S409" s="5">
        <v>44043</v>
      </c>
      <c r="T409" s="5">
        <v>44048</v>
      </c>
      <c r="U409" s="1" t="s">
        <v>1923</v>
      </c>
      <c r="V409" s="4">
        <v>0</v>
      </c>
      <c r="W409" s="6">
        <v>47000</v>
      </c>
      <c r="X409" s="1" t="s">
        <v>1459</v>
      </c>
      <c r="Y409" s="4">
        <v>7</v>
      </c>
      <c r="Z409" s="6">
        <v>6714.29</v>
      </c>
      <c r="AA409" s="1" t="s">
        <v>2024</v>
      </c>
      <c r="AB409" s="6">
        <v>235</v>
      </c>
      <c r="AC409" s="1" t="s">
        <v>1124</v>
      </c>
      <c r="AD409" s="1" t="s">
        <v>1800</v>
      </c>
      <c r="AE409" s="1" t="s">
        <v>1286</v>
      </c>
      <c r="AF409" s="1" t="s">
        <v>1463</v>
      </c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2"/>
      <c r="AS409" s="1"/>
      <c r="AT409" s="1"/>
      <c r="AU409" s="1"/>
      <c r="AV409" s="1" t="s">
        <v>1942</v>
      </c>
      <c r="AW409" s="7">
        <v>44048.543868203473</v>
      </c>
      <c r="AX409" s="1"/>
      <c r="AY409" s="1"/>
      <c r="AZ409" s="1"/>
      <c r="BA409" s="5">
        <v>44089</v>
      </c>
      <c r="BB409" s="1"/>
      <c r="BC409" s="1"/>
      <c r="BD409" s="1"/>
      <c r="BE409" s="1"/>
      <c r="BF409" s="1"/>
    </row>
    <row r="410" spans="1:58">
      <c r="A410" s="4">
        <v>405</v>
      </c>
      <c r="B410" s="2" t="str">
        <f>HYPERLINK("https://my.zakupki.prom.ua/remote/dispatcher/state_purchase_view/17696876", "UA-2020-07-07-002692-a")</f>
        <v>UA-2020-07-07-002692-a</v>
      </c>
      <c r="C410" s="2" t="s">
        <v>1459</v>
      </c>
      <c r="D410" s="1" t="s">
        <v>1401</v>
      </c>
      <c r="E410" s="1" t="s">
        <v>1401</v>
      </c>
      <c r="F410" s="1" t="s">
        <v>961</v>
      </c>
      <c r="G410" s="1" t="s">
        <v>1346</v>
      </c>
      <c r="H410" s="1" t="s">
        <v>1800</v>
      </c>
      <c r="I410" s="1" t="s">
        <v>1379</v>
      </c>
      <c r="J410" s="1" t="s">
        <v>819</v>
      </c>
      <c r="K410" s="1" t="s">
        <v>1287</v>
      </c>
      <c r="L410" s="1" t="s">
        <v>1216</v>
      </c>
      <c r="M410" s="1" t="s">
        <v>119</v>
      </c>
      <c r="N410" s="1" t="s">
        <v>119</v>
      </c>
      <c r="O410" s="1" t="s">
        <v>119</v>
      </c>
      <c r="P410" s="5">
        <v>44019</v>
      </c>
      <c r="Q410" s="5">
        <v>44019</v>
      </c>
      <c r="R410" s="5">
        <v>44025</v>
      </c>
      <c r="S410" s="5">
        <v>44025</v>
      </c>
      <c r="T410" s="5">
        <v>44028</v>
      </c>
      <c r="U410" s="7">
        <v>44029.552766203706</v>
      </c>
      <c r="V410" s="4">
        <v>2</v>
      </c>
      <c r="W410" s="6">
        <v>49500</v>
      </c>
      <c r="X410" s="1" t="s">
        <v>1459</v>
      </c>
      <c r="Y410" s="4">
        <v>3</v>
      </c>
      <c r="Z410" s="6">
        <v>16500</v>
      </c>
      <c r="AA410" s="1" t="s">
        <v>2024</v>
      </c>
      <c r="AB410" s="6">
        <v>247.5</v>
      </c>
      <c r="AC410" s="1" t="s">
        <v>1124</v>
      </c>
      <c r="AD410" s="1" t="s">
        <v>1800</v>
      </c>
      <c r="AE410" s="1" t="s">
        <v>1286</v>
      </c>
      <c r="AF410" s="1" t="s">
        <v>1463</v>
      </c>
      <c r="AG410" s="6">
        <v>45480</v>
      </c>
      <c r="AH410" s="6">
        <v>15160</v>
      </c>
      <c r="AI410" s="1" t="s">
        <v>1852</v>
      </c>
      <c r="AJ410" s="6">
        <v>4020</v>
      </c>
      <c r="AK410" s="6">
        <v>8.1212121212121208E-2</v>
      </c>
      <c r="AL410" s="1"/>
      <c r="AM410" s="1"/>
      <c r="AN410" s="1"/>
      <c r="AO410" s="1"/>
      <c r="AP410" s="1"/>
      <c r="AQ410" s="1"/>
      <c r="AR410" s="2" t="str">
        <f>HYPERLINK("https://auction.openprocurement.org/tenders/a6d6f683f8de47e58b044f89c7ebf7c9")</f>
        <v>https://auction.openprocurement.org/tenders/a6d6f683f8de47e58b044f89c7ebf7c9</v>
      </c>
      <c r="AS410" s="7">
        <v>44034.524919634234</v>
      </c>
      <c r="AT410" s="1"/>
      <c r="AU410" s="1"/>
      <c r="AV410" s="1" t="s">
        <v>1942</v>
      </c>
      <c r="AW410" s="7">
        <v>44037.590753057651</v>
      </c>
      <c r="AX410" s="1"/>
      <c r="AY410" s="1"/>
      <c r="AZ410" s="1"/>
      <c r="BA410" s="5">
        <v>44074</v>
      </c>
      <c r="BB410" s="1"/>
      <c r="BC410" s="1"/>
      <c r="BD410" s="1"/>
      <c r="BE410" s="1"/>
      <c r="BF410" s="1" t="s">
        <v>776</v>
      </c>
    </row>
    <row r="411" spans="1:58">
      <c r="A411" s="4">
        <v>406</v>
      </c>
      <c r="B411" s="2" t="str">
        <f>HYPERLINK("https://my.zakupki.prom.ua/remote/dispatcher/state_purchase_view/19444644", "UA-2020-09-21-006728-b")</f>
        <v>UA-2020-09-21-006728-b</v>
      </c>
      <c r="C411" s="2" t="s">
        <v>1459</v>
      </c>
      <c r="D411" s="1" t="s">
        <v>1930</v>
      </c>
      <c r="E411" s="1" t="s">
        <v>1304</v>
      </c>
      <c r="F411" s="1" t="s">
        <v>733</v>
      </c>
      <c r="G411" s="1" t="s">
        <v>1280</v>
      </c>
      <c r="H411" s="1" t="s">
        <v>1463</v>
      </c>
      <c r="I411" s="1" t="s">
        <v>1379</v>
      </c>
      <c r="J411" s="1" t="s">
        <v>819</v>
      </c>
      <c r="K411" s="1" t="s">
        <v>1287</v>
      </c>
      <c r="L411" s="1" t="s">
        <v>1216</v>
      </c>
      <c r="M411" s="1" t="s">
        <v>119</v>
      </c>
      <c r="N411" s="1" t="s">
        <v>119</v>
      </c>
      <c r="O411" s="1" t="s">
        <v>119</v>
      </c>
      <c r="P411" s="5">
        <v>44095</v>
      </c>
      <c r="Q411" s="5">
        <v>44095</v>
      </c>
      <c r="R411" s="5">
        <v>44102</v>
      </c>
      <c r="S411" s="5">
        <v>44095</v>
      </c>
      <c r="T411" s="5">
        <v>44112</v>
      </c>
      <c r="U411" s="1" t="s">
        <v>1923</v>
      </c>
      <c r="V411" s="4">
        <v>0</v>
      </c>
      <c r="W411" s="6">
        <v>27500</v>
      </c>
      <c r="X411" s="1" t="s">
        <v>1459</v>
      </c>
      <c r="Y411" s="1" t="s">
        <v>1956</v>
      </c>
      <c r="Z411" s="1" t="s">
        <v>1956</v>
      </c>
      <c r="AA411" s="1" t="s">
        <v>1956</v>
      </c>
      <c r="AB411" s="6">
        <v>275</v>
      </c>
      <c r="AC411" s="1" t="s">
        <v>1124</v>
      </c>
      <c r="AD411" s="1" t="s">
        <v>1800</v>
      </c>
      <c r="AE411" s="1" t="s">
        <v>1286</v>
      </c>
      <c r="AF411" s="1" t="s">
        <v>1463</v>
      </c>
      <c r="AG411" s="1"/>
      <c r="AH411" s="1" t="s">
        <v>1956</v>
      </c>
      <c r="AI411" s="1"/>
      <c r="AJ411" s="1"/>
      <c r="AK411" s="1"/>
      <c r="AL411" s="1"/>
      <c r="AM411" s="1"/>
      <c r="AN411" s="1"/>
      <c r="AO411" s="1"/>
      <c r="AP411" s="1"/>
      <c r="AQ411" s="1"/>
      <c r="AR411" s="2"/>
      <c r="AS411" s="1"/>
      <c r="AT411" s="1"/>
      <c r="AU411" s="1"/>
      <c r="AV411" s="1" t="s">
        <v>2002</v>
      </c>
      <c r="AW411" s="7">
        <v>44106.002702055892</v>
      </c>
      <c r="AX411" s="1"/>
      <c r="AY411" s="1"/>
      <c r="AZ411" s="1"/>
      <c r="BA411" s="5">
        <v>44196</v>
      </c>
      <c r="BB411" s="1"/>
      <c r="BC411" s="1"/>
      <c r="BD411" s="1" t="s">
        <v>1453</v>
      </c>
      <c r="BE411" s="1"/>
      <c r="BF411" s="1"/>
    </row>
    <row r="412" spans="1:58">
      <c r="A412" s="4">
        <v>407</v>
      </c>
      <c r="B412" s="2" t="str">
        <f>HYPERLINK("https://my.zakupki.prom.ua/remote/dispatcher/state_purchase_view/9045037", "UA-2018-11-26-002517-c")</f>
        <v>UA-2018-11-26-002517-c</v>
      </c>
      <c r="C412" s="2" t="s">
        <v>1459</v>
      </c>
      <c r="D412" s="1" t="s">
        <v>1414</v>
      </c>
      <c r="E412" s="1" t="s">
        <v>1414</v>
      </c>
      <c r="F412" s="1" t="s">
        <v>1093</v>
      </c>
      <c r="G412" s="1" t="s">
        <v>1346</v>
      </c>
      <c r="H412" s="1" t="s">
        <v>1800</v>
      </c>
      <c r="I412" s="1" t="s">
        <v>1379</v>
      </c>
      <c r="J412" s="1" t="s">
        <v>819</v>
      </c>
      <c r="K412" s="1" t="s">
        <v>1287</v>
      </c>
      <c r="L412" s="1" t="s">
        <v>1224</v>
      </c>
      <c r="M412" s="1" t="s">
        <v>316</v>
      </c>
      <c r="N412" s="1" t="s">
        <v>119</v>
      </c>
      <c r="O412" s="1" t="s">
        <v>119</v>
      </c>
      <c r="P412" s="5">
        <v>43430</v>
      </c>
      <c r="Q412" s="5">
        <v>43430</v>
      </c>
      <c r="R412" s="5">
        <v>43434</v>
      </c>
      <c r="S412" s="5">
        <v>43434</v>
      </c>
      <c r="T412" s="5">
        <v>43439</v>
      </c>
      <c r="U412" s="1" t="s">
        <v>1923</v>
      </c>
      <c r="V412" s="4">
        <v>1</v>
      </c>
      <c r="W412" s="6">
        <v>6500</v>
      </c>
      <c r="X412" s="1" t="s">
        <v>1459</v>
      </c>
      <c r="Y412" s="4">
        <v>116</v>
      </c>
      <c r="Z412" s="6">
        <v>56.03</v>
      </c>
      <c r="AA412" s="1" t="s">
        <v>1976</v>
      </c>
      <c r="AB412" s="6">
        <v>32.5</v>
      </c>
      <c r="AC412" s="1" t="s">
        <v>1124</v>
      </c>
      <c r="AD412" s="1" t="s">
        <v>1800</v>
      </c>
      <c r="AE412" s="1" t="s">
        <v>1286</v>
      </c>
      <c r="AF412" s="1" t="s">
        <v>1463</v>
      </c>
      <c r="AG412" s="6">
        <v>1069</v>
      </c>
      <c r="AH412" s="6">
        <v>9.2155172413793096</v>
      </c>
      <c r="AI412" s="1" t="s">
        <v>1324</v>
      </c>
      <c r="AJ412" s="6">
        <v>5431</v>
      </c>
      <c r="AK412" s="6">
        <v>0.83553846153846156</v>
      </c>
      <c r="AL412" s="1"/>
      <c r="AM412" s="1"/>
      <c r="AN412" s="1"/>
      <c r="AO412" s="1"/>
      <c r="AP412" s="1"/>
      <c r="AQ412" s="1"/>
      <c r="AR412" s="2"/>
      <c r="AS412" s="7">
        <v>43440.621315325021</v>
      </c>
      <c r="AT412" s="1"/>
      <c r="AU412" s="1"/>
      <c r="AV412" s="1" t="s">
        <v>2002</v>
      </c>
      <c r="AW412" s="7">
        <v>43440.622896500754</v>
      </c>
      <c r="AX412" s="1"/>
      <c r="AY412" s="1"/>
      <c r="AZ412" s="1"/>
      <c r="BA412" s="5">
        <v>43465</v>
      </c>
      <c r="BB412" s="1"/>
      <c r="BC412" s="1"/>
      <c r="BD412" s="1" t="s">
        <v>1363</v>
      </c>
      <c r="BE412" s="1"/>
      <c r="BF412" s="1" t="s">
        <v>840</v>
      </c>
    </row>
    <row r="413" spans="1:58">
      <c r="A413" s="4">
        <v>408</v>
      </c>
      <c r="B413" s="2" t="str">
        <f>HYPERLINK("https://my.zakupki.prom.ua/remote/dispatcher/state_purchase_view/8486213", "UA-2018-10-08-002045-c")</f>
        <v>UA-2018-10-08-002045-c</v>
      </c>
      <c r="C413" s="2" t="s">
        <v>1459</v>
      </c>
      <c r="D413" s="1" t="s">
        <v>1393</v>
      </c>
      <c r="E413" s="1" t="s">
        <v>1394</v>
      </c>
      <c r="F413" s="1" t="s">
        <v>624</v>
      </c>
      <c r="G413" s="1" t="s">
        <v>1346</v>
      </c>
      <c r="H413" s="1" t="s">
        <v>1800</v>
      </c>
      <c r="I413" s="1" t="s">
        <v>1379</v>
      </c>
      <c r="J413" s="1" t="s">
        <v>819</v>
      </c>
      <c r="K413" s="1" t="s">
        <v>1287</v>
      </c>
      <c r="L413" s="1" t="s">
        <v>1469</v>
      </c>
      <c r="M413" s="1" t="s">
        <v>316</v>
      </c>
      <c r="N413" s="1" t="s">
        <v>119</v>
      </c>
      <c r="O413" s="1" t="s">
        <v>317</v>
      </c>
      <c r="P413" s="5">
        <v>43381</v>
      </c>
      <c r="Q413" s="5">
        <v>43381</v>
      </c>
      <c r="R413" s="5">
        <v>43384</v>
      </c>
      <c r="S413" s="5">
        <v>43384</v>
      </c>
      <c r="T413" s="5">
        <v>43388</v>
      </c>
      <c r="U413" s="7">
        <v>43389.509606481479</v>
      </c>
      <c r="V413" s="4">
        <v>6</v>
      </c>
      <c r="W413" s="6">
        <v>19500</v>
      </c>
      <c r="X413" s="1" t="s">
        <v>1459</v>
      </c>
      <c r="Y413" s="1" t="s">
        <v>1956</v>
      </c>
      <c r="Z413" s="1" t="s">
        <v>1956</v>
      </c>
      <c r="AA413" s="1" t="s">
        <v>1956</v>
      </c>
      <c r="AB413" s="6">
        <v>97.5</v>
      </c>
      <c r="AC413" s="1" t="s">
        <v>1124</v>
      </c>
      <c r="AD413" s="1" t="s">
        <v>1800</v>
      </c>
      <c r="AE413" s="1" t="s">
        <v>1286</v>
      </c>
      <c r="AF413" s="1" t="s">
        <v>1463</v>
      </c>
      <c r="AG413" s="6">
        <v>14798</v>
      </c>
      <c r="AH413" s="1" t="s">
        <v>1956</v>
      </c>
      <c r="AI413" s="1" t="s">
        <v>1289</v>
      </c>
      <c r="AJ413" s="6">
        <v>4702</v>
      </c>
      <c r="AK413" s="6">
        <v>0.24112820512820513</v>
      </c>
      <c r="AL413" s="1" t="s">
        <v>1854</v>
      </c>
      <c r="AM413" s="1" t="s">
        <v>546</v>
      </c>
      <c r="AN413" s="1" t="s">
        <v>1151</v>
      </c>
      <c r="AO413" s="1" t="s">
        <v>42</v>
      </c>
      <c r="AP413" s="6">
        <v>4701</v>
      </c>
      <c r="AQ413" s="6">
        <v>0.24107692307692308</v>
      </c>
      <c r="AR413" s="2" t="str">
        <f>HYPERLINK("https://auction.openprocurement.org/tenders/b6866b2c730e44f0946698811aef95e2")</f>
        <v>https://auction.openprocurement.org/tenders/b6866b2c730e44f0946698811aef95e2</v>
      </c>
      <c r="AS413" s="7">
        <v>43402.60744560168</v>
      </c>
      <c r="AT413" s="5">
        <v>43404</v>
      </c>
      <c r="AU413" s="5">
        <v>43414</v>
      </c>
      <c r="AV413" s="1" t="s">
        <v>1941</v>
      </c>
      <c r="AW413" s="7">
        <v>43409.607315606379</v>
      </c>
      <c r="AX413" s="1" t="s">
        <v>171</v>
      </c>
      <c r="AY413" s="6">
        <v>14799</v>
      </c>
      <c r="AZ413" s="5">
        <v>43395</v>
      </c>
      <c r="BA413" s="5">
        <v>43455</v>
      </c>
      <c r="BB413" s="7">
        <v>43465</v>
      </c>
      <c r="BC413" s="1" t="s">
        <v>1997</v>
      </c>
      <c r="BD413" s="1"/>
      <c r="BE413" s="1"/>
      <c r="BF413" s="1" t="s">
        <v>811</v>
      </c>
    </row>
    <row r="414" spans="1:58">
      <c r="A414" s="4">
        <v>409</v>
      </c>
      <c r="B414" s="2" t="str">
        <f>HYPERLINK("https://my.zakupki.prom.ua/remote/dispatcher/state_purchase_view/9777374", "UA-2019-01-14-001721-c")</f>
        <v>UA-2019-01-14-001721-c</v>
      </c>
      <c r="C414" s="2" t="s">
        <v>1459</v>
      </c>
      <c r="D414" s="1" t="s">
        <v>1512</v>
      </c>
      <c r="E414" s="1" t="s">
        <v>1628</v>
      </c>
      <c r="F414" s="1" t="s">
        <v>769</v>
      </c>
      <c r="G414" s="1" t="s">
        <v>1346</v>
      </c>
      <c r="H414" s="1" t="s">
        <v>1800</v>
      </c>
      <c r="I414" s="1" t="s">
        <v>1379</v>
      </c>
      <c r="J414" s="1" t="s">
        <v>819</v>
      </c>
      <c r="K414" s="1" t="s">
        <v>1287</v>
      </c>
      <c r="L414" s="1" t="s">
        <v>1224</v>
      </c>
      <c r="M414" s="1" t="s">
        <v>119</v>
      </c>
      <c r="N414" s="1" t="s">
        <v>119</v>
      </c>
      <c r="O414" s="1" t="s">
        <v>119</v>
      </c>
      <c r="P414" s="5">
        <v>43479</v>
      </c>
      <c r="Q414" s="5">
        <v>43479</v>
      </c>
      <c r="R414" s="5">
        <v>43483</v>
      </c>
      <c r="S414" s="5">
        <v>43483</v>
      </c>
      <c r="T414" s="5">
        <v>43488</v>
      </c>
      <c r="U414" s="1" t="s">
        <v>1923</v>
      </c>
      <c r="V414" s="4">
        <v>0</v>
      </c>
      <c r="W414" s="6">
        <v>105180</v>
      </c>
      <c r="X414" s="1" t="s">
        <v>1459</v>
      </c>
      <c r="Y414" s="1" t="s">
        <v>1956</v>
      </c>
      <c r="Z414" s="1" t="s">
        <v>1956</v>
      </c>
      <c r="AA414" s="1" t="s">
        <v>1956</v>
      </c>
      <c r="AB414" s="6">
        <v>525.9</v>
      </c>
      <c r="AC414" s="1" t="s">
        <v>1124</v>
      </c>
      <c r="AD414" s="1" t="s">
        <v>1800</v>
      </c>
      <c r="AE414" s="1" t="s">
        <v>1286</v>
      </c>
      <c r="AF414" s="1" t="s">
        <v>1463</v>
      </c>
      <c r="AG414" s="1"/>
      <c r="AH414" s="1" t="s">
        <v>1956</v>
      </c>
      <c r="AI414" s="1"/>
      <c r="AJ414" s="1"/>
      <c r="AK414" s="1"/>
      <c r="AL414" s="1"/>
      <c r="AM414" s="1"/>
      <c r="AN414" s="1"/>
      <c r="AO414" s="1"/>
      <c r="AP414" s="1"/>
      <c r="AQ414" s="1"/>
      <c r="AR414" s="2"/>
      <c r="AS414" s="1"/>
      <c r="AT414" s="1"/>
      <c r="AU414" s="1"/>
      <c r="AV414" s="1" t="s">
        <v>2002</v>
      </c>
      <c r="AW414" s="7">
        <v>43486.629087980116</v>
      </c>
      <c r="AX414" s="1"/>
      <c r="AY414" s="1"/>
      <c r="AZ414" s="1"/>
      <c r="BA414" s="5">
        <v>43830</v>
      </c>
      <c r="BB414" s="1"/>
      <c r="BC414" s="1"/>
      <c r="BD414" s="1" t="s">
        <v>2005</v>
      </c>
      <c r="BE414" s="1"/>
      <c r="BF414" s="1"/>
    </row>
    <row r="415" spans="1:58">
      <c r="A415" s="4">
        <v>410</v>
      </c>
      <c r="B415" s="2" t="str">
        <f>HYPERLINK("https://my.zakupki.prom.ua/remote/dispatcher/state_purchase_view/21251613", "UA-2020-11-19-013027-c")</f>
        <v>UA-2020-11-19-013027-c</v>
      </c>
      <c r="C415" s="2" t="s">
        <v>1459</v>
      </c>
      <c r="D415" s="1" t="s">
        <v>1958</v>
      </c>
      <c r="E415" s="1" t="s">
        <v>1293</v>
      </c>
      <c r="F415" s="1" t="s">
        <v>733</v>
      </c>
      <c r="G415" s="1" t="s">
        <v>1513</v>
      </c>
      <c r="H415" s="1" t="s">
        <v>1800</v>
      </c>
      <c r="I415" s="1" t="s">
        <v>1379</v>
      </c>
      <c r="J415" s="1" t="s">
        <v>819</v>
      </c>
      <c r="K415" s="1" t="s">
        <v>1287</v>
      </c>
      <c r="L415" s="1" t="s">
        <v>1216</v>
      </c>
      <c r="M415" s="1" t="s">
        <v>119</v>
      </c>
      <c r="N415" s="1" t="s">
        <v>119</v>
      </c>
      <c r="O415" s="1" t="s">
        <v>119</v>
      </c>
      <c r="P415" s="5">
        <v>44154</v>
      </c>
      <c r="Q415" s="1"/>
      <c r="R415" s="1"/>
      <c r="S415" s="1"/>
      <c r="T415" s="1"/>
      <c r="U415" s="1" t="s">
        <v>1922</v>
      </c>
      <c r="V415" s="4">
        <v>1</v>
      </c>
      <c r="W415" s="6">
        <v>7499.62</v>
      </c>
      <c r="X415" s="1" t="s">
        <v>1459</v>
      </c>
      <c r="Y415" s="1" t="s">
        <v>1956</v>
      </c>
      <c r="Z415" s="1" t="s">
        <v>1956</v>
      </c>
      <c r="AA415" s="1" t="s">
        <v>1956</v>
      </c>
      <c r="AB415" s="1" t="s">
        <v>1964</v>
      </c>
      <c r="AC415" s="1" t="s">
        <v>1124</v>
      </c>
      <c r="AD415" s="1" t="s">
        <v>1800</v>
      </c>
      <c r="AE415" s="1" t="s">
        <v>1286</v>
      </c>
      <c r="AF415" s="1" t="s">
        <v>1463</v>
      </c>
      <c r="AG415" s="6">
        <v>7499.62</v>
      </c>
      <c r="AH415" s="1" t="s">
        <v>1956</v>
      </c>
      <c r="AI415" s="1"/>
      <c r="AJ415" s="1"/>
      <c r="AK415" s="1"/>
      <c r="AL415" s="1" t="s">
        <v>1745</v>
      </c>
      <c r="AM415" s="1" t="s">
        <v>882</v>
      </c>
      <c r="AN415" s="1"/>
      <c r="AO415" s="1" t="s">
        <v>209</v>
      </c>
      <c r="AP415" s="1"/>
      <c r="AQ415" s="1"/>
      <c r="AR415" s="2"/>
      <c r="AS415" s="1"/>
      <c r="AT415" s="1"/>
      <c r="AU415" s="1"/>
      <c r="AV415" s="1" t="s">
        <v>2002</v>
      </c>
      <c r="AW415" s="7">
        <v>44187.002784090269</v>
      </c>
      <c r="AX415" s="1"/>
      <c r="AY415" s="6">
        <v>7499.62</v>
      </c>
      <c r="AZ415" s="1"/>
      <c r="BA415" s="5">
        <v>44196</v>
      </c>
      <c r="BB415" s="1"/>
      <c r="BC415" s="1" t="s">
        <v>1968</v>
      </c>
      <c r="BD415" s="1" t="s">
        <v>1453</v>
      </c>
      <c r="BE415" s="1"/>
      <c r="BF415" s="1" t="s">
        <v>118</v>
      </c>
    </row>
    <row r="416" spans="1:58">
      <c r="A416" s="4">
        <v>411</v>
      </c>
      <c r="B416" s="2" t="str">
        <f>HYPERLINK("https://my.zakupki.prom.ua/remote/dispatcher/state_purchase_view/21718595", "UA-2020-12-03-009688-b")</f>
        <v>UA-2020-12-03-009688-b</v>
      </c>
      <c r="C416" s="2" t="s">
        <v>1459</v>
      </c>
      <c r="D416" s="1" t="s">
        <v>1957</v>
      </c>
      <c r="E416" s="1" t="s">
        <v>1637</v>
      </c>
      <c r="F416" s="1" t="s">
        <v>750</v>
      </c>
      <c r="G416" s="1" t="s">
        <v>1280</v>
      </c>
      <c r="H416" s="1" t="s">
        <v>1800</v>
      </c>
      <c r="I416" s="1" t="s">
        <v>1379</v>
      </c>
      <c r="J416" s="1" t="s">
        <v>819</v>
      </c>
      <c r="K416" s="1" t="s">
        <v>1287</v>
      </c>
      <c r="L416" s="1" t="s">
        <v>1216</v>
      </c>
      <c r="M416" s="1" t="s">
        <v>119</v>
      </c>
      <c r="N416" s="1" t="s">
        <v>119</v>
      </c>
      <c r="O416" s="1" t="s">
        <v>119</v>
      </c>
      <c r="P416" s="5">
        <v>44168</v>
      </c>
      <c r="Q416" s="5">
        <v>44168</v>
      </c>
      <c r="R416" s="5">
        <v>44174</v>
      </c>
      <c r="S416" s="5">
        <v>44168</v>
      </c>
      <c r="T416" s="5">
        <v>44184</v>
      </c>
      <c r="U416" s="1" t="s">
        <v>1923</v>
      </c>
      <c r="V416" s="4">
        <v>1</v>
      </c>
      <c r="W416" s="6">
        <v>38000</v>
      </c>
      <c r="X416" s="1" t="s">
        <v>1459</v>
      </c>
      <c r="Y416" s="1" t="s">
        <v>1956</v>
      </c>
      <c r="Z416" s="1" t="s">
        <v>1956</v>
      </c>
      <c r="AA416" s="1" t="s">
        <v>1956</v>
      </c>
      <c r="AB416" s="6">
        <v>380</v>
      </c>
      <c r="AC416" s="1" t="s">
        <v>1124</v>
      </c>
      <c r="AD416" s="1" t="s">
        <v>1800</v>
      </c>
      <c r="AE416" s="1" t="s">
        <v>1286</v>
      </c>
      <c r="AF416" s="1" t="s">
        <v>1463</v>
      </c>
      <c r="AG416" s="1"/>
      <c r="AH416" s="1" t="s">
        <v>1956</v>
      </c>
      <c r="AI416" s="1"/>
      <c r="AJ416" s="1"/>
      <c r="AK416" s="1"/>
      <c r="AL416" s="1"/>
      <c r="AM416" s="1"/>
      <c r="AN416" s="1"/>
      <c r="AO416" s="1"/>
      <c r="AP416" s="1"/>
      <c r="AQ416" s="1"/>
      <c r="AR416" s="2"/>
      <c r="AS416" s="1"/>
      <c r="AT416" s="1"/>
      <c r="AU416" s="1"/>
      <c r="AV416" s="1" t="s">
        <v>1942</v>
      </c>
      <c r="AW416" s="7">
        <v>44184.419610141929</v>
      </c>
      <c r="AX416" s="1"/>
      <c r="AY416" s="1"/>
      <c r="AZ416" s="1"/>
      <c r="BA416" s="5">
        <v>44227</v>
      </c>
      <c r="BB416" s="1"/>
      <c r="BC416" s="1"/>
      <c r="BD416" s="1"/>
      <c r="BE416" s="1"/>
      <c r="BF416" s="1" t="s">
        <v>843</v>
      </c>
    </row>
    <row r="417" spans="1:58">
      <c r="A417" s="4">
        <v>412</v>
      </c>
      <c r="B417" s="2" t="str">
        <f>HYPERLINK("https://my.zakupki.prom.ua/remote/dispatcher/state_purchase_view/19991363", "UA-2020-10-09-002370-b")</f>
        <v>UA-2020-10-09-002370-b</v>
      </c>
      <c r="C417" s="2" t="s">
        <v>1459</v>
      </c>
      <c r="D417" s="1" t="s">
        <v>1222</v>
      </c>
      <c r="E417" s="1" t="s">
        <v>1222</v>
      </c>
      <c r="F417" s="1" t="s">
        <v>403</v>
      </c>
      <c r="G417" s="1" t="s">
        <v>1364</v>
      </c>
      <c r="H417" s="1" t="s">
        <v>1800</v>
      </c>
      <c r="I417" s="1" t="s">
        <v>1379</v>
      </c>
      <c r="J417" s="1" t="s">
        <v>819</v>
      </c>
      <c r="K417" s="1" t="s">
        <v>1287</v>
      </c>
      <c r="L417" s="1" t="s">
        <v>1216</v>
      </c>
      <c r="M417" s="1" t="s">
        <v>119</v>
      </c>
      <c r="N417" s="1" t="s">
        <v>119</v>
      </c>
      <c r="O417" s="1" t="s">
        <v>119</v>
      </c>
      <c r="P417" s="5">
        <v>44113</v>
      </c>
      <c r="Q417" s="1"/>
      <c r="R417" s="1"/>
      <c r="S417" s="1"/>
      <c r="T417" s="1"/>
      <c r="U417" s="1" t="s">
        <v>1922</v>
      </c>
      <c r="V417" s="4">
        <v>1</v>
      </c>
      <c r="W417" s="6">
        <v>2996</v>
      </c>
      <c r="X417" s="1" t="s">
        <v>1459</v>
      </c>
      <c r="Y417" s="4">
        <v>2</v>
      </c>
      <c r="Z417" s="6">
        <v>1498</v>
      </c>
      <c r="AA417" s="1" t="s">
        <v>2024</v>
      </c>
      <c r="AB417" s="1" t="s">
        <v>1964</v>
      </c>
      <c r="AC417" s="1" t="s">
        <v>1124</v>
      </c>
      <c r="AD417" s="1" t="s">
        <v>1463</v>
      </c>
      <c r="AE417" s="1" t="s">
        <v>1286</v>
      </c>
      <c r="AF417" s="1" t="s">
        <v>1463</v>
      </c>
      <c r="AG417" s="6">
        <v>2996</v>
      </c>
      <c r="AH417" s="6">
        <v>1498</v>
      </c>
      <c r="AI417" s="1"/>
      <c r="AJ417" s="1"/>
      <c r="AK417" s="1"/>
      <c r="AL417" s="1" t="s">
        <v>1261</v>
      </c>
      <c r="AM417" s="1" t="s">
        <v>642</v>
      </c>
      <c r="AN417" s="1"/>
      <c r="AO417" s="1" t="s">
        <v>214</v>
      </c>
      <c r="AP417" s="1"/>
      <c r="AQ417" s="1"/>
      <c r="AR417" s="2"/>
      <c r="AS417" s="1"/>
      <c r="AT417" s="1"/>
      <c r="AU417" s="1"/>
      <c r="AV417" s="1" t="s">
        <v>1941</v>
      </c>
      <c r="AW417" s="7">
        <v>44113.605204995576</v>
      </c>
      <c r="AX417" s="1" t="s">
        <v>286</v>
      </c>
      <c r="AY417" s="6">
        <v>2996</v>
      </c>
      <c r="AZ417" s="1"/>
      <c r="BA417" s="5">
        <v>44165</v>
      </c>
      <c r="BB417" s="7">
        <v>44196</v>
      </c>
      <c r="BC417" s="1" t="s">
        <v>1997</v>
      </c>
      <c r="BD417" s="1"/>
      <c r="BE417" s="1"/>
      <c r="BF417" s="1" t="s">
        <v>118</v>
      </c>
    </row>
    <row r="418" spans="1:58">
      <c r="A418" s="4">
        <v>413</v>
      </c>
      <c r="B418" s="2" t="str">
        <f>HYPERLINK("https://my.zakupki.prom.ua/remote/dispatcher/state_purchase_view/19570117", "UA-2020-09-24-006903-a")</f>
        <v>UA-2020-09-24-006903-a</v>
      </c>
      <c r="C418" s="2" t="s">
        <v>1459</v>
      </c>
      <c r="D418" s="1" t="s">
        <v>1632</v>
      </c>
      <c r="E418" s="1" t="s">
        <v>1632</v>
      </c>
      <c r="F418" s="1" t="s">
        <v>355</v>
      </c>
      <c r="G418" s="1" t="s">
        <v>1364</v>
      </c>
      <c r="H418" s="1" t="s">
        <v>1800</v>
      </c>
      <c r="I418" s="1" t="s">
        <v>1379</v>
      </c>
      <c r="J418" s="1" t="s">
        <v>819</v>
      </c>
      <c r="K418" s="1" t="s">
        <v>1287</v>
      </c>
      <c r="L418" s="1" t="s">
        <v>1216</v>
      </c>
      <c r="M418" s="1" t="s">
        <v>119</v>
      </c>
      <c r="N418" s="1" t="s">
        <v>119</v>
      </c>
      <c r="O418" s="1" t="s">
        <v>119</v>
      </c>
      <c r="P418" s="5">
        <v>44098</v>
      </c>
      <c r="Q418" s="1"/>
      <c r="R418" s="1"/>
      <c r="S418" s="1"/>
      <c r="T418" s="1"/>
      <c r="U418" s="1" t="s">
        <v>1922</v>
      </c>
      <c r="V418" s="4">
        <v>1</v>
      </c>
      <c r="W418" s="6">
        <v>1552</v>
      </c>
      <c r="X418" s="1" t="s">
        <v>1459</v>
      </c>
      <c r="Y418" s="4">
        <v>800</v>
      </c>
      <c r="Z418" s="6">
        <v>1.94</v>
      </c>
      <c r="AA418" s="1" t="s">
        <v>1955</v>
      </c>
      <c r="AB418" s="1" t="s">
        <v>1964</v>
      </c>
      <c r="AC418" s="1" t="s">
        <v>1124</v>
      </c>
      <c r="AD418" s="1" t="s">
        <v>1463</v>
      </c>
      <c r="AE418" s="1" t="s">
        <v>1286</v>
      </c>
      <c r="AF418" s="1" t="s">
        <v>1463</v>
      </c>
      <c r="AG418" s="6">
        <v>1552</v>
      </c>
      <c r="AH418" s="6">
        <v>1.94</v>
      </c>
      <c r="AI418" s="1"/>
      <c r="AJ418" s="1"/>
      <c r="AK418" s="1"/>
      <c r="AL418" s="1" t="s">
        <v>1290</v>
      </c>
      <c r="AM418" s="1" t="s">
        <v>553</v>
      </c>
      <c r="AN418" s="1"/>
      <c r="AO418" s="1" t="s">
        <v>314</v>
      </c>
      <c r="AP418" s="1"/>
      <c r="AQ418" s="1"/>
      <c r="AR418" s="2"/>
      <c r="AS418" s="1"/>
      <c r="AT418" s="1"/>
      <c r="AU418" s="1"/>
      <c r="AV418" s="1" t="s">
        <v>1941</v>
      </c>
      <c r="AW418" s="7">
        <v>44098.55214186573</v>
      </c>
      <c r="AX418" s="1" t="s">
        <v>1038</v>
      </c>
      <c r="AY418" s="6">
        <v>1552</v>
      </c>
      <c r="AZ418" s="1"/>
      <c r="BA418" s="5">
        <v>44196</v>
      </c>
      <c r="BB418" s="7">
        <v>44196</v>
      </c>
      <c r="BC418" s="1" t="s">
        <v>1997</v>
      </c>
      <c r="BD418" s="1"/>
      <c r="BE418" s="1"/>
      <c r="BF418" s="1" t="s">
        <v>118</v>
      </c>
    </row>
    <row r="419" spans="1:58">
      <c r="A419" s="4">
        <v>414</v>
      </c>
      <c r="B419" s="2" t="str">
        <f>HYPERLINK("https://my.zakupki.prom.ua/remote/dispatcher/state_purchase_view/18218083", "UA-2020-07-30-004048-c")</f>
        <v>UA-2020-07-30-004048-c</v>
      </c>
      <c r="C419" s="2" t="s">
        <v>1459</v>
      </c>
      <c r="D419" s="1" t="s">
        <v>366</v>
      </c>
      <c r="E419" s="1" t="s">
        <v>1116</v>
      </c>
      <c r="F419" s="1" t="s">
        <v>364</v>
      </c>
      <c r="G419" s="1" t="s">
        <v>1280</v>
      </c>
      <c r="H419" s="1" t="s">
        <v>1800</v>
      </c>
      <c r="I419" s="1" t="s">
        <v>1379</v>
      </c>
      <c r="J419" s="1" t="s">
        <v>819</v>
      </c>
      <c r="K419" s="1" t="s">
        <v>1287</v>
      </c>
      <c r="L419" s="1" t="s">
        <v>1216</v>
      </c>
      <c r="M419" s="1" t="s">
        <v>119</v>
      </c>
      <c r="N419" s="1" t="s">
        <v>119</v>
      </c>
      <c r="O419" s="1" t="s">
        <v>119</v>
      </c>
      <c r="P419" s="5">
        <v>44042</v>
      </c>
      <c r="Q419" s="5">
        <v>44042</v>
      </c>
      <c r="R419" s="5">
        <v>44050</v>
      </c>
      <c r="S419" s="5">
        <v>44042</v>
      </c>
      <c r="T419" s="5">
        <v>44060</v>
      </c>
      <c r="U419" s="7">
        <v>44061.554652777777</v>
      </c>
      <c r="V419" s="4">
        <v>2</v>
      </c>
      <c r="W419" s="6">
        <v>4980</v>
      </c>
      <c r="X419" s="1" t="s">
        <v>1459</v>
      </c>
      <c r="Y419" s="4">
        <v>60</v>
      </c>
      <c r="Z419" s="6">
        <v>83</v>
      </c>
      <c r="AA419" s="1" t="s">
        <v>2017</v>
      </c>
      <c r="AB419" s="6">
        <v>24.9</v>
      </c>
      <c r="AC419" s="1" t="s">
        <v>1124</v>
      </c>
      <c r="AD419" s="1" t="s">
        <v>1800</v>
      </c>
      <c r="AE419" s="1" t="s">
        <v>1286</v>
      </c>
      <c r="AF419" s="1" t="s">
        <v>1463</v>
      </c>
      <c r="AG419" s="6">
        <v>4968</v>
      </c>
      <c r="AH419" s="6">
        <v>82.8</v>
      </c>
      <c r="AI419" s="1" t="s">
        <v>1736</v>
      </c>
      <c r="AJ419" s="6">
        <v>12</v>
      </c>
      <c r="AK419" s="6">
        <v>2.4096385542168677E-3</v>
      </c>
      <c r="AL419" s="1" t="s">
        <v>1736</v>
      </c>
      <c r="AM419" s="1" t="s">
        <v>652</v>
      </c>
      <c r="AN419" s="1" t="s">
        <v>1209</v>
      </c>
      <c r="AO419" s="1" t="s">
        <v>63</v>
      </c>
      <c r="AP419" s="6">
        <v>12</v>
      </c>
      <c r="AQ419" s="6">
        <v>2.4096385542168677E-3</v>
      </c>
      <c r="AR419" s="2" t="str">
        <f>HYPERLINK("https://auction.openprocurement.org/tenders/ef28466ce52e425096100f0997ddbd74")</f>
        <v>https://auction.openprocurement.org/tenders/ef28466ce52e425096100f0997ddbd74</v>
      </c>
      <c r="AS419" s="7">
        <v>44062.402556656809</v>
      </c>
      <c r="AT419" s="5">
        <v>44073</v>
      </c>
      <c r="AU419" s="5">
        <v>44083</v>
      </c>
      <c r="AV419" s="1" t="s">
        <v>1941</v>
      </c>
      <c r="AW419" s="7">
        <v>44074.543531661351</v>
      </c>
      <c r="AX419" s="1" t="s">
        <v>649</v>
      </c>
      <c r="AY419" s="6">
        <v>4968</v>
      </c>
      <c r="AZ419" s="1"/>
      <c r="BA419" s="5">
        <v>44196</v>
      </c>
      <c r="BB419" s="7">
        <v>44196</v>
      </c>
      <c r="BC419" s="1" t="s">
        <v>1997</v>
      </c>
      <c r="BD419" s="1"/>
      <c r="BE419" s="1"/>
      <c r="BF419" s="1" t="s">
        <v>655</v>
      </c>
    </row>
    <row r="420" spans="1:58">
      <c r="A420" s="4">
        <v>415</v>
      </c>
      <c r="B420" s="2" t="str">
        <f>HYPERLINK("https://my.zakupki.prom.ua/remote/dispatcher/state_purchase_view/22052120", "UA-2020-12-11-006562-c")</f>
        <v>UA-2020-12-11-006562-c</v>
      </c>
      <c r="C420" s="2" t="s">
        <v>1459</v>
      </c>
      <c r="D420" s="1" t="s">
        <v>1229</v>
      </c>
      <c r="E420" s="1" t="s">
        <v>1229</v>
      </c>
      <c r="F420" s="1" t="s">
        <v>685</v>
      </c>
      <c r="G420" s="1" t="s">
        <v>1364</v>
      </c>
      <c r="H420" s="1" t="s">
        <v>1800</v>
      </c>
      <c r="I420" s="1" t="s">
        <v>1379</v>
      </c>
      <c r="J420" s="1" t="s">
        <v>819</v>
      </c>
      <c r="K420" s="1" t="s">
        <v>1287</v>
      </c>
      <c r="L420" s="1" t="s">
        <v>1216</v>
      </c>
      <c r="M420" s="1" t="s">
        <v>119</v>
      </c>
      <c r="N420" s="1" t="s">
        <v>119</v>
      </c>
      <c r="O420" s="1" t="s">
        <v>119</v>
      </c>
      <c r="P420" s="5">
        <v>44176</v>
      </c>
      <c r="Q420" s="1"/>
      <c r="R420" s="1"/>
      <c r="S420" s="1"/>
      <c r="T420" s="1"/>
      <c r="U420" s="1" t="s">
        <v>1922</v>
      </c>
      <c r="V420" s="4">
        <v>1</v>
      </c>
      <c r="W420" s="6">
        <v>2257.1999999999998</v>
      </c>
      <c r="X420" s="1" t="s">
        <v>1459</v>
      </c>
      <c r="Y420" s="4">
        <v>9</v>
      </c>
      <c r="Z420" s="6">
        <v>250.8</v>
      </c>
      <c r="AA420" s="1" t="s">
        <v>2024</v>
      </c>
      <c r="AB420" s="1" t="s">
        <v>1964</v>
      </c>
      <c r="AC420" s="1" t="s">
        <v>1124</v>
      </c>
      <c r="AD420" s="1" t="s">
        <v>1800</v>
      </c>
      <c r="AE420" s="1" t="s">
        <v>1286</v>
      </c>
      <c r="AF420" s="1" t="s">
        <v>1463</v>
      </c>
      <c r="AG420" s="6">
        <v>2257.1999999999998</v>
      </c>
      <c r="AH420" s="6">
        <v>250.79999999999998</v>
      </c>
      <c r="AI420" s="1"/>
      <c r="AJ420" s="1"/>
      <c r="AK420" s="1"/>
      <c r="AL420" s="1" t="s">
        <v>1503</v>
      </c>
      <c r="AM420" s="1" t="s">
        <v>798</v>
      </c>
      <c r="AN420" s="1"/>
      <c r="AO420" s="1" t="s">
        <v>260</v>
      </c>
      <c r="AP420" s="1"/>
      <c r="AQ420" s="1"/>
      <c r="AR420" s="2"/>
      <c r="AS420" s="1"/>
      <c r="AT420" s="1"/>
      <c r="AU420" s="1"/>
      <c r="AV420" s="1" t="s">
        <v>1941</v>
      </c>
      <c r="AW420" s="7">
        <v>44176.514055055646</v>
      </c>
      <c r="AX420" s="1" t="s">
        <v>126</v>
      </c>
      <c r="AY420" s="6">
        <v>2257.1999999999998</v>
      </c>
      <c r="AZ420" s="1"/>
      <c r="BA420" s="5">
        <v>44183</v>
      </c>
      <c r="BB420" s="7">
        <v>44196</v>
      </c>
      <c r="BC420" s="1" t="s">
        <v>1997</v>
      </c>
      <c r="BD420" s="1"/>
      <c r="BE420" s="1"/>
      <c r="BF420" s="1" t="s">
        <v>118</v>
      </c>
    </row>
    <row r="421" spans="1:58">
      <c r="A421" s="4">
        <v>416</v>
      </c>
      <c r="B421" s="2" t="str">
        <f>HYPERLINK("https://my.zakupki.prom.ua/remote/dispatcher/state_purchase_view/22245315", "UA-2020-12-16-008604-c")</f>
        <v>UA-2020-12-16-008604-c</v>
      </c>
      <c r="C421" s="2" t="s">
        <v>1459</v>
      </c>
      <c r="D421" s="1" t="s">
        <v>1979</v>
      </c>
      <c r="E421" s="1" t="s">
        <v>1979</v>
      </c>
      <c r="F421" s="1" t="s">
        <v>1065</v>
      </c>
      <c r="G421" s="1" t="s">
        <v>1364</v>
      </c>
      <c r="H421" s="1" t="s">
        <v>1800</v>
      </c>
      <c r="I421" s="1" t="s">
        <v>1379</v>
      </c>
      <c r="J421" s="1" t="s">
        <v>819</v>
      </c>
      <c r="K421" s="1" t="s">
        <v>1287</v>
      </c>
      <c r="L421" s="1" t="s">
        <v>1216</v>
      </c>
      <c r="M421" s="1" t="s">
        <v>119</v>
      </c>
      <c r="N421" s="1" t="s">
        <v>119</v>
      </c>
      <c r="O421" s="1" t="s">
        <v>119</v>
      </c>
      <c r="P421" s="5">
        <v>44181</v>
      </c>
      <c r="Q421" s="1"/>
      <c r="R421" s="1"/>
      <c r="S421" s="1"/>
      <c r="T421" s="1"/>
      <c r="U421" s="1" t="s">
        <v>1922</v>
      </c>
      <c r="V421" s="4">
        <v>1</v>
      </c>
      <c r="W421" s="6">
        <v>46000</v>
      </c>
      <c r="X421" s="1" t="s">
        <v>1459</v>
      </c>
      <c r="Y421" s="4">
        <v>1</v>
      </c>
      <c r="Z421" s="6">
        <v>46000</v>
      </c>
      <c r="AA421" s="1" t="s">
        <v>1976</v>
      </c>
      <c r="AB421" s="1" t="s">
        <v>1964</v>
      </c>
      <c r="AC421" s="1" t="s">
        <v>1124</v>
      </c>
      <c r="AD421" s="1" t="s">
        <v>1800</v>
      </c>
      <c r="AE421" s="1" t="s">
        <v>1286</v>
      </c>
      <c r="AF421" s="1" t="s">
        <v>1463</v>
      </c>
      <c r="AG421" s="6">
        <v>46000</v>
      </c>
      <c r="AH421" s="6">
        <v>46000</v>
      </c>
      <c r="AI421" s="1"/>
      <c r="AJ421" s="1"/>
      <c r="AK421" s="1"/>
      <c r="AL421" s="1" t="s">
        <v>1780</v>
      </c>
      <c r="AM421" s="1" t="s">
        <v>874</v>
      </c>
      <c r="AN421" s="1"/>
      <c r="AO421" s="1" t="s">
        <v>241</v>
      </c>
      <c r="AP421" s="1"/>
      <c r="AQ421" s="1"/>
      <c r="AR421" s="2"/>
      <c r="AS421" s="1"/>
      <c r="AT421" s="1"/>
      <c r="AU421" s="1"/>
      <c r="AV421" s="1" t="s">
        <v>1941</v>
      </c>
      <c r="AW421" s="7">
        <v>44181.564554746692</v>
      </c>
      <c r="AX421" s="1" t="s">
        <v>376</v>
      </c>
      <c r="AY421" s="6">
        <v>46000</v>
      </c>
      <c r="AZ421" s="1"/>
      <c r="BA421" s="5">
        <v>44183</v>
      </c>
      <c r="BB421" s="7">
        <v>44196</v>
      </c>
      <c r="BC421" s="1" t="s">
        <v>1997</v>
      </c>
      <c r="BD421" s="1"/>
      <c r="BE421" s="1"/>
      <c r="BF421" s="1" t="s">
        <v>118</v>
      </c>
    </row>
    <row r="422" spans="1:58">
      <c r="A422" s="4">
        <v>417</v>
      </c>
      <c r="B422" s="2" t="str">
        <f>HYPERLINK("https://my.zakupki.prom.ua/remote/dispatcher/state_purchase_view/23254234", "UA-2021-01-26-001723-b")</f>
        <v>UA-2021-01-26-001723-b</v>
      </c>
      <c r="C422" s="2" t="s">
        <v>1459</v>
      </c>
      <c r="D422" s="1" t="s">
        <v>1537</v>
      </c>
      <c r="E422" s="1" t="s">
        <v>1537</v>
      </c>
      <c r="F422" s="1" t="s">
        <v>1066</v>
      </c>
      <c r="G422" s="1" t="s">
        <v>1364</v>
      </c>
      <c r="H422" s="1" t="s">
        <v>1800</v>
      </c>
      <c r="I422" s="1" t="s">
        <v>1379</v>
      </c>
      <c r="J422" s="1" t="s">
        <v>819</v>
      </c>
      <c r="K422" s="1" t="s">
        <v>1287</v>
      </c>
      <c r="L422" s="1" t="s">
        <v>1216</v>
      </c>
      <c r="M422" s="1" t="s">
        <v>119</v>
      </c>
      <c r="N422" s="1" t="s">
        <v>119</v>
      </c>
      <c r="O422" s="1" t="s">
        <v>119</v>
      </c>
      <c r="P422" s="5">
        <v>44222</v>
      </c>
      <c r="Q422" s="1"/>
      <c r="R422" s="1"/>
      <c r="S422" s="1"/>
      <c r="T422" s="1"/>
      <c r="U422" s="1" t="s">
        <v>1922</v>
      </c>
      <c r="V422" s="4">
        <v>1</v>
      </c>
      <c r="W422" s="6">
        <v>830</v>
      </c>
      <c r="X422" s="1" t="s">
        <v>1459</v>
      </c>
      <c r="Y422" s="4">
        <v>6</v>
      </c>
      <c r="Z422" s="6">
        <v>138.33000000000001</v>
      </c>
      <c r="AA422" s="1" t="s">
        <v>1976</v>
      </c>
      <c r="AB422" s="1" t="s">
        <v>1964</v>
      </c>
      <c r="AC422" s="1" t="s">
        <v>1124</v>
      </c>
      <c r="AD422" s="1" t="s">
        <v>1800</v>
      </c>
      <c r="AE422" s="1" t="s">
        <v>1286</v>
      </c>
      <c r="AF422" s="1" t="s">
        <v>1463</v>
      </c>
      <c r="AG422" s="6">
        <v>830</v>
      </c>
      <c r="AH422" s="6">
        <v>138.33333333333334</v>
      </c>
      <c r="AI422" s="1"/>
      <c r="AJ422" s="1"/>
      <c r="AK422" s="1"/>
      <c r="AL422" s="1" t="s">
        <v>1794</v>
      </c>
      <c r="AM422" s="1" t="s">
        <v>809</v>
      </c>
      <c r="AN422" s="1"/>
      <c r="AO422" s="1" t="s">
        <v>430</v>
      </c>
      <c r="AP422" s="1"/>
      <c r="AQ422" s="1"/>
      <c r="AR422" s="2"/>
      <c r="AS422" s="1"/>
      <c r="AT422" s="1"/>
      <c r="AU422" s="1"/>
      <c r="AV422" s="1" t="s">
        <v>1941</v>
      </c>
      <c r="AW422" s="7">
        <v>44222.425934950894</v>
      </c>
      <c r="AX422" s="1" t="s">
        <v>819</v>
      </c>
      <c r="AY422" s="6">
        <v>830</v>
      </c>
      <c r="AZ422" s="1"/>
      <c r="BA422" s="5">
        <v>44561</v>
      </c>
      <c r="BB422" s="7">
        <v>44561</v>
      </c>
      <c r="BC422" s="1" t="s">
        <v>1997</v>
      </c>
      <c r="BD422" s="1"/>
      <c r="BE422" s="1"/>
      <c r="BF422" s="1" t="s">
        <v>118</v>
      </c>
    </row>
    <row r="423" spans="1:58">
      <c r="A423" s="4">
        <v>418</v>
      </c>
      <c r="B423" s="2" t="str">
        <f>HYPERLINK("https://my.zakupki.prom.ua/remote/dispatcher/state_purchase_view/21216324", "UA-2020-11-19-000458-c")</f>
        <v>UA-2020-11-19-000458-c</v>
      </c>
      <c r="C423" s="2" t="s">
        <v>1459</v>
      </c>
      <c r="D423" s="1" t="s">
        <v>1445</v>
      </c>
      <c r="E423" s="1" t="s">
        <v>1445</v>
      </c>
      <c r="F423" s="1" t="s">
        <v>733</v>
      </c>
      <c r="G423" s="1" t="s">
        <v>1364</v>
      </c>
      <c r="H423" s="1" t="s">
        <v>1800</v>
      </c>
      <c r="I423" s="1" t="s">
        <v>1379</v>
      </c>
      <c r="J423" s="1" t="s">
        <v>819</v>
      </c>
      <c r="K423" s="1" t="s">
        <v>1287</v>
      </c>
      <c r="L423" s="1" t="s">
        <v>1216</v>
      </c>
      <c r="M423" s="1" t="s">
        <v>119</v>
      </c>
      <c r="N423" s="1" t="s">
        <v>119</v>
      </c>
      <c r="O423" s="1" t="s">
        <v>119</v>
      </c>
      <c r="P423" s="5">
        <v>44154</v>
      </c>
      <c r="Q423" s="1"/>
      <c r="R423" s="1"/>
      <c r="S423" s="1"/>
      <c r="T423" s="1"/>
      <c r="U423" s="1" t="s">
        <v>1922</v>
      </c>
      <c r="V423" s="4">
        <v>1</v>
      </c>
      <c r="W423" s="6">
        <v>252.33</v>
      </c>
      <c r="X423" s="1" t="s">
        <v>1459</v>
      </c>
      <c r="Y423" s="4">
        <v>3</v>
      </c>
      <c r="Z423" s="6">
        <v>84.11</v>
      </c>
      <c r="AA423" s="1" t="s">
        <v>1921</v>
      </c>
      <c r="AB423" s="1" t="s">
        <v>1964</v>
      </c>
      <c r="AC423" s="1" t="s">
        <v>1124</v>
      </c>
      <c r="AD423" s="1" t="s">
        <v>1800</v>
      </c>
      <c r="AE423" s="1" t="s">
        <v>1286</v>
      </c>
      <c r="AF423" s="1" t="s">
        <v>1463</v>
      </c>
      <c r="AG423" s="6">
        <v>252.33</v>
      </c>
      <c r="AH423" s="6">
        <v>84.11</v>
      </c>
      <c r="AI423" s="1"/>
      <c r="AJ423" s="1"/>
      <c r="AK423" s="1"/>
      <c r="AL423" s="1" t="s">
        <v>1465</v>
      </c>
      <c r="AM423" s="1" t="s">
        <v>139</v>
      </c>
      <c r="AN423" s="1"/>
      <c r="AO423" s="1" t="s">
        <v>187</v>
      </c>
      <c r="AP423" s="1"/>
      <c r="AQ423" s="1"/>
      <c r="AR423" s="2"/>
      <c r="AS423" s="1"/>
      <c r="AT423" s="1"/>
      <c r="AU423" s="1"/>
      <c r="AV423" s="1" t="s">
        <v>1941</v>
      </c>
      <c r="AW423" s="7">
        <v>44154.375876340673</v>
      </c>
      <c r="AX423" s="1" t="s">
        <v>1094</v>
      </c>
      <c r="AY423" s="6">
        <v>252.33</v>
      </c>
      <c r="AZ423" s="1"/>
      <c r="BA423" s="5">
        <v>44196</v>
      </c>
      <c r="BB423" s="7">
        <v>44196</v>
      </c>
      <c r="BC423" s="1" t="s">
        <v>1997</v>
      </c>
      <c r="BD423" s="1"/>
      <c r="BE423" s="1"/>
      <c r="BF423" s="1" t="s">
        <v>118</v>
      </c>
    </row>
    <row r="424" spans="1:58">
      <c r="A424" s="4">
        <v>419</v>
      </c>
      <c r="B424" s="2" t="str">
        <f>HYPERLINK("https://my.zakupki.prom.ua/remote/dispatcher/state_purchase_view/19657840", "UA-2020-09-28-006383-a")</f>
        <v>UA-2020-09-28-006383-a</v>
      </c>
      <c r="C424" s="2" t="s">
        <v>1459</v>
      </c>
      <c r="D424" s="1" t="s">
        <v>1989</v>
      </c>
      <c r="E424" s="1" t="s">
        <v>1989</v>
      </c>
      <c r="F424" s="1" t="s">
        <v>1020</v>
      </c>
      <c r="G424" s="1" t="s">
        <v>1364</v>
      </c>
      <c r="H424" s="1" t="s">
        <v>1800</v>
      </c>
      <c r="I424" s="1" t="s">
        <v>1379</v>
      </c>
      <c r="J424" s="1" t="s">
        <v>819</v>
      </c>
      <c r="K424" s="1" t="s">
        <v>1287</v>
      </c>
      <c r="L424" s="1" t="s">
        <v>1216</v>
      </c>
      <c r="M424" s="1" t="s">
        <v>119</v>
      </c>
      <c r="N424" s="1" t="s">
        <v>119</v>
      </c>
      <c r="O424" s="1" t="s">
        <v>119</v>
      </c>
      <c r="P424" s="5">
        <v>44102</v>
      </c>
      <c r="Q424" s="1"/>
      <c r="R424" s="1"/>
      <c r="S424" s="1"/>
      <c r="T424" s="1"/>
      <c r="U424" s="1" t="s">
        <v>1922</v>
      </c>
      <c r="V424" s="4">
        <v>1</v>
      </c>
      <c r="W424" s="6">
        <v>1705.26</v>
      </c>
      <c r="X424" s="1" t="s">
        <v>1459</v>
      </c>
      <c r="Y424" s="4">
        <v>1</v>
      </c>
      <c r="Z424" s="6">
        <v>1705.26</v>
      </c>
      <c r="AA424" s="1" t="s">
        <v>1976</v>
      </c>
      <c r="AB424" s="1" t="s">
        <v>1964</v>
      </c>
      <c r="AC424" s="1" t="s">
        <v>1124</v>
      </c>
      <c r="AD424" s="1" t="s">
        <v>1800</v>
      </c>
      <c r="AE424" s="1" t="s">
        <v>1286</v>
      </c>
      <c r="AF424" s="1" t="s">
        <v>1463</v>
      </c>
      <c r="AG424" s="6">
        <v>1705.26</v>
      </c>
      <c r="AH424" s="6">
        <v>1705.26</v>
      </c>
      <c r="AI424" s="1"/>
      <c r="AJ424" s="1"/>
      <c r="AK424" s="1"/>
      <c r="AL424" s="1" t="s">
        <v>1777</v>
      </c>
      <c r="AM424" s="1" t="s">
        <v>682</v>
      </c>
      <c r="AN424" s="1"/>
      <c r="AO424" s="1" t="s">
        <v>246</v>
      </c>
      <c r="AP424" s="1"/>
      <c r="AQ424" s="1"/>
      <c r="AR424" s="2"/>
      <c r="AS424" s="1"/>
      <c r="AT424" s="1"/>
      <c r="AU424" s="1"/>
      <c r="AV424" s="1" t="s">
        <v>1941</v>
      </c>
      <c r="AW424" s="7">
        <v>44102.627718417454</v>
      </c>
      <c r="AX424" s="1" t="s">
        <v>1075</v>
      </c>
      <c r="AY424" s="6">
        <v>1705.26</v>
      </c>
      <c r="AZ424" s="1"/>
      <c r="BA424" s="5">
        <v>44196</v>
      </c>
      <c r="BB424" s="7">
        <v>44196</v>
      </c>
      <c r="BC424" s="1" t="s">
        <v>1997</v>
      </c>
      <c r="BD424" s="1"/>
      <c r="BE424" s="1"/>
      <c r="BF424" s="1" t="s">
        <v>118</v>
      </c>
    </row>
    <row r="425" spans="1:58">
      <c r="A425" s="4">
        <v>420</v>
      </c>
      <c r="B425" s="2" t="str">
        <f>HYPERLINK("https://my.zakupki.prom.ua/remote/dispatcher/state_purchase_view/19558723", "UA-2020-09-24-002919-a")</f>
        <v>UA-2020-09-24-002919-a</v>
      </c>
      <c r="C425" s="2" t="s">
        <v>1459</v>
      </c>
      <c r="D425" s="1" t="s">
        <v>1534</v>
      </c>
      <c r="E425" s="1" t="s">
        <v>1534</v>
      </c>
      <c r="F425" s="1" t="s">
        <v>1086</v>
      </c>
      <c r="G425" s="1" t="s">
        <v>1364</v>
      </c>
      <c r="H425" s="1" t="s">
        <v>1800</v>
      </c>
      <c r="I425" s="1" t="s">
        <v>1379</v>
      </c>
      <c r="J425" s="1" t="s">
        <v>819</v>
      </c>
      <c r="K425" s="1" t="s">
        <v>1287</v>
      </c>
      <c r="L425" s="1" t="s">
        <v>1216</v>
      </c>
      <c r="M425" s="1" t="s">
        <v>119</v>
      </c>
      <c r="N425" s="1" t="s">
        <v>119</v>
      </c>
      <c r="O425" s="1" t="s">
        <v>119</v>
      </c>
      <c r="P425" s="5">
        <v>44098</v>
      </c>
      <c r="Q425" s="1"/>
      <c r="R425" s="1"/>
      <c r="S425" s="1"/>
      <c r="T425" s="1"/>
      <c r="U425" s="1" t="s">
        <v>1922</v>
      </c>
      <c r="V425" s="4">
        <v>1</v>
      </c>
      <c r="W425" s="6">
        <v>600</v>
      </c>
      <c r="X425" s="1" t="s">
        <v>1459</v>
      </c>
      <c r="Y425" s="4">
        <v>1</v>
      </c>
      <c r="Z425" s="6">
        <v>600</v>
      </c>
      <c r="AA425" s="1" t="s">
        <v>1976</v>
      </c>
      <c r="AB425" s="1" t="s">
        <v>1964</v>
      </c>
      <c r="AC425" s="1" t="s">
        <v>1124</v>
      </c>
      <c r="AD425" s="1" t="s">
        <v>1800</v>
      </c>
      <c r="AE425" s="1" t="s">
        <v>1286</v>
      </c>
      <c r="AF425" s="1" t="s">
        <v>1463</v>
      </c>
      <c r="AG425" s="6">
        <v>600</v>
      </c>
      <c r="AH425" s="6">
        <v>600</v>
      </c>
      <c r="AI425" s="1"/>
      <c r="AJ425" s="1"/>
      <c r="AK425" s="1"/>
      <c r="AL425" s="1" t="s">
        <v>1381</v>
      </c>
      <c r="AM425" s="1" t="s">
        <v>157</v>
      </c>
      <c r="AN425" s="1"/>
      <c r="AO425" s="1" t="s">
        <v>181</v>
      </c>
      <c r="AP425" s="1"/>
      <c r="AQ425" s="1"/>
      <c r="AR425" s="2"/>
      <c r="AS425" s="1"/>
      <c r="AT425" s="1"/>
      <c r="AU425" s="1"/>
      <c r="AV425" s="1" t="s">
        <v>1941</v>
      </c>
      <c r="AW425" s="7">
        <v>44098.443419487201</v>
      </c>
      <c r="AX425" s="1" t="s">
        <v>1033</v>
      </c>
      <c r="AY425" s="6">
        <v>600</v>
      </c>
      <c r="AZ425" s="1"/>
      <c r="BA425" s="5">
        <v>44196</v>
      </c>
      <c r="BB425" s="7">
        <v>44196</v>
      </c>
      <c r="BC425" s="1" t="s">
        <v>1997</v>
      </c>
      <c r="BD425" s="1"/>
      <c r="BE425" s="1"/>
      <c r="BF425" s="1" t="s">
        <v>118</v>
      </c>
    </row>
    <row r="426" spans="1:58">
      <c r="A426" s="4">
        <v>421</v>
      </c>
      <c r="B426" s="2" t="str">
        <f>HYPERLINK("https://my.zakupki.prom.ua/remote/dispatcher/state_purchase_view/18636900", "UA-2020-08-18-008182-a")</f>
        <v>UA-2020-08-18-008182-a</v>
      </c>
      <c r="C426" s="2" t="s">
        <v>1459</v>
      </c>
      <c r="D426" s="1" t="s">
        <v>1611</v>
      </c>
      <c r="E426" s="1" t="s">
        <v>1966</v>
      </c>
      <c r="F426" s="1" t="s">
        <v>1052</v>
      </c>
      <c r="G426" s="1" t="s">
        <v>1364</v>
      </c>
      <c r="H426" s="1" t="s">
        <v>1800</v>
      </c>
      <c r="I426" s="1" t="s">
        <v>1379</v>
      </c>
      <c r="J426" s="1" t="s">
        <v>819</v>
      </c>
      <c r="K426" s="1" t="s">
        <v>1287</v>
      </c>
      <c r="L426" s="1" t="s">
        <v>1216</v>
      </c>
      <c r="M426" s="1" t="s">
        <v>119</v>
      </c>
      <c r="N426" s="1" t="s">
        <v>119</v>
      </c>
      <c r="O426" s="1" t="s">
        <v>119</v>
      </c>
      <c r="P426" s="5">
        <v>44061</v>
      </c>
      <c r="Q426" s="1"/>
      <c r="R426" s="1"/>
      <c r="S426" s="1"/>
      <c r="T426" s="1"/>
      <c r="U426" s="1" t="s">
        <v>1922</v>
      </c>
      <c r="V426" s="4">
        <v>1</v>
      </c>
      <c r="W426" s="6">
        <v>28195.94</v>
      </c>
      <c r="X426" s="1" t="s">
        <v>1459</v>
      </c>
      <c r="Y426" s="4">
        <v>10</v>
      </c>
      <c r="Z426" s="6">
        <v>2819.59</v>
      </c>
      <c r="AA426" s="1" t="s">
        <v>1953</v>
      </c>
      <c r="AB426" s="1" t="s">
        <v>1964</v>
      </c>
      <c r="AC426" s="1" t="s">
        <v>1124</v>
      </c>
      <c r="AD426" s="1" t="s">
        <v>1800</v>
      </c>
      <c r="AE426" s="1" t="s">
        <v>1286</v>
      </c>
      <c r="AF426" s="1" t="s">
        <v>1463</v>
      </c>
      <c r="AG426" s="6">
        <v>28195.94</v>
      </c>
      <c r="AH426" s="6">
        <v>2819.5940000000001</v>
      </c>
      <c r="AI426" s="1"/>
      <c r="AJ426" s="1"/>
      <c r="AK426" s="1"/>
      <c r="AL426" s="1" t="s">
        <v>1225</v>
      </c>
      <c r="AM426" s="1" t="s">
        <v>480</v>
      </c>
      <c r="AN426" s="1"/>
      <c r="AO426" s="1" t="s">
        <v>179</v>
      </c>
      <c r="AP426" s="1"/>
      <c r="AQ426" s="1"/>
      <c r="AR426" s="2"/>
      <c r="AS426" s="1"/>
      <c r="AT426" s="1"/>
      <c r="AU426" s="1"/>
      <c r="AV426" s="1" t="s">
        <v>1941</v>
      </c>
      <c r="AW426" s="7">
        <v>44062.35793872911</v>
      </c>
      <c r="AX426" s="1" t="s">
        <v>128</v>
      </c>
      <c r="AY426" s="6">
        <v>28195.94</v>
      </c>
      <c r="AZ426" s="5">
        <v>44056</v>
      </c>
      <c r="BA426" s="5">
        <v>44196</v>
      </c>
      <c r="BB426" s="7">
        <v>44196</v>
      </c>
      <c r="BC426" s="1" t="s">
        <v>1997</v>
      </c>
      <c r="BD426" s="1"/>
      <c r="BE426" s="1"/>
      <c r="BF426" s="1" t="s">
        <v>118</v>
      </c>
    </row>
    <row r="427" spans="1:58">
      <c r="A427" s="4">
        <v>422</v>
      </c>
      <c r="B427" s="2" t="str">
        <f>HYPERLINK("https://my.zakupki.prom.ua/remote/dispatcher/state_purchase_view/16431701", "UA-2020-04-21-000100-b")</f>
        <v>UA-2020-04-21-000100-b</v>
      </c>
      <c r="C427" s="2" t="s">
        <v>1459</v>
      </c>
      <c r="D427" s="1" t="s">
        <v>1435</v>
      </c>
      <c r="E427" s="1" t="s">
        <v>1435</v>
      </c>
      <c r="F427" s="1" t="s">
        <v>733</v>
      </c>
      <c r="G427" s="1" t="s">
        <v>1513</v>
      </c>
      <c r="H427" s="1" t="s">
        <v>1800</v>
      </c>
      <c r="I427" s="1" t="s">
        <v>1379</v>
      </c>
      <c r="J427" s="1" t="s">
        <v>819</v>
      </c>
      <c r="K427" s="1" t="s">
        <v>1287</v>
      </c>
      <c r="L427" s="1" t="s">
        <v>1216</v>
      </c>
      <c r="M427" s="1" t="s">
        <v>119</v>
      </c>
      <c r="N427" s="1" t="s">
        <v>119</v>
      </c>
      <c r="O427" s="1" t="s">
        <v>119</v>
      </c>
      <c r="P427" s="5">
        <v>43942</v>
      </c>
      <c r="Q427" s="1"/>
      <c r="R427" s="1"/>
      <c r="S427" s="1"/>
      <c r="T427" s="1"/>
      <c r="U427" s="1" t="s">
        <v>1922</v>
      </c>
      <c r="V427" s="4">
        <v>1</v>
      </c>
      <c r="W427" s="6">
        <v>10000</v>
      </c>
      <c r="X427" s="1" t="s">
        <v>1459</v>
      </c>
      <c r="Y427" s="4">
        <v>70</v>
      </c>
      <c r="Z427" s="6">
        <v>142.86000000000001</v>
      </c>
      <c r="AA427" s="1" t="s">
        <v>2017</v>
      </c>
      <c r="AB427" s="1" t="s">
        <v>1964</v>
      </c>
      <c r="AC427" s="1" t="s">
        <v>1124</v>
      </c>
      <c r="AD427" s="1" t="s">
        <v>1800</v>
      </c>
      <c r="AE427" s="1" t="s">
        <v>1286</v>
      </c>
      <c r="AF427" s="1" t="s">
        <v>1463</v>
      </c>
      <c r="AG427" s="6">
        <v>7928.2</v>
      </c>
      <c r="AH427" s="6">
        <v>113.25999999999999</v>
      </c>
      <c r="AI427" s="1"/>
      <c r="AJ427" s="6">
        <v>2071.8000000000002</v>
      </c>
      <c r="AK427" s="6">
        <v>0.20718000000000003</v>
      </c>
      <c r="AL427" s="1" t="s">
        <v>1745</v>
      </c>
      <c r="AM427" s="1" t="s">
        <v>882</v>
      </c>
      <c r="AN427" s="1"/>
      <c r="AO427" s="1" t="s">
        <v>249</v>
      </c>
      <c r="AP427" s="6">
        <v>2071.8000000000002</v>
      </c>
      <c r="AQ427" s="6">
        <v>0.20718000000000003</v>
      </c>
      <c r="AR427" s="2"/>
      <c r="AS427" s="1"/>
      <c r="AT427" s="5">
        <v>43953</v>
      </c>
      <c r="AU427" s="5">
        <v>43978</v>
      </c>
      <c r="AV427" s="1" t="s">
        <v>1941</v>
      </c>
      <c r="AW427" s="7">
        <v>43963.489553490428</v>
      </c>
      <c r="AX427" s="1" t="s">
        <v>276</v>
      </c>
      <c r="AY427" s="6">
        <v>7928.2</v>
      </c>
      <c r="AZ427" s="1"/>
      <c r="BA427" s="5">
        <v>43962</v>
      </c>
      <c r="BB427" s="7">
        <v>44196</v>
      </c>
      <c r="BC427" s="1" t="s">
        <v>1997</v>
      </c>
      <c r="BD427" s="1"/>
      <c r="BE427" s="1"/>
      <c r="BF427" s="1" t="s">
        <v>118</v>
      </c>
    </row>
    <row r="428" spans="1:58">
      <c r="A428" s="4">
        <v>423</v>
      </c>
      <c r="B428" s="2" t="str">
        <f>HYPERLINK("https://my.zakupki.prom.ua/remote/dispatcher/state_purchase_view/16931457", "UA-2020-05-29-000820-b")</f>
        <v>UA-2020-05-29-000820-b</v>
      </c>
      <c r="C428" s="2" t="s">
        <v>1459</v>
      </c>
      <c r="D428" s="1" t="s">
        <v>1275</v>
      </c>
      <c r="E428" s="1" t="s">
        <v>1275</v>
      </c>
      <c r="F428" s="1" t="s">
        <v>1006</v>
      </c>
      <c r="G428" s="1" t="s">
        <v>1675</v>
      </c>
      <c r="H428" s="1" t="s">
        <v>1800</v>
      </c>
      <c r="I428" s="1" t="s">
        <v>1379</v>
      </c>
      <c r="J428" s="1" t="s">
        <v>819</v>
      </c>
      <c r="K428" s="1" t="s">
        <v>1287</v>
      </c>
      <c r="L428" s="1" t="s">
        <v>1216</v>
      </c>
      <c r="M428" s="1" t="s">
        <v>1014</v>
      </c>
      <c r="N428" s="1" t="s">
        <v>119</v>
      </c>
      <c r="O428" s="1" t="s">
        <v>119</v>
      </c>
      <c r="P428" s="5">
        <v>43980</v>
      </c>
      <c r="Q428" s="5">
        <v>43980</v>
      </c>
      <c r="R428" s="5">
        <v>43986</v>
      </c>
      <c r="S428" s="5">
        <v>43986</v>
      </c>
      <c r="T428" s="5">
        <v>43992</v>
      </c>
      <c r="U428" s="1" t="s">
        <v>1923</v>
      </c>
      <c r="V428" s="4">
        <v>1</v>
      </c>
      <c r="W428" s="6">
        <v>110000</v>
      </c>
      <c r="X428" s="1" t="s">
        <v>1459</v>
      </c>
      <c r="Y428" s="4">
        <v>1</v>
      </c>
      <c r="Z428" s="6">
        <v>110000</v>
      </c>
      <c r="AA428" s="1" t="s">
        <v>1976</v>
      </c>
      <c r="AB428" s="6">
        <v>550</v>
      </c>
      <c r="AC428" s="1" t="s">
        <v>1124</v>
      </c>
      <c r="AD428" s="1" t="s">
        <v>1800</v>
      </c>
      <c r="AE428" s="1" t="s">
        <v>1286</v>
      </c>
      <c r="AF428" s="1" t="s">
        <v>1463</v>
      </c>
      <c r="AG428" s="6">
        <v>109500</v>
      </c>
      <c r="AH428" s="6">
        <v>109500</v>
      </c>
      <c r="AI428" s="1" t="s">
        <v>1730</v>
      </c>
      <c r="AJ428" s="6">
        <v>500</v>
      </c>
      <c r="AK428" s="6">
        <v>4.5454545454545452E-3</v>
      </c>
      <c r="AL428" s="1" t="s">
        <v>1730</v>
      </c>
      <c r="AM428" s="1" t="s">
        <v>694</v>
      </c>
      <c r="AN428" s="1" t="s">
        <v>1187</v>
      </c>
      <c r="AO428" s="1" t="s">
        <v>32</v>
      </c>
      <c r="AP428" s="6">
        <v>500</v>
      </c>
      <c r="AQ428" s="6">
        <v>4.5454545454545452E-3</v>
      </c>
      <c r="AR428" s="2"/>
      <c r="AS428" s="7">
        <v>43993.456497707462</v>
      </c>
      <c r="AT428" s="5">
        <v>43997</v>
      </c>
      <c r="AU428" s="5">
        <v>44016</v>
      </c>
      <c r="AV428" s="1" t="s">
        <v>1941</v>
      </c>
      <c r="AW428" s="7">
        <v>43999.58686790221</v>
      </c>
      <c r="AX428" s="1" t="s">
        <v>1248</v>
      </c>
      <c r="AY428" s="6">
        <v>109500</v>
      </c>
      <c r="AZ428" s="1"/>
      <c r="BA428" s="5">
        <v>44043</v>
      </c>
      <c r="BB428" s="7">
        <v>44196</v>
      </c>
      <c r="BC428" s="1" t="s">
        <v>1997</v>
      </c>
      <c r="BD428" s="1"/>
      <c r="BE428" s="1"/>
      <c r="BF428" s="1" t="s">
        <v>695</v>
      </c>
    </row>
    <row r="429" spans="1:58">
      <c r="A429" s="4">
        <v>424</v>
      </c>
      <c r="B429" s="2" t="str">
        <f>HYPERLINK("https://my.zakupki.prom.ua/remote/dispatcher/state_purchase_view/14956553", "UA-2020-01-30-000673-c")</f>
        <v>UA-2020-01-30-000673-c</v>
      </c>
      <c r="C429" s="2" t="s">
        <v>1459</v>
      </c>
      <c r="D429" s="1" t="s">
        <v>1814</v>
      </c>
      <c r="E429" s="1" t="s">
        <v>1814</v>
      </c>
      <c r="F429" s="1" t="s">
        <v>1024</v>
      </c>
      <c r="G429" s="1" t="s">
        <v>1364</v>
      </c>
      <c r="H429" s="1" t="s">
        <v>1800</v>
      </c>
      <c r="I429" s="1" t="s">
        <v>1379</v>
      </c>
      <c r="J429" s="1" t="s">
        <v>819</v>
      </c>
      <c r="K429" s="1" t="s">
        <v>1287</v>
      </c>
      <c r="L429" s="1" t="s">
        <v>1915</v>
      </c>
      <c r="M429" s="1" t="s">
        <v>119</v>
      </c>
      <c r="N429" s="1" t="s">
        <v>119</v>
      </c>
      <c r="O429" s="1" t="s">
        <v>119</v>
      </c>
      <c r="P429" s="5">
        <v>43860</v>
      </c>
      <c r="Q429" s="1"/>
      <c r="R429" s="1"/>
      <c r="S429" s="1"/>
      <c r="T429" s="1"/>
      <c r="U429" s="1" t="s">
        <v>1922</v>
      </c>
      <c r="V429" s="4">
        <v>1</v>
      </c>
      <c r="W429" s="6">
        <v>1378.39</v>
      </c>
      <c r="X429" s="1" t="s">
        <v>1459</v>
      </c>
      <c r="Y429" s="4">
        <v>1</v>
      </c>
      <c r="Z429" s="6">
        <v>1378.39</v>
      </c>
      <c r="AA429" s="1" t="s">
        <v>1976</v>
      </c>
      <c r="AB429" s="1" t="s">
        <v>1964</v>
      </c>
      <c r="AC429" s="1" t="s">
        <v>1124</v>
      </c>
      <c r="AD429" s="1" t="s">
        <v>1800</v>
      </c>
      <c r="AE429" s="1" t="s">
        <v>1286</v>
      </c>
      <c r="AF429" s="1" t="s">
        <v>1463</v>
      </c>
      <c r="AG429" s="6">
        <v>1378.39</v>
      </c>
      <c r="AH429" s="6">
        <v>1378.39</v>
      </c>
      <c r="AI429" s="1"/>
      <c r="AJ429" s="1"/>
      <c r="AK429" s="1"/>
      <c r="AL429" s="1" t="s">
        <v>1226</v>
      </c>
      <c r="AM429" s="1" t="s">
        <v>424</v>
      </c>
      <c r="AN429" s="1"/>
      <c r="AO429" s="1" t="s">
        <v>674</v>
      </c>
      <c r="AP429" s="1"/>
      <c r="AQ429" s="1"/>
      <c r="AR429" s="2"/>
      <c r="AS429" s="1"/>
      <c r="AT429" s="1"/>
      <c r="AU429" s="1"/>
      <c r="AV429" s="1" t="s">
        <v>1941</v>
      </c>
      <c r="AW429" s="7">
        <v>43860.437959947769</v>
      </c>
      <c r="AX429" s="1" t="s">
        <v>851</v>
      </c>
      <c r="AY429" s="6">
        <v>1378.39</v>
      </c>
      <c r="AZ429" s="1"/>
      <c r="BA429" s="5">
        <v>44196</v>
      </c>
      <c r="BB429" s="7">
        <v>44196</v>
      </c>
      <c r="BC429" s="1" t="s">
        <v>1997</v>
      </c>
      <c r="BD429" s="1"/>
      <c r="BE429" s="1"/>
      <c r="BF429" s="1" t="s">
        <v>118</v>
      </c>
    </row>
    <row r="430" spans="1:58">
      <c r="A430" s="4">
        <v>425</v>
      </c>
      <c r="B430" s="2" t="str">
        <f>HYPERLINK("https://my.zakupki.prom.ua/remote/dispatcher/state_purchase_view/15359813", "UA-2020-02-19-000198-b")</f>
        <v>UA-2020-02-19-000198-b</v>
      </c>
      <c r="C430" s="2" t="s">
        <v>1459</v>
      </c>
      <c r="D430" s="1" t="s">
        <v>1802</v>
      </c>
      <c r="E430" s="1" t="s">
        <v>1802</v>
      </c>
      <c r="F430" s="1" t="s">
        <v>1049</v>
      </c>
      <c r="G430" s="1" t="s">
        <v>1364</v>
      </c>
      <c r="H430" s="1" t="s">
        <v>1800</v>
      </c>
      <c r="I430" s="1" t="s">
        <v>1379</v>
      </c>
      <c r="J430" s="1" t="s">
        <v>819</v>
      </c>
      <c r="K430" s="1" t="s">
        <v>1287</v>
      </c>
      <c r="L430" s="1" t="s">
        <v>1915</v>
      </c>
      <c r="M430" s="1" t="s">
        <v>119</v>
      </c>
      <c r="N430" s="1" t="s">
        <v>119</v>
      </c>
      <c r="O430" s="1" t="s">
        <v>119</v>
      </c>
      <c r="P430" s="5">
        <v>43880</v>
      </c>
      <c r="Q430" s="1"/>
      <c r="R430" s="1"/>
      <c r="S430" s="1"/>
      <c r="T430" s="1"/>
      <c r="U430" s="1" t="s">
        <v>1922</v>
      </c>
      <c r="V430" s="4">
        <v>1</v>
      </c>
      <c r="W430" s="6">
        <v>2600</v>
      </c>
      <c r="X430" s="1" t="s">
        <v>1459</v>
      </c>
      <c r="Y430" s="4">
        <v>1</v>
      </c>
      <c r="Z430" s="6">
        <v>2600</v>
      </c>
      <c r="AA430" s="1" t="s">
        <v>1976</v>
      </c>
      <c r="AB430" s="1" t="s">
        <v>1964</v>
      </c>
      <c r="AC430" s="1" t="s">
        <v>1124</v>
      </c>
      <c r="AD430" s="1" t="s">
        <v>1800</v>
      </c>
      <c r="AE430" s="1" t="s">
        <v>1286</v>
      </c>
      <c r="AF430" s="1" t="s">
        <v>1463</v>
      </c>
      <c r="AG430" s="6">
        <v>2600</v>
      </c>
      <c r="AH430" s="6">
        <v>2600</v>
      </c>
      <c r="AI430" s="1"/>
      <c r="AJ430" s="1"/>
      <c r="AK430" s="1"/>
      <c r="AL430" s="1" t="s">
        <v>1494</v>
      </c>
      <c r="AM430" s="1" t="s">
        <v>460</v>
      </c>
      <c r="AN430" s="1"/>
      <c r="AO430" s="1" t="s">
        <v>239</v>
      </c>
      <c r="AP430" s="1"/>
      <c r="AQ430" s="1"/>
      <c r="AR430" s="2"/>
      <c r="AS430" s="1"/>
      <c r="AT430" s="1"/>
      <c r="AU430" s="1"/>
      <c r="AV430" s="1" t="s">
        <v>1941</v>
      </c>
      <c r="AW430" s="7">
        <v>43880.386416169436</v>
      </c>
      <c r="AX430" s="1" t="s">
        <v>634</v>
      </c>
      <c r="AY430" s="6">
        <v>2600</v>
      </c>
      <c r="AZ430" s="1"/>
      <c r="BA430" s="5">
        <v>44196</v>
      </c>
      <c r="BB430" s="7">
        <v>44196</v>
      </c>
      <c r="BC430" s="1" t="s">
        <v>1997</v>
      </c>
      <c r="BD430" s="1"/>
      <c r="BE430" s="1"/>
      <c r="BF430" s="1" t="s">
        <v>118</v>
      </c>
    </row>
    <row r="431" spans="1:58">
      <c r="A431" s="4">
        <v>426</v>
      </c>
      <c r="B431" s="2" t="str">
        <f>HYPERLINK("https://my.zakupki.prom.ua/remote/dispatcher/state_purchase_view/15359416", "UA-2020-02-19-000116-b")</f>
        <v>UA-2020-02-19-000116-b</v>
      </c>
      <c r="C431" s="2" t="s">
        <v>1459</v>
      </c>
      <c r="D431" s="1" t="s">
        <v>1516</v>
      </c>
      <c r="E431" s="1" t="s">
        <v>1516</v>
      </c>
      <c r="F431" s="1" t="s">
        <v>626</v>
      </c>
      <c r="G431" s="1" t="s">
        <v>1364</v>
      </c>
      <c r="H431" s="1" t="s">
        <v>1800</v>
      </c>
      <c r="I431" s="1" t="s">
        <v>1379</v>
      </c>
      <c r="J431" s="1" t="s">
        <v>819</v>
      </c>
      <c r="K431" s="1" t="s">
        <v>1287</v>
      </c>
      <c r="L431" s="1" t="s">
        <v>1915</v>
      </c>
      <c r="M431" s="1" t="s">
        <v>119</v>
      </c>
      <c r="N431" s="1" t="s">
        <v>119</v>
      </c>
      <c r="O431" s="1" t="s">
        <v>119</v>
      </c>
      <c r="P431" s="5">
        <v>43880</v>
      </c>
      <c r="Q431" s="1"/>
      <c r="R431" s="1"/>
      <c r="S431" s="1"/>
      <c r="T431" s="1"/>
      <c r="U431" s="1" t="s">
        <v>1922</v>
      </c>
      <c r="V431" s="4">
        <v>1</v>
      </c>
      <c r="W431" s="6">
        <v>400</v>
      </c>
      <c r="X431" s="1" t="s">
        <v>1459</v>
      </c>
      <c r="Y431" s="4">
        <v>1</v>
      </c>
      <c r="Z431" s="6">
        <v>400</v>
      </c>
      <c r="AA431" s="1" t="s">
        <v>2024</v>
      </c>
      <c r="AB431" s="1" t="s">
        <v>1964</v>
      </c>
      <c r="AC431" s="1" t="s">
        <v>1124</v>
      </c>
      <c r="AD431" s="1" t="s">
        <v>1463</v>
      </c>
      <c r="AE431" s="1" t="s">
        <v>1286</v>
      </c>
      <c r="AF431" s="1" t="s">
        <v>1463</v>
      </c>
      <c r="AG431" s="6">
        <v>400</v>
      </c>
      <c r="AH431" s="6">
        <v>400</v>
      </c>
      <c r="AI431" s="1"/>
      <c r="AJ431" s="1"/>
      <c r="AK431" s="1"/>
      <c r="AL431" s="1" t="s">
        <v>1488</v>
      </c>
      <c r="AM431" s="1" t="s">
        <v>532</v>
      </c>
      <c r="AN431" s="1"/>
      <c r="AO431" s="1" t="s">
        <v>307</v>
      </c>
      <c r="AP431" s="1"/>
      <c r="AQ431" s="1"/>
      <c r="AR431" s="2"/>
      <c r="AS431" s="1"/>
      <c r="AT431" s="1"/>
      <c r="AU431" s="1"/>
      <c r="AV431" s="1" t="s">
        <v>1941</v>
      </c>
      <c r="AW431" s="7">
        <v>43880.386781958761</v>
      </c>
      <c r="AX431" s="1" t="s">
        <v>381</v>
      </c>
      <c r="AY431" s="6">
        <v>400</v>
      </c>
      <c r="AZ431" s="1"/>
      <c r="BA431" s="5">
        <v>43921</v>
      </c>
      <c r="BB431" s="7">
        <v>44196</v>
      </c>
      <c r="BC431" s="1" t="s">
        <v>1997</v>
      </c>
      <c r="BD431" s="1"/>
      <c r="BE431" s="1"/>
      <c r="BF431" s="1" t="s">
        <v>118</v>
      </c>
    </row>
    <row r="432" spans="1:58">
      <c r="A432" s="4">
        <v>427</v>
      </c>
      <c r="B432" s="2" t="str">
        <f>HYPERLINK("https://my.zakupki.prom.ua/remote/dispatcher/state_purchase_view/15264118", "UA-2020-02-13-000398-c")</f>
        <v>UA-2020-02-13-000398-c</v>
      </c>
      <c r="C432" s="2" t="s">
        <v>1459</v>
      </c>
      <c r="D432" s="1" t="s">
        <v>1805</v>
      </c>
      <c r="E432" s="1" t="s">
        <v>1805</v>
      </c>
      <c r="F432" s="1" t="s">
        <v>690</v>
      </c>
      <c r="G432" s="1" t="s">
        <v>1364</v>
      </c>
      <c r="H432" s="1" t="s">
        <v>1800</v>
      </c>
      <c r="I432" s="1" t="s">
        <v>1379</v>
      </c>
      <c r="J432" s="1" t="s">
        <v>819</v>
      </c>
      <c r="K432" s="1" t="s">
        <v>1287</v>
      </c>
      <c r="L432" s="1" t="s">
        <v>1915</v>
      </c>
      <c r="M432" s="1" t="s">
        <v>119</v>
      </c>
      <c r="N432" s="1" t="s">
        <v>119</v>
      </c>
      <c r="O432" s="1" t="s">
        <v>119</v>
      </c>
      <c r="P432" s="5">
        <v>43874</v>
      </c>
      <c r="Q432" s="1"/>
      <c r="R432" s="1"/>
      <c r="S432" s="1"/>
      <c r="T432" s="1"/>
      <c r="U432" s="1" t="s">
        <v>1922</v>
      </c>
      <c r="V432" s="4">
        <v>1</v>
      </c>
      <c r="W432" s="6">
        <v>1000</v>
      </c>
      <c r="X432" s="1" t="s">
        <v>1459</v>
      </c>
      <c r="Y432" s="4">
        <v>1</v>
      </c>
      <c r="Z432" s="6">
        <v>1000</v>
      </c>
      <c r="AA432" s="1" t="s">
        <v>2024</v>
      </c>
      <c r="AB432" s="1" t="s">
        <v>1964</v>
      </c>
      <c r="AC432" s="1" t="s">
        <v>1124</v>
      </c>
      <c r="AD432" s="1" t="s">
        <v>1463</v>
      </c>
      <c r="AE432" s="1" t="s">
        <v>1286</v>
      </c>
      <c r="AF432" s="1" t="s">
        <v>1463</v>
      </c>
      <c r="AG432" s="6">
        <v>1000</v>
      </c>
      <c r="AH432" s="6">
        <v>1000</v>
      </c>
      <c r="AI432" s="1"/>
      <c r="AJ432" s="1"/>
      <c r="AK432" s="1"/>
      <c r="AL432" s="1" t="s">
        <v>1799</v>
      </c>
      <c r="AM432" s="1" t="s">
        <v>573</v>
      </c>
      <c r="AN432" s="1"/>
      <c r="AO432" s="1" t="s">
        <v>216</v>
      </c>
      <c r="AP432" s="1"/>
      <c r="AQ432" s="1"/>
      <c r="AR432" s="2"/>
      <c r="AS432" s="1"/>
      <c r="AT432" s="1"/>
      <c r="AU432" s="1"/>
      <c r="AV432" s="1" t="s">
        <v>1941</v>
      </c>
      <c r="AW432" s="7">
        <v>43874.4189372728</v>
      </c>
      <c r="AX432" s="1" t="s">
        <v>341</v>
      </c>
      <c r="AY432" s="6">
        <v>1000</v>
      </c>
      <c r="AZ432" s="1"/>
      <c r="BA432" s="5">
        <v>44196</v>
      </c>
      <c r="BB432" s="7">
        <v>44196</v>
      </c>
      <c r="BC432" s="1" t="s">
        <v>1997</v>
      </c>
      <c r="BD432" s="1"/>
      <c r="BE432" s="1"/>
      <c r="BF432" s="1" t="s">
        <v>118</v>
      </c>
    </row>
    <row r="433" spans="1:58">
      <c r="A433" s="4">
        <v>428</v>
      </c>
      <c r="B433" s="2" t="str">
        <f>HYPERLINK("https://my.zakupki.prom.ua/remote/dispatcher/state_purchase_view/15191426", "UA-2020-02-10-001730-b")</f>
        <v>UA-2020-02-10-001730-b</v>
      </c>
      <c r="C433" s="2" t="s">
        <v>1459</v>
      </c>
      <c r="D433" s="1" t="s">
        <v>1587</v>
      </c>
      <c r="E433" s="1" t="s">
        <v>1457</v>
      </c>
      <c r="F433" s="1" t="s">
        <v>1087</v>
      </c>
      <c r="G433" s="1" t="s">
        <v>1364</v>
      </c>
      <c r="H433" s="1" t="s">
        <v>1800</v>
      </c>
      <c r="I433" s="1" t="s">
        <v>1379</v>
      </c>
      <c r="J433" s="1" t="s">
        <v>819</v>
      </c>
      <c r="K433" s="1" t="s">
        <v>1287</v>
      </c>
      <c r="L433" s="1" t="s">
        <v>1915</v>
      </c>
      <c r="M433" s="1" t="s">
        <v>119</v>
      </c>
      <c r="N433" s="1" t="s">
        <v>119</v>
      </c>
      <c r="O433" s="1" t="s">
        <v>119</v>
      </c>
      <c r="P433" s="5">
        <v>43871</v>
      </c>
      <c r="Q433" s="1"/>
      <c r="R433" s="1"/>
      <c r="S433" s="1"/>
      <c r="T433" s="1"/>
      <c r="U433" s="1" t="s">
        <v>1922</v>
      </c>
      <c r="V433" s="4">
        <v>1</v>
      </c>
      <c r="W433" s="6">
        <v>2140</v>
      </c>
      <c r="X433" s="1" t="s">
        <v>1459</v>
      </c>
      <c r="Y433" s="4">
        <v>1</v>
      </c>
      <c r="Z433" s="6">
        <v>2140</v>
      </c>
      <c r="AA433" s="1" t="s">
        <v>1976</v>
      </c>
      <c r="AB433" s="1" t="s">
        <v>1964</v>
      </c>
      <c r="AC433" s="1" t="s">
        <v>1124</v>
      </c>
      <c r="AD433" s="1" t="s">
        <v>1463</v>
      </c>
      <c r="AE433" s="1" t="s">
        <v>1286</v>
      </c>
      <c r="AF433" s="1" t="s">
        <v>1463</v>
      </c>
      <c r="AG433" s="6">
        <v>2140</v>
      </c>
      <c r="AH433" s="6">
        <v>2140</v>
      </c>
      <c r="AI433" s="1"/>
      <c r="AJ433" s="1"/>
      <c r="AK433" s="1"/>
      <c r="AL433" s="1" t="s">
        <v>1485</v>
      </c>
      <c r="AM433" s="1" t="s">
        <v>576</v>
      </c>
      <c r="AN433" s="1"/>
      <c r="AO433" s="1" t="s">
        <v>264</v>
      </c>
      <c r="AP433" s="1"/>
      <c r="AQ433" s="1"/>
      <c r="AR433" s="2"/>
      <c r="AS433" s="1"/>
      <c r="AT433" s="1"/>
      <c r="AU433" s="1"/>
      <c r="AV433" s="1" t="s">
        <v>1941</v>
      </c>
      <c r="AW433" s="7">
        <v>43871.58750185222</v>
      </c>
      <c r="AX433" s="1" t="s">
        <v>1029</v>
      </c>
      <c r="AY433" s="6">
        <v>2140</v>
      </c>
      <c r="AZ433" s="1"/>
      <c r="BA433" s="5">
        <v>43871</v>
      </c>
      <c r="BB433" s="7">
        <v>44196</v>
      </c>
      <c r="BC433" s="1" t="s">
        <v>1997</v>
      </c>
      <c r="BD433" s="1"/>
      <c r="BE433" s="1"/>
      <c r="BF433" s="1" t="s">
        <v>118</v>
      </c>
    </row>
    <row r="434" spans="1:58">
      <c r="A434" s="4">
        <v>429</v>
      </c>
      <c r="B434" s="2" t="str">
        <f>HYPERLINK("https://my.zakupki.prom.ua/remote/dispatcher/state_purchase_view/22874743", "UA-2021-01-06-000708-c")</f>
        <v>UA-2021-01-06-000708-c</v>
      </c>
      <c r="C434" s="2" t="s">
        <v>1459</v>
      </c>
      <c r="D434" s="1" t="s">
        <v>1657</v>
      </c>
      <c r="E434" s="1" t="s">
        <v>1657</v>
      </c>
      <c r="F434" s="1" t="s">
        <v>997</v>
      </c>
      <c r="G434" s="1" t="s">
        <v>1364</v>
      </c>
      <c r="H434" s="1" t="s">
        <v>1800</v>
      </c>
      <c r="I434" s="1" t="s">
        <v>1379</v>
      </c>
      <c r="J434" s="1" t="s">
        <v>819</v>
      </c>
      <c r="K434" s="1" t="s">
        <v>1287</v>
      </c>
      <c r="L434" s="1" t="s">
        <v>1216</v>
      </c>
      <c r="M434" s="1" t="s">
        <v>119</v>
      </c>
      <c r="N434" s="1" t="s">
        <v>119</v>
      </c>
      <c r="O434" s="1" t="s">
        <v>119</v>
      </c>
      <c r="P434" s="5">
        <v>44202</v>
      </c>
      <c r="Q434" s="1"/>
      <c r="R434" s="1"/>
      <c r="S434" s="1"/>
      <c r="T434" s="1"/>
      <c r="U434" s="1" t="s">
        <v>1922</v>
      </c>
      <c r="V434" s="4">
        <v>1</v>
      </c>
      <c r="W434" s="6">
        <v>2349</v>
      </c>
      <c r="X434" s="1" t="s">
        <v>1459</v>
      </c>
      <c r="Y434" s="4">
        <v>4</v>
      </c>
      <c r="Z434" s="6">
        <v>587.25</v>
      </c>
      <c r="AA434" s="1" t="s">
        <v>2024</v>
      </c>
      <c r="AB434" s="1" t="s">
        <v>1964</v>
      </c>
      <c r="AC434" s="1" t="s">
        <v>1124</v>
      </c>
      <c r="AD434" s="1" t="s">
        <v>1800</v>
      </c>
      <c r="AE434" s="1" t="s">
        <v>1286</v>
      </c>
      <c r="AF434" s="1" t="s">
        <v>1463</v>
      </c>
      <c r="AG434" s="6">
        <v>2349</v>
      </c>
      <c r="AH434" s="6">
        <v>587.25</v>
      </c>
      <c r="AI434" s="1"/>
      <c r="AJ434" s="1"/>
      <c r="AK434" s="1"/>
      <c r="AL434" s="1" t="s">
        <v>1897</v>
      </c>
      <c r="AM434" s="1" t="s">
        <v>489</v>
      </c>
      <c r="AN434" s="1"/>
      <c r="AO434" s="1" t="s">
        <v>182</v>
      </c>
      <c r="AP434" s="1"/>
      <c r="AQ434" s="1"/>
      <c r="AR434" s="2"/>
      <c r="AS434" s="1"/>
      <c r="AT434" s="1"/>
      <c r="AU434" s="1"/>
      <c r="AV434" s="1" t="s">
        <v>1941</v>
      </c>
      <c r="AW434" s="7">
        <v>44202.441606550994</v>
      </c>
      <c r="AX434" s="1" t="s">
        <v>607</v>
      </c>
      <c r="AY434" s="6">
        <v>2349</v>
      </c>
      <c r="AZ434" s="1"/>
      <c r="BA434" s="5">
        <v>44202</v>
      </c>
      <c r="BB434" s="7">
        <v>44561</v>
      </c>
      <c r="BC434" s="1" t="s">
        <v>1997</v>
      </c>
      <c r="BD434" s="1"/>
      <c r="BE434" s="1"/>
      <c r="BF434" s="1" t="s">
        <v>118</v>
      </c>
    </row>
    <row r="435" spans="1:58">
      <c r="A435" s="4">
        <v>430</v>
      </c>
      <c r="B435" s="2" t="str">
        <f>HYPERLINK("https://my.zakupki.prom.ua/remote/dispatcher/state_purchase_view/24206673", "UA-2021-02-19-008605-b")</f>
        <v>UA-2021-02-19-008605-b</v>
      </c>
      <c r="C435" s="2" t="s">
        <v>1459</v>
      </c>
      <c r="D435" s="1" t="s">
        <v>1597</v>
      </c>
      <c r="E435" s="1" t="s">
        <v>1597</v>
      </c>
      <c r="F435" s="1" t="s">
        <v>1005</v>
      </c>
      <c r="G435" s="1" t="s">
        <v>1675</v>
      </c>
      <c r="H435" s="1" t="s">
        <v>1800</v>
      </c>
      <c r="I435" s="1" t="s">
        <v>1379</v>
      </c>
      <c r="J435" s="1" t="s">
        <v>819</v>
      </c>
      <c r="K435" s="1" t="s">
        <v>1287</v>
      </c>
      <c r="L435" s="1" t="s">
        <v>1216</v>
      </c>
      <c r="M435" s="1" t="s">
        <v>609</v>
      </c>
      <c r="N435" s="1" t="s">
        <v>119</v>
      </c>
      <c r="O435" s="1" t="s">
        <v>119</v>
      </c>
      <c r="P435" s="5">
        <v>44246</v>
      </c>
      <c r="Q435" s="5">
        <v>44246</v>
      </c>
      <c r="R435" s="5">
        <v>44252</v>
      </c>
      <c r="S435" s="5">
        <v>44252</v>
      </c>
      <c r="T435" s="5">
        <v>44257</v>
      </c>
      <c r="U435" s="1" t="s">
        <v>1923</v>
      </c>
      <c r="V435" s="4">
        <v>1</v>
      </c>
      <c r="W435" s="6">
        <v>199990</v>
      </c>
      <c r="X435" s="1" t="s">
        <v>1459</v>
      </c>
      <c r="Y435" s="4">
        <v>1</v>
      </c>
      <c r="Z435" s="6">
        <v>199990</v>
      </c>
      <c r="AA435" s="1" t="s">
        <v>1976</v>
      </c>
      <c r="AB435" s="6">
        <v>999.95</v>
      </c>
      <c r="AC435" s="1" t="s">
        <v>1124</v>
      </c>
      <c r="AD435" s="1" t="s">
        <v>1800</v>
      </c>
      <c r="AE435" s="1" t="s">
        <v>1286</v>
      </c>
      <c r="AF435" s="1" t="s">
        <v>1463</v>
      </c>
      <c r="AG435" s="6">
        <v>199829.38</v>
      </c>
      <c r="AH435" s="6">
        <v>199829.38</v>
      </c>
      <c r="AI435" s="1" t="s">
        <v>1846</v>
      </c>
      <c r="AJ435" s="6">
        <v>160.61999999999534</v>
      </c>
      <c r="AK435" s="6">
        <v>8.0314015700782713E-4</v>
      </c>
      <c r="AL435" s="1" t="s">
        <v>1846</v>
      </c>
      <c r="AM435" s="1" t="s">
        <v>796</v>
      </c>
      <c r="AN435" s="1" t="s">
        <v>1173</v>
      </c>
      <c r="AO435" s="1" t="s">
        <v>108</v>
      </c>
      <c r="AP435" s="6">
        <v>160.61999999999534</v>
      </c>
      <c r="AQ435" s="6">
        <v>8.0314015700782713E-4</v>
      </c>
      <c r="AR435" s="2"/>
      <c r="AS435" s="7">
        <v>44257.504256054257</v>
      </c>
      <c r="AT435" s="5">
        <v>44260</v>
      </c>
      <c r="AU435" s="5">
        <v>44282</v>
      </c>
      <c r="AV435" s="1" t="s">
        <v>1941</v>
      </c>
      <c r="AW435" s="7">
        <v>44260.525731913622</v>
      </c>
      <c r="AX435" s="1" t="s">
        <v>175</v>
      </c>
      <c r="AY435" s="6">
        <v>199829.38</v>
      </c>
      <c r="AZ435" s="1"/>
      <c r="BA435" s="5">
        <v>44281</v>
      </c>
      <c r="BB435" s="7">
        <v>44561</v>
      </c>
      <c r="BC435" s="1" t="s">
        <v>1997</v>
      </c>
      <c r="BD435" s="1"/>
      <c r="BE435" s="1"/>
      <c r="BF435" s="1" t="s">
        <v>797</v>
      </c>
    </row>
    <row r="436" spans="1:58">
      <c r="A436" s="4">
        <v>431</v>
      </c>
      <c r="B436" s="2" t="str">
        <f>HYPERLINK("https://my.zakupki.prom.ua/remote/dispatcher/state_purchase_view/24521122", "UA-2021-03-02-003704-b")</f>
        <v>UA-2021-03-02-003704-b</v>
      </c>
      <c r="C436" s="2" t="s">
        <v>1459</v>
      </c>
      <c r="D436" s="1" t="s">
        <v>1625</v>
      </c>
      <c r="E436" s="1" t="s">
        <v>1625</v>
      </c>
      <c r="F436" s="1" t="s">
        <v>1086</v>
      </c>
      <c r="G436" s="1" t="s">
        <v>1364</v>
      </c>
      <c r="H436" s="1" t="s">
        <v>1800</v>
      </c>
      <c r="I436" s="1" t="s">
        <v>1379</v>
      </c>
      <c r="J436" s="1" t="s">
        <v>819</v>
      </c>
      <c r="K436" s="1" t="s">
        <v>1287</v>
      </c>
      <c r="L436" s="1" t="s">
        <v>1216</v>
      </c>
      <c r="M436" s="1" t="s">
        <v>119</v>
      </c>
      <c r="N436" s="1" t="s">
        <v>119</v>
      </c>
      <c r="O436" s="1" t="s">
        <v>119</v>
      </c>
      <c r="P436" s="5">
        <v>44257</v>
      </c>
      <c r="Q436" s="1"/>
      <c r="R436" s="1"/>
      <c r="S436" s="1"/>
      <c r="T436" s="1"/>
      <c r="U436" s="1" t="s">
        <v>1922</v>
      </c>
      <c r="V436" s="4">
        <v>1</v>
      </c>
      <c r="W436" s="6">
        <v>432</v>
      </c>
      <c r="X436" s="1" t="s">
        <v>1459</v>
      </c>
      <c r="Y436" s="4">
        <v>1</v>
      </c>
      <c r="Z436" s="6">
        <v>432</v>
      </c>
      <c r="AA436" s="1" t="s">
        <v>1976</v>
      </c>
      <c r="AB436" s="1" t="s">
        <v>1964</v>
      </c>
      <c r="AC436" s="1" t="s">
        <v>1124</v>
      </c>
      <c r="AD436" s="1" t="s">
        <v>1800</v>
      </c>
      <c r="AE436" s="1" t="s">
        <v>1286</v>
      </c>
      <c r="AF436" s="1" t="s">
        <v>1463</v>
      </c>
      <c r="AG436" s="6">
        <v>432</v>
      </c>
      <c r="AH436" s="6">
        <v>432</v>
      </c>
      <c r="AI436" s="1"/>
      <c r="AJ436" s="1"/>
      <c r="AK436" s="1"/>
      <c r="AL436" s="1" t="s">
        <v>1380</v>
      </c>
      <c r="AM436" s="1" t="s">
        <v>819</v>
      </c>
      <c r="AN436" s="1"/>
      <c r="AO436" s="1" t="s">
        <v>204</v>
      </c>
      <c r="AP436" s="1"/>
      <c r="AQ436" s="1"/>
      <c r="AR436" s="2"/>
      <c r="AS436" s="1"/>
      <c r="AT436" s="1"/>
      <c r="AU436" s="1"/>
      <c r="AV436" s="1" t="s">
        <v>1941</v>
      </c>
      <c r="AW436" s="7">
        <v>44257.520941138551</v>
      </c>
      <c r="AX436" s="1" t="s">
        <v>345</v>
      </c>
      <c r="AY436" s="6">
        <v>432</v>
      </c>
      <c r="AZ436" s="1"/>
      <c r="BA436" s="5">
        <v>44561</v>
      </c>
      <c r="BB436" s="7">
        <v>44561</v>
      </c>
      <c r="BC436" s="1" t="s">
        <v>1997</v>
      </c>
      <c r="BD436" s="1"/>
      <c r="BE436" s="1"/>
      <c r="BF436" s="1" t="s">
        <v>118</v>
      </c>
    </row>
    <row r="437" spans="1:58">
      <c r="A437" s="4">
        <v>432</v>
      </c>
      <c r="B437" s="2" t="str">
        <f>HYPERLINK("https://my.zakupki.prom.ua/remote/dispatcher/state_purchase_view/25444759", "UA-2021-04-01-002626-b")</f>
        <v>UA-2021-04-01-002626-b</v>
      </c>
      <c r="C437" s="2" t="s">
        <v>1459</v>
      </c>
      <c r="D437" s="1" t="s">
        <v>1980</v>
      </c>
      <c r="E437" s="1" t="s">
        <v>1980</v>
      </c>
      <c r="F437" s="1" t="s">
        <v>1098</v>
      </c>
      <c r="G437" s="1" t="s">
        <v>1364</v>
      </c>
      <c r="H437" s="1" t="s">
        <v>1800</v>
      </c>
      <c r="I437" s="1" t="s">
        <v>1379</v>
      </c>
      <c r="J437" s="1" t="s">
        <v>819</v>
      </c>
      <c r="K437" s="1" t="s">
        <v>1287</v>
      </c>
      <c r="L437" s="1" t="s">
        <v>1216</v>
      </c>
      <c r="M437" s="1" t="s">
        <v>119</v>
      </c>
      <c r="N437" s="1" t="s">
        <v>119</v>
      </c>
      <c r="O437" s="1" t="s">
        <v>119</v>
      </c>
      <c r="P437" s="5">
        <v>44287</v>
      </c>
      <c r="Q437" s="1"/>
      <c r="R437" s="1"/>
      <c r="S437" s="1"/>
      <c r="T437" s="1"/>
      <c r="U437" s="1" t="s">
        <v>1922</v>
      </c>
      <c r="V437" s="4">
        <v>1</v>
      </c>
      <c r="W437" s="6">
        <v>1276.3800000000001</v>
      </c>
      <c r="X437" s="1" t="s">
        <v>1459</v>
      </c>
      <c r="Y437" s="4">
        <v>1</v>
      </c>
      <c r="Z437" s="6">
        <v>1276.3800000000001</v>
      </c>
      <c r="AA437" s="1" t="s">
        <v>1976</v>
      </c>
      <c r="AB437" s="1" t="s">
        <v>1964</v>
      </c>
      <c r="AC437" s="1" t="s">
        <v>1124</v>
      </c>
      <c r="AD437" s="1" t="s">
        <v>1800</v>
      </c>
      <c r="AE437" s="1" t="s">
        <v>1286</v>
      </c>
      <c r="AF437" s="1" t="s">
        <v>1463</v>
      </c>
      <c r="AG437" s="6">
        <v>1276.3800000000001</v>
      </c>
      <c r="AH437" s="6">
        <v>1276.3800000000001</v>
      </c>
      <c r="AI437" s="1"/>
      <c r="AJ437" s="1"/>
      <c r="AK437" s="1"/>
      <c r="AL437" s="1" t="s">
        <v>1758</v>
      </c>
      <c r="AM437" s="1" t="s">
        <v>958</v>
      </c>
      <c r="AN437" s="1"/>
      <c r="AO437" s="1" t="s">
        <v>247</v>
      </c>
      <c r="AP437" s="1"/>
      <c r="AQ437" s="1"/>
      <c r="AR437" s="2"/>
      <c r="AS437" s="1"/>
      <c r="AT437" s="1"/>
      <c r="AU437" s="1"/>
      <c r="AV437" s="1" t="s">
        <v>1941</v>
      </c>
      <c r="AW437" s="7">
        <v>44287.521773141147</v>
      </c>
      <c r="AX437" s="1" t="s">
        <v>1903</v>
      </c>
      <c r="AY437" s="6">
        <v>1276.3800000000001</v>
      </c>
      <c r="AZ437" s="1"/>
      <c r="BA437" s="5">
        <v>44561</v>
      </c>
      <c r="BB437" s="7">
        <v>44561</v>
      </c>
      <c r="BC437" s="1" t="s">
        <v>1997</v>
      </c>
      <c r="BD437" s="1"/>
      <c r="BE437" s="1"/>
      <c r="BF437" s="1" t="s">
        <v>118</v>
      </c>
    </row>
    <row r="438" spans="1:58">
      <c r="A438" s="4">
        <v>433</v>
      </c>
      <c r="B438" s="2" t="str">
        <f>HYPERLINK("https://my.zakupki.prom.ua/remote/dispatcher/state_purchase_view/25355192", "UA-2021-03-29-004989-b")</f>
        <v>UA-2021-03-29-004989-b</v>
      </c>
      <c r="C438" s="2" t="s">
        <v>1459</v>
      </c>
      <c r="D438" s="1" t="s">
        <v>1344</v>
      </c>
      <c r="E438" s="1" t="s">
        <v>1344</v>
      </c>
      <c r="F438" s="1" t="s">
        <v>1000</v>
      </c>
      <c r="G438" s="1" t="s">
        <v>1346</v>
      </c>
      <c r="H438" s="1" t="s">
        <v>1800</v>
      </c>
      <c r="I438" s="1" t="s">
        <v>1379</v>
      </c>
      <c r="J438" s="1" t="s">
        <v>819</v>
      </c>
      <c r="K438" s="1" t="s">
        <v>1287</v>
      </c>
      <c r="L438" s="1" t="s">
        <v>1216</v>
      </c>
      <c r="M438" s="1" t="s">
        <v>119</v>
      </c>
      <c r="N438" s="1" t="s">
        <v>119</v>
      </c>
      <c r="O438" s="1" t="s">
        <v>119</v>
      </c>
      <c r="P438" s="5">
        <v>44284</v>
      </c>
      <c r="Q438" s="5">
        <v>44284</v>
      </c>
      <c r="R438" s="5">
        <v>44288</v>
      </c>
      <c r="S438" s="5">
        <v>44288</v>
      </c>
      <c r="T438" s="5">
        <v>44293</v>
      </c>
      <c r="U438" s="7">
        <v>44294.654328703706</v>
      </c>
      <c r="V438" s="4">
        <v>2</v>
      </c>
      <c r="W438" s="6">
        <v>3500</v>
      </c>
      <c r="X438" s="1" t="s">
        <v>1459</v>
      </c>
      <c r="Y438" s="4">
        <v>2</v>
      </c>
      <c r="Z438" s="6">
        <v>1750</v>
      </c>
      <c r="AA438" s="1" t="s">
        <v>2024</v>
      </c>
      <c r="AB438" s="6">
        <v>17.5</v>
      </c>
      <c r="AC438" s="1" t="s">
        <v>1124</v>
      </c>
      <c r="AD438" s="1" t="s">
        <v>1800</v>
      </c>
      <c r="AE438" s="1" t="s">
        <v>1286</v>
      </c>
      <c r="AF438" s="1" t="s">
        <v>1463</v>
      </c>
      <c r="AG438" s="6">
        <v>2798</v>
      </c>
      <c r="AH438" s="6">
        <v>1399</v>
      </c>
      <c r="AI438" s="1" t="s">
        <v>1864</v>
      </c>
      <c r="AJ438" s="6">
        <v>702</v>
      </c>
      <c r="AK438" s="6">
        <v>0.20057142857142857</v>
      </c>
      <c r="AL438" s="1" t="s">
        <v>1864</v>
      </c>
      <c r="AM438" s="1" t="s">
        <v>510</v>
      </c>
      <c r="AN438" s="1" t="s">
        <v>1161</v>
      </c>
      <c r="AO438" s="1" t="s">
        <v>27</v>
      </c>
      <c r="AP438" s="6">
        <v>702</v>
      </c>
      <c r="AQ438" s="6">
        <v>0.20057142857142857</v>
      </c>
      <c r="AR438" s="2" t="str">
        <f>HYPERLINK("https://auction.openprocurement.org/tenders/669455eaad03483f98dadf1b2f987fa7")</f>
        <v>https://auction.openprocurement.org/tenders/669455eaad03483f98dadf1b2f987fa7</v>
      </c>
      <c r="AS438" s="7">
        <v>44295.407019743434</v>
      </c>
      <c r="AT438" s="5">
        <v>44300</v>
      </c>
      <c r="AU438" s="5">
        <v>44318</v>
      </c>
      <c r="AV438" s="1" t="s">
        <v>1941</v>
      </c>
      <c r="AW438" s="7">
        <v>44300.3752441631</v>
      </c>
      <c r="AX438" s="1" t="s">
        <v>348</v>
      </c>
      <c r="AY438" s="6">
        <v>2798</v>
      </c>
      <c r="AZ438" s="1"/>
      <c r="BA438" s="5">
        <v>44331</v>
      </c>
      <c r="BB438" s="7">
        <v>44561</v>
      </c>
      <c r="BC438" s="1" t="s">
        <v>1997</v>
      </c>
      <c r="BD438" s="1"/>
      <c r="BE438" s="1"/>
      <c r="BF438" s="1" t="s">
        <v>512</v>
      </c>
    </row>
    <row r="439" spans="1:58">
      <c r="A439" s="4">
        <v>434</v>
      </c>
      <c r="B439" s="2" t="str">
        <f>HYPERLINK("https://my.zakupki.prom.ua/remote/dispatcher/state_purchase_view/26153661", "UA-2021-04-26-008304-a")</f>
        <v>UA-2021-04-26-008304-a</v>
      </c>
      <c r="C439" s="2" t="s">
        <v>1459</v>
      </c>
      <c r="D439" s="1" t="s">
        <v>2021</v>
      </c>
      <c r="E439" s="1" t="s">
        <v>2021</v>
      </c>
      <c r="F439" s="1" t="s">
        <v>626</v>
      </c>
      <c r="G439" s="1" t="s">
        <v>1364</v>
      </c>
      <c r="H439" s="1" t="s">
        <v>1800</v>
      </c>
      <c r="I439" s="1" t="s">
        <v>1379</v>
      </c>
      <c r="J439" s="1" t="s">
        <v>819</v>
      </c>
      <c r="K439" s="1" t="s">
        <v>1287</v>
      </c>
      <c r="L439" s="1" t="s">
        <v>1216</v>
      </c>
      <c r="M439" s="1" t="s">
        <v>119</v>
      </c>
      <c r="N439" s="1" t="s">
        <v>119</v>
      </c>
      <c r="O439" s="1" t="s">
        <v>119</v>
      </c>
      <c r="P439" s="5">
        <v>44312</v>
      </c>
      <c r="Q439" s="1"/>
      <c r="R439" s="1"/>
      <c r="S439" s="1"/>
      <c r="T439" s="1"/>
      <c r="U439" s="1" t="s">
        <v>1922</v>
      </c>
      <c r="V439" s="4">
        <v>1</v>
      </c>
      <c r="W439" s="6">
        <v>635</v>
      </c>
      <c r="X439" s="1" t="s">
        <v>1459</v>
      </c>
      <c r="Y439" s="4">
        <v>4</v>
      </c>
      <c r="Z439" s="6">
        <v>158.75</v>
      </c>
      <c r="AA439" s="1" t="s">
        <v>2024</v>
      </c>
      <c r="AB439" s="1" t="s">
        <v>1964</v>
      </c>
      <c r="AC439" s="1" t="s">
        <v>1124</v>
      </c>
      <c r="AD439" s="1" t="s">
        <v>1800</v>
      </c>
      <c r="AE439" s="1" t="s">
        <v>1286</v>
      </c>
      <c r="AF439" s="1" t="s">
        <v>1463</v>
      </c>
      <c r="AG439" s="6">
        <v>635</v>
      </c>
      <c r="AH439" s="6">
        <v>158.75</v>
      </c>
      <c r="AI439" s="1"/>
      <c r="AJ439" s="1"/>
      <c r="AK439" s="1"/>
      <c r="AL439" s="1" t="s">
        <v>1488</v>
      </c>
      <c r="AM439" s="1" t="s">
        <v>532</v>
      </c>
      <c r="AN439" s="1"/>
      <c r="AO439" s="1" t="s">
        <v>307</v>
      </c>
      <c r="AP439" s="1"/>
      <c r="AQ439" s="1"/>
      <c r="AR439" s="2"/>
      <c r="AS439" s="1"/>
      <c r="AT439" s="1"/>
      <c r="AU439" s="1"/>
      <c r="AV439" s="1" t="s">
        <v>1941</v>
      </c>
      <c r="AW439" s="7">
        <v>44312.643081895476</v>
      </c>
      <c r="AX439" s="1" t="s">
        <v>451</v>
      </c>
      <c r="AY439" s="6">
        <v>635</v>
      </c>
      <c r="AZ439" s="1"/>
      <c r="BA439" s="5">
        <v>44316</v>
      </c>
      <c r="BB439" s="7">
        <v>44561</v>
      </c>
      <c r="BC439" s="1" t="s">
        <v>1997</v>
      </c>
      <c r="BD439" s="1"/>
      <c r="BE439" s="1"/>
      <c r="BF439" s="1" t="s">
        <v>118</v>
      </c>
    </row>
    <row r="440" spans="1:58">
      <c r="A440" s="4">
        <v>435</v>
      </c>
      <c r="B440" s="2" t="str">
        <f>HYPERLINK("https://my.zakupki.prom.ua/remote/dispatcher/state_purchase_view/25165355", "UA-2021-03-23-002454-b")</f>
        <v>UA-2021-03-23-002454-b</v>
      </c>
      <c r="C440" s="2" t="s">
        <v>1459</v>
      </c>
      <c r="D440" s="1" t="s">
        <v>1946</v>
      </c>
      <c r="E440" s="1" t="s">
        <v>1946</v>
      </c>
      <c r="F440" s="1" t="s">
        <v>626</v>
      </c>
      <c r="G440" s="1" t="s">
        <v>1346</v>
      </c>
      <c r="H440" s="1" t="s">
        <v>1800</v>
      </c>
      <c r="I440" s="1" t="s">
        <v>1379</v>
      </c>
      <c r="J440" s="1" t="s">
        <v>819</v>
      </c>
      <c r="K440" s="1" t="s">
        <v>1287</v>
      </c>
      <c r="L440" s="1" t="s">
        <v>1216</v>
      </c>
      <c r="M440" s="1" t="s">
        <v>119</v>
      </c>
      <c r="N440" s="1" t="s">
        <v>119</v>
      </c>
      <c r="O440" s="1" t="s">
        <v>119</v>
      </c>
      <c r="P440" s="5">
        <v>44278</v>
      </c>
      <c r="Q440" s="5">
        <v>44278</v>
      </c>
      <c r="R440" s="5">
        <v>44284</v>
      </c>
      <c r="S440" s="5">
        <v>44284</v>
      </c>
      <c r="T440" s="5">
        <v>44291</v>
      </c>
      <c r="U440" s="7">
        <v>44292.474085648151</v>
      </c>
      <c r="V440" s="4">
        <v>3</v>
      </c>
      <c r="W440" s="6">
        <v>10000</v>
      </c>
      <c r="X440" s="1" t="s">
        <v>1459</v>
      </c>
      <c r="Y440" s="4">
        <v>1405</v>
      </c>
      <c r="Z440" s="6">
        <v>7.12</v>
      </c>
      <c r="AA440" s="1" t="s">
        <v>2024</v>
      </c>
      <c r="AB440" s="6">
        <v>50</v>
      </c>
      <c r="AC440" s="1" t="s">
        <v>1124</v>
      </c>
      <c r="AD440" s="1" t="s">
        <v>1800</v>
      </c>
      <c r="AE440" s="1" t="s">
        <v>1286</v>
      </c>
      <c r="AF440" s="1" t="s">
        <v>1463</v>
      </c>
      <c r="AG440" s="6">
        <v>5650</v>
      </c>
      <c r="AH440" s="6">
        <v>4.0213523131672595</v>
      </c>
      <c r="AI440" s="1" t="s">
        <v>1716</v>
      </c>
      <c r="AJ440" s="6">
        <v>4350</v>
      </c>
      <c r="AK440" s="6">
        <v>0.435</v>
      </c>
      <c r="AL440" s="1" t="s">
        <v>1716</v>
      </c>
      <c r="AM440" s="1" t="s">
        <v>627</v>
      </c>
      <c r="AN440" s="1" t="s">
        <v>1155</v>
      </c>
      <c r="AO440" s="1" t="s">
        <v>22</v>
      </c>
      <c r="AP440" s="6">
        <v>4350</v>
      </c>
      <c r="AQ440" s="6">
        <v>0.435</v>
      </c>
      <c r="AR440" s="2" t="str">
        <f>HYPERLINK("https://auction.openprocurement.org/tenders/1ffb62f5bb9641c58519ed57ae0a72e3")</f>
        <v>https://auction.openprocurement.org/tenders/1ffb62f5bb9641c58519ed57ae0a72e3</v>
      </c>
      <c r="AS440" s="7">
        <v>44292.619699409574</v>
      </c>
      <c r="AT440" s="5">
        <v>44295</v>
      </c>
      <c r="AU440" s="5">
        <v>44314</v>
      </c>
      <c r="AV440" s="1" t="s">
        <v>1941</v>
      </c>
      <c r="AW440" s="7">
        <v>44309.578639830033</v>
      </c>
      <c r="AX440" s="1" t="s">
        <v>470</v>
      </c>
      <c r="AY440" s="6">
        <v>5650</v>
      </c>
      <c r="AZ440" s="1"/>
      <c r="BA440" s="5">
        <v>44561</v>
      </c>
      <c r="BB440" s="7">
        <v>44561</v>
      </c>
      <c r="BC440" s="1" t="s">
        <v>1997</v>
      </c>
      <c r="BD440" s="1"/>
      <c r="BE440" s="1"/>
      <c r="BF440" s="1" t="s">
        <v>630</v>
      </c>
    </row>
    <row r="441" spans="1:58">
      <c r="A441" s="4">
        <v>436</v>
      </c>
      <c r="B441" s="2" t="str">
        <f>HYPERLINK("https://my.zakupki.prom.ua/remote/dispatcher/state_purchase_view/26590909", "UA-2021-05-17-008119-b")</f>
        <v>UA-2021-05-17-008119-b</v>
      </c>
      <c r="C441" s="2" t="s">
        <v>1459</v>
      </c>
      <c r="D441" s="1" t="s">
        <v>1243</v>
      </c>
      <c r="E441" s="1" t="s">
        <v>1243</v>
      </c>
      <c r="F441" s="1" t="s">
        <v>1001</v>
      </c>
      <c r="G441" s="1" t="s">
        <v>1364</v>
      </c>
      <c r="H441" s="1" t="s">
        <v>1800</v>
      </c>
      <c r="I441" s="1" t="s">
        <v>1379</v>
      </c>
      <c r="J441" s="1" t="s">
        <v>819</v>
      </c>
      <c r="K441" s="1" t="s">
        <v>1287</v>
      </c>
      <c r="L441" s="1" t="s">
        <v>1216</v>
      </c>
      <c r="M441" s="1" t="s">
        <v>119</v>
      </c>
      <c r="N441" s="1" t="s">
        <v>119</v>
      </c>
      <c r="O441" s="1" t="s">
        <v>119</v>
      </c>
      <c r="P441" s="5">
        <v>44333</v>
      </c>
      <c r="Q441" s="1"/>
      <c r="R441" s="1"/>
      <c r="S441" s="1"/>
      <c r="T441" s="1"/>
      <c r="U441" s="1" t="s">
        <v>1922</v>
      </c>
      <c r="V441" s="4">
        <v>1</v>
      </c>
      <c r="W441" s="6">
        <v>2640</v>
      </c>
      <c r="X441" s="1" t="s">
        <v>1459</v>
      </c>
      <c r="Y441" s="4">
        <v>8</v>
      </c>
      <c r="Z441" s="6">
        <v>330</v>
      </c>
      <c r="AA441" s="1" t="s">
        <v>2024</v>
      </c>
      <c r="AB441" s="1" t="s">
        <v>1964</v>
      </c>
      <c r="AC441" s="1" t="s">
        <v>1124</v>
      </c>
      <c r="AD441" s="1" t="s">
        <v>1800</v>
      </c>
      <c r="AE441" s="1" t="s">
        <v>1286</v>
      </c>
      <c r="AF441" s="1" t="s">
        <v>1463</v>
      </c>
      <c r="AG441" s="6">
        <v>2640</v>
      </c>
      <c r="AH441" s="6">
        <v>330</v>
      </c>
      <c r="AI441" s="1"/>
      <c r="AJ441" s="1"/>
      <c r="AK441" s="1"/>
      <c r="AL441" s="1" t="s">
        <v>1744</v>
      </c>
      <c r="AM441" s="1" t="s">
        <v>765</v>
      </c>
      <c r="AN441" s="1"/>
      <c r="AO441" s="1" t="s">
        <v>184</v>
      </c>
      <c r="AP441" s="1"/>
      <c r="AQ441" s="1"/>
      <c r="AR441" s="2"/>
      <c r="AS441" s="1"/>
      <c r="AT441" s="1"/>
      <c r="AU441" s="1"/>
      <c r="AV441" s="1" t="s">
        <v>1941</v>
      </c>
      <c r="AW441" s="7">
        <v>44333.586231913541</v>
      </c>
      <c r="AX441" s="1" t="s">
        <v>383</v>
      </c>
      <c r="AY441" s="6">
        <v>2640</v>
      </c>
      <c r="AZ441" s="1"/>
      <c r="BA441" s="5">
        <v>44561</v>
      </c>
      <c r="BB441" s="7">
        <v>44561</v>
      </c>
      <c r="BC441" s="1" t="s">
        <v>1997</v>
      </c>
      <c r="BD441" s="1"/>
      <c r="BE441" s="1"/>
      <c r="BF441" s="1" t="s">
        <v>118</v>
      </c>
    </row>
    <row r="442" spans="1:58">
      <c r="A442" s="4">
        <v>437</v>
      </c>
      <c r="B442" s="2" t="str">
        <f>HYPERLINK("https://my.zakupki.prom.ua/remote/dispatcher/state_purchase_view/24056552", "UA-2021-02-16-007536-a")</f>
        <v>UA-2021-02-16-007536-a</v>
      </c>
      <c r="C442" s="2" t="s">
        <v>1459</v>
      </c>
      <c r="D442" s="1" t="s">
        <v>508</v>
      </c>
      <c r="E442" s="1" t="s">
        <v>1331</v>
      </c>
      <c r="F442" s="1" t="s">
        <v>507</v>
      </c>
      <c r="G442" s="1" t="s">
        <v>1675</v>
      </c>
      <c r="H442" s="1" t="s">
        <v>1800</v>
      </c>
      <c r="I442" s="1" t="s">
        <v>1379</v>
      </c>
      <c r="J442" s="1" t="s">
        <v>819</v>
      </c>
      <c r="K442" s="1" t="s">
        <v>1287</v>
      </c>
      <c r="L442" s="1" t="s">
        <v>1216</v>
      </c>
      <c r="M442" s="1" t="s">
        <v>119</v>
      </c>
      <c r="N442" s="1" t="s">
        <v>119</v>
      </c>
      <c r="O442" s="1" t="s">
        <v>119</v>
      </c>
      <c r="P442" s="5">
        <v>44243</v>
      </c>
      <c r="Q442" s="5">
        <v>44243</v>
      </c>
      <c r="R442" s="5">
        <v>44249</v>
      </c>
      <c r="S442" s="5">
        <v>44249</v>
      </c>
      <c r="T442" s="5">
        <v>44252</v>
      </c>
      <c r="U442" s="1" t="s">
        <v>1923</v>
      </c>
      <c r="V442" s="4">
        <v>1</v>
      </c>
      <c r="W442" s="6">
        <v>70400</v>
      </c>
      <c r="X442" s="1" t="s">
        <v>1459</v>
      </c>
      <c r="Y442" s="4">
        <v>327</v>
      </c>
      <c r="Z442" s="6">
        <v>215.29</v>
      </c>
      <c r="AA442" s="1" t="s">
        <v>2024</v>
      </c>
      <c r="AB442" s="6">
        <v>352</v>
      </c>
      <c r="AC442" s="1" t="s">
        <v>1124</v>
      </c>
      <c r="AD442" s="1" t="s">
        <v>1800</v>
      </c>
      <c r="AE442" s="1" t="s">
        <v>1286</v>
      </c>
      <c r="AF442" s="1" t="s">
        <v>1463</v>
      </c>
      <c r="AG442" s="6">
        <v>70398</v>
      </c>
      <c r="AH442" s="6">
        <v>215.28440366972478</v>
      </c>
      <c r="AI442" s="1" t="s">
        <v>1858</v>
      </c>
      <c r="AJ442" s="6">
        <v>2</v>
      </c>
      <c r="AK442" s="6">
        <v>2.8409090909090909E-5</v>
      </c>
      <c r="AL442" s="1" t="s">
        <v>1858</v>
      </c>
      <c r="AM442" s="1" t="s">
        <v>516</v>
      </c>
      <c r="AN442" s="1" t="s">
        <v>1203</v>
      </c>
      <c r="AO442" s="1" t="s">
        <v>110</v>
      </c>
      <c r="AP442" s="6">
        <v>2</v>
      </c>
      <c r="AQ442" s="6">
        <v>2.8409090909090909E-5</v>
      </c>
      <c r="AR442" s="2"/>
      <c r="AS442" s="7">
        <v>44253.507413979918</v>
      </c>
      <c r="AT442" s="5">
        <v>44258</v>
      </c>
      <c r="AU442" s="5">
        <v>44279</v>
      </c>
      <c r="AV442" s="1" t="s">
        <v>1941</v>
      </c>
      <c r="AW442" s="7">
        <v>44264.565918770866</v>
      </c>
      <c r="AX442" s="1" t="s">
        <v>284</v>
      </c>
      <c r="AY442" s="6">
        <v>70398</v>
      </c>
      <c r="AZ442" s="1"/>
      <c r="BA442" s="5">
        <v>44561</v>
      </c>
      <c r="BB442" s="7">
        <v>44561</v>
      </c>
      <c r="BC442" s="1" t="s">
        <v>1997</v>
      </c>
      <c r="BD442" s="1"/>
      <c r="BE442" s="1"/>
      <c r="BF442" s="1" t="s">
        <v>517</v>
      </c>
    </row>
    <row r="443" spans="1:58">
      <c r="A443" s="4">
        <v>438</v>
      </c>
      <c r="B443" s="2" t="str">
        <f>HYPERLINK("https://my.zakupki.prom.ua/remote/dispatcher/state_purchase_view/28179669", "UA-2021-07-13-002758-c")</f>
        <v>UA-2021-07-13-002758-c</v>
      </c>
      <c r="C443" s="2" t="s">
        <v>1459</v>
      </c>
      <c r="D443" s="1" t="s">
        <v>14</v>
      </c>
      <c r="E443" s="1" t="s">
        <v>1900</v>
      </c>
      <c r="F443" s="1" t="s">
        <v>961</v>
      </c>
      <c r="G443" s="1" t="s">
        <v>1346</v>
      </c>
      <c r="H443" s="1" t="s">
        <v>1800</v>
      </c>
      <c r="I443" s="1" t="s">
        <v>1379</v>
      </c>
      <c r="J443" s="1" t="s">
        <v>819</v>
      </c>
      <c r="K443" s="1" t="s">
        <v>1287</v>
      </c>
      <c r="L443" s="1" t="s">
        <v>1287</v>
      </c>
      <c r="M443" s="1" t="s">
        <v>119</v>
      </c>
      <c r="N443" s="1" t="s">
        <v>119</v>
      </c>
      <c r="O443" s="1" t="s">
        <v>119</v>
      </c>
      <c r="P443" s="5">
        <v>44390</v>
      </c>
      <c r="Q443" s="5">
        <v>44390</v>
      </c>
      <c r="R443" s="5">
        <v>44396</v>
      </c>
      <c r="S443" s="5">
        <v>44396</v>
      </c>
      <c r="T443" s="5">
        <v>44400</v>
      </c>
      <c r="U443" s="1" t="s">
        <v>1928</v>
      </c>
      <c r="V443" s="4">
        <v>0</v>
      </c>
      <c r="W443" s="6">
        <v>20000</v>
      </c>
      <c r="X443" s="1" t="s">
        <v>1459</v>
      </c>
      <c r="Y443" s="4">
        <v>1</v>
      </c>
      <c r="Z443" s="6">
        <v>20000</v>
      </c>
      <c r="AA443" s="1" t="s">
        <v>2024</v>
      </c>
      <c r="AB443" s="6">
        <v>100</v>
      </c>
      <c r="AC443" s="1" t="s">
        <v>1124</v>
      </c>
      <c r="AD443" s="1" t="s">
        <v>1800</v>
      </c>
      <c r="AE443" s="1" t="s">
        <v>1286</v>
      </c>
      <c r="AF443" s="1" t="s">
        <v>1463</v>
      </c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2"/>
      <c r="AS443" s="1"/>
      <c r="AT443" s="1"/>
      <c r="AU443" s="1"/>
      <c r="AV443" s="1" t="s">
        <v>1972</v>
      </c>
      <c r="AW443" s="1"/>
      <c r="AX443" s="1"/>
      <c r="AY443" s="1"/>
      <c r="AZ443" s="1"/>
      <c r="BA443" s="5">
        <v>44561</v>
      </c>
      <c r="BB443" s="1"/>
      <c r="BC443" s="1"/>
      <c r="BD443" s="1"/>
      <c r="BE443" s="1"/>
      <c r="BF443" s="1"/>
    </row>
    <row r="444" spans="1:58">
      <c r="A444" s="4">
        <v>439</v>
      </c>
      <c r="B444" s="2" t="str">
        <f>HYPERLINK("https://my.zakupki.prom.ua/remote/dispatcher/state_purchase_view/14190064", "UA-2019-12-20-001164-b")</f>
        <v>UA-2019-12-20-001164-b</v>
      </c>
      <c r="C444" s="2" t="s">
        <v>1459</v>
      </c>
      <c r="D444" s="1" t="s">
        <v>1355</v>
      </c>
      <c r="E444" s="1" t="s">
        <v>902</v>
      </c>
      <c r="F444" s="1" t="s">
        <v>899</v>
      </c>
      <c r="G444" s="1" t="s">
        <v>1364</v>
      </c>
      <c r="H444" s="1" t="s">
        <v>1800</v>
      </c>
      <c r="I444" s="1" t="s">
        <v>1379</v>
      </c>
      <c r="J444" s="1" t="s">
        <v>819</v>
      </c>
      <c r="K444" s="1" t="s">
        <v>1287</v>
      </c>
      <c r="L444" s="1" t="s">
        <v>1915</v>
      </c>
      <c r="M444" s="1" t="s">
        <v>119</v>
      </c>
      <c r="N444" s="1" t="s">
        <v>119</v>
      </c>
      <c r="O444" s="1" t="s">
        <v>119</v>
      </c>
      <c r="P444" s="5">
        <v>43819</v>
      </c>
      <c r="Q444" s="1"/>
      <c r="R444" s="1"/>
      <c r="S444" s="1"/>
      <c r="T444" s="1"/>
      <c r="U444" s="1" t="s">
        <v>1922</v>
      </c>
      <c r="V444" s="4">
        <v>1</v>
      </c>
      <c r="W444" s="6">
        <v>1881.52</v>
      </c>
      <c r="X444" s="1" t="s">
        <v>1459</v>
      </c>
      <c r="Y444" s="4">
        <v>6</v>
      </c>
      <c r="Z444" s="6">
        <v>313.58999999999997</v>
      </c>
      <c r="AA444" s="1" t="s">
        <v>1961</v>
      </c>
      <c r="AB444" s="1" t="s">
        <v>1964</v>
      </c>
      <c r="AC444" s="1" t="s">
        <v>1124</v>
      </c>
      <c r="AD444" s="1" t="s">
        <v>1463</v>
      </c>
      <c r="AE444" s="1" t="s">
        <v>1286</v>
      </c>
      <c r="AF444" s="1" t="s">
        <v>1463</v>
      </c>
      <c r="AG444" s="6">
        <v>1881.52</v>
      </c>
      <c r="AH444" s="6">
        <v>313.58666666666664</v>
      </c>
      <c r="AI444" s="1"/>
      <c r="AJ444" s="1"/>
      <c r="AK444" s="1"/>
      <c r="AL444" s="1" t="s">
        <v>1905</v>
      </c>
      <c r="AM444" s="1" t="s">
        <v>531</v>
      </c>
      <c r="AN444" s="1"/>
      <c r="AO444" s="1" t="s">
        <v>238</v>
      </c>
      <c r="AP444" s="1"/>
      <c r="AQ444" s="1"/>
      <c r="AR444" s="2"/>
      <c r="AS444" s="1"/>
      <c r="AT444" s="1"/>
      <c r="AU444" s="1"/>
      <c r="AV444" s="1" t="s">
        <v>1941</v>
      </c>
      <c r="AW444" s="7">
        <v>43819.447911812211</v>
      </c>
      <c r="AX444" s="1" t="s">
        <v>351</v>
      </c>
      <c r="AY444" s="6">
        <v>1881.52</v>
      </c>
      <c r="AZ444" s="5">
        <v>43819</v>
      </c>
      <c r="BA444" s="5">
        <v>43830</v>
      </c>
      <c r="BB444" s="7">
        <v>43830</v>
      </c>
      <c r="BC444" s="1" t="s">
        <v>1997</v>
      </c>
      <c r="BD444" s="1"/>
      <c r="BE444" s="1"/>
      <c r="BF444" s="1" t="s">
        <v>118</v>
      </c>
    </row>
    <row r="445" spans="1:58">
      <c r="A445" s="4">
        <v>440</v>
      </c>
      <c r="B445" s="2" t="str">
        <f>HYPERLINK("https://my.zakupki.prom.ua/remote/dispatcher/state_purchase_view/11206339", "UA-2019-04-05-002203-a")</f>
        <v>UA-2019-04-05-002203-a</v>
      </c>
      <c r="C445" s="2" t="s">
        <v>1459</v>
      </c>
      <c r="D445" s="1" t="s">
        <v>1425</v>
      </c>
      <c r="E445" s="1" t="s">
        <v>1686</v>
      </c>
      <c r="F445" s="1" t="s">
        <v>721</v>
      </c>
      <c r="G445" s="1" t="s">
        <v>1346</v>
      </c>
      <c r="H445" s="1" t="s">
        <v>1800</v>
      </c>
      <c r="I445" s="1" t="s">
        <v>1379</v>
      </c>
      <c r="J445" s="1" t="s">
        <v>819</v>
      </c>
      <c r="K445" s="1" t="s">
        <v>1287</v>
      </c>
      <c r="L445" s="1" t="s">
        <v>1224</v>
      </c>
      <c r="M445" s="1" t="s">
        <v>119</v>
      </c>
      <c r="N445" s="1" t="s">
        <v>119</v>
      </c>
      <c r="O445" s="1" t="s">
        <v>317</v>
      </c>
      <c r="P445" s="5">
        <v>43560</v>
      </c>
      <c r="Q445" s="5">
        <v>43560</v>
      </c>
      <c r="R445" s="5">
        <v>43564</v>
      </c>
      <c r="S445" s="5">
        <v>43564</v>
      </c>
      <c r="T445" s="5">
        <v>43566</v>
      </c>
      <c r="U445" s="7">
        <v>43567.568333333336</v>
      </c>
      <c r="V445" s="4">
        <v>2</v>
      </c>
      <c r="W445" s="6">
        <v>26950</v>
      </c>
      <c r="X445" s="1" t="s">
        <v>1459</v>
      </c>
      <c r="Y445" s="1" t="s">
        <v>1956</v>
      </c>
      <c r="Z445" s="1" t="s">
        <v>1956</v>
      </c>
      <c r="AA445" s="1" t="s">
        <v>1956</v>
      </c>
      <c r="AB445" s="6">
        <v>134.75</v>
      </c>
      <c r="AC445" s="1" t="s">
        <v>1124</v>
      </c>
      <c r="AD445" s="1" t="s">
        <v>1800</v>
      </c>
      <c r="AE445" s="1" t="s">
        <v>1286</v>
      </c>
      <c r="AF445" s="1" t="s">
        <v>1463</v>
      </c>
      <c r="AG445" s="6">
        <v>14584.32</v>
      </c>
      <c r="AH445" s="1" t="s">
        <v>1956</v>
      </c>
      <c r="AI445" s="1" t="s">
        <v>1705</v>
      </c>
      <c r="AJ445" s="6">
        <v>12365.68</v>
      </c>
      <c r="AK445" s="6">
        <v>0.45883784786641929</v>
      </c>
      <c r="AL445" s="1" t="s">
        <v>1871</v>
      </c>
      <c r="AM445" s="1" t="s">
        <v>405</v>
      </c>
      <c r="AN445" s="1" t="s">
        <v>1156</v>
      </c>
      <c r="AO445" s="1" t="s">
        <v>74</v>
      </c>
      <c r="AP445" s="6">
        <v>9.5999999999985448</v>
      </c>
      <c r="AQ445" s="6">
        <v>3.5621521335801648E-4</v>
      </c>
      <c r="AR445" s="2" t="str">
        <f>HYPERLINK("https://auction.openprocurement.org/tenders/1f74083db99a4ee7ae46b865853adb1c")</f>
        <v>https://auction.openprocurement.org/tenders/1f74083db99a4ee7ae46b865853adb1c</v>
      </c>
      <c r="AS445" s="7">
        <v>43572.685514350022</v>
      </c>
      <c r="AT445" s="5">
        <v>43574</v>
      </c>
      <c r="AU445" s="5">
        <v>43594</v>
      </c>
      <c r="AV445" s="1" t="s">
        <v>1941</v>
      </c>
      <c r="AW445" s="7">
        <v>43578.458925713123</v>
      </c>
      <c r="AX445" s="1" t="s">
        <v>781</v>
      </c>
      <c r="AY445" s="6">
        <v>26940.400000000001</v>
      </c>
      <c r="AZ445" s="1"/>
      <c r="BA445" s="5">
        <v>43830</v>
      </c>
      <c r="BB445" s="7">
        <v>43830</v>
      </c>
      <c r="BC445" s="1" t="s">
        <v>1997</v>
      </c>
      <c r="BD445" s="1"/>
      <c r="BE445" s="1"/>
      <c r="BF445" s="1" t="s">
        <v>873</v>
      </c>
    </row>
    <row r="446" spans="1:58">
      <c r="A446" s="4">
        <v>441</v>
      </c>
      <c r="B446" s="2" t="str">
        <f>HYPERLINK("https://my.zakupki.prom.ua/remote/dispatcher/state_purchase_view/10661089", "UA-2019-02-21-000050-b")</f>
        <v>UA-2019-02-21-000050-b</v>
      </c>
      <c r="C446" s="2" t="s">
        <v>1459</v>
      </c>
      <c r="D446" s="1" t="s">
        <v>761</v>
      </c>
      <c r="E446" s="1" t="s">
        <v>1627</v>
      </c>
      <c r="F446" s="1" t="s">
        <v>758</v>
      </c>
      <c r="G446" s="1" t="s">
        <v>1280</v>
      </c>
      <c r="H446" s="1" t="s">
        <v>1800</v>
      </c>
      <c r="I446" s="1" t="s">
        <v>1379</v>
      </c>
      <c r="J446" s="1" t="s">
        <v>819</v>
      </c>
      <c r="K446" s="1" t="s">
        <v>1287</v>
      </c>
      <c r="L446" s="1" t="s">
        <v>1224</v>
      </c>
      <c r="M446" s="1" t="s">
        <v>119</v>
      </c>
      <c r="N446" s="1" t="s">
        <v>119</v>
      </c>
      <c r="O446" s="1" t="s">
        <v>119</v>
      </c>
      <c r="P446" s="5">
        <v>43517</v>
      </c>
      <c r="Q446" s="5">
        <v>43517</v>
      </c>
      <c r="R446" s="5">
        <v>43525</v>
      </c>
      <c r="S446" s="5">
        <v>43517</v>
      </c>
      <c r="T446" s="5">
        <v>43535</v>
      </c>
      <c r="U446" s="7">
        <v>43536.646238425928</v>
      </c>
      <c r="V446" s="4">
        <v>2</v>
      </c>
      <c r="W446" s="6">
        <v>301925</v>
      </c>
      <c r="X446" s="1" t="s">
        <v>1459</v>
      </c>
      <c r="Y446" s="1" t="s">
        <v>1956</v>
      </c>
      <c r="Z446" s="1" t="s">
        <v>1956</v>
      </c>
      <c r="AA446" s="1" t="s">
        <v>1956</v>
      </c>
      <c r="AB446" s="6">
        <v>3019.25</v>
      </c>
      <c r="AC446" s="1" t="s">
        <v>1124</v>
      </c>
      <c r="AD446" s="1" t="s">
        <v>1800</v>
      </c>
      <c r="AE446" s="1" t="s">
        <v>1286</v>
      </c>
      <c r="AF446" s="1" t="s">
        <v>1463</v>
      </c>
      <c r="AG446" s="6">
        <v>301842</v>
      </c>
      <c r="AH446" s="1" t="s">
        <v>1956</v>
      </c>
      <c r="AI446" s="1" t="s">
        <v>1878</v>
      </c>
      <c r="AJ446" s="6">
        <v>83</v>
      </c>
      <c r="AK446" s="6">
        <v>2.7490270762606608E-4</v>
      </c>
      <c r="AL446" s="1" t="s">
        <v>1878</v>
      </c>
      <c r="AM446" s="1" t="s">
        <v>593</v>
      </c>
      <c r="AN446" s="1" t="s">
        <v>1180</v>
      </c>
      <c r="AO446" s="1" t="s">
        <v>100</v>
      </c>
      <c r="AP446" s="6">
        <v>83</v>
      </c>
      <c r="AQ446" s="6">
        <v>2.7490270762606608E-4</v>
      </c>
      <c r="AR446" s="2" t="str">
        <f>HYPERLINK("https://auction.openprocurement.org/tenders/f419e1fc5d6d4a0080eeea24b7fb56bc")</f>
        <v>https://auction.openprocurement.org/tenders/f419e1fc5d6d4a0080eeea24b7fb56bc</v>
      </c>
      <c r="AS446" s="7">
        <v>43543.347142881867</v>
      </c>
      <c r="AT446" s="5">
        <v>43554</v>
      </c>
      <c r="AU446" s="5">
        <v>43564</v>
      </c>
      <c r="AV446" s="1" t="s">
        <v>1941</v>
      </c>
      <c r="AW446" s="7">
        <v>43556.353625187279</v>
      </c>
      <c r="AX446" s="1" t="s">
        <v>613</v>
      </c>
      <c r="AY446" s="6">
        <v>301842</v>
      </c>
      <c r="AZ446" s="1"/>
      <c r="BA446" s="5">
        <v>43824</v>
      </c>
      <c r="BB446" s="7">
        <v>43830</v>
      </c>
      <c r="BC446" s="1" t="s">
        <v>1997</v>
      </c>
      <c r="BD446" s="1"/>
      <c r="BE446" s="1"/>
      <c r="BF446" s="1" t="s">
        <v>595</v>
      </c>
    </row>
    <row r="447" spans="1:58">
      <c r="A447" s="4">
        <v>442</v>
      </c>
      <c r="B447" s="2" t="str">
        <f>HYPERLINK("https://my.zakupki.prom.ua/remote/dispatcher/state_purchase_view/8458436", "UA-2018-10-04-002351-c")</f>
        <v>UA-2018-10-04-002351-c</v>
      </c>
      <c r="C447" s="2" t="s">
        <v>1459</v>
      </c>
      <c r="D447" s="1" t="s">
        <v>864</v>
      </c>
      <c r="E447" s="1" t="s">
        <v>1688</v>
      </c>
      <c r="F447" s="1" t="s">
        <v>863</v>
      </c>
      <c r="G447" s="1" t="s">
        <v>1346</v>
      </c>
      <c r="H447" s="1" t="s">
        <v>1800</v>
      </c>
      <c r="I447" s="1" t="s">
        <v>1379</v>
      </c>
      <c r="J447" s="1" t="s">
        <v>819</v>
      </c>
      <c r="K447" s="1" t="s">
        <v>1287</v>
      </c>
      <c r="L447" s="1" t="s">
        <v>1469</v>
      </c>
      <c r="M447" s="1" t="s">
        <v>119</v>
      </c>
      <c r="N447" s="1" t="s">
        <v>119</v>
      </c>
      <c r="O447" s="1" t="s">
        <v>119</v>
      </c>
      <c r="P447" s="5">
        <v>43377</v>
      </c>
      <c r="Q447" s="5">
        <v>43377</v>
      </c>
      <c r="R447" s="5">
        <v>43382</v>
      </c>
      <c r="S447" s="5">
        <v>43382</v>
      </c>
      <c r="T447" s="5">
        <v>43384</v>
      </c>
      <c r="U447" s="7">
        <v>43385.473969907405</v>
      </c>
      <c r="V447" s="4">
        <v>3</v>
      </c>
      <c r="W447" s="6">
        <v>43956</v>
      </c>
      <c r="X447" s="1" t="s">
        <v>1459</v>
      </c>
      <c r="Y447" s="1" t="s">
        <v>1956</v>
      </c>
      <c r="Z447" s="1" t="s">
        <v>1956</v>
      </c>
      <c r="AA447" s="1" t="s">
        <v>1956</v>
      </c>
      <c r="AB447" s="6">
        <v>439.56</v>
      </c>
      <c r="AC447" s="1" t="s">
        <v>1124</v>
      </c>
      <c r="AD447" s="1" t="s">
        <v>1800</v>
      </c>
      <c r="AE447" s="1" t="s">
        <v>1286</v>
      </c>
      <c r="AF447" s="1" t="s">
        <v>1463</v>
      </c>
      <c r="AG447" s="6">
        <v>29800</v>
      </c>
      <c r="AH447" s="1" t="s">
        <v>1956</v>
      </c>
      <c r="AI447" s="1" t="s">
        <v>1847</v>
      </c>
      <c r="AJ447" s="6">
        <v>14156</v>
      </c>
      <c r="AK447" s="6">
        <v>0.32204932204932207</v>
      </c>
      <c r="AL447" s="1" t="s">
        <v>1722</v>
      </c>
      <c r="AM447" s="1" t="s">
        <v>954</v>
      </c>
      <c r="AN447" s="1" t="s">
        <v>1194</v>
      </c>
      <c r="AO447" s="1" t="s">
        <v>87</v>
      </c>
      <c r="AP447" s="6">
        <v>15.599999999998545</v>
      </c>
      <c r="AQ447" s="6">
        <v>3.5490035490032181E-4</v>
      </c>
      <c r="AR447" s="2" t="str">
        <f>HYPERLINK("https://auction.openprocurement.org/tenders/5cbe3ebda917440e81a4f7cc0a5bf50c")</f>
        <v>https://auction.openprocurement.org/tenders/5cbe3ebda917440e81a4f7cc0a5bf50c</v>
      </c>
      <c r="AS447" s="7">
        <v>43402.473028214175</v>
      </c>
      <c r="AT447" s="5">
        <v>43404</v>
      </c>
      <c r="AU447" s="5">
        <v>43412</v>
      </c>
      <c r="AV447" s="1" t="s">
        <v>1941</v>
      </c>
      <c r="AW447" s="7">
        <v>43411.378428553944</v>
      </c>
      <c r="AX447" s="1" t="s">
        <v>520</v>
      </c>
      <c r="AY447" s="6">
        <v>43940.4</v>
      </c>
      <c r="AZ447" s="5">
        <v>43391</v>
      </c>
      <c r="BA447" s="5">
        <v>43455</v>
      </c>
      <c r="BB447" s="7">
        <v>43465</v>
      </c>
      <c r="BC447" s="1" t="s">
        <v>1997</v>
      </c>
      <c r="BD447" s="1"/>
      <c r="BE447" s="1"/>
      <c r="BF447" s="1" t="s">
        <v>503</v>
      </c>
    </row>
    <row r="448" spans="1:58">
      <c r="A448" s="4">
        <v>443</v>
      </c>
      <c r="B448" s="2" t="str">
        <f>HYPERLINK("https://my.zakupki.prom.ua/remote/dispatcher/state_purchase_view/8459382", "UA-2018-10-04-002566-c")</f>
        <v>UA-2018-10-04-002566-c</v>
      </c>
      <c r="C448" s="2" t="s">
        <v>1459</v>
      </c>
      <c r="D448" s="1" t="s">
        <v>870</v>
      </c>
      <c r="E448" s="1" t="s">
        <v>1907</v>
      </c>
      <c r="F448" s="1" t="s">
        <v>869</v>
      </c>
      <c r="G448" s="1" t="s">
        <v>1346</v>
      </c>
      <c r="H448" s="1" t="s">
        <v>1800</v>
      </c>
      <c r="I448" s="1" t="s">
        <v>1379</v>
      </c>
      <c r="J448" s="1" t="s">
        <v>819</v>
      </c>
      <c r="K448" s="1" t="s">
        <v>1287</v>
      </c>
      <c r="L448" s="1" t="s">
        <v>1469</v>
      </c>
      <c r="M448" s="1" t="s">
        <v>119</v>
      </c>
      <c r="N448" s="1" t="s">
        <v>119</v>
      </c>
      <c r="O448" s="1" t="s">
        <v>119</v>
      </c>
      <c r="P448" s="5">
        <v>43377</v>
      </c>
      <c r="Q448" s="5">
        <v>43377</v>
      </c>
      <c r="R448" s="5">
        <v>43382</v>
      </c>
      <c r="S448" s="5">
        <v>43382</v>
      </c>
      <c r="T448" s="5">
        <v>43385</v>
      </c>
      <c r="U448" s="1" t="s">
        <v>1923</v>
      </c>
      <c r="V448" s="4">
        <v>0</v>
      </c>
      <c r="W448" s="6">
        <v>21000</v>
      </c>
      <c r="X448" s="1" t="s">
        <v>1459</v>
      </c>
      <c r="Y448" s="1" t="s">
        <v>1956</v>
      </c>
      <c r="Z448" s="1" t="s">
        <v>1956</v>
      </c>
      <c r="AA448" s="1" t="s">
        <v>1956</v>
      </c>
      <c r="AB448" s="6">
        <v>210</v>
      </c>
      <c r="AC448" s="1" t="s">
        <v>1124</v>
      </c>
      <c r="AD448" s="1" t="s">
        <v>1800</v>
      </c>
      <c r="AE448" s="1" t="s">
        <v>1286</v>
      </c>
      <c r="AF448" s="1" t="s">
        <v>1463</v>
      </c>
      <c r="AG448" s="1"/>
      <c r="AH448" s="1" t="s">
        <v>1956</v>
      </c>
      <c r="AI448" s="1"/>
      <c r="AJ448" s="1"/>
      <c r="AK448" s="1"/>
      <c r="AL448" s="1"/>
      <c r="AM448" s="1"/>
      <c r="AN448" s="1"/>
      <c r="AO448" s="1"/>
      <c r="AP448" s="1"/>
      <c r="AQ448" s="1"/>
      <c r="AR448" s="2"/>
      <c r="AS448" s="1"/>
      <c r="AT448" s="1"/>
      <c r="AU448" s="1"/>
      <c r="AV448" s="1" t="s">
        <v>1942</v>
      </c>
      <c r="AW448" s="7">
        <v>43385.717328038845</v>
      </c>
      <c r="AX448" s="1"/>
      <c r="AY448" s="1"/>
      <c r="AZ448" s="5">
        <v>43391</v>
      </c>
      <c r="BA448" s="5">
        <v>43455</v>
      </c>
      <c r="BB448" s="1"/>
      <c r="BC448" s="1"/>
      <c r="BD448" s="1"/>
      <c r="BE448" s="1"/>
      <c r="BF448" s="1"/>
    </row>
    <row r="449" spans="1:58">
      <c r="A449" s="4">
        <v>444</v>
      </c>
      <c r="B449" s="2" t="str">
        <f>HYPERLINK("https://my.zakupki.prom.ua/remote/dispatcher/state_purchase_view/8387094", "UA-2018-09-27-001109-c")</f>
        <v>UA-2018-09-27-001109-c</v>
      </c>
      <c r="C449" s="2" t="s">
        <v>1459</v>
      </c>
      <c r="D449" s="1" t="s">
        <v>708</v>
      </c>
      <c r="E449" s="1" t="s">
        <v>1911</v>
      </c>
      <c r="F449" s="1" t="s">
        <v>708</v>
      </c>
      <c r="G449" s="1" t="s">
        <v>1280</v>
      </c>
      <c r="H449" s="1" t="s">
        <v>1800</v>
      </c>
      <c r="I449" s="1" t="s">
        <v>1379</v>
      </c>
      <c r="J449" s="1" t="s">
        <v>819</v>
      </c>
      <c r="K449" s="1" t="s">
        <v>1287</v>
      </c>
      <c r="L449" s="1" t="s">
        <v>1230</v>
      </c>
      <c r="M449" s="1" t="s">
        <v>119</v>
      </c>
      <c r="N449" s="1" t="s">
        <v>119</v>
      </c>
      <c r="O449" s="1" t="s">
        <v>317</v>
      </c>
      <c r="P449" s="5">
        <v>43370</v>
      </c>
      <c r="Q449" s="5">
        <v>43370</v>
      </c>
      <c r="R449" s="5">
        <v>43375</v>
      </c>
      <c r="S449" s="5">
        <v>43370</v>
      </c>
      <c r="T449" s="5">
        <v>43385</v>
      </c>
      <c r="U449" s="7">
        <v>43389.580960648149</v>
      </c>
      <c r="V449" s="4">
        <v>2</v>
      </c>
      <c r="W449" s="6">
        <v>93000</v>
      </c>
      <c r="X449" s="1" t="s">
        <v>1459</v>
      </c>
      <c r="Y449" s="1" t="s">
        <v>1956</v>
      </c>
      <c r="Z449" s="1" t="s">
        <v>1956</v>
      </c>
      <c r="AA449" s="1" t="s">
        <v>1956</v>
      </c>
      <c r="AB449" s="6">
        <v>930</v>
      </c>
      <c r="AC449" s="1" t="s">
        <v>1124</v>
      </c>
      <c r="AD449" s="1" t="s">
        <v>1800</v>
      </c>
      <c r="AE449" s="1" t="s">
        <v>1286</v>
      </c>
      <c r="AF449" s="1" t="s">
        <v>1463</v>
      </c>
      <c r="AG449" s="6">
        <v>92973.37</v>
      </c>
      <c r="AH449" s="1" t="s">
        <v>1956</v>
      </c>
      <c r="AI449" s="1" t="s">
        <v>1729</v>
      </c>
      <c r="AJ449" s="6">
        <v>26.630000000004657</v>
      </c>
      <c r="AK449" s="6">
        <v>2.8634408602155545E-4</v>
      </c>
      <c r="AL449" s="1" t="s">
        <v>1729</v>
      </c>
      <c r="AM449" s="1" t="s">
        <v>845</v>
      </c>
      <c r="AN449" s="1" t="s">
        <v>1143</v>
      </c>
      <c r="AO449" s="1" t="s">
        <v>30</v>
      </c>
      <c r="AP449" s="6">
        <v>26.630000000004657</v>
      </c>
      <c r="AQ449" s="6">
        <v>2.8634408602155545E-4</v>
      </c>
      <c r="AR449" s="2" t="str">
        <f>HYPERLINK("https://auction.openprocurement.org/tenders/402533dc4ab54de5bd003ffdc1ef97a9")</f>
        <v>https://auction.openprocurement.org/tenders/402533dc4ab54de5bd003ffdc1ef97a9</v>
      </c>
      <c r="AS449" s="7">
        <v>43395.65956214624</v>
      </c>
      <c r="AT449" s="5">
        <v>43406</v>
      </c>
      <c r="AU449" s="5">
        <v>43416</v>
      </c>
      <c r="AV449" s="1" t="s">
        <v>1941</v>
      </c>
      <c r="AW449" s="7">
        <v>43410.433258605532</v>
      </c>
      <c r="AX449" s="1" t="s">
        <v>334</v>
      </c>
      <c r="AY449" s="6">
        <v>92973.37</v>
      </c>
      <c r="AZ449" s="5">
        <v>43395</v>
      </c>
      <c r="BA449" s="5">
        <v>43404</v>
      </c>
      <c r="BB449" s="7">
        <v>43465</v>
      </c>
      <c r="BC449" s="1" t="s">
        <v>1997</v>
      </c>
      <c r="BD449" s="1"/>
      <c r="BE449" s="1"/>
      <c r="BF449" s="1" t="s">
        <v>846</v>
      </c>
    </row>
    <row r="450" spans="1:58">
      <c r="A450" s="4">
        <v>445</v>
      </c>
      <c r="B450" s="2" t="str">
        <f>HYPERLINK("https://my.zakupki.prom.ua/remote/dispatcher/state_purchase_view/8429803", "UA-2018-10-02-001671-c")</f>
        <v>UA-2018-10-02-001671-c</v>
      </c>
      <c r="C450" s="2" t="s">
        <v>1459</v>
      </c>
      <c r="D450" s="1" t="s">
        <v>721</v>
      </c>
      <c r="E450" s="1" t="s">
        <v>1647</v>
      </c>
      <c r="F450" s="1" t="s">
        <v>721</v>
      </c>
      <c r="G450" s="1" t="s">
        <v>1280</v>
      </c>
      <c r="H450" s="1" t="s">
        <v>1800</v>
      </c>
      <c r="I450" s="1" t="s">
        <v>1379</v>
      </c>
      <c r="J450" s="1" t="s">
        <v>819</v>
      </c>
      <c r="K450" s="1" t="s">
        <v>1287</v>
      </c>
      <c r="L450" s="1" t="s">
        <v>1469</v>
      </c>
      <c r="M450" s="1" t="s">
        <v>119</v>
      </c>
      <c r="N450" s="1" t="s">
        <v>119</v>
      </c>
      <c r="O450" s="1" t="s">
        <v>119</v>
      </c>
      <c r="P450" s="5">
        <v>43375</v>
      </c>
      <c r="Q450" s="5">
        <v>43375</v>
      </c>
      <c r="R450" s="5">
        <v>43386</v>
      </c>
      <c r="S450" s="5">
        <v>43375</v>
      </c>
      <c r="T450" s="5">
        <v>43396</v>
      </c>
      <c r="U450" s="7">
        <v>43397.658263888887</v>
      </c>
      <c r="V450" s="4">
        <v>2</v>
      </c>
      <c r="W450" s="6">
        <v>299000</v>
      </c>
      <c r="X450" s="1" t="s">
        <v>1459</v>
      </c>
      <c r="Y450" s="1" t="s">
        <v>1956</v>
      </c>
      <c r="Z450" s="1" t="s">
        <v>1956</v>
      </c>
      <c r="AA450" s="1" t="s">
        <v>1956</v>
      </c>
      <c r="AB450" s="6">
        <v>2990</v>
      </c>
      <c r="AC450" s="1" t="s">
        <v>1124</v>
      </c>
      <c r="AD450" s="1" t="s">
        <v>1800</v>
      </c>
      <c r="AE450" s="1" t="s">
        <v>1286</v>
      </c>
      <c r="AF450" s="1" t="s">
        <v>1463</v>
      </c>
      <c r="AG450" s="6">
        <v>298972.87</v>
      </c>
      <c r="AH450" s="1" t="s">
        <v>1956</v>
      </c>
      <c r="AI450" s="1" t="s">
        <v>1877</v>
      </c>
      <c r="AJ450" s="6">
        <v>27.130000000004657</v>
      </c>
      <c r="AK450" s="6">
        <v>9.0735785953192832E-5</v>
      </c>
      <c r="AL450" s="1" t="s">
        <v>1877</v>
      </c>
      <c r="AM450" s="1" t="s">
        <v>659</v>
      </c>
      <c r="AN450" s="1" t="s">
        <v>1164</v>
      </c>
      <c r="AO450" s="1" t="s">
        <v>76</v>
      </c>
      <c r="AP450" s="6">
        <v>27.130000000004657</v>
      </c>
      <c r="AQ450" s="6">
        <v>9.0735785953192832E-5</v>
      </c>
      <c r="AR450" s="2" t="str">
        <f>HYPERLINK("https://auction.openprocurement.org/tenders/09a8d6cd7ced47bea025d4c1be4c9fb3")</f>
        <v>https://auction.openprocurement.org/tenders/09a8d6cd7ced47bea025d4c1be4c9fb3</v>
      </c>
      <c r="AS450" s="7">
        <v>43404.470214727276</v>
      </c>
      <c r="AT450" s="5">
        <v>43415</v>
      </c>
      <c r="AU450" s="5">
        <v>43425</v>
      </c>
      <c r="AV450" s="1" t="s">
        <v>1941</v>
      </c>
      <c r="AW450" s="7">
        <v>43416.370691155775</v>
      </c>
      <c r="AX450" s="1" t="s">
        <v>331</v>
      </c>
      <c r="AY450" s="6">
        <v>298972.87</v>
      </c>
      <c r="AZ450" s="5">
        <v>43413</v>
      </c>
      <c r="BA450" s="5">
        <v>43455</v>
      </c>
      <c r="BB450" s="7">
        <v>43465</v>
      </c>
      <c r="BC450" s="1" t="s">
        <v>1997</v>
      </c>
      <c r="BD450" s="1"/>
      <c r="BE450" s="1"/>
      <c r="BF450" s="1" t="s">
        <v>660</v>
      </c>
    </row>
    <row r="451" spans="1:58">
      <c r="A451" s="4">
        <v>446</v>
      </c>
      <c r="B451" s="2" t="str">
        <f>HYPERLINK("https://my.zakupki.prom.ua/remote/dispatcher/state_purchase_view/10448781", "UA-2019-02-07-002339-b")</f>
        <v>UA-2019-02-07-002339-b</v>
      </c>
      <c r="C451" s="2" t="s">
        <v>1459</v>
      </c>
      <c r="D451" s="1" t="s">
        <v>1274</v>
      </c>
      <c r="E451" s="1" t="s">
        <v>1353</v>
      </c>
      <c r="F451" s="1" t="s">
        <v>1006</v>
      </c>
      <c r="G451" s="1" t="s">
        <v>1346</v>
      </c>
      <c r="H451" s="1" t="s">
        <v>1800</v>
      </c>
      <c r="I451" s="1" t="s">
        <v>1379</v>
      </c>
      <c r="J451" s="1" t="s">
        <v>819</v>
      </c>
      <c r="K451" s="1" t="s">
        <v>1287</v>
      </c>
      <c r="L451" s="1" t="s">
        <v>1224</v>
      </c>
      <c r="M451" s="1" t="s">
        <v>316</v>
      </c>
      <c r="N451" s="1" t="s">
        <v>119</v>
      </c>
      <c r="O451" s="1" t="s">
        <v>119</v>
      </c>
      <c r="P451" s="5">
        <v>43503</v>
      </c>
      <c r="Q451" s="5">
        <v>43503</v>
      </c>
      <c r="R451" s="5">
        <v>43508</v>
      </c>
      <c r="S451" s="5">
        <v>43508</v>
      </c>
      <c r="T451" s="5">
        <v>43511</v>
      </c>
      <c r="U451" s="7">
        <v>43514.475497685184</v>
      </c>
      <c r="V451" s="4">
        <v>5</v>
      </c>
      <c r="W451" s="6">
        <v>12000</v>
      </c>
      <c r="X451" s="1" t="s">
        <v>1459</v>
      </c>
      <c r="Y451" s="4">
        <v>1</v>
      </c>
      <c r="Z451" s="6">
        <v>12000</v>
      </c>
      <c r="AA451" s="1" t="s">
        <v>1976</v>
      </c>
      <c r="AB451" s="6">
        <v>120</v>
      </c>
      <c r="AC451" s="1" t="s">
        <v>1124</v>
      </c>
      <c r="AD451" s="1" t="s">
        <v>1800</v>
      </c>
      <c r="AE451" s="1" t="s">
        <v>1286</v>
      </c>
      <c r="AF451" s="1" t="s">
        <v>1463</v>
      </c>
      <c r="AG451" s="6">
        <v>8879</v>
      </c>
      <c r="AH451" s="6">
        <v>8879</v>
      </c>
      <c r="AI451" s="1" t="s">
        <v>1731</v>
      </c>
      <c r="AJ451" s="6">
        <v>3121</v>
      </c>
      <c r="AK451" s="6">
        <v>0.26008333333333333</v>
      </c>
      <c r="AL451" s="1" t="s">
        <v>1731</v>
      </c>
      <c r="AM451" s="1" t="s">
        <v>886</v>
      </c>
      <c r="AN451" s="1" t="s">
        <v>1162</v>
      </c>
      <c r="AO451" s="1" t="s">
        <v>58</v>
      </c>
      <c r="AP451" s="6">
        <v>3121</v>
      </c>
      <c r="AQ451" s="6">
        <v>0.26008333333333333</v>
      </c>
      <c r="AR451" s="2" t="str">
        <f>HYPERLINK("https://auction.openprocurement.org/tenders/d3ffbc49faa74a4eb7aab160525daa82")</f>
        <v>https://auction.openprocurement.org/tenders/d3ffbc49faa74a4eb7aab160525daa82</v>
      </c>
      <c r="AS451" s="7">
        <v>43522.579390406529</v>
      </c>
      <c r="AT451" s="5">
        <v>43524</v>
      </c>
      <c r="AU451" s="5">
        <v>43538</v>
      </c>
      <c r="AV451" s="1" t="s">
        <v>1941</v>
      </c>
      <c r="AW451" s="7">
        <v>43528.499955849678</v>
      </c>
      <c r="AX451" s="1" t="s">
        <v>1377</v>
      </c>
      <c r="AY451" s="6">
        <v>8879</v>
      </c>
      <c r="AZ451" s="5">
        <v>43514</v>
      </c>
      <c r="BA451" s="5">
        <v>43549</v>
      </c>
      <c r="BB451" s="7">
        <v>43830</v>
      </c>
      <c r="BC451" s="1" t="s">
        <v>1997</v>
      </c>
      <c r="BD451" s="1"/>
      <c r="BE451" s="1"/>
      <c r="BF451" s="1" t="s">
        <v>887</v>
      </c>
    </row>
    <row r="452" spans="1:58">
      <c r="A452" s="4">
        <v>447</v>
      </c>
      <c r="B452" s="2" t="str">
        <f>HYPERLINK("https://my.zakupki.prom.ua/remote/dispatcher/state_purchase_view/10728264", "UA-2019-02-26-001437-b")</f>
        <v>UA-2019-02-26-001437-b</v>
      </c>
      <c r="C452" s="2" t="s">
        <v>1459</v>
      </c>
      <c r="D452" s="1" t="s">
        <v>1333</v>
      </c>
      <c r="E452" s="1" t="s">
        <v>1375</v>
      </c>
      <c r="F452" s="1" t="s">
        <v>507</v>
      </c>
      <c r="G452" s="1" t="s">
        <v>1346</v>
      </c>
      <c r="H452" s="1" t="s">
        <v>1800</v>
      </c>
      <c r="I452" s="1" t="s">
        <v>1379</v>
      </c>
      <c r="J452" s="1" t="s">
        <v>819</v>
      </c>
      <c r="K452" s="1" t="s">
        <v>1287</v>
      </c>
      <c r="L452" s="1" t="s">
        <v>1224</v>
      </c>
      <c r="M452" s="1" t="s">
        <v>119</v>
      </c>
      <c r="N452" s="1" t="s">
        <v>119</v>
      </c>
      <c r="O452" s="1" t="s">
        <v>119</v>
      </c>
      <c r="P452" s="5">
        <v>43522</v>
      </c>
      <c r="Q452" s="5">
        <v>43522</v>
      </c>
      <c r="R452" s="5">
        <v>43525</v>
      </c>
      <c r="S452" s="5">
        <v>43525</v>
      </c>
      <c r="T452" s="5">
        <v>43530</v>
      </c>
      <c r="U452" s="7">
        <v>43531.648923611108</v>
      </c>
      <c r="V452" s="4">
        <v>2</v>
      </c>
      <c r="W452" s="6">
        <v>47800</v>
      </c>
      <c r="X452" s="1" t="s">
        <v>1459</v>
      </c>
      <c r="Y452" s="1" t="s">
        <v>1956</v>
      </c>
      <c r="Z452" s="1" t="s">
        <v>1956</v>
      </c>
      <c r="AA452" s="1" t="s">
        <v>1956</v>
      </c>
      <c r="AB452" s="6">
        <v>239</v>
      </c>
      <c r="AC452" s="1" t="s">
        <v>1124</v>
      </c>
      <c r="AD452" s="1" t="s">
        <v>1800</v>
      </c>
      <c r="AE452" s="1" t="s">
        <v>1286</v>
      </c>
      <c r="AF452" s="1" t="s">
        <v>1463</v>
      </c>
      <c r="AG452" s="6">
        <v>37350</v>
      </c>
      <c r="AH452" s="1" t="s">
        <v>1956</v>
      </c>
      <c r="AI452" s="1" t="s">
        <v>1695</v>
      </c>
      <c r="AJ452" s="6">
        <v>10450</v>
      </c>
      <c r="AK452" s="6">
        <v>0.21861924686192469</v>
      </c>
      <c r="AL452" s="1" t="s">
        <v>1867</v>
      </c>
      <c r="AM452" s="1" t="s">
        <v>662</v>
      </c>
      <c r="AN452" s="1" t="s">
        <v>1133</v>
      </c>
      <c r="AO452" s="1" t="s">
        <v>98</v>
      </c>
      <c r="AP452" s="6">
        <v>1010</v>
      </c>
      <c r="AQ452" s="6">
        <v>2.112970711297071E-2</v>
      </c>
      <c r="AR452" s="2" t="str">
        <f>HYPERLINK("https://auction.openprocurement.org/tenders/31762bd54e1d42189b1f140678016068")</f>
        <v>https://auction.openprocurement.org/tenders/31762bd54e1d42189b1f140678016068</v>
      </c>
      <c r="AS452" s="7">
        <v>43546.734178321734</v>
      </c>
      <c r="AT452" s="5">
        <v>43550</v>
      </c>
      <c r="AU452" s="5">
        <v>43555</v>
      </c>
      <c r="AV452" s="1" t="s">
        <v>1941</v>
      </c>
      <c r="AW452" s="7">
        <v>43558.649212315082</v>
      </c>
      <c r="AX452" s="1" t="s">
        <v>677</v>
      </c>
      <c r="AY452" s="6">
        <v>46790</v>
      </c>
      <c r="AZ452" s="5">
        <v>43542</v>
      </c>
      <c r="BA452" s="5">
        <v>43642</v>
      </c>
      <c r="BB452" s="7">
        <v>43830</v>
      </c>
      <c r="BC452" s="1" t="s">
        <v>1997</v>
      </c>
      <c r="BD452" s="1"/>
      <c r="BE452" s="1"/>
      <c r="BF452" s="1" t="s">
        <v>848</v>
      </c>
    </row>
    <row r="453" spans="1:58">
      <c r="A453" s="4">
        <v>448</v>
      </c>
      <c r="B453" s="2" t="str">
        <f>HYPERLINK("https://my.zakupki.prom.ua/remote/dispatcher/state_purchase_view/9803402", "UA-2019-01-15-001501-c")</f>
        <v>UA-2019-01-15-001501-c</v>
      </c>
      <c r="C453" s="2" t="s">
        <v>1459</v>
      </c>
      <c r="D453" s="1" t="s">
        <v>712</v>
      </c>
      <c r="E453" s="1" t="s">
        <v>1391</v>
      </c>
      <c r="F453" s="1" t="s">
        <v>708</v>
      </c>
      <c r="G453" s="1" t="s">
        <v>1346</v>
      </c>
      <c r="H453" s="1" t="s">
        <v>1800</v>
      </c>
      <c r="I453" s="1" t="s">
        <v>1379</v>
      </c>
      <c r="J453" s="1" t="s">
        <v>819</v>
      </c>
      <c r="K453" s="1" t="s">
        <v>1287</v>
      </c>
      <c r="L453" s="1" t="s">
        <v>1224</v>
      </c>
      <c r="M453" s="1" t="s">
        <v>119</v>
      </c>
      <c r="N453" s="1" t="s">
        <v>119</v>
      </c>
      <c r="O453" s="1" t="s">
        <v>119</v>
      </c>
      <c r="P453" s="5">
        <v>43480</v>
      </c>
      <c r="Q453" s="5">
        <v>43480</v>
      </c>
      <c r="R453" s="5">
        <v>43483</v>
      </c>
      <c r="S453" s="5">
        <v>43483</v>
      </c>
      <c r="T453" s="5">
        <v>43489</v>
      </c>
      <c r="U453" s="1" t="s">
        <v>1923</v>
      </c>
      <c r="V453" s="4">
        <v>0</v>
      </c>
      <c r="W453" s="6">
        <v>196745</v>
      </c>
      <c r="X453" s="1" t="s">
        <v>1459</v>
      </c>
      <c r="Y453" s="1" t="s">
        <v>1956</v>
      </c>
      <c r="Z453" s="1" t="s">
        <v>1956</v>
      </c>
      <c r="AA453" s="1" t="s">
        <v>1956</v>
      </c>
      <c r="AB453" s="6">
        <v>983.73</v>
      </c>
      <c r="AC453" s="1" t="s">
        <v>1124</v>
      </c>
      <c r="AD453" s="1" t="s">
        <v>1800</v>
      </c>
      <c r="AE453" s="1" t="s">
        <v>1286</v>
      </c>
      <c r="AF453" s="1" t="s">
        <v>1463</v>
      </c>
      <c r="AG453" s="1"/>
      <c r="AH453" s="1" t="s">
        <v>1956</v>
      </c>
      <c r="AI453" s="1"/>
      <c r="AJ453" s="1"/>
      <c r="AK453" s="1"/>
      <c r="AL453" s="1"/>
      <c r="AM453" s="1"/>
      <c r="AN453" s="1"/>
      <c r="AO453" s="1"/>
      <c r="AP453" s="1"/>
      <c r="AQ453" s="1"/>
      <c r="AR453" s="2"/>
      <c r="AS453" s="1"/>
      <c r="AT453" s="1"/>
      <c r="AU453" s="1"/>
      <c r="AV453" s="1" t="s">
        <v>2002</v>
      </c>
      <c r="AW453" s="7">
        <v>43486.62764012839</v>
      </c>
      <c r="AX453" s="1"/>
      <c r="AY453" s="1"/>
      <c r="AZ453" s="1"/>
      <c r="BA453" s="5">
        <v>43830</v>
      </c>
      <c r="BB453" s="1"/>
      <c r="BC453" s="1"/>
      <c r="BD453" s="1" t="s">
        <v>2005</v>
      </c>
      <c r="BE453" s="1"/>
      <c r="BF453" s="1"/>
    </row>
    <row r="454" spans="1:58">
      <c r="A454" s="4">
        <v>449</v>
      </c>
      <c r="B454" s="2" t="str">
        <f>HYPERLINK("https://my.zakupki.prom.ua/remote/dispatcher/state_purchase_view/19119749", "UA-2020-09-09-002235-b")</f>
        <v>UA-2020-09-09-002235-b</v>
      </c>
      <c r="C454" s="2" t="s">
        <v>1459</v>
      </c>
      <c r="D454" s="1" t="s">
        <v>1958</v>
      </c>
      <c r="E454" s="1" t="s">
        <v>1293</v>
      </c>
      <c r="F454" s="1" t="s">
        <v>733</v>
      </c>
      <c r="G454" s="1" t="s">
        <v>1280</v>
      </c>
      <c r="H454" s="1" t="s">
        <v>1800</v>
      </c>
      <c r="I454" s="1" t="s">
        <v>1379</v>
      </c>
      <c r="J454" s="1" t="s">
        <v>819</v>
      </c>
      <c r="K454" s="1" t="s">
        <v>1287</v>
      </c>
      <c r="L454" s="1" t="s">
        <v>1216</v>
      </c>
      <c r="M454" s="1" t="s">
        <v>119</v>
      </c>
      <c r="N454" s="1" t="s">
        <v>119</v>
      </c>
      <c r="O454" s="1" t="s">
        <v>119</v>
      </c>
      <c r="P454" s="5">
        <v>44083</v>
      </c>
      <c r="Q454" s="5">
        <v>44083</v>
      </c>
      <c r="R454" s="5">
        <v>44089</v>
      </c>
      <c r="S454" s="5">
        <v>44083</v>
      </c>
      <c r="T454" s="5">
        <v>44099</v>
      </c>
      <c r="U454" s="1" t="s">
        <v>1923</v>
      </c>
      <c r="V454" s="4">
        <v>0</v>
      </c>
      <c r="W454" s="6">
        <v>7500</v>
      </c>
      <c r="X454" s="1" t="s">
        <v>1459</v>
      </c>
      <c r="Y454" s="1" t="s">
        <v>1956</v>
      </c>
      <c r="Z454" s="1" t="s">
        <v>1956</v>
      </c>
      <c r="AA454" s="1" t="s">
        <v>1956</v>
      </c>
      <c r="AB454" s="6">
        <v>75</v>
      </c>
      <c r="AC454" s="1" t="s">
        <v>1124</v>
      </c>
      <c r="AD454" s="1" t="s">
        <v>1800</v>
      </c>
      <c r="AE454" s="1" t="s">
        <v>1286</v>
      </c>
      <c r="AF454" s="1" t="s">
        <v>1463</v>
      </c>
      <c r="AG454" s="1"/>
      <c r="AH454" s="1" t="s">
        <v>1956</v>
      </c>
      <c r="AI454" s="1"/>
      <c r="AJ454" s="1"/>
      <c r="AK454" s="1"/>
      <c r="AL454" s="1"/>
      <c r="AM454" s="1"/>
      <c r="AN454" s="1"/>
      <c r="AO454" s="1"/>
      <c r="AP454" s="1"/>
      <c r="AQ454" s="1"/>
      <c r="AR454" s="2"/>
      <c r="AS454" s="1"/>
      <c r="AT454" s="1"/>
      <c r="AU454" s="1"/>
      <c r="AV454" s="1" t="s">
        <v>1942</v>
      </c>
      <c r="AW454" s="7">
        <v>44099.375399800003</v>
      </c>
      <c r="AX454" s="1"/>
      <c r="AY454" s="1"/>
      <c r="AZ454" s="1"/>
      <c r="BA454" s="5">
        <v>44196</v>
      </c>
      <c r="BB454" s="1"/>
      <c r="BC454" s="1"/>
      <c r="BD454" s="1"/>
      <c r="BE454" s="1"/>
      <c r="BF454" s="1"/>
    </row>
    <row r="455" spans="1:58">
      <c r="A455" s="4">
        <v>450</v>
      </c>
      <c r="B455" s="2" t="str">
        <f>HYPERLINK("https://my.zakupki.prom.ua/remote/dispatcher/state_purchase_view/15609139", "UA-2020-03-04-003303-a")</f>
        <v>UA-2020-03-04-003303-a</v>
      </c>
      <c r="C455" s="2" t="s">
        <v>1459</v>
      </c>
      <c r="D455" s="1" t="s">
        <v>1437</v>
      </c>
      <c r="E455" s="1" t="s">
        <v>1441</v>
      </c>
      <c r="F455" s="1" t="s">
        <v>742</v>
      </c>
      <c r="G455" s="1" t="s">
        <v>1280</v>
      </c>
      <c r="H455" s="1" t="s">
        <v>1800</v>
      </c>
      <c r="I455" s="1" t="s">
        <v>1379</v>
      </c>
      <c r="J455" s="1" t="s">
        <v>819</v>
      </c>
      <c r="K455" s="1" t="s">
        <v>1287</v>
      </c>
      <c r="L455" s="1" t="s">
        <v>1216</v>
      </c>
      <c r="M455" s="1" t="s">
        <v>119</v>
      </c>
      <c r="N455" s="1" t="s">
        <v>119</v>
      </c>
      <c r="O455" s="1" t="s">
        <v>119</v>
      </c>
      <c r="P455" s="5">
        <v>43894</v>
      </c>
      <c r="Q455" s="5">
        <v>43894</v>
      </c>
      <c r="R455" s="5">
        <v>43900</v>
      </c>
      <c r="S455" s="5">
        <v>43894</v>
      </c>
      <c r="T455" s="5">
        <v>43910</v>
      </c>
      <c r="U455" s="7">
        <v>43913.459467592591</v>
      </c>
      <c r="V455" s="4">
        <v>2</v>
      </c>
      <c r="W455" s="6">
        <v>927496</v>
      </c>
      <c r="X455" s="1" t="s">
        <v>1459</v>
      </c>
      <c r="Y455" s="1" t="s">
        <v>1956</v>
      </c>
      <c r="Z455" s="1" t="s">
        <v>1956</v>
      </c>
      <c r="AA455" s="1" t="s">
        <v>1956</v>
      </c>
      <c r="AB455" s="6">
        <v>4637.4799999999996</v>
      </c>
      <c r="AC455" s="1" t="s">
        <v>1124</v>
      </c>
      <c r="AD455" s="1" t="s">
        <v>1800</v>
      </c>
      <c r="AE455" s="1" t="s">
        <v>1286</v>
      </c>
      <c r="AF455" s="1" t="s">
        <v>1463</v>
      </c>
      <c r="AG455" s="6">
        <v>720410</v>
      </c>
      <c r="AH455" s="1" t="s">
        <v>1956</v>
      </c>
      <c r="AI455" s="1" t="s">
        <v>1704</v>
      </c>
      <c r="AJ455" s="6">
        <v>207086</v>
      </c>
      <c r="AK455" s="6">
        <v>0.22327427827182003</v>
      </c>
      <c r="AL455" s="1" t="s">
        <v>1704</v>
      </c>
      <c r="AM455" s="1" t="s">
        <v>666</v>
      </c>
      <c r="AN455" s="1" t="s">
        <v>1157</v>
      </c>
      <c r="AO455" s="1" t="s">
        <v>67</v>
      </c>
      <c r="AP455" s="6">
        <v>207086</v>
      </c>
      <c r="AQ455" s="6">
        <v>0.22327427827182003</v>
      </c>
      <c r="AR455" s="2" t="str">
        <f>HYPERLINK("https://auction.openprocurement.org/tenders/d0d6b107131f4e40b87c667e561c76bd")</f>
        <v>https://auction.openprocurement.org/tenders/d0d6b107131f4e40b87c667e561c76bd</v>
      </c>
      <c r="AS455" s="7">
        <v>43914.525736758209</v>
      </c>
      <c r="AT455" s="5">
        <v>43925</v>
      </c>
      <c r="AU455" s="5">
        <v>43935</v>
      </c>
      <c r="AV455" s="1" t="s">
        <v>1941</v>
      </c>
      <c r="AW455" s="7">
        <v>43930.479934132556</v>
      </c>
      <c r="AX455" s="1" t="s">
        <v>275</v>
      </c>
      <c r="AY455" s="6">
        <v>720410</v>
      </c>
      <c r="AZ455" s="1"/>
      <c r="BA455" s="5">
        <v>44196</v>
      </c>
      <c r="BB455" s="7">
        <v>44196</v>
      </c>
      <c r="BC455" s="1" t="s">
        <v>1997</v>
      </c>
      <c r="BD455" s="1"/>
      <c r="BE455" s="1"/>
      <c r="BF455" s="1" t="s">
        <v>671</v>
      </c>
    </row>
    <row r="456" spans="1:58">
      <c r="A456" s="4">
        <v>451</v>
      </c>
      <c r="B456" s="2" t="str">
        <f>HYPERLINK("https://my.zakupki.prom.ua/remote/dispatcher/state_purchase_view/22287818", "UA-2020-12-17-002257-c")</f>
        <v>UA-2020-12-17-002257-c</v>
      </c>
      <c r="C456" s="2" t="s">
        <v>1459</v>
      </c>
      <c r="D456" s="1" t="s">
        <v>1824</v>
      </c>
      <c r="E456" s="1" t="s">
        <v>1826</v>
      </c>
      <c r="F456" s="1" t="s">
        <v>1060</v>
      </c>
      <c r="G456" s="1" t="s">
        <v>1364</v>
      </c>
      <c r="H456" s="1" t="s">
        <v>1800</v>
      </c>
      <c r="I456" s="1" t="s">
        <v>1379</v>
      </c>
      <c r="J456" s="1" t="s">
        <v>819</v>
      </c>
      <c r="K456" s="1" t="s">
        <v>1287</v>
      </c>
      <c r="L456" s="1" t="s">
        <v>1216</v>
      </c>
      <c r="M456" s="1" t="s">
        <v>119</v>
      </c>
      <c r="N456" s="1" t="s">
        <v>119</v>
      </c>
      <c r="O456" s="1" t="s">
        <v>119</v>
      </c>
      <c r="P456" s="5">
        <v>44182</v>
      </c>
      <c r="Q456" s="1"/>
      <c r="R456" s="1"/>
      <c r="S456" s="1"/>
      <c r="T456" s="1"/>
      <c r="U456" s="1" t="s">
        <v>1922</v>
      </c>
      <c r="V456" s="4">
        <v>1</v>
      </c>
      <c r="W456" s="6">
        <v>36000</v>
      </c>
      <c r="X456" s="1" t="s">
        <v>1459</v>
      </c>
      <c r="Y456" s="4">
        <v>1</v>
      </c>
      <c r="Z456" s="6">
        <v>36000</v>
      </c>
      <c r="AA456" s="1" t="s">
        <v>1976</v>
      </c>
      <c r="AB456" s="1" t="s">
        <v>1964</v>
      </c>
      <c r="AC456" s="1" t="s">
        <v>1124</v>
      </c>
      <c r="AD456" s="1" t="s">
        <v>1800</v>
      </c>
      <c r="AE456" s="1" t="s">
        <v>1286</v>
      </c>
      <c r="AF456" s="1" t="s">
        <v>1463</v>
      </c>
      <c r="AG456" s="6">
        <v>36000</v>
      </c>
      <c r="AH456" s="6">
        <v>36000</v>
      </c>
      <c r="AI456" s="1"/>
      <c r="AJ456" s="1"/>
      <c r="AK456" s="1"/>
      <c r="AL456" s="1" t="s">
        <v>1748</v>
      </c>
      <c r="AM456" s="1" t="s">
        <v>960</v>
      </c>
      <c r="AN456" s="1"/>
      <c r="AO456" s="1" t="s">
        <v>299</v>
      </c>
      <c r="AP456" s="1"/>
      <c r="AQ456" s="1"/>
      <c r="AR456" s="2"/>
      <c r="AS456" s="1"/>
      <c r="AT456" s="1"/>
      <c r="AU456" s="1"/>
      <c r="AV456" s="1" t="s">
        <v>1941</v>
      </c>
      <c r="AW456" s="7">
        <v>44182.424684847603</v>
      </c>
      <c r="AX456" s="1" t="s">
        <v>524</v>
      </c>
      <c r="AY456" s="6">
        <v>36000</v>
      </c>
      <c r="AZ456" s="1"/>
      <c r="BA456" s="5">
        <v>44192</v>
      </c>
      <c r="BB456" s="7">
        <v>44196</v>
      </c>
      <c r="BC456" s="1" t="s">
        <v>1997</v>
      </c>
      <c r="BD456" s="1"/>
      <c r="BE456" s="1"/>
      <c r="BF456" s="1" t="s">
        <v>118</v>
      </c>
    </row>
    <row r="457" spans="1:58">
      <c r="A457" s="4">
        <v>452</v>
      </c>
      <c r="B457" s="2" t="str">
        <f>HYPERLINK("https://my.zakupki.prom.ua/remote/dispatcher/state_purchase_view/22909868", "UA-2021-01-12-000538-a")</f>
        <v>UA-2021-01-12-000538-a</v>
      </c>
      <c r="C457" s="2" t="s">
        <v>1459</v>
      </c>
      <c r="D457" s="1" t="s">
        <v>1817</v>
      </c>
      <c r="E457" s="1" t="s">
        <v>1821</v>
      </c>
      <c r="F457" s="1" t="s">
        <v>1080</v>
      </c>
      <c r="G457" s="1" t="s">
        <v>1364</v>
      </c>
      <c r="H457" s="1" t="s">
        <v>1800</v>
      </c>
      <c r="I457" s="1" t="s">
        <v>1379</v>
      </c>
      <c r="J457" s="1" t="s">
        <v>819</v>
      </c>
      <c r="K457" s="1" t="s">
        <v>1287</v>
      </c>
      <c r="L457" s="1" t="s">
        <v>1216</v>
      </c>
      <c r="M457" s="1" t="s">
        <v>119</v>
      </c>
      <c r="N457" s="1" t="s">
        <v>119</v>
      </c>
      <c r="O457" s="1" t="s">
        <v>119</v>
      </c>
      <c r="P457" s="5">
        <v>44208</v>
      </c>
      <c r="Q457" s="1"/>
      <c r="R457" s="1"/>
      <c r="S457" s="1"/>
      <c r="T457" s="1"/>
      <c r="U457" s="1" t="s">
        <v>1922</v>
      </c>
      <c r="V457" s="4">
        <v>1</v>
      </c>
      <c r="W457" s="6">
        <v>14400</v>
      </c>
      <c r="X457" s="1" t="s">
        <v>1459</v>
      </c>
      <c r="Y457" s="4">
        <v>1</v>
      </c>
      <c r="Z457" s="6">
        <v>14400</v>
      </c>
      <c r="AA457" s="1" t="s">
        <v>1976</v>
      </c>
      <c r="AB457" s="1" t="s">
        <v>1964</v>
      </c>
      <c r="AC457" s="1" t="s">
        <v>1124</v>
      </c>
      <c r="AD457" s="1" t="s">
        <v>1800</v>
      </c>
      <c r="AE457" s="1" t="s">
        <v>1286</v>
      </c>
      <c r="AF457" s="1" t="s">
        <v>1463</v>
      </c>
      <c r="AG457" s="6">
        <v>14400</v>
      </c>
      <c r="AH457" s="6">
        <v>14400</v>
      </c>
      <c r="AI457" s="1"/>
      <c r="AJ457" s="1"/>
      <c r="AK457" s="1"/>
      <c r="AL457" s="1" t="s">
        <v>1752</v>
      </c>
      <c r="AM457" s="1" t="s">
        <v>694</v>
      </c>
      <c r="AN457" s="1"/>
      <c r="AO457" s="1" t="s">
        <v>253</v>
      </c>
      <c r="AP457" s="1"/>
      <c r="AQ457" s="1"/>
      <c r="AR457" s="2"/>
      <c r="AS457" s="1"/>
      <c r="AT457" s="1"/>
      <c r="AU457" s="1"/>
      <c r="AV457" s="1" t="s">
        <v>1941</v>
      </c>
      <c r="AW457" s="7">
        <v>44208.425009015511</v>
      </c>
      <c r="AX457" s="1" t="s">
        <v>651</v>
      </c>
      <c r="AY457" s="6">
        <v>14400</v>
      </c>
      <c r="AZ457" s="1"/>
      <c r="BA457" s="5">
        <v>44561</v>
      </c>
      <c r="BB457" s="7">
        <v>44561</v>
      </c>
      <c r="BC457" s="1" t="s">
        <v>1997</v>
      </c>
      <c r="BD457" s="1"/>
      <c r="BE457" s="1"/>
      <c r="BF457" s="1" t="s">
        <v>118</v>
      </c>
    </row>
    <row r="458" spans="1:58">
      <c r="A458" s="4">
        <v>453</v>
      </c>
      <c r="B458" s="2" t="str">
        <f>HYPERLINK("https://my.zakupki.prom.ua/remote/dispatcher/state_purchase_view/22289800", "UA-2020-12-17-002841-c")</f>
        <v>UA-2020-12-17-002841-c</v>
      </c>
      <c r="C458" s="2" t="s">
        <v>1459</v>
      </c>
      <c r="D458" s="1" t="s">
        <v>1975</v>
      </c>
      <c r="E458" s="1" t="s">
        <v>1975</v>
      </c>
      <c r="F458" s="1" t="s">
        <v>991</v>
      </c>
      <c r="G458" s="1" t="s">
        <v>1364</v>
      </c>
      <c r="H458" s="1" t="s">
        <v>1800</v>
      </c>
      <c r="I458" s="1" t="s">
        <v>1379</v>
      </c>
      <c r="J458" s="1" t="s">
        <v>819</v>
      </c>
      <c r="K458" s="1" t="s">
        <v>1287</v>
      </c>
      <c r="L458" s="1" t="s">
        <v>1216</v>
      </c>
      <c r="M458" s="1" t="s">
        <v>119</v>
      </c>
      <c r="N458" s="1" t="s">
        <v>119</v>
      </c>
      <c r="O458" s="1" t="s">
        <v>119</v>
      </c>
      <c r="P458" s="5">
        <v>44182</v>
      </c>
      <c r="Q458" s="1"/>
      <c r="R458" s="1"/>
      <c r="S458" s="1"/>
      <c r="T458" s="1"/>
      <c r="U458" s="1" t="s">
        <v>1922</v>
      </c>
      <c r="V458" s="4">
        <v>1</v>
      </c>
      <c r="W458" s="6">
        <v>2851</v>
      </c>
      <c r="X458" s="1" t="s">
        <v>1459</v>
      </c>
      <c r="Y458" s="4">
        <v>16</v>
      </c>
      <c r="Z458" s="6">
        <v>178.19</v>
      </c>
      <c r="AA458" s="1" t="s">
        <v>2024</v>
      </c>
      <c r="AB458" s="1" t="s">
        <v>1964</v>
      </c>
      <c r="AC458" s="1" t="s">
        <v>1124</v>
      </c>
      <c r="AD458" s="1" t="s">
        <v>1800</v>
      </c>
      <c r="AE458" s="1" t="s">
        <v>1286</v>
      </c>
      <c r="AF458" s="1" t="s">
        <v>1463</v>
      </c>
      <c r="AG458" s="6">
        <v>2851</v>
      </c>
      <c r="AH458" s="6">
        <v>178.1875</v>
      </c>
      <c r="AI458" s="1"/>
      <c r="AJ458" s="1"/>
      <c r="AK458" s="1"/>
      <c r="AL458" s="1" t="s">
        <v>1785</v>
      </c>
      <c r="AM458" s="1" t="s">
        <v>977</v>
      </c>
      <c r="AN458" s="1"/>
      <c r="AO458" s="1" t="s">
        <v>165</v>
      </c>
      <c r="AP458" s="1"/>
      <c r="AQ458" s="1"/>
      <c r="AR458" s="2"/>
      <c r="AS458" s="1"/>
      <c r="AT458" s="1"/>
      <c r="AU458" s="1"/>
      <c r="AV458" s="1" t="s">
        <v>1941</v>
      </c>
      <c r="AW458" s="7">
        <v>44182.428443840101</v>
      </c>
      <c r="AX458" s="1" t="s">
        <v>359</v>
      </c>
      <c r="AY458" s="6">
        <v>2851</v>
      </c>
      <c r="AZ458" s="1"/>
      <c r="BA458" s="5">
        <v>44190</v>
      </c>
      <c r="BB458" s="7">
        <v>44196</v>
      </c>
      <c r="BC458" s="1" t="s">
        <v>1997</v>
      </c>
      <c r="BD458" s="1"/>
      <c r="BE458" s="1"/>
      <c r="BF458" s="1" t="s">
        <v>118</v>
      </c>
    </row>
    <row r="459" spans="1:58">
      <c r="A459" s="4">
        <v>454</v>
      </c>
      <c r="B459" s="2" t="str">
        <f>HYPERLINK("https://my.zakupki.prom.ua/remote/dispatcher/state_purchase_view/15042102", "UA-2020-02-03-002398-a")</f>
        <v>UA-2020-02-03-002398-a</v>
      </c>
      <c r="C459" s="2" t="s">
        <v>1459</v>
      </c>
      <c r="D459" s="1" t="s">
        <v>1538</v>
      </c>
      <c r="E459" s="1" t="s">
        <v>1538</v>
      </c>
      <c r="F459" s="1" t="s">
        <v>1066</v>
      </c>
      <c r="G459" s="1" t="s">
        <v>1364</v>
      </c>
      <c r="H459" s="1" t="s">
        <v>1800</v>
      </c>
      <c r="I459" s="1" t="s">
        <v>1379</v>
      </c>
      <c r="J459" s="1" t="s">
        <v>819</v>
      </c>
      <c r="K459" s="1" t="s">
        <v>1287</v>
      </c>
      <c r="L459" s="1" t="s">
        <v>1915</v>
      </c>
      <c r="M459" s="1" t="s">
        <v>119</v>
      </c>
      <c r="N459" s="1" t="s">
        <v>119</v>
      </c>
      <c r="O459" s="1" t="s">
        <v>119</v>
      </c>
      <c r="P459" s="5">
        <v>43864</v>
      </c>
      <c r="Q459" s="1"/>
      <c r="R459" s="1"/>
      <c r="S459" s="1"/>
      <c r="T459" s="1"/>
      <c r="U459" s="1" t="s">
        <v>1922</v>
      </c>
      <c r="V459" s="4">
        <v>1</v>
      </c>
      <c r="W459" s="6">
        <v>664</v>
      </c>
      <c r="X459" s="1" t="s">
        <v>1459</v>
      </c>
      <c r="Y459" s="4">
        <v>1</v>
      </c>
      <c r="Z459" s="6">
        <v>664</v>
      </c>
      <c r="AA459" s="1" t="s">
        <v>1976</v>
      </c>
      <c r="AB459" s="1" t="s">
        <v>1964</v>
      </c>
      <c r="AC459" s="1" t="s">
        <v>1124</v>
      </c>
      <c r="AD459" s="1" t="s">
        <v>1800</v>
      </c>
      <c r="AE459" s="1" t="s">
        <v>1286</v>
      </c>
      <c r="AF459" s="1" t="s">
        <v>1463</v>
      </c>
      <c r="AG459" s="6">
        <v>664</v>
      </c>
      <c r="AH459" s="6">
        <v>664</v>
      </c>
      <c r="AI459" s="1"/>
      <c r="AJ459" s="1"/>
      <c r="AK459" s="1"/>
      <c r="AL459" s="1" t="s">
        <v>1724</v>
      </c>
      <c r="AM459" s="1" t="s">
        <v>809</v>
      </c>
      <c r="AN459" s="1"/>
      <c r="AO459" s="1" t="s">
        <v>430</v>
      </c>
      <c r="AP459" s="1"/>
      <c r="AQ459" s="1"/>
      <c r="AR459" s="2"/>
      <c r="AS459" s="1"/>
      <c r="AT459" s="1"/>
      <c r="AU459" s="1"/>
      <c r="AV459" s="1" t="s">
        <v>1941</v>
      </c>
      <c r="AW459" s="7">
        <v>43864.640911398797</v>
      </c>
      <c r="AX459" s="1" t="s">
        <v>819</v>
      </c>
      <c r="AY459" s="6">
        <v>664</v>
      </c>
      <c r="AZ459" s="1"/>
      <c r="BA459" s="5">
        <v>44196</v>
      </c>
      <c r="BB459" s="7">
        <v>44196</v>
      </c>
      <c r="BC459" s="1" t="s">
        <v>1997</v>
      </c>
      <c r="BD459" s="1"/>
      <c r="BE459" s="1"/>
      <c r="BF459" s="1" t="s">
        <v>118</v>
      </c>
    </row>
    <row r="460" spans="1:58">
      <c r="A460" s="4">
        <v>455</v>
      </c>
      <c r="B460" s="2" t="str">
        <f>HYPERLINK("https://my.zakupki.prom.ua/remote/dispatcher/state_purchase_view/14469749", "UA-2020-01-14-000573-c")</f>
        <v>UA-2020-01-14-000573-c</v>
      </c>
      <c r="C460" s="2" t="s">
        <v>1459</v>
      </c>
      <c r="D460" s="1" t="s">
        <v>1236</v>
      </c>
      <c r="E460" s="1" t="s">
        <v>735</v>
      </c>
      <c r="F460" s="1" t="s">
        <v>733</v>
      </c>
      <c r="G460" s="1" t="s">
        <v>1280</v>
      </c>
      <c r="H460" s="1" t="s">
        <v>1800</v>
      </c>
      <c r="I460" s="1" t="s">
        <v>1379</v>
      </c>
      <c r="J460" s="1" t="s">
        <v>819</v>
      </c>
      <c r="K460" s="1" t="s">
        <v>1287</v>
      </c>
      <c r="L460" s="1" t="s">
        <v>1915</v>
      </c>
      <c r="M460" s="1" t="s">
        <v>119</v>
      </c>
      <c r="N460" s="1" t="s">
        <v>119</v>
      </c>
      <c r="O460" s="1" t="s">
        <v>119</v>
      </c>
      <c r="P460" s="5">
        <v>43844</v>
      </c>
      <c r="Q460" s="5">
        <v>43844</v>
      </c>
      <c r="R460" s="5">
        <v>43854</v>
      </c>
      <c r="S460" s="5">
        <v>43844</v>
      </c>
      <c r="T460" s="5">
        <v>43864</v>
      </c>
      <c r="U460" s="7">
        <v>43865.564062500001</v>
      </c>
      <c r="V460" s="4">
        <v>3</v>
      </c>
      <c r="W460" s="6">
        <v>556632</v>
      </c>
      <c r="X460" s="1" t="s">
        <v>1459</v>
      </c>
      <c r="Y460" s="4">
        <v>3478</v>
      </c>
      <c r="Z460" s="6">
        <v>160.04</v>
      </c>
      <c r="AA460" s="1" t="s">
        <v>2017</v>
      </c>
      <c r="AB460" s="6">
        <v>2783.16</v>
      </c>
      <c r="AC460" s="1" t="s">
        <v>1124</v>
      </c>
      <c r="AD460" s="1" t="s">
        <v>1800</v>
      </c>
      <c r="AE460" s="1" t="s">
        <v>1286</v>
      </c>
      <c r="AF460" s="1" t="s">
        <v>1463</v>
      </c>
      <c r="AG460" s="6">
        <v>535890.24</v>
      </c>
      <c r="AH460" s="6">
        <v>154.07999999999998</v>
      </c>
      <c r="AI460" s="1" t="s">
        <v>1702</v>
      </c>
      <c r="AJ460" s="6">
        <v>20741.760000000009</v>
      </c>
      <c r="AK460" s="6">
        <v>3.7262967274608733E-2</v>
      </c>
      <c r="AL460" s="1" t="s">
        <v>1702</v>
      </c>
      <c r="AM460" s="1" t="s">
        <v>882</v>
      </c>
      <c r="AN460" s="1" t="s">
        <v>1157</v>
      </c>
      <c r="AO460" s="1" t="s">
        <v>67</v>
      </c>
      <c r="AP460" s="6">
        <v>20741.760000000009</v>
      </c>
      <c r="AQ460" s="6">
        <v>3.7262967274608733E-2</v>
      </c>
      <c r="AR460" s="2" t="str">
        <f>HYPERLINK("https://auction.openprocurement.org/tenders/d8a2aa2cc3444a1cb899d2cfc36644bd")</f>
        <v>https://auction.openprocurement.org/tenders/d8a2aa2cc3444a1cb899d2cfc36644bd</v>
      </c>
      <c r="AS460" s="7">
        <v>43866.625239481655</v>
      </c>
      <c r="AT460" s="5">
        <v>43877</v>
      </c>
      <c r="AU460" s="5">
        <v>43887</v>
      </c>
      <c r="AV460" s="1" t="s">
        <v>1941</v>
      </c>
      <c r="AW460" s="7">
        <v>43879.488283165971</v>
      </c>
      <c r="AX460" s="1" t="s">
        <v>390</v>
      </c>
      <c r="AY460" s="6">
        <v>535890.24</v>
      </c>
      <c r="AZ460" s="1"/>
      <c r="BA460" s="5">
        <v>44074</v>
      </c>
      <c r="BB460" s="7">
        <v>44196</v>
      </c>
      <c r="BC460" s="1" t="s">
        <v>1997</v>
      </c>
      <c r="BD460" s="1"/>
      <c r="BE460" s="1"/>
      <c r="BF460" s="1" t="s">
        <v>883</v>
      </c>
    </row>
    <row r="461" spans="1:58">
      <c r="A461" s="4">
        <v>456</v>
      </c>
      <c r="B461" s="2" t="str">
        <f>HYPERLINK("https://my.zakupki.prom.ua/remote/dispatcher/state_purchase_view/15605788", "UA-2020-03-04-002348-a")</f>
        <v>UA-2020-03-04-002348-a</v>
      </c>
      <c r="C461" s="2" t="s">
        <v>1459</v>
      </c>
      <c r="D461" s="1" t="s">
        <v>1392</v>
      </c>
      <c r="E461" s="1" t="s">
        <v>1392</v>
      </c>
      <c r="F461" s="1" t="s">
        <v>626</v>
      </c>
      <c r="G461" s="1" t="s">
        <v>1346</v>
      </c>
      <c r="H461" s="1" t="s">
        <v>1800</v>
      </c>
      <c r="I461" s="1" t="s">
        <v>1379</v>
      </c>
      <c r="J461" s="1" t="s">
        <v>819</v>
      </c>
      <c r="K461" s="1" t="s">
        <v>1287</v>
      </c>
      <c r="L461" s="1" t="s">
        <v>1216</v>
      </c>
      <c r="M461" s="1" t="s">
        <v>119</v>
      </c>
      <c r="N461" s="1" t="s">
        <v>119</v>
      </c>
      <c r="O461" s="1" t="s">
        <v>119</v>
      </c>
      <c r="P461" s="5">
        <v>43894</v>
      </c>
      <c r="Q461" s="5">
        <v>43894</v>
      </c>
      <c r="R461" s="5">
        <v>43896</v>
      </c>
      <c r="S461" s="5">
        <v>43896</v>
      </c>
      <c r="T461" s="5">
        <v>43900</v>
      </c>
      <c r="U461" s="7">
        <v>43901.548576388886</v>
      </c>
      <c r="V461" s="4">
        <v>4</v>
      </c>
      <c r="W461" s="6">
        <v>19870</v>
      </c>
      <c r="X461" s="1" t="s">
        <v>1459</v>
      </c>
      <c r="Y461" s="4">
        <v>702</v>
      </c>
      <c r="Z461" s="6">
        <v>28.3</v>
      </c>
      <c r="AA461" s="1" t="s">
        <v>2024</v>
      </c>
      <c r="AB461" s="6">
        <v>198.7</v>
      </c>
      <c r="AC461" s="1" t="s">
        <v>1124</v>
      </c>
      <c r="AD461" s="1" t="s">
        <v>1800</v>
      </c>
      <c r="AE461" s="1" t="s">
        <v>1286</v>
      </c>
      <c r="AF461" s="1" t="s">
        <v>1463</v>
      </c>
      <c r="AG461" s="6">
        <v>10049.540000000001</v>
      </c>
      <c r="AH461" s="6">
        <v>14.315584045584046</v>
      </c>
      <c r="AI461" s="1" t="s">
        <v>1697</v>
      </c>
      <c r="AJ461" s="6">
        <v>9820.4599999999991</v>
      </c>
      <c r="AK461" s="6">
        <v>0.49423553095118267</v>
      </c>
      <c r="AL461" s="1" t="s">
        <v>1697</v>
      </c>
      <c r="AM461" s="1" t="s">
        <v>888</v>
      </c>
      <c r="AN461" s="1" t="s">
        <v>1135</v>
      </c>
      <c r="AO461" s="1" t="s">
        <v>48</v>
      </c>
      <c r="AP461" s="6">
        <v>9820.4599999999991</v>
      </c>
      <c r="AQ461" s="6">
        <v>0.49423553095118267</v>
      </c>
      <c r="AR461" s="2" t="str">
        <f>HYPERLINK("https://auction.openprocurement.org/tenders/ff2a9c9301f54c9f8b24d05756c69a6e")</f>
        <v>https://auction.openprocurement.org/tenders/ff2a9c9301f54c9f8b24d05756c69a6e</v>
      </c>
      <c r="AS461" s="7">
        <v>43902.513011270581</v>
      </c>
      <c r="AT461" s="5">
        <v>43906</v>
      </c>
      <c r="AU461" s="5">
        <v>43926</v>
      </c>
      <c r="AV461" s="1" t="s">
        <v>1941</v>
      </c>
      <c r="AW461" s="7">
        <v>43907.650505939135</v>
      </c>
      <c r="AX461" s="1" t="s">
        <v>379</v>
      </c>
      <c r="AY461" s="6">
        <v>10049.540000000001</v>
      </c>
      <c r="AZ461" s="1"/>
      <c r="BA461" s="5">
        <v>43931</v>
      </c>
      <c r="BB461" s="7">
        <v>44196</v>
      </c>
      <c r="BC461" s="1" t="s">
        <v>1997</v>
      </c>
      <c r="BD461" s="1"/>
      <c r="BE461" s="1"/>
      <c r="BF461" s="1" t="s">
        <v>893</v>
      </c>
    </row>
    <row r="462" spans="1:58">
      <c r="A462" s="4">
        <v>457</v>
      </c>
      <c r="B462" s="2" t="str">
        <f>HYPERLINK("https://my.zakupki.prom.ua/remote/dispatcher/state_purchase_view/15419414", "UA-2020-02-21-001610-b")</f>
        <v>UA-2020-02-21-001610-b</v>
      </c>
      <c r="C462" s="2" t="s">
        <v>1459</v>
      </c>
      <c r="D462" s="1" t="s">
        <v>1426</v>
      </c>
      <c r="E462" s="1" t="s">
        <v>1426</v>
      </c>
      <c r="F462" s="1" t="s">
        <v>461</v>
      </c>
      <c r="G462" s="1" t="s">
        <v>1346</v>
      </c>
      <c r="H462" s="1" t="s">
        <v>1800</v>
      </c>
      <c r="I462" s="1" t="s">
        <v>1379</v>
      </c>
      <c r="J462" s="1" t="s">
        <v>819</v>
      </c>
      <c r="K462" s="1" t="s">
        <v>1287</v>
      </c>
      <c r="L462" s="1" t="s">
        <v>1915</v>
      </c>
      <c r="M462" s="1" t="s">
        <v>317</v>
      </c>
      <c r="N462" s="1" t="s">
        <v>119</v>
      </c>
      <c r="O462" s="1" t="s">
        <v>119</v>
      </c>
      <c r="P462" s="5">
        <v>43882</v>
      </c>
      <c r="Q462" s="5">
        <v>43882</v>
      </c>
      <c r="R462" s="5">
        <v>43886</v>
      </c>
      <c r="S462" s="5">
        <v>43886</v>
      </c>
      <c r="T462" s="5">
        <v>43888</v>
      </c>
      <c r="U462" s="1" t="s">
        <v>1923</v>
      </c>
      <c r="V462" s="4">
        <v>1</v>
      </c>
      <c r="W462" s="6">
        <v>11896</v>
      </c>
      <c r="X462" s="1" t="s">
        <v>1459</v>
      </c>
      <c r="Y462" s="4">
        <v>26150</v>
      </c>
      <c r="Z462" s="6">
        <v>0.45</v>
      </c>
      <c r="AA462" s="1" t="s">
        <v>2024</v>
      </c>
      <c r="AB462" s="6">
        <v>118.96</v>
      </c>
      <c r="AC462" s="1" t="s">
        <v>1124</v>
      </c>
      <c r="AD462" s="1" t="s">
        <v>1800</v>
      </c>
      <c r="AE462" s="1" t="s">
        <v>1286</v>
      </c>
      <c r="AF462" s="1" t="s">
        <v>1463</v>
      </c>
      <c r="AG462" s="6">
        <v>8376</v>
      </c>
      <c r="AH462" s="6">
        <v>0.32030592734225621</v>
      </c>
      <c r="AI462" s="1" t="s">
        <v>1787</v>
      </c>
      <c r="AJ462" s="6">
        <v>3520</v>
      </c>
      <c r="AK462" s="6">
        <v>0.29589778076664425</v>
      </c>
      <c r="AL462" s="1" t="s">
        <v>1787</v>
      </c>
      <c r="AM462" s="1" t="s">
        <v>513</v>
      </c>
      <c r="AN462" s="1" t="s">
        <v>1202</v>
      </c>
      <c r="AO462" s="1" t="s">
        <v>70</v>
      </c>
      <c r="AP462" s="6">
        <v>3520</v>
      </c>
      <c r="AQ462" s="6">
        <v>0.29589778076664425</v>
      </c>
      <c r="AR462" s="2"/>
      <c r="AS462" s="7">
        <v>43892.48059150028</v>
      </c>
      <c r="AT462" s="5">
        <v>43894</v>
      </c>
      <c r="AU462" s="5">
        <v>43916</v>
      </c>
      <c r="AV462" s="1" t="s">
        <v>1941</v>
      </c>
      <c r="AW462" s="7">
        <v>43895.56432560792</v>
      </c>
      <c r="AX462" s="1" t="s">
        <v>172</v>
      </c>
      <c r="AY462" s="6">
        <v>8376</v>
      </c>
      <c r="AZ462" s="1"/>
      <c r="BA462" s="5">
        <v>43921</v>
      </c>
      <c r="BB462" s="7">
        <v>44196</v>
      </c>
      <c r="BC462" s="1" t="s">
        <v>1997</v>
      </c>
      <c r="BD462" s="1"/>
      <c r="BE462" s="1"/>
      <c r="BF462" s="1" t="s">
        <v>514</v>
      </c>
    </row>
    <row r="463" spans="1:58">
      <c r="A463" s="4">
        <v>458</v>
      </c>
      <c r="B463" s="2" t="str">
        <f>HYPERLINK("https://my.zakupki.prom.ua/remote/dispatcher/state_purchase_view/17554251", "UA-2020-06-30-002532-a")</f>
        <v>UA-2020-06-30-002532-a</v>
      </c>
      <c r="C463" s="2" t="s">
        <v>1459</v>
      </c>
      <c r="D463" s="1" t="s">
        <v>1370</v>
      </c>
      <c r="E463" s="1" t="s">
        <v>1370</v>
      </c>
      <c r="F463" s="1" t="s">
        <v>908</v>
      </c>
      <c r="G463" s="1" t="s">
        <v>1346</v>
      </c>
      <c r="H463" s="1" t="s">
        <v>1800</v>
      </c>
      <c r="I463" s="1" t="s">
        <v>1379</v>
      </c>
      <c r="J463" s="1" t="s">
        <v>819</v>
      </c>
      <c r="K463" s="1" t="s">
        <v>1287</v>
      </c>
      <c r="L463" s="1" t="s">
        <v>1216</v>
      </c>
      <c r="M463" s="1" t="s">
        <v>119</v>
      </c>
      <c r="N463" s="1" t="s">
        <v>119</v>
      </c>
      <c r="O463" s="1" t="s">
        <v>119</v>
      </c>
      <c r="P463" s="5">
        <v>44012</v>
      </c>
      <c r="Q463" s="5">
        <v>44012</v>
      </c>
      <c r="R463" s="5">
        <v>44018</v>
      </c>
      <c r="S463" s="5">
        <v>44018</v>
      </c>
      <c r="T463" s="5">
        <v>44022</v>
      </c>
      <c r="U463" s="7">
        <v>44025.47552083333</v>
      </c>
      <c r="V463" s="4">
        <v>3</v>
      </c>
      <c r="W463" s="6">
        <v>8500</v>
      </c>
      <c r="X463" s="1" t="s">
        <v>1459</v>
      </c>
      <c r="Y463" s="4">
        <v>495</v>
      </c>
      <c r="Z463" s="6">
        <v>17.170000000000002</v>
      </c>
      <c r="AA463" s="1" t="s">
        <v>2024</v>
      </c>
      <c r="AB463" s="6">
        <v>85</v>
      </c>
      <c r="AC463" s="1" t="s">
        <v>1124</v>
      </c>
      <c r="AD463" s="1" t="s">
        <v>1800</v>
      </c>
      <c r="AE463" s="1" t="s">
        <v>1286</v>
      </c>
      <c r="AF463" s="1" t="s">
        <v>1463</v>
      </c>
      <c r="AG463" s="6">
        <v>6400.08</v>
      </c>
      <c r="AH463" s="6">
        <v>12.929454545454545</v>
      </c>
      <c r="AI463" s="1" t="s">
        <v>1697</v>
      </c>
      <c r="AJ463" s="6">
        <v>2099.92</v>
      </c>
      <c r="AK463" s="6">
        <v>0.24704941176470588</v>
      </c>
      <c r="AL463" s="1" t="s">
        <v>1699</v>
      </c>
      <c r="AM463" s="1" t="s">
        <v>940</v>
      </c>
      <c r="AN463" s="1" t="s">
        <v>1111</v>
      </c>
      <c r="AO463" s="1" t="s">
        <v>105</v>
      </c>
      <c r="AP463" s="6">
        <v>1713.1999999999998</v>
      </c>
      <c r="AQ463" s="6">
        <v>0.20155294117647057</v>
      </c>
      <c r="AR463" s="2" t="str">
        <f>HYPERLINK("https://auction.openprocurement.org/tenders/0f26b61cdc304bc483317bbac0814a6c")</f>
        <v>https://auction.openprocurement.org/tenders/0f26b61cdc304bc483317bbac0814a6c</v>
      </c>
      <c r="AS463" s="7">
        <v>44026.569580719872</v>
      </c>
      <c r="AT463" s="5">
        <v>44028</v>
      </c>
      <c r="AU463" s="5">
        <v>44048</v>
      </c>
      <c r="AV463" s="1" t="s">
        <v>1941</v>
      </c>
      <c r="AW463" s="7">
        <v>44032.479825753573</v>
      </c>
      <c r="AX463" s="1" t="s">
        <v>416</v>
      </c>
      <c r="AY463" s="6">
        <v>6786.6</v>
      </c>
      <c r="AZ463" s="1"/>
      <c r="BA463" s="5">
        <v>44196</v>
      </c>
      <c r="BB463" s="7">
        <v>44196</v>
      </c>
      <c r="BC463" s="1" t="s">
        <v>1997</v>
      </c>
      <c r="BD463" s="1"/>
      <c r="BE463" s="1"/>
      <c r="BF463" s="1" t="s">
        <v>896</v>
      </c>
    </row>
    <row r="464" spans="1:58">
      <c r="A464" s="4">
        <v>459</v>
      </c>
      <c r="B464" s="2" t="str">
        <f>HYPERLINK("https://my.zakupki.prom.ua/remote/dispatcher/state_purchase_view/16518918", "UA-2020-04-30-001460-b")</f>
        <v>UA-2020-04-30-001460-b</v>
      </c>
      <c r="C464" s="2" t="s">
        <v>1459</v>
      </c>
      <c r="D464" s="1" t="s">
        <v>868</v>
      </c>
      <c r="E464" s="1" t="s">
        <v>2020</v>
      </c>
      <c r="F464" s="1" t="s">
        <v>863</v>
      </c>
      <c r="G464" s="1" t="s">
        <v>1346</v>
      </c>
      <c r="H464" s="1" t="s">
        <v>1800</v>
      </c>
      <c r="I464" s="1" t="s">
        <v>1379</v>
      </c>
      <c r="J464" s="1" t="s">
        <v>819</v>
      </c>
      <c r="K464" s="1" t="s">
        <v>1287</v>
      </c>
      <c r="L464" s="1" t="s">
        <v>1216</v>
      </c>
      <c r="M464" s="1" t="s">
        <v>119</v>
      </c>
      <c r="N464" s="1" t="s">
        <v>119</v>
      </c>
      <c r="O464" s="1" t="s">
        <v>119</v>
      </c>
      <c r="P464" s="5">
        <v>43951</v>
      </c>
      <c r="Q464" s="5">
        <v>43951</v>
      </c>
      <c r="R464" s="5">
        <v>43958</v>
      </c>
      <c r="S464" s="5">
        <v>43958</v>
      </c>
      <c r="T464" s="5">
        <v>43964</v>
      </c>
      <c r="U464" s="1" t="s">
        <v>1923</v>
      </c>
      <c r="V464" s="4">
        <v>1</v>
      </c>
      <c r="W464" s="6">
        <v>41500</v>
      </c>
      <c r="X464" s="1" t="s">
        <v>1459</v>
      </c>
      <c r="Y464" s="4">
        <v>27</v>
      </c>
      <c r="Z464" s="6">
        <v>1537.04</v>
      </c>
      <c r="AA464" s="1" t="s">
        <v>2024</v>
      </c>
      <c r="AB464" s="6">
        <v>415</v>
      </c>
      <c r="AC464" s="1" t="s">
        <v>1124</v>
      </c>
      <c r="AD464" s="1" t="s">
        <v>1800</v>
      </c>
      <c r="AE464" s="1" t="s">
        <v>1286</v>
      </c>
      <c r="AF464" s="1" t="s">
        <v>1463</v>
      </c>
      <c r="AG464" s="6">
        <v>36700</v>
      </c>
      <c r="AH464" s="6">
        <v>1359.2592592592594</v>
      </c>
      <c r="AI464" s="1" t="s">
        <v>1839</v>
      </c>
      <c r="AJ464" s="6">
        <v>4800</v>
      </c>
      <c r="AK464" s="6">
        <v>0.11566265060240964</v>
      </c>
      <c r="AL464" s="1" t="s">
        <v>1839</v>
      </c>
      <c r="AM464" s="1" t="s">
        <v>540</v>
      </c>
      <c r="AN464" s="1" t="s">
        <v>1163</v>
      </c>
      <c r="AO464" s="1" t="s">
        <v>102</v>
      </c>
      <c r="AP464" s="6">
        <v>4800</v>
      </c>
      <c r="AQ464" s="6">
        <v>0.11566265060240964</v>
      </c>
      <c r="AR464" s="2"/>
      <c r="AS464" s="7">
        <v>43964.480169528149</v>
      </c>
      <c r="AT464" s="5">
        <v>43966</v>
      </c>
      <c r="AU464" s="5">
        <v>43988</v>
      </c>
      <c r="AV464" s="1" t="s">
        <v>1941</v>
      </c>
      <c r="AW464" s="7">
        <v>43966.570389517277</v>
      </c>
      <c r="AX464" s="1" t="s">
        <v>360</v>
      </c>
      <c r="AY464" s="6">
        <v>36700</v>
      </c>
      <c r="AZ464" s="1"/>
      <c r="BA464" s="5">
        <v>44012</v>
      </c>
      <c r="BB464" s="7">
        <v>44196</v>
      </c>
      <c r="BC464" s="1" t="s">
        <v>1997</v>
      </c>
      <c r="BD464" s="1"/>
      <c r="BE464" s="1"/>
      <c r="BF464" s="1" t="s">
        <v>541</v>
      </c>
    </row>
    <row r="465" spans="1:58">
      <c r="A465" s="4">
        <v>460</v>
      </c>
      <c r="B465" s="2" t="str">
        <f>HYPERLINK("https://my.zakupki.prom.ua/remote/dispatcher/state_purchase_view/16834205", "UA-2020-05-25-002182-b")</f>
        <v>UA-2020-05-25-002182-b</v>
      </c>
      <c r="C465" s="2" t="s">
        <v>1459</v>
      </c>
      <c r="D465" s="1" t="s">
        <v>365</v>
      </c>
      <c r="E465" s="1" t="s">
        <v>1118</v>
      </c>
      <c r="F465" s="1" t="s">
        <v>364</v>
      </c>
      <c r="G465" s="1" t="s">
        <v>1280</v>
      </c>
      <c r="H465" s="1" t="s">
        <v>1800</v>
      </c>
      <c r="I465" s="1" t="s">
        <v>1379</v>
      </c>
      <c r="J465" s="1" t="s">
        <v>819</v>
      </c>
      <c r="K465" s="1" t="s">
        <v>1287</v>
      </c>
      <c r="L465" s="1" t="s">
        <v>1216</v>
      </c>
      <c r="M465" s="1" t="s">
        <v>119</v>
      </c>
      <c r="N465" s="1" t="s">
        <v>119</v>
      </c>
      <c r="O465" s="1" t="s">
        <v>119</v>
      </c>
      <c r="P465" s="5">
        <v>43976</v>
      </c>
      <c r="Q465" s="5">
        <v>43976</v>
      </c>
      <c r="R465" s="5">
        <v>43983</v>
      </c>
      <c r="S465" s="5">
        <v>43976</v>
      </c>
      <c r="T465" s="5">
        <v>43993</v>
      </c>
      <c r="U465" s="7">
        <v>43994.486886574072</v>
      </c>
      <c r="V465" s="4">
        <v>2</v>
      </c>
      <c r="W465" s="6">
        <v>670950</v>
      </c>
      <c r="X465" s="1" t="s">
        <v>1459</v>
      </c>
      <c r="Y465" s="1" t="s">
        <v>1956</v>
      </c>
      <c r="Z465" s="1" t="s">
        <v>1956</v>
      </c>
      <c r="AA465" s="1" t="s">
        <v>1956</v>
      </c>
      <c r="AB465" s="6">
        <v>3354.75</v>
      </c>
      <c r="AC465" s="1" t="s">
        <v>1124</v>
      </c>
      <c r="AD465" s="1" t="s">
        <v>1800</v>
      </c>
      <c r="AE465" s="1" t="s">
        <v>1286</v>
      </c>
      <c r="AF465" s="1" t="s">
        <v>1463</v>
      </c>
      <c r="AG465" s="6">
        <v>652894.19999999995</v>
      </c>
      <c r="AH465" s="1" t="s">
        <v>1956</v>
      </c>
      <c r="AI465" s="1" t="s">
        <v>1711</v>
      </c>
      <c r="AJ465" s="6">
        <v>18055.800000000047</v>
      </c>
      <c r="AK465" s="6">
        <v>2.6910798122065798E-2</v>
      </c>
      <c r="AL465" s="1" t="s">
        <v>1711</v>
      </c>
      <c r="AM465" s="1" t="s">
        <v>875</v>
      </c>
      <c r="AN465" s="1" t="s">
        <v>1172</v>
      </c>
      <c r="AO465" s="1" t="s">
        <v>116</v>
      </c>
      <c r="AP465" s="6">
        <v>18055.800000000047</v>
      </c>
      <c r="AQ465" s="6">
        <v>2.6910798122065798E-2</v>
      </c>
      <c r="AR465" s="2" t="str">
        <f>HYPERLINK("https://auction.openprocurement.org/tenders/bb084c195db64d35b8af4c525c2046aa")</f>
        <v>https://auction.openprocurement.org/tenders/bb084c195db64d35b8af4c525c2046aa</v>
      </c>
      <c r="AS465" s="7">
        <v>43997.571500639606</v>
      </c>
      <c r="AT465" s="5">
        <v>44008</v>
      </c>
      <c r="AU465" s="5">
        <v>44018</v>
      </c>
      <c r="AV465" s="1" t="s">
        <v>1941</v>
      </c>
      <c r="AW465" s="7">
        <v>44014.657060212376</v>
      </c>
      <c r="AX465" s="1" t="s">
        <v>422</v>
      </c>
      <c r="AY465" s="6">
        <v>652894.19999999995</v>
      </c>
      <c r="AZ465" s="1"/>
      <c r="BA465" s="5">
        <v>44196</v>
      </c>
      <c r="BB465" s="7">
        <v>44196</v>
      </c>
      <c r="BC465" s="1" t="s">
        <v>1997</v>
      </c>
      <c r="BD465" s="1"/>
      <c r="BE465" s="1"/>
      <c r="BF465" s="1" t="s">
        <v>878</v>
      </c>
    </row>
    <row r="466" spans="1:58">
      <c r="A466" s="4">
        <v>461</v>
      </c>
      <c r="B466" s="2" t="str">
        <f>HYPERLINK("https://my.zakupki.prom.ua/remote/dispatcher/state_purchase_view/22131138", "UA-2020-12-14-010003-c")</f>
        <v>UA-2020-12-14-010003-c</v>
      </c>
      <c r="C466" s="2" t="s">
        <v>1459</v>
      </c>
      <c r="D466" s="1" t="s">
        <v>1974</v>
      </c>
      <c r="E466" s="1" t="s">
        <v>1974</v>
      </c>
      <c r="F466" s="1" t="s">
        <v>1020</v>
      </c>
      <c r="G466" s="1" t="s">
        <v>1364</v>
      </c>
      <c r="H466" s="1" t="s">
        <v>1800</v>
      </c>
      <c r="I466" s="1" t="s">
        <v>1379</v>
      </c>
      <c r="J466" s="1" t="s">
        <v>819</v>
      </c>
      <c r="K466" s="1" t="s">
        <v>1287</v>
      </c>
      <c r="L466" s="1" t="s">
        <v>1216</v>
      </c>
      <c r="M466" s="1" t="s">
        <v>119</v>
      </c>
      <c r="N466" s="1" t="s">
        <v>119</v>
      </c>
      <c r="O466" s="1" t="s">
        <v>119</v>
      </c>
      <c r="P466" s="5">
        <v>44179</v>
      </c>
      <c r="Q466" s="1"/>
      <c r="R466" s="1"/>
      <c r="S466" s="1"/>
      <c r="T466" s="1"/>
      <c r="U466" s="1" t="s">
        <v>1922</v>
      </c>
      <c r="V466" s="4">
        <v>1</v>
      </c>
      <c r="W466" s="6">
        <v>893.33</v>
      </c>
      <c r="X466" s="1" t="s">
        <v>1459</v>
      </c>
      <c r="Y466" s="4">
        <v>1</v>
      </c>
      <c r="Z466" s="6">
        <v>893.33</v>
      </c>
      <c r="AA466" s="1" t="s">
        <v>1976</v>
      </c>
      <c r="AB466" s="1" t="s">
        <v>1964</v>
      </c>
      <c r="AC466" s="1" t="s">
        <v>1124</v>
      </c>
      <c r="AD466" s="1" t="s">
        <v>1800</v>
      </c>
      <c r="AE466" s="1" t="s">
        <v>1286</v>
      </c>
      <c r="AF466" s="1" t="s">
        <v>1463</v>
      </c>
      <c r="AG466" s="6">
        <v>893.33</v>
      </c>
      <c r="AH466" s="6">
        <v>893.33</v>
      </c>
      <c r="AI466" s="1"/>
      <c r="AJ466" s="1"/>
      <c r="AK466" s="1"/>
      <c r="AL466" s="1" t="s">
        <v>1493</v>
      </c>
      <c r="AM466" s="1" t="s">
        <v>665</v>
      </c>
      <c r="AN466" s="1"/>
      <c r="AO466" s="1" t="s">
        <v>191</v>
      </c>
      <c r="AP466" s="1"/>
      <c r="AQ466" s="1"/>
      <c r="AR466" s="2"/>
      <c r="AS466" s="1"/>
      <c r="AT466" s="1"/>
      <c r="AU466" s="1"/>
      <c r="AV466" s="1" t="s">
        <v>1941</v>
      </c>
      <c r="AW466" s="7">
        <v>44179.630694827385</v>
      </c>
      <c r="AX466" s="1" t="s">
        <v>1342</v>
      </c>
      <c r="AY466" s="6">
        <v>893.33</v>
      </c>
      <c r="AZ466" s="1"/>
      <c r="BA466" s="5">
        <v>44196</v>
      </c>
      <c r="BB466" s="7">
        <v>44196</v>
      </c>
      <c r="BC466" s="1" t="s">
        <v>1997</v>
      </c>
      <c r="BD466" s="1"/>
      <c r="BE466" s="1"/>
      <c r="BF466" s="1" t="s">
        <v>118</v>
      </c>
    </row>
    <row r="467" spans="1:58">
      <c r="A467" s="4">
        <v>462</v>
      </c>
      <c r="B467" s="2" t="str">
        <f>HYPERLINK("https://my.zakupki.prom.ua/remote/dispatcher/state_purchase_view/20423104", "UA-2020-10-23-007072-a")</f>
        <v>UA-2020-10-23-007072-a</v>
      </c>
      <c r="C467" s="2" t="s">
        <v>1459</v>
      </c>
      <c r="D467" s="1" t="s">
        <v>1944</v>
      </c>
      <c r="E467" s="1" t="s">
        <v>1944</v>
      </c>
      <c r="F467" s="1" t="s">
        <v>507</v>
      </c>
      <c r="G467" s="1" t="s">
        <v>1364</v>
      </c>
      <c r="H467" s="1" t="s">
        <v>1800</v>
      </c>
      <c r="I467" s="1" t="s">
        <v>1379</v>
      </c>
      <c r="J467" s="1" t="s">
        <v>819</v>
      </c>
      <c r="K467" s="1" t="s">
        <v>1287</v>
      </c>
      <c r="L467" s="1" t="s">
        <v>1216</v>
      </c>
      <c r="M467" s="1" t="s">
        <v>119</v>
      </c>
      <c r="N467" s="1" t="s">
        <v>119</v>
      </c>
      <c r="O467" s="1" t="s">
        <v>119</v>
      </c>
      <c r="P467" s="5">
        <v>44127</v>
      </c>
      <c r="Q467" s="1"/>
      <c r="R467" s="1"/>
      <c r="S467" s="1"/>
      <c r="T467" s="1"/>
      <c r="U467" s="1" t="s">
        <v>1922</v>
      </c>
      <c r="V467" s="4">
        <v>1</v>
      </c>
      <c r="W467" s="6">
        <v>11480</v>
      </c>
      <c r="X467" s="1" t="s">
        <v>1459</v>
      </c>
      <c r="Y467" s="4">
        <v>47</v>
      </c>
      <c r="Z467" s="6">
        <v>244.26</v>
      </c>
      <c r="AA467" s="1" t="s">
        <v>2024</v>
      </c>
      <c r="AB467" s="1" t="s">
        <v>1964</v>
      </c>
      <c r="AC467" s="1" t="s">
        <v>1124</v>
      </c>
      <c r="AD467" s="1" t="s">
        <v>1800</v>
      </c>
      <c r="AE467" s="1" t="s">
        <v>1286</v>
      </c>
      <c r="AF467" s="1" t="s">
        <v>1463</v>
      </c>
      <c r="AG467" s="6">
        <v>11480</v>
      </c>
      <c r="AH467" s="6">
        <v>244.25531914893617</v>
      </c>
      <c r="AI467" s="1"/>
      <c r="AJ467" s="1"/>
      <c r="AK467" s="1"/>
      <c r="AL467" s="1" t="s">
        <v>1761</v>
      </c>
      <c r="AM467" s="1" t="s">
        <v>803</v>
      </c>
      <c r="AN467" s="1"/>
      <c r="AO467" s="1" t="s">
        <v>237</v>
      </c>
      <c r="AP467" s="1"/>
      <c r="AQ467" s="1"/>
      <c r="AR467" s="2"/>
      <c r="AS467" s="1"/>
      <c r="AT467" s="1"/>
      <c r="AU467" s="1"/>
      <c r="AV467" s="1" t="s">
        <v>1941</v>
      </c>
      <c r="AW467" s="7">
        <v>44127.572721285083</v>
      </c>
      <c r="AX467" s="1" t="s">
        <v>454</v>
      </c>
      <c r="AY467" s="6">
        <v>11480</v>
      </c>
      <c r="AZ467" s="1"/>
      <c r="BA467" s="5">
        <v>44196</v>
      </c>
      <c r="BB467" s="7">
        <v>44196</v>
      </c>
      <c r="BC467" s="1" t="s">
        <v>1997</v>
      </c>
      <c r="BD467" s="1"/>
      <c r="BE467" s="1"/>
      <c r="BF467" s="1" t="s">
        <v>118</v>
      </c>
    </row>
    <row r="468" spans="1:58">
      <c r="A468" s="4">
        <v>463</v>
      </c>
      <c r="B468" s="2" t="str">
        <f>HYPERLINK("https://my.zakupki.prom.ua/remote/dispatcher/state_purchase_view/21978699", "UA-2020-12-10-002620-c")</f>
        <v>UA-2020-12-10-002620-c</v>
      </c>
      <c r="C468" s="2" t="s">
        <v>1459</v>
      </c>
      <c r="D468" s="1" t="s">
        <v>1509</v>
      </c>
      <c r="E468" s="1" t="s">
        <v>1508</v>
      </c>
      <c r="F468" s="1" t="s">
        <v>626</v>
      </c>
      <c r="G468" s="1" t="s">
        <v>1364</v>
      </c>
      <c r="H468" s="1" t="s">
        <v>1800</v>
      </c>
      <c r="I468" s="1" t="s">
        <v>1379</v>
      </c>
      <c r="J468" s="1" t="s">
        <v>819</v>
      </c>
      <c r="K468" s="1" t="s">
        <v>1287</v>
      </c>
      <c r="L468" s="1" t="s">
        <v>1216</v>
      </c>
      <c r="M468" s="1" t="s">
        <v>119</v>
      </c>
      <c r="N468" s="1" t="s">
        <v>119</v>
      </c>
      <c r="O468" s="1" t="s">
        <v>119</v>
      </c>
      <c r="P468" s="5">
        <v>44175</v>
      </c>
      <c r="Q468" s="1"/>
      <c r="R468" s="1"/>
      <c r="S468" s="1"/>
      <c r="T468" s="1"/>
      <c r="U468" s="1" t="s">
        <v>1922</v>
      </c>
      <c r="V468" s="4">
        <v>1</v>
      </c>
      <c r="W468" s="6">
        <v>19596</v>
      </c>
      <c r="X468" s="1" t="s">
        <v>1459</v>
      </c>
      <c r="Y468" s="4">
        <v>200</v>
      </c>
      <c r="Z468" s="6">
        <v>97.98</v>
      </c>
      <c r="AA468" s="1" t="s">
        <v>1971</v>
      </c>
      <c r="AB468" s="1" t="s">
        <v>1964</v>
      </c>
      <c r="AC468" s="1" t="s">
        <v>1124</v>
      </c>
      <c r="AD468" s="1" t="s">
        <v>1800</v>
      </c>
      <c r="AE468" s="1" t="s">
        <v>1286</v>
      </c>
      <c r="AF468" s="1" t="s">
        <v>1463</v>
      </c>
      <c r="AG468" s="6">
        <v>19596</v>
      </c>
      <c r="AH468" s="6">
        <v>97.98</v>
      </c>
      <c r="AI468" s="1"/>
      <c r="AJ468" s="1"/>
      <c r="AK468" s="1"/>
      <c r="AL468" s="1" t="s">
        <v>1741</v>
      </c>
      <c r="AM468" s="1" t="s">
        <v>888</v>
      </c>
      <c r="AN468" s="1"/>
      <c r="AO468" s="1" t="s">
        <v>220</v>
      </c>
      <c r="AP468" s="1"/>
      <c r="AQ468" s="1"/>
      <c r="AR468" s="2"/>
      <c r="AS468" s="1"/>
      <c r="AT468" s="1"/>
      <c r="AU468" s="1"/>
      <c r="AV468" s="1" t="s">
        <v>1941</v>
      </c>
      <c r="AW468" s="7">
        <v>44175.433826345463</v>
      </c>
      <c r="AX468" s="1" t="s">
        <v>273</v>
      </c>
      <c r="AY468" s="6">
        <v>19596</v>
      </c>
      <c r="AZ468" s="1"/>
      <c r="BA468" s="5">
        <v>44196</v>
      </c>
      <c r="BB468" s="7">
        <v>44196</v>
      </c>
      <c r="BC468" s="1" t="s">
        <v>1997</v>
      </c>
      <c r="BD468" s="1"/>
      <c r="BE468" s="1"/>
      <c r="BF468" s="1" t="s">
        <v>118</v>
      </c>
    </row>
    <row r="469" spans="1:58">
      <c r="A469" s="4">
        <v>464</v>
      </c>
      <c r="B469" s="2" t="str">
        <f>HYPERLINK("https://my.zakupki.prom.ua/remote/dispatcher/state_purchase_view/19494743", "UA-2020-09-22-010623-b")</f>
        <v>UA-2020-09-22-010623-b</v>
      </c>
      <c r="C469" s="2" t="s">
        <v>1459</v>
      </c>
      <c r="D469" s="1" t="s">
        <v>2010</v>
      </c>
      <c r="E469" s="1" t="s">
        <v>2010</v>
      </c>
      <c r="F469" s="1" t="s">
        <v>1080</v>
      </c>
      <c r="G469" s="1" t="s">
        <v>1364</v>
      </c>
      <c r="H469" s="1" t="s">
        <v>1800</v>
      </c>
      <c r="I469" s="1" t="s">
        <v>1379</v>
      </c>
      <c r="J469" s="1" t="s">
        <v>819</v>
      </c>
      <c r="K469" s="1" t="s">
        <v>1287</v>
      </c>
      <c r="L469" s="1" t="s">
        <v>1216</v>
      </c>
      <c r="M469" s="1" t="s">
        <v>119</v>
      </c>
      <c r="N469" s="1" t="s">
        <v>119</v>
      </c>
      <c r="O469" s="1" t="s">
        <v>119</v>
      </c>
      <c r="P469" s="5">
        <v>44096</v>
      </c>
      <c r="Q469" s="1"/>
      <c r="R469" s="1"/>
      <c r="S469" s="1"/>
      <c r="T469" s="1"/>
      <c r="U469" s="1" t="s">
        <v>1922</v>
      </c>
      <c r="V469" s="4">
        <v>1</v>
      </c>
      <c r="W469" s="6">
        <v>2080</v>
      </c>
      <c r="X469" s="1" t="s">
        <v>1459</v>
      </c>
      <c r="Y469" s="4">
        <v>1</v>
      </c>
      <c r="Z469" s="6">
        <v>2080</v>
      </c>
      <c r="AA469" s="1" t="s">
        <v>1976</v>
      </c>
      <c r="AB469" s="1" t="s">
        <v>1964</v>
      </c>
      <c r="AC469" s="1" t="s">
        <v>1124</v>
      </c>
      <c r="AD469" s="1" t="s">
        <v>1800</v>
      </c>
      <c r="AE469" s="1" t="s">
        <v>1286</v>
      </c>
      <c r="AF469" s="1" t="s">
        <v>1463</v>
      </c>
      <c r="AG469" s="6">
        <v>2080</v>
      </c>
      <c r="AH469" s="6">
        <v>2080</v>
      </c>
      <c r="AI469" s="1"/>
      <c r="AJ469" s="1"/>
      <c r="AK469" s="1"/>
      <c r="AL469" s="1" t="s">
        <v>1752</v>
      </c>
      <c r="AM469" s="1" t="s">
        <v>694</v>
      </c>
      <c r="AN469" s="1"/>
      <c r="AO469" s="1" t="s">
        <v>250</v>
      </c>
      <c r="AP469" s="1"/>
      <c r="AQ469" s="1"/>
      <c r="AR469" s="2"/>
      <c r="AS469" s="1"/>
      <c r="AT469" s="1"/>
      <c r="AU469" s="1"/>
      <c r="AV469" s="1" t="s">
        <v>1941</v>
      </c>
      <c r="AW469" s="7">
        <v>44096.646008530501</v>
      </c>
      <c r="AX469" s="1" t="s">
        <v>1251</v>
      </c>
      <c r="AY469" s="6">
        <v>2080</v>
      </c>
      <c r="AZ469" s="1"/>
      <c r="BA469" s="5">
        <v>44196</v>
      </c>
      <c r="BB469" s="7">
        <v>44196</v>
      </c>
      <c r="BC469" s="1" t="s">
        <v>1997</v>
      </c>
      <c r="BD469" s="1"/>
      <c r="BE469" s="1"/>
      <c r="BF469" s="1" t="s">
        <v>118</v>
      </c>
    </row>
    <row r="470" spans="1:58">
      <c r="A470" s="4">
        <v>465</v>
      </c>
      <c r="B470" s="2" t="str">
        <f>HYPERLINK("https://my.zakupki.prom.ua/remote/dispatcher/state_purchase_view/20880120", "UA-2020-11-09-002321-c")</f>
        <v>UA-2020-11-09-002321-c</v>
      </c>
      <c r="C470" s="2" t="s">
        <v>1459</v>
      </c>
      <c r="D470" s="1" t="s">
        <v>1405</v>
      </c>
      <c r="E470" s="1" t="s">
        <v>1405</v>
      </c>
      <c r="F470" s="1" t="s">
        <v>626</v>
      </c>
      <c r="G470" s="1" t="s">
        <v>1346</v>
      </c>
      <c r="H470" s="1" t="s">
        <v>1800</v>
      </c>
      <c r="I470" s="1" t="s">
        <v>1379</v>
      </c>
      <c r="J470" s="1" t="s">
        <v>819</v>
      </c>
      <c r="K470" s="1" t="s">
        <v>1287</v>
      </c>
      <c r="L470" s="1" t="s">
        <v>1216</v>
      </c>
      <c r="M470" s="1" t="s">
        <v>119</v>
      </c>
      <c r="N470" s="1" t="s">
        <v>119</v>
      </c>
      <c r="O470" s="1" t="s">
        <v>119</v>
      </c>
      <c r="P470" s="5">
        <v>44144</v>
      </c>
      <c r="Q470" s="5">
        <v>44144</v>
      </c>
      <c r="R470" s="5">
        <v>44148</v>
      </c>
      <c r="S470" s="5">
        <v>44148</v>
      </c>
      <c r="T470" s="5">
        <v>44153</v>
      </c>
      <c r="U470" s="1" t="s">
        <v>1923</v>
      </c>
      <c r="V470" s="4">
        <v>1</v>
      </c>
      <c r="W470" s="6">
        <v>10500</v>
      </c>
      <c r="X470" s="1" t="s">
        <v>1459</v>
      </c>
      <c r="Y470" s="4">
        <v>700</v>
      </c>
      <c r="Z470" s="6">
        <v>15</v>
      </c>
      <c r="AA470" s="1" t="s">
        <v>2024</v>
      </c>
      <c r="AB470" s="6">
        <v>52.5</v>
      </c>
      <c r="AC470" s="1" t="s">
        <v>1124</v>
      </c>
      <c r="AD470" s="1" t="s">
        <v>1800</v>
      </c>
      <c r="AE470" s="1" t="s">
        <v>1286</v>
      </c>
      <c r="AF470" s="1" t="s">
        <v>1463</v>
      </c>
      <c r="AG470" s="6">
        <v>9490</v>
      </c>
      <c r="AH470" s="6">
        <v>13.557142857142857</v>
      </c>
      <c r="AI470" s="1" t="s">
        <v>1917</v>
      </c>
      <c r="AJ470" s="6">
        <v>1010</v>
      </c>
      <c r="AK470" s="6">
        <v>9.6190476190476187E-2</v>
      </c>
      <c r="AL470" s="1" t="s">
        <v>1917</v>
      </c>
      <c r="AM470" s="1" t="s">
        <v>762</v>
      </c>
      <c r="AN470" s="1" t="s">
        <v>1138</v>
      </c>
      <c r="AO470" s="1" t="s">
        <v>104</v>
      </c>
      <c r="AP470" s="6">
        <v>1010</v>
      </c>
      <c r="AQ470" s="6">
        <v>9.6190476190476187E-2</v>
      </c>
      <c r="AR470" s="2"/>
      <c r="AS470" s="7">
        <v>44154.563016351298</v>
      </c>
      <c r="AT470" s="5">
        <v>44159</v>
      </c>
      <c r="AU470" s="5">
        <v>44178</v>
      </c>
      <c r="AV470" s="1" t="s">
        <v>1941</v>
      </c>
      <c r="AW470" s="7">
        <v>44162.528830592593</v>
      </c>
      <c r="AX470" s="1" t="s">
        <v>551</v>
      </c>
      <c r="AY470" s="6">
        <v>9490</v>
      </c>
      <c r="AZ470" s="1"/>
      <c r="BA470" s="5">
        <v>44196</v>
      </c>
      <c r="BB470" s="7">
        <v>44196</v>
      </c>
      <c r="BC470" s="1" t="s">
        <v>1997</v>
      </c>
      <c r="BD470" s="1"/>
      <c r="BE470" s="1"/>
      <c r="BF470" s="1" t="s">
        <v>763</v>
      </c>
    </row>
    <row r="471" spans="1:58">
      <c r="A471" s="4">
        <v>466</v>
      </c>
      <c r="B471" s="2" t="str">
        <f>HYPERLINK("https://my.zakupki.prom.ua/remote/dispatcher/state_purchase_view/19520784", "UA-2020-09-23-004810-b")</f>
        <v>UA-2020-09-23-004810-b</v>
      </c>
      <c r="C471" s="2" t="s">
        <v>1459</v>
      </c>
      <c r="D471" s="1" t="s">
        <v>1548</v>
      </c>
      <c r="E471" s="1" t="s">
        <v>1406</v>
      </c>
      <c r="F471" s="1" t="s">
        <v>1088</v>
      </c>
      <c r="G471" s="1" t="s">
        <v>1346</v>
      </c>
      <c r="H471" s="1" t="s">
        <v>1800</v>
      </c>
      <c r="I471" s="1" t="s">
        <v>1379</v>
      </c>
      <c r="J471" s="1" t="s">
        <v>819</v>
      </c>
      <c r="K471" s="1" t="s">
        <v>1287</v>
      </c>
      <c r="L471" s="1" t="s">
        <v>1216</v>
      </c>
      <c r="M471" s="1" t="s">
        <v>119</v>
      </c>
      <c r="N471" s="1" t="s">
        <v>119</v>
      </c>
      <c r="O471" s="1" t="s">
        <v>119</v>
      </c>
      <c r="P471" s="5">
        <v>44097</v>
      </c>
      <c r="Q471" s="5">
        <v>44097</v>
      </c>
      <c r="R471" s="5">
        <v>44103</v>
      </c>
      <c r="S471" s="5">
        <v>44103</v>
      </c>
      <c r="T471" s="5">
        <v>44106</v>
      </c>
      <c r="U471" s="1" t="s">
        <v>1923</v>
      </c>
      <c r="V471" s="4">
        <v>1</v>
      </c>
      <c r="W471" s="6">
        <v>8800</v>
      </c>
      <c r="X471" s="1" t="s">
        <v>1459</v>
      </c>
      <c r="Y471" s="4">
        <v>1</v>
      </c>
      <c r="Z471" s="6">
        <v>8800</v>
      </c>
      <c r="AA471" s="1" t="s">
        <v>1976</v>
      </c>
      <c r="AB471" s="6">
        <v>44</v>
      </c>
      <c r="AC471" s="1" t="s">
        <v>1124</v>
      </c>
      <c r="AD471" s="1" t="s">
        <v>1800</v>
      </c>
      <c r="AE471" s="1" t="s">
        <v>1286</v>
      </c>
      <c r="AF471" s="1" t="s">
        <v>1463</v>
      </c>
      <c r="AG471" s="6">
        <v>8800</v>
      </c>
      <c r="AH471" s="6">
        <v>8800</v>
      </c>
      <c r="AI471" s="1" t="s">
        <v>1387</v>
      </c>
      <c r="AJ471" s="1"/>
      <c r="AK471" s="1"/>
      <c r="AL471" s="1" t="s">
        <v>1387</v>
      </c>
      <c r="AM471" s="1" t="s">
        <v>140</v>
      </c>
      <c r="AN471" s="1" t="s">
        <v>1144</v>
      </c>
      <c r="AO471" s="1" t="s">
        <v>112</v>
      </c>
      <c r="AP471" s="1"/>
      <c r="AQ471" s="1"/>
      <c r="AR471" s="2"/>
      <c r="AS471" s="7">
        <v>44109.411267348543</v>
      </c>
      <c r="AT471" s="5">
        <v>44112</v>
      </c>
      <c r="AU471" s="5">
        <v>44133</v>
      </c>
      <c r="AV471" s="1" t="s">
        <v>1941</v>
      </c>
      <c r="AW471" s="7">
        <v>44116.624743793058</v>
      </c>
      <c r="AX471" s="1" t="s">
        <v>333</v>
      </c>
      <c r="AY471" s="6">
        <v>8800</v>
      </c>
      <c r="AZ471" s="1"/>
      <c r="BA471" s="5">
        <v>44196</v>
      </c>
      <c r="BB471" s="7">
        <v>44196</v>
      </c>
      <c r="BC471" s="1" t="s">
        <v>1997</v>
      </c>
      <c r="BD471" s="1"/>
      <c r="BE471" s="1"/>
      <c r="BF471" s="1" t="s">
        <v>141</v>
      </c>
    </row>
    <row r="472" spans="1:58">
      <c r="A472" s="4">
        <v>467</v>
      </c>
      <c r="B472" s="2" t="str">
        <f>HYPERLINK("https://my.zakupki.prom.ua/remote/dispatcher/state_purchase_view/17976151", "UA-2020-07-20-003112-b")</f>
        <v>UA-2020-07-20-003112-b</v>
      </c>
      <c r="C472" s="2" t="s">
        <v>1459</v>
      </c>
      <c r="D472" s="1" t="s">
        <v>1617</v>
      </c>
      <c r="E472" s="1" t="s">
        <v>1618</v>
      </c>
      <c r="F472" s="1" t="s">
        <v>721</v>
      </c>
      <c r="G472" s="1" t="s">
        <v>1364</v>
      </c>
      <c r="H472" s="1" t="s">
        <v>1800</v>
      </c>
      <c r="I472" s="1" t="s">
        <v>1379</v>
      </c>
      <c r="J472" s="1" t="s">
        <v>819</v>
      </c>
      <c r="K472" s="1" t="s">
        <v>1287</v>
      </c>
      <c r="L472" s="1" t="s">
        <v>1216</v>
      </c>
      <c r="M472" s="1" t="s">
        <v>119</v>
      </c>
      <c r="N472" s="1" t="s">
        <v>119</v>
      </c>
      <c r="O472" s="1" t="s">
        <v>119</v>
      </c>
      <c r="P472" s="5">
        <v>44032</v>
      </c>
      <c r="Q472" s="1"/>
      <c r="R472" s="1"/>
      <c r="S472" s="1"/>
      <c r="T472" s="1"/>
      <c r="U472" s="1" t="s">
        <v>1922</v>
      </c>
      <c r="V472" s="4">
        <v>1</v>
      </c>
      <c r="W472" s="6">
        <v>2953.2</v>
      </c>
      <c r="X472" s="1" t="s">
        <v>1459</v>
      </c>
      <c r="Y472" s="4">
        <v>1200</v>
      </c>
      <c r="Z472" s="6">
        <v>2.46</v>
      </c>
      <c r="AA472" s="1" t="s">
        <v>2024</v>
      </c>
      <c r="AB472" s="1" t="s">
        <v>1964</v>
      </c>
      <c r="AC472" s="1" t="s">
        <v>1124</v>
      </c>
      <c r="AD472" s="1" t="s">
        <v>1800</v>
      </c>
      <c r="AE472" s="1" t="s">
        <v>1286</v>
      </c>
      <c r="AF472" s="1" t="s">
        <v>1463</v>
      </c>
      <c r="AG472" s="6">
        <v>2953.2</v>
      </c>
      <c r="AH472" s="6">
        <v>2.4609999999999999</v>
      </c>
      <c r="AI472" s="1"/>
      <c r="AJ472" s="1"/>
      <c r="AK472" s="1"/>
      <c r="AL472" s="1" t="s">
        <v>1763</v>
      </c>
      <c r="AM472" s="1" t="s">
        <v>446</v>
      </c>
      <c r="AN472" s="1"/>
      <c r="AO472" s="1" t="s">
        <v>196</v>
      </c>
      <c r="AP472" s="1"/>
      <c r="AQ472" s="1"/>
      <c r="AR472" s="2"/>
      <c r="AS472" s="1"/>
      <c r="AT472" s="1"/>
      <c r="AU472" s="1"/>
      <c r="AV472" s="1" t="s">
        <v>1941</v>
      </c>
      <c r="AW472" s="7">
        <v>44032.529579366375</v>
      </c>
      <c r="AX472" s="1" t="s">
        <v>417</v>
      </c>
      <c r="AY472" s="6">
        <v>2953.2</v>
      </c>
      <c r="AZ472" s="1"/>
      <c r="BA472" s="5">
        <v>44039</v>
      </c>
      <c r="BB472" s="7">
        <v>44196</v>
      </c>
      <c r="BC472" s="1" t="s">
        <v>1997</v>
      </c>
      <c r="BD472" s="1"/>
      <c r="BE472" s="1"/>
      <c r="BF472" s="1" t="s">
        <v>118</v>
      </c>
    </row>
    <row r="473" spans="1:58">
      <c r="A473" s="4">
        <v>468</v>
      </c>
      <c r="B473" s="2" t="str">
        <f>HYPERLINK("https://my.zakupki.prom.ua/remote/dispatcher/state_purchase_view/23416941", "UA-2021-01-29-001344-b")</f>
        <v>UA-2021-01-29-001344-b</v>
      </c>
      <c r="C473" s="2" t="s">
        <v>1459</v>
      </c>
      <c r="D473" s="1" t="s">
        <v>1550</v>
      </c>
      <c r="E473" s="1" t="s">
        <v>1550</v>
      </c>
      <c r="F473" s="1" t="s">
        <v>1097</v>
      </c>
      <c r="G473" s="1" t="s">
        <v>1364</v>
      </c>
      <c r="H473" s="1" t="s">
        <v>1800</v>
      </c>
      <c r="I473" s="1" t="s">
        <v>1379</v>
      </c>
      <c r="J473" s="1" t="s">
        <v>819</v>
      </c>
      <c r="K473" s="1" t="s">
        <v>1287</v>
      </c>
      <c r="L473" s="1" t="s">
        <v>1216</v>
      </c>
      <c r="M473" s="1" t="s">
        <v>119</v>
      </c>
      <c r="N473" s="1" t="s">
        <v>119</v>
      </c>
      <c r="O473" s="1" t="s">
        <v>119</v>
      </c>
      <c r="P473" s="5">
        <v>44225</v>
      </c>
      <c r="Q473" s="1"/>
      <c r="R473" s="1"/>
      <c r="S473" s="1"/>
      <c r="T473" s="1"/>
      <c r="U473" s="1" t="s">
        <v>1922</v>
      </c>
      <c r="V473" s="4">
        <v>1</v>
      </c>
      <c r="W473" s="6">
        <v>1200</v>
      </c>
      <c r="X473" s="1" t="s">
        <v>1459</v>
      </c>
      <c r="Y473" s="4">
        <v>1</v>
      </c>
      <c r="Z473" s="6">
        <v>1200</v>
      </c>
      <c r="AA473" s="1" t="s">
        <v>1976</v>
      </c>
      <c r="AB473" s="1" t="s">
        <v>1964</v>
      </c>
      <c r="AC473" s="1" t="s">
        <v>1124</v>
      </c>
      <c r="AD473" s="1" t="s">
        <v>1800</v>
      </c>
      <c r="AE473" s="1" t="s">
        <v>1286</v>
      </c>
      <c r="AF473" s="1" t="s">
        <v>1463</v>
      </c>
      <c r="AG473" s="6">
        <v>1200</v>
      </c>
      <c r="AH473" s="6">
        <v>1200</v>
      </c>
      <c r="AI473" s="1"/>
      <c r="AJ473" s="1"/>
      <c r="AK473" s="1"/>
      <c r="AL473" s="1" t="s">
        <v>1452</v>
      </c>
      <c r="AM473" s="1" t="s">
        <v>636</v>
      </c>
      <c r="AN473" s="1"/>
      <c r="AO473" s="1" t="s">
        <v>242</v>
      </c>
      <c r="AP473" s="1"/>
      <c r="AQ473" s="1"/>
      <c r="AR473" s="2"/>
      <c r="AS473" s="1"/>
      <c r="AT473" s="1"/>
      <c r="AU473" s="1"/>
      <c r="AV473" s="1" t="s">
        <v>1941</v>
      </c>
      <c r="AW473" s="7">
        <v>44225.414161119203</v>
      </c>
      <c r="AX473" s="1" t="s">
        <v>406</v>
      </c>
      <c r="AY473" s="6">
        <v>1200</v>
      </c>
      <c r="AZ473" s="1"/>
      <c r="BA473" s="5">
        <v>44561</v>
      </c>
      <c r="BB473" s="7">
        <v>44561</v>
      </c>
      <c r="BC473" s="1" t="s">
        <v>1997</v>
      </c>
      <c r="BD473" s="1"/>
      <c r="BE473" s="1"/>
      <c r="BF473" s="1" t="s">
        <v>118</v>
      </c>
    </row>
    <row r="474" spans="1:58">
      <c r="A474" s="4">
        <v>469</v>
      </c>
      <c r="B474" s="2" t="str">
        <f>HYPERLINK("https://my.zakupki.prom.ua/remote/dispatcher/state_purchase_view/25598674", "UA-2021-04-07-000964-c")</f>
        <v>UA-2021-04-07-000964-c</v>
      </c>
      <c r="C474" s="2" t="s">
        <v>1459</v>
      </c>
      <c r="D474" s="1" t="s">
        <v>1444</v>
      </c>
      <c r="E474" s="1" t="s">
        <v>1444</v>
      </c>
      <c r="F474" s="1" t="s">
        <v>1006</v>
      </c>
      <c r="G474" s="1" t="s">
        <v>1364</v>
      </c>
      <c r="H474" s="1" t="s">
        <v>1800</v>
      </c>
      <c r="I474" s="1" t="s">
        <v>1379</v>
      </c>
      <c r="J474" s="1" t="s">
        <v>819</v>
      </c>
      <c r="K474" s="1" t="s">
        <v>1287</v>
      </c>
      <c r="L474" s="1" t="s">
        <v>1216</v>
      </c>
      <c r="M474" s="1" t="s">
        <v>119</v>
      </c>
      <c r="N474" s="1" t="s">
        <v>119</v>
      </c>
      <c r="O474" s="1" t="s">
        <v>119</v>
      </c>
      <c r="P474" s="5">
        <v>44293</v>
      </c>
      <c r="Q474" s="1"/>
      <c r="R474" s="1"/>
      <c r="S474" s="1"/>
      <c r="T474" s="1"/>
      <c r="U474" s="1" t="s">
        <v>1922</v>
      </c>
      <c r="V474" s="4">
        <v>1</v>
      </c>
      <c r="W474" s="6">
        <v>9952</v>
      </c>
      <c r="X474" s="1" t="s">
        <v>1459</v>
      </c>
      <c r="Y474" s="4">
        <v>1</v>
      </c>
      <c r="Z474" s="6">
        <v>9952</v>
      </c>
      <c r="AA474" s="1" t="s">
        <v>1976</v>
      </c>
      <c r="AB474" s="1" t="s">
        <v>1964</v>
      </c>
      <c r="AC474" s="1" t="s">
        <v>1124</v>
      </c>
      <c r="AD474" s="1" t="s">
        <v>1800</v>
      </c>
      <c r="AE474" s="1" t="s">
        <v>1286</v>
      </c>
      <c r="AF474" s="1" t="s">
        <v>1463</v>
      </c>
      <c r="AG474" s="6">
        <v>9952</v>
      </c>
      <c r="AH474" s="6">
        <v>9952</v>
      </c>
      <c r="AI474" s="1"/>
      <c r="AJ474" s="1"/>
      <c r="AK474" s="1"/>
      <c r="AL474" s="1" t="s">
        <v>1752</v>
      </c>
      <c r="AM474" s="1" t="s">
        <v>694</v>
      </c>
      <c r="AN474" s="1"/>
      <c r="AO474" s="1" t="s">
        <v>1062</v>
      </c>
      <c r="AP474" s="1"/>
      <c r="AQ474" s="1"/>
      <c r="AR474" s="2"/>
      <c r="AS474" s="1"/>
      <c r="AT474" s="1"/>
      <c r="AU474" s="1"/>
      <c r="AV474" s="1" t="s">
        <v>1941</v>
      </c>
      <c r="AW474" s="7">
        <v>44293.479794882347</v>
      </c>
      <c r="AX474" s="1" t="s">
        <v>1246</v>
      </c>
      <c r="AY474" s="6">
        <v>9952</v>
      </c>
      <c r="AZ474" s="1"/>
      <c r="BA474" s="5">
        <v>44298</v>
      </c>
      <c r="BB474" s="7">
        <v>44561</v>
      </c>
      <c r="BC474" s="1" t="s">
        <v>1997</v>
      </c>
      <c r="BD474" s="1"/>
      <c r="BE474" s="1"/>
      <c r="BF474" s="1" t="s">
        <v>118</v>
      </c>
    </row>
    <row r="475" spans="1:58">
      <c r="A475" s="4">
        <v>470</v>
      </c>
      <c r="B475" s="2" t="str">
        <f>HYPERLINK("https://my.zakupki.prom.ua/remote/dispatcher/state_purchase_view/26027196", "UA-2021-04-21-007503-c")</f>
        <v>UA-2021-04-21-007503-c</v>
      </c>
      <c r="C475" s="2" t="s">
        <v>1459</v>
      </c>
      <c r="D475" s="1" t="s">
        <v>1829</v>
      </c>
      <c r="E475" s="1" t="s">
        <v>1829</v>
      </c>
      <c r="F475" s="1" t="s">
        <v>879</v>
      </c>
      <c r="G475" s="1" t="s">
        <v>1346</v>
      </c>
      <c r="H475" s="1" t="s">
        <v>1800</v>
      </c>
      <c r="I475" s="1" t="s">
        <v>1379</v>
      </c>
      <c r="J475" s="1" t="s">
        <v>819</v>
      </c>
      <c r="K475" s="1" t="s">
        <v>1287</v>
      </c>
      <c r="L475" s="1" t="s">
        <v>1216</v>
      </c>
      <c r="M475" s="1" t="s">
        <v>119</v>
      </c>
      <c r="N475" s="1" t="s">
        <v>119</v>
      </c>
      <c r="O475" s="1" t="s">
        <v>119</v>
      </c>
      <c r="P475" s="5">
        <v>44307</v>
      </c>
      <c r="Q475" s="5">
        <v>44307</v>
      </c>
      <c r="R475" s="5">
        <v>44313</v>
      </c>
      <c r="S475" s="5">
        <v>44313</v>
      </c>
      <c r="T475" s="5">
        <v>44316</v>
      </c>
      <c r="U475" s="1" t="s">
        <v>1923</v>
      </c>
      <c r="V475" s="4">
        <v>1</v>
      </c>
      <c r="W475" s="6">
        <v>7500</v>
      </c>
      <c r="X475" s="1" t="s">
        <v>1459</v>
      </c>
      <c r="Y475" s="4">
        <v>233</v>
      </c>
      <c r="Z475" s="6">
        <v>32.19</v>
      </c>
      <c r="AA475" s="1" t="s">
        <v>2024</v>
      </c>
      <c r="AB475" s="6">
        <v>37.5</v>
      </c>
      <c r="AC475" s="1" t="s">
        <v>1124</v>
      </c>
      <c r="AD475" s="1" t="s">
        <v>1800</v>
      </c>
      <c r="AE475" s="1" t="s">
        <v>1286</v>
      </c>
      <c r="AF475" s="1" t="s">
        <v>1463</v>
      </c>
      <c r="AG475" s="6">
        <v>7215.6</v>
      </c>
      <c r="AH475" s="6">
        <v>30.968240343347642</v>
      </c>
      <c r="AI475" s="1" t="s">
        <v>1744</v>
      </c>
      <c r="AJ475" s="6">
        <v>284.39999999999964</v>
      </c>
      <c r="AK475" s="6">
        <v>3.7919999999999954E-2</v>
      </c>
      <c r="AL475" s="1" t="s">
        <v>1744</v>
      </c>
      <c r="AM475" s="1" t="s">
        <v>765</v>
      </c>
      <c r="AN475" s="1" t="s">
        <v>1113</v>
      </c>
      <c r="AO475" s="1" t="s">
        <v>827</v>
      </c>
      <c r="AP475" s="6">
        <v>284.39999999999964</v>
      </c>
      <c r="AQ475" s="6">
        <v>3.7919999999999954E-2</v>
      </c>
      <c r="AR475" s="2"/>
      <c r="AS475" s="7">
        <v>44321.565619720124</v>
      </c>
      <c r="AT475" s="5">
        <v>44324</v>
      </c>
      <c r="AU475" s="5">
        <v>44343</v>
      </c>
      <c r="AV475" s="1" t="s">
        <v>1941</v>
      </c>
      <c r="AW475" s="7">
        <v>44333.575373492626</v>
      </c>
      <c r="AX475" s="1" t="s">
        <v>382</v>
      </c>
      <c r="AY475" s="6">
        <v>7215.6</v>
      </c>
      <c r="AZ475" s="1"/>
      <c r="BA475" s="5">
        <v>44561</v>
      </c>
      <c r="BB475" s="7">
        <v>44561</v>
      </c>
      <c r="BC475" s="1" t="s">
        <v>1997</v>
      </c>
      <c r="BD475" s="1"/>
      <c r="BE475" s="1"/>
      <c r="BF475" s="1" t="s">
        <v>766</v>
      </c>
    </row>
    <row r="476" spans="1:58">
      <c r="A476" s="4">
        <v>471</v>
      </c>
      <c r="B476" s="2" t="str">
        <f>HYPERLINK("https://my.zakupki.prom.ua/remote/dispatcher/state_purchase_view/24841396", "UA-2021-03-12-007083-b")</f>
        <v>UA-2021-03-12-007083-b</v>
      </c>
      <c r="C476" s="2" t="s">
        <v>1459</v>
      </c>
      <c r="D476" s="1" t="s">
        <v>1958</v>
      </c>
      <c r="E476" s="1" t="s">
        <v>1294</v>
      </c>
      <c r="F476" s="1" t="s">
        <v>733</v>
      </c>
      <c r="G476" s="1" t="s">
        <v>1280</v>
      </c>
      <c r="H476" s="1" t="s">
        <v>1800</v>
      </c>
      <c r="I476" s="1" t="s">
        <v>1379</v>
      </c>
      <c r="J476" s="1" t="s">
        <v>819</v>
      </c>
      <c r="K476" s="1" t="s">
        <v>1287</v>
      </c>
      <c r="L476" s="1" t="s">
        <v>1216</v>
      </c>
      <c r="M476" s="1" t="s">
        <v>119</v>
      </c>
      <c r="N476" s="1" t="s">
        <v>119</v>
      </c>
      <c r="O476" s="1" t="s">
        <v>119</v>
      </c>
      <c r="P476" s="5">
        <v>44267</v>
      </c>
      <c r="Q476" s="5">
        <v>44267</v>
      </c>
      <c r="R476" s="5">
        <v>44274</v>
      </c>
      <c r="S476" s="5">
        <v>44267</v>
      </c>
      <c r="T476" s="5">
        <v>44284</v>
      </c>
      <c r="U476" s="1" t="s">
        <v>1923</v>
      </c>
      <c r="V476" s="4">
        <v>0</v>
      </c>
      <c r="W476" s="6">
        <v>13000</v>
      </c>
      <c r="X476" s="1" t="s">
        <v>1459</v>
      </c>
      <c r="Y476" s="1" t="s">
        <v>1956</v>
      </c>
      <c r="Z476" s="1" t="s">
        <v>1956</v>
      </c>
      <c r="AA476" s="1" t="s">
        <v>1956</v>
      </c>
      <c r="AB476" s="6">
        <v>65</v>
      </c>
      <c r="AC476" s="1" t="s">
        <v>1124</v>
      </c>
      <c r="AD476" s="1" t="s">
        <v>1800</v>
      </c>
      <c r="AE476" s="1" t="s">
        <v>1286</v>
      </c>
      <c r="AF476" s="1" t="s">
        <v>1463</v>
      </c>
      <c r="AG476" s="1"/>
      <c r="AH476" s="1" t="s">
        <v>1956</v>
      </c>
      <c r="AI476" s="1"/>
      <c r="AJ476" s="1"/>
      <c r="AK476" s="1"/>
      <c r="AL476" s="1"/>
      <c r="AM476" s="1"/>
      <c r="AN476" s="1"/>
      <c r="AO476" s="1"/>
      <c r="AP476" s="1"/>
      <c r="AQ476" s="1"/>
      <c r="AR476" s="2"/>
      <c r="AS476" s="1"/>
      <c r="AT476" s="1"/>
      <c r="AU476" s="1"/>
      <c r="AV476" s="1" t="s">
        <v>1942</v>
      </c>
      <c r="AW476" s="7">
        <v>44284.002395437456</v>
      </c>
      <c r="AX476" s="1"/>
      <c r="AY476" s="1"/>
      <c r="AZ476" s="1"/>
      <c r="BA476" s="5">
        <v>44561</v>
      </c>
      <c r="BB476" s="1"/>
      <c r="BC476" s="1"/>
      <c r="BD476" s="1"/>
      <c r="BE476" s="1"/>
      <c r="BF476" s="1"/>
    </row>
    <row r="477" spans="1:58">
      <c r="A477" s="1" t="s">
        <v>1376</v>
      </c>
    </row>
  </sheetData>
  <autoFilter ref="A5:BF476"/>
  <hyperlinks>
    <hyperlink ref="A2" r:id="rId1" display="mailto:report.zakupki@prom.ua"/>
    <hyperlink ref="B6" r:id="rId2" display="https://my.zakupki.prom.ua/remote/dispatcher/state_purchase_view/8507114"/>
    <hyperlink ref="B7" r:id="rId3" display="https://my.zakupki.prom.ua/remote/dispatcher/state_purchase_view/12998253"/>
    <hyperlink ref="B8" r:id="rId4" display="https://my.zakupki.prom.ua/remote/dispatcher/state_purchase_view/19938924"/>
    <hyperlink ref="AR8" r:id="rId5" display="https://auction.openprocurement.org/tenders/964ffc6d98a841bca823cb034276dde3"/>
    <hyperlink ref="B9" r:id="rId6" display="https://my.zakupki.prom.ua/remote/dispatcher/state_purchase_view/12451506"/>
    <hyperlink ref="B10" r:id="rId7" display="https://my.zakupki.prom.ua/remote/dispatcher/state_purchase_view/15701153"/>
    <hyperlink ref="B11" r:id="rId8" display="https://my.zakupki.prom.ua/remote/dispatcher/state_purchase_view/11039861"/>
    <hyperlink ref="B12" r:id="rId9" display="https://my.zakupki.prom.ua/remote/dispatcher/state_purchase_view/13248782"/>
    <hyperlink ref="AR12" r:id="rId10" display="https://auction.openprocurement.org/tenders/090b51d464514554aa02becf78afcafc"/>
    <hyperlink ref="B13" r:id="rId11" display="https://my.zakupki.prom.ua/remote/dispatcher/state_purchase_view/11597263"/>
    <hyperlink ref="AR13" r:id="rId12" display="https://auction.openprocurement.org/tenders/e5b05a6a6bfa47f28de270a9aff80d58"/>
    <hyperlink ref="B14" r:id="rId13" display="https://my.zakupki.prom.ua/remote/dispatcher/state_purchase_view/16521808"/>
    <hyperlink ref="AR14" r:id="rId14" display="https://auction.openprocurement.org/tenders/fe142e8bf5b143eab70abab2c96e7f6f"/>
    <hyperlink ref="B15" r:id="rId15" display="https://my.zakupki.prom.ua/remote/dispatcher/state_purchase_view/18874016"/>
    <hyperlink ref="AR15" r:id="rId16" display="https://auction.openprocurement.org/tenders/372501c909044622b85c39251c56a551"/>
    <hyperlink ref="B16" r:id="rId17" display="https://my.zakupki.prom.ua/remote/dispatcher/state_purchase_view/19231218"/>
    <hyperlink ref="B17" r:id="rId18" display="https://my.zakupki.prom.ua/remote/dispatcher/state_purchase_view/13966792"/>
    <hyperlink ref="B18" r:id="rId19" display="https://my.zakupki.prom.ua/remote/dispatcher/state_purchase_view/18270625"/>
    <hyperlink ref="B19" r:id="rId20" display="https://my.zakupki.prom.ua/remote/dispatcher/state_purchase_view/14375621"/>
    <hyperlink ref="B20" r:id="rId21" display="https://my.zakupki.prom.ua/remote/dispatcher/state_purchase_view/15296832"/>
    <hyperlink ref="AR20" r:id="rId22" display="https://auction.openprocurement.org/tenders/06126c1b6f684c11bb8c106389bede09"/>
    <hyperlink ref="B21" r:id="rId23" display="https://my.zakupki.prom.ua/remote/dispatcher/state_purchase_view/15396902"/>
    <hyperlink ref="AR21" r:id="rId24" display="https://auction.openprocurement.org/tenders/21afd3be8e9d4685bd69782b857773c5"/>
    <hyperlink ref="B22" r:id="rId25" display="https://my.zakupki.prom.ua/remote/dispatcher/state_purchase_view/15044005"/>
    <hyperlink ref="B23" r:id="rId26" display="https://my.zakupki.prom.ua/remote/dispatcher/state_purchase_view/14373990"/>
    <hyperlink ref="B24" r:id="rId27" display="https://my.zakupki.prom.ua/remote/dispatcher/state_purchase_view/19821435"/>
    <hyperlink ref="B25" r:id="rId28" display="https://my.zakupki.prom.ua/remote/dispatcher/state_purchase_view/21529924"/>
    <hyperlink ref="B26" r:id="rId29" display="https://my.zakupki.prom.ua/remote/dispatcher/state_purchase_view/20915687"/>
    <hyperlink ref="B27" r:id="rId30" display="https://my.zakupki.prom.ua/remote/dispatcher/state_purchase_view/16588904"/>
    <hyperlink ref="AR27" r:id="rId31" display="https://auction.openprocurement.org/tenders/9d8cb0f150084bb1933b7e4a1de434ac"/>
    <hyperlink ref="B28" r:id="rId32" display="https://my.zakupki.prom.ua/remote/dispatcher/state_purchase_view/14790603"/>
    <hyperlink ref="B29" r:id="rId33" display="https://my.zakupki.prom.ua/remote/dispatcher/state_purchase_view/23138816"/>
    <hyperlink ref="B30" r:id="rId34" display="https://my.zakupki.prom.ua/remote/dispatcher/state_purchase_view/25348542"/>
    <hyperlink ref="B31" r:id="rId35" display="https://my.zakupki.prom.ua/remote/dispatcher/state_purchase_view/24977888"/>
    <hyperlink ref="B32" r:id="rId36" display="https://my.zakupki.prom.ua/remote/dispatcher/state_purchase_view/25108093"/>
    <hyperlink ref="B33" r:id="rId37" display="https://my.zakupki.prom.ua/remote/dispatcher/state_purchase_view/14258731"/>
    <hyperlink ref="B34" r:id="rId38" display="https://my.zakupki.prom.ua/remote/dispatcher/state_purchase_view/24285439"/>
    <hyperlink ref="B35" r:id="rId39" display="https://my.zakupki.prom.ua/remote/dispatcher/state_purchase_view/26441018"/>
    <hyperlink ref="B36" r:id="rId40" display="https://my.zakupki.prom.ua/remote/dispatcher/state_purchase_view/26219387"/>
    <hyperlink ref="B37" r:id="rId41" display="https://my.zakupki.prom.ua/remote/dispatcher/state_purchase_view/24877887"/>
    <hyperlink ref="AR37" r:id="rId42" display="https://auction.openprocurement.org/tenders/4b9c81ae96f542e2b595f8001f56b638"/>
    <hyperlink ref="B38" r:id="rId43" display="https://my.zakupki.prom.ua/remote/dispatcher/state_purchase_view/27145562"/>
    <hyperlink ref="B39" r:id="rId44" display="https://my.zakupki.prom.ua/remote/dispatcher/state_purchase_view/27516752"/>
    <hyperlink ref="B40" r:id="rId45" display="https://my.zakupki.prom.ua/remote/dispatcher/state_purchase_view/9235413"/>
    <hyperlink ref="B41" r:id="rId46" display="https://my.zakupki.prom.ua/remote/dispatcher/state_purchase_view/8485930"/>
    <hyperlink ref="AR41" r:id="rId47" display="https://auction.openprocurement.org/tenders/22fc64fecfa348a59e44cb0d4d6f6923"/>
    <hyperlink ref="B42" r:id="rId48" display="https://my.zakupki.prom.ua/remote/dispatcher/state_purchase_view/12515792"/>
    <hyperlink ref="B43" r:id="rId49" display="https://my.zakupki.prom.ua/remote/dispatcher/state_purchase_view/24010249"/>
    <hyperlink ref="AR43" r:id="rId50" display="https://auction.openprocurement.org/tenders/219822578cf944e880965f297e5f578f"/>
    <hyperlink ref="B44" r:id="rId51" display="https://my.zakupki.prom.ua/remote/dispatcher/state_purchase_view/15907673"/>
    <hyperlink ref="B45" r:id="rId52" display="https://my.zakupki.prom.ua/remote/dispatcher/state_purchase_view/13835943"/>
    <hyperlink ref="B46" r:id="rId53" display="https://my.zakupki.prom.ua/remote/dispatcher/state_purchase_view/12864972"/>
    <hyperlink ref="B47" r:id="rId54" display="https://my.zakupki.prom.ua/remote/dispatcher/state_purchase_view/12021728"/>
    <hyperlink ref="AR47" r:id="rId55" display="https://auction.openprocurement.org/tenders/dc45459ddf4b48d6aa13fbcb81b2dcf8"/>
    <hyperlink ref="B48" r:id="rId56" display="https://my.zakupki.prom.ua/remote/dispatcher/state_purchase_view/12738860"/>
    <hyperlink ref="AR48" r:id="rId57" display="https://auction.openprocurement.org/tenders/0d345ca4a87f4140803aebb48ec430e8"/>
    <hyperlink ref="B49" r:id="rId58" display="https://my.zakupki.prom.ua/remote/dispatcher/state_purchase_view/9386839"/>
    <hyperlink ref="B50" r:id="rId59" display="https://my.zakupki.prom.ua/remote/dispatcher/state_purchase_view/10383468"/>
    <hyperlink ref="AR50" r:id="rId60" display="https://auction.openprocurement.org/tenders/54b93fa8bf7f4141bb19bbbd0b21ce0f"/>
    <hyperlink ref="B51" r:id="rId61" display="https://my.zakupki.prom.ua/remote/dispatcher/state_purchase_view/9594881"/>
    <hyperlink ref="B52" r:id="rId62" display="https://my.zakupki.prom.ua/remote/dispatcher/state_purchase_view/22807214"/>
    <hyperlink ref="B53" r:id="rId63" display="https://my.zakupki.prom.ua/remote/dispatcher/state_purchase_view/19406864"/>
    <hyperlink ref="B54" r:id="rId64" display="https://my.zakupki.prom.ua/remote/dispatcher/state_purchase_view/18818544"/>
    <hyperlink ref="B55" r:id="rId65" display="https://my.zakupki.prom.ua/remote/dispatcher/state_purchase_view/18785432"/>
    <hyperlink ref="B56" r:id="rId66" display="https://my.zakupki.prom.ua/remote/dispatcher/state_purchase_view/21838119"/>
    <hyperlink ref="B57" r:id="rId67" display="https://my.zakupki.prom.ua/remote/dispatcher/state_purchase_view/21574206"/>
    <hyperlink ref="B58" r:id="rId68" display="https://my.zakupki.prom.ua/remote/dispatcher/state_purchase_view/21552369"/>
    <hyperlink ref="B59" r:id="rId69" display="https://my.zakupki.prom.ua/remote/dispatcher/state_purchase_view/21332155"/>
    <hyperlink ref="B60" r:id="rId70" display="https://my.zakupki.prom.ua/remote/dispatcher/state_purchase_view/21036959"/>
    <hyperlink ref="B61" r:id="rId71" display="https://my.zakupki.prom.ua/remote/dispatcher/state_purchase_view/20971813"/>
    <hyperlink ref="B62" r:id="rId72" display="https://my.zakupki.prom.ua/remote/dispatcher/state_purchase_view/19113086"/>
    <hyperlink ref="B63" r:id="rId73" display="https://my.zakupki.prom.ua/remote/dispatcher/state_purchase_view/19037913"/>
    <hyperlink ref="B64" r:id="rId74" display="https://my.zakupki.prom.ua/remote/dispatcher/state_purchase_view/16866993"/>
    <hyperlink ref="AR64" r:id="rId75" display="https://auction.openprocurement.org/tenders/915949f56453448dbb6e41d4e10be6c8"/>
    <hyperlink ref="B65" r:id="rId76" display="https://my.zakupki.prom.ua/remote/dispatcher/state_purchase_view/17705742"/>
    <hyperlink ref="B66" r:id="rId77" display="https://my.zakupki.prom.ua/remote/dispatcher/state_purchase_view/15905999"/>
    <hyperlink ref="B67" r:id="rId78" display="https://my.zakupki.prom.ua/remote/dispatcher/state_purchase_view/22966882"/>
    <hyperlink ref="B68" r:id="rId79" display="https://my.zakupki.prom.ua/remote/dispatcher/state_purchase_view/23001005"/>
    <hyperlink ref="B69" r:id="rId80" display="https://my.zakupki.prom.ua/remote/dispatcher/state_purchase_view/20294463"/>
    <hyperlink ref="B70" r:id="rId81" display="https://my.zakupki.prom.ua/remote/dispatcher/state_purchase_view/20173326"/>
    <hyperlink ref="AR70" r:id="rId82" display="https://auction.openprocurement.org/tenders/4ec23417de4d4997a14f0e76100e75a7"/>
    <hyperlink ref="B71" r:id="rId83" display="https://my.zakupki.prom.ua/remote/dispatcher/state_purchase_view/20161780"/>
    <hyperlink ref="AR71" r:id="rId84" display="https://auction.openprocurement.org/tenders/df0cddb9f16147689c868af469860486"/>
    <hyperlink ref="B72" r:id="rId85" display="https://my.zakupki.prom.ua/remote/dispatcher/state_purchase_view/19846251"/>
    <hyperlink ref="B73" r:id="rId86" display="https://my.zakupki.prom.ua/remote/dispatcher/state_purchase_view/14751394"/>
    <hyperlink ref="B74" r:id="rId87" display="https://my.zakupki.prom.ua/remote/dispatcher/state_purchase_view/14607042"/>
    <hyperlink ref="AR74" r:id="rId88" display="https://auction.openprocurement.org/tenders/59c2726ebcfa4e5c9afb286efc5ad283"/>
    <hyperlink ref="B75" r:id="rId89" display="https://my.zakupki.prom.ua/remote/dispatcher/state_purchase_view/14881177"/>
    <hyperlink ref="B76" r:id="rId90" display="https://my.zakupki.prom.ua/remote/dispatcher/state_purchase_view/15389761"/>
    <hyperlink ref="AR76" r:id="rId91" display="https://auction.openprocurement.org/tenders/b063e5925dcb487f8cb46c38a19b8a33"/>
    <hyperlink ref="B77" r:id="rId92" display="https://my.zakupki.prom.ua/remote/dispatcher/state_purchase_view/15194891"/>
    <hyperlink ref="B78" r:id="rId93" display="https://my.zakupki.prom.ua/remote/dispatcher/state_purchase_view/24103601"/>
    <hyperlink ref="B79" r:id="rId94" display="https://my.zakupki.prom.ua/remote/dispatcher/state_purchase_view/24564216"/>
    <hyperlink ref="B80" r:id="rId95" display="https://my.zakupki.prom.ua/remote/dispatcher/state_purchase_view/25597716"/>
    <hyperlink ref="B81" r:id="rId96" display="https://my.zakupki.prom.ua/remote/dispatcher/state_purchase_view/27138046"/>
    <hyperlink ref="B82" r:id="rId97" display="https://my.zakupki.prom.ua/remote/dispatcher/state_purchase_view/9668856"/>
    <hyperlink ref="B83" r:id="rId98" display="https://my.zakupki.prom.ua/remote/dispatcher/state_purchase_view/9703935"/>
    <hyperlink ref="B84" r:id="rId99" display="https://my.zakupki.prom.ua/remote/dispatcher/state_purchase_view/8427884"/>
    <hyperlink ref="AR84" r:id="rId100" display="https://auction.openprocurement.org/tenders/0928b321008c4e65879d6153f259725a"/>
    <hyperlink ref="B85" r:id="rId101" display="https://my.zakupki.prom.ua/remote/dispatcher/state_purchase_view/8459143"/>
    <hyperlink ref="AR85" r:id="rId102" display="https://auction.openprocurement.org/tenders/147533f6e6aa4642a89415e115aa80ae"/>
    <hyperlink ref="B86" r:id="rId103" display="https://my.zakupki.prom.ua/remote/dispatcher/state_purchase_view/12102212"/>
    <hyperlink ref="B87" r:id="rId104" display="https://my.zakupki.prom.ua/remote/dispatcher/state_purchase_view/16930048"/>
    <hyperlink ref="B88" r:id="rId105" display="https://my.zakupki.prom.ua/remote/dispatcher/state_purchase_view/19057599"/>
    <hyperlink ref="B89" r:id="rId106" display="https://my.zakupki.prom.ua/remote/dispatcher/state_purchase_view/19651296"/>
    <hyperlink ref="B90" r:id="rId107" display="https://my.zakupki.prom.ua/remote/dispatcher/state_purchase_view/12785121"/>
    <hyperlink ref="AR90" r:id="rId108" display="https://auction.openprocurement.org/tenders/ed1b4c70eb174ce6bb070cc7f278503c"/>
    <hyperlink ref="B91" r:id="rId109" display="https://my.zakupki.prom.ua/remote/dispatcher/state_purchase_view/13228428"/>
    <hyperlink ref="AR91" r:id="rId110" display="https://auction.openprocurement.org/tenders/9d71336956bb44a4b5f88a24fd34b947"/>
    <hyperlink ref="B92" r:id="rId111" display="https://my.zakupki.prom.ua/remote/dispatcher/state_purchase_view/13441626"/>
    <hyperlink ref="AR92" r:id="rId112" display="https://auction.openprocurement.org/tenders/7dadc29a51fe48a9a856e96ec8b38736"/>
    <hyperlink ref="B93" r:id="rId113" display="https://my.zakupki.prom.ua/remote/dispatcher/state_purchase_view/10758984"/>
    <hyperlink ref="AR93" r:id="rId114" display="https://auction.openprocurement.org/tenders/07576aa4f35a4eff840a71cafc60a27b"/>
    <hyperlink ref="B94" r:id="rId115" display="https://my.zakupki.prom.ua/remote/dispatcher/state_purchase_view/8501641"/>
    <hyperlink ref="B95" r:id="rId116" display="https://my.zakupki.prom.ua/remote/dispatcher/state_purchase_view/8485714"/>
    <hyperlink ref="AR95" r:id="rId117" display="https://auction.openprocurement.org/tenders/55ddad7299d9407eaa19a665596f6cba"/>
    <hyperlink ref="B96" r:id="rId118" display="https://my.zakupki.prom.ua/remote/dispatcher/state_purchase_view/11304666"/>
    <hyperlink ref="B97" r:id="rId119" display="https://my.zakupki.prom.ua/remote/dispatcher/state_purchase_view/11513841"/>
    <hyperlink ref="AR97" r:id="rId120" display="https://auction.openprocurement.org/tenders/cedd995a5ddf4837b47cf62e487baefe"/>
    <hyperlink ref="B98" r:id="rId121" display="https://my.zakupki.prom.ua/remote/dispatcher/state_purchase_view/20775721"/>
    <hyperlink ref="B99" r:id="rId122" display="https://my.zakupki.prom.ua/remote/dispatcher/state_purchase_view/22993608"/>
    <hyperlink ref="B100" r:id="rId123" display="https://my.zakupki.prom.ua/remote/dispatcher/state_purchase_view/22441783"/>
    <hyperlink ref="B101" r:id="rId124" display="https://my.zakupki.prom.ua/remote/dispatcher/state_purchase_view/22165894"/>
    <hyperlink ref="B102" r:id="rId125" display="https://my.zakupki.prom.ua/remote/dispatcher/state_purchase_view/20163684"/>
    <hyperlink ref="AR102" r:id="rId126" display="https://auction.openprocurement.org/tenders/2e247759b2c3462b888f0de6d3c3636a"/>
    <hyperlink ref="B103" r:id="rId127" display="https://my.zakupki.prom.ua/remote/dispatcher/state_purchase_view/20627600"/>
    <hyperlink ref="B104" r:id="rId128" display="https://my.zakupki.prom.ua/remote/dispatcher/state_purchase_view/16239453"/>
    <hyperlink ref="B105" r:id="rId129" display="https://my.zakupki.prom.ua/remote/dispatcher/state_purchase_view/16195711"/>
    <hyperlink ref="AR105" r:id="rId130" display="https://auction.openprocurement.org/tenders/fb38759a2b1d4b99b5ea5dc29335712a"/>
    <hyperlink ref="B106" r:id="rId131" display="https://my.zakupki.prom.ua/remote/dispatcher/state_purchase_view/15802511"/>
    <hyperlink ref="B107" r:id="rId132" display="https://my.zakupki.prom.ua/remote/dispatcher/state_purchase_view/17550737"/>
    <hyperlink ref="B108" r:id="rId133" display="https://my.zakupki.prom.ua/remote/dispatcher/state_purchase_view/19425004"/>
    <hyperlink ref="B109" r:id="rId134" display="https://my.zakupki.prom.ua/remote/dispatcher/state_purchase_view/18821998"/>
    <hyperlink ref="B110" r:id="rId135" display="https://my.zakupki.prom.ua/remote/dispatcher/state_purchase_view/14375291"/>
    <hyperlink ref="B111" r:id="rId136" display="https://my.zakupki.prom.ua/remote/dispatcher/state_purchase_view/14173709"/>
    <hyperlink ref="B112" r:id="rId137" display="https://my.zakupki.prom.ua/remote/dispatcher/state_purchase_view/15164705"/>
    <hyperlink ref="B113" r:id="rId138" display="https://my.zakupki.prom.ua/remote/dispatcher/state_purchase_view/16443186"/>
    <hyperlink ref="B114" r:id="rId139" display="https://my.zakupki.prom.ua/remote/dispatcher/state_purchase_view/23340786"/>
    <hyperlink ref="B115" r:id="rId140" display="https://my.zakupki.prom.ua/remote/dispatcher/state_purchase_view/22909323"/>
    <hyperlink ref="B116" r:id="rId141" display="https://my.zakupki.prom.ua/remote/dispatcher/state_purchase_view/22898901"/>
    <hyperlink ref="B117" r:id="rId142" display="https://my.zakupki.prom.ua/remote/dispatcher/state_purchase_view/25267230"/>
    <hyperlink ref="B118" r:id="rId143" display="https://my.zakupki.prom.ua/remote/dispatcher/state_purchase_view/24566040"/>
    <hyperlink ref="B119" r:id="rId144" display="https://my.zakupki.prom.ua/remote/dispatcher/state_purchase_view/25199126"/>
    <hyperlink ref="B120" r:id="rId145" display="https://my.zakupki.prom.ua/remote/dispatcher/state_purchase_view/23992917"/>
    <hyperlink ref="B121" r:id="rId146" display="https://my.zakupki.prom.ua/remote/dispatcher/state_purchase_view/24588929"/>
    <hyperlink ref="B122" r:id="rId147" display="https://my.zakupki.prom.ua/remote/dispatcher/state_purchase_view/24480246"/>
    <hyperlink ref="B123" r:id="rId148" display="https://my.zakupki.prom.ua/remote/dispatcher/state_purchase_view/25457711"/>
    <hyperlink ref="B124" r:id="rId149" display="https://my.zakupki.prom.ua/remote/dispatcher/state_purchase_view/23277062"/>
    <hyperlink ref="B125" r:id="rId150" display="https://my.zakupki.prom.ua/remote/dispatcher/state_purchase_view/23500666"/>
    <hyperlink ref="B126" r:id="rId151" display="https://my.zakupki.prom.ua/remote/dispatcher/state_purchase_view/8446492"/>
    <hyperlink ref="AR126" r:id="rId152" display="https://auction.openprocurement.org/tenders/3e34b83764ab4f95bed10d50fdae6c1f"/>
    <hyperlink ref="B127" r:id="rId153" display="https://my.zakupki.prom.ua/remote/dispatcher/state_purchase_view/8400821"/>
    <hyperlink ref="AR127" r:id="rId154" display="https://auction.openprocurement.org/tenders/23c0053510454f2698042430939d6f25"/>
    <hyperlink ref="B128" r:id="rId155" display="https://my.zakupki.prom.ua/remote/dispatcher/state_purchase_view/13934938"/>
    <hyperlink ref="B129" r:id="rId156" display="https://my.zakupki.prom.ua/remote/dispatcher/state_purchase_view/13212103"/>
    <hyperlink ref="AR129" r:id="rId157" display="https://auction.openprocurement.org/tenders/2405cc6003fb49b3b85fa9935be69c28"/>
    <hyperlink ref="B130" r:id="rId158" display="https://my.zakupki.prom.ua/remote/dispatcher/state_purchase_view/13362374"/>
    <hyperlink ref="AR130" r:id="rId159" display="https://auction.openprocurement.org/tenders/a221f19d155c4386b952bbb53007d271"/>
    <hyperlink ref="B131" r:id="rId160" display="https://my.zakupki.prom.ua/remote/dispatcher/state_purchase_view/9997273"/>
    <hyperlink ref="AR131" r:id="rId161" display="https://auction.openprocurement.org/tenders/16fa4ac55bd34913bb61968e0c352d07"/>
    <hyperlink ref="B132" r:id="rId162" display="https://my.zakupki.prom.ua/remote/dispatcher/state_purchase_view/11511457"/>
    <hyperlink ref="B133" r:id="rId163" display="https://my.zakupki.prom.ua/remote/dispatcher/state_purchase_view/16440661"/>
    <hyperlink ref="B134" r:id="rId164" display="https://my.zakupki.prom.ua/remote/dispatcher/state_purchase_view/14330271"/>
    <hyperlink ref="AR134" r:id="rId165" display="https://auction.openprocurement.org/tenders/463d43f20d9448ce9e1fbf890db297f5"/>
    <hyperlink ref="B135" r:id="rId166" display="https://my.zakupki.prom.ua/remote/dispatcher/state_purchase_view/17181135"/>
    <hyperlink ref="AR135" r:id="rId167" display="https://auction.openprocurement.org/tenders/f0df7ce2cadf455cac15c2f5ed1aab73"/>
    <hyperlink ref="B136" r:id="rId168" display="https://my.zakupki.prom.ua/remote/dispatcher/state_purchase_view/17278471"/>
    <hyperlink ref="B137" r:id="rId169" display="https://my.zakupki.prom.ua/remote/dispatcher/state_purchase_view/9777902"/>
    <hyperlink ref="B138" r:id="rId170" display="https://my.zakupki.prom.ua/remote/dispatcher/state_purchase_view/10512041"/>
    <hyperlink ref="B139" r:id="rId171" display="https://my.zakupki.prom.ua/remote/dispatcher/state_purchase_view/11959920"/>
    <hyperlink ref="B140" r:id="rId172" display="https://my.zakupki.prom.ua/remote/dispatcher/state_purchase_view/11935992"/>
    <hyperlink ref="B141" r:id="rId173" display="https://my.zakupki.prom.ua/remote/dispatcher/state_purchase_view/12840205"/>
    <hyperlink ref="AR141" r:id="rId174" display="https://auction.openprocurement.org/tenders/d832dbaf2277409daaad725fe114b781"/>
    <hyperlink ref="B142" r:id="rId175" display="https://my.zakupki.prom.ua/remote/dispatcher/state_purchase_view/19692117"/>
    <hyperlink ref="B143" r:id="rId176" display="https://my.zakupki.prom.ua/remote/dispatcher/state_purchase_view/18792893"/>
    <hyperlink ref="B144" r:id="rId177" display="https://my.zakupki.prom.ua/remote/dispatcher/state_purchase_view/18152161"/>
    <hyperlink ref="AR144" r:id="rId178" display="https://auction.openprocurement.org/tenders/2f6c7406111d45cf89500e4684e912bb"/>
    <hyperlink ref="B145" r:id="rId179" display="https://my.zakupki.prom.ua/remote/dispatcher/state_purchase_view/18636062"/>
    <hyperlink ref="B146" r:id="rId180" display="https://my.zakupki.prom.ua/remote/dispatcher/state_purchase_view/16597476"/>
    <hyperlink ref="AR146" r:id="rId181" display="https://auction.openprocurement.org/tenders/a24cd1e6ed354c8c84e05c06cc338344"/>
    <hyperlink ref="B147" r:id="rId182" display="https://my.zakupki.prom.ua/remote/dispatcher/state_purchase_view/15798408"/>
    <hyperlink ref="B148" r:id="rId183" display="https://my.zakupki.prom.ua/remote/dispatcher/state_purchase_view/15785895"/>
    <hyperlink ref="B149" r:id="rId184" display="https://my.zakupki.prom.ua/remote/dispatcher/state_purchase_view/14708087"/>
    <hyperlink ref="B150" r:id="rId185" display="https://my.zakupki.prom.ua/remote/dispatcher/state_purchase_view/14696825"/>
    <hyperlink ref="AR150" r:id="rId186" display="https://auction.openprocurement.org/tenders/745575255ebd4d9484b81de916a6ba7f"/>
    <hyperlink ref="B151" r:id="rId187" display="https://my.zakupki.prom.ua/remote/dispatcher/state_purchase_view/22635393"/>
    <hyperlink ref="B152" r:id="rId188" display="https://my.zakupki.prom.ua/remote/dispatcher/state_purchase_view/22445445"/>
    <hyperlink ref="B153" r:id="rId189" display="https://my.zakupki.prom.ua/remote/dispatcher/state_purchase_view/22132404"/>
    <hyperlink ref="B154" r:id="rId190" display="https://my.zakupki.prom.ua/remote/dispatcher/state_purchase_view/23446284"/>
    <hyperlink ref="B155" r:id="rId191" display="https://my.zakupki.prom.ua/remote/dispatcher/state_purchase_view/22910405"/>
    <hyperlink ref="B156" r:id="rId192" display="https://my.zakupki.prom.ua/remote/dispatcher/state_purchase_view/22874450"/>
    <hyperlink ref="B157" r:id="rId193" display="https://my.zakupki.prom.ua/remote/dispatcher/state_purchase_view/14994678"/>
    <hyperlink ref="B158" r:id="rId194" display="https://my.zakupki.prom.ua/remote/dispatcher/state_purchase_view/15635227"/>
    <hyperlink ref="B159" r:id="rId195" display="https://my.zakupki.prom.ua/remote/dispatcher/state_purchase_view/25507036"/>
    <hyperlink ref="B160" r:id="rId196" display="https://my.zakupki.prom.ua/remote/dispatcher/state_purchase_view/26005999"/>
    <hyperlink ref="B161" r:id="rId197" display="https://my.zakupki.prom.ua/remote/dispatcher/state_purchase_view/25107503"/>
    <hyperlink ref="B162" r:id="rId198" display="https://my.zakupki.prom.ua/remote/dispatcher/state_purchase_view/25217729"/>
    <hyperlink ref="B163" r:id="rId199" display="https://my.zakupki.prom.ua/remote/dispatcher/state_purchase_view/25752376"/>
    <hyperlink ref="AR163" r:id="rId200" display="https://auction.openprocurement.org/tenders/34943092fabd4340a3e09854dce067f1"/>
    <hyperlink ref="B164" r:id="rId201" display="https://my.zakupki.prom.ua/remote/dispatcher/state_purchase_view/26754888"/>
    <hyperlink ref="AR164" r:id="rId202" display="https://auction.openprocurement.org/tenders/444b24436e1749e797af040f63b62016"/>
    <hyperlink ref="B165" r:id="rId203" display="https://my.zakupki.prom.ua/remote/dispatcher/state_purchase_view/8987172"/>
    <hyperlink ref="B166" r:id="rId204" display="https://my.zakupki.prom.ua/remote/dispatcher/state_purchase_view/13491559"/>
    <hyperlink ref="B167" r:id="rId205" display="https://my.zakupki.prom.ua/remote/dispatcher/state_purchase_view/9532929"/>
    <hyperlink ref="B168" r:id="rId206" display="https://my.zakupki.prom.ua/remote/dispatcher/state_purchase_view/8484655"/>
    <hyperlink ref="AR168" r:id="rId207" display="https://auction.openprocurement.org/tenders/32fc8a50bdca499ca9b1371566d73e7a"/>
    <hyperlink ref="B169" r:id="rId208" display="https://my.zakupki.prom.ua/remote/dispatcher/state_purchase_view/13624615"/>
    <hyperlink ref="B170" r:id="rId209" display="https://my.zakupki.prom.ua/remote/dispatcher/state_purchase_view/13606136"/>
    <hyperlink ref="AR170" r:id="rId210" display="https://auction.openprocurement.org/tenders/b99bb9002e6142fc86a119e8745f2d4f"/>
    <hyperlink ref="B171" r:id="rId211" display="https://my.zakupki.prom.ua/remote/dispatcher/state_purchase_view/11055594"/>
    <hyperlink ref="B172" r:id="rId212" display="https://my.zakupki.prom.ua/remote/dispatcher/state_purchase_view/11069170"/>
    <hyperlink ref="B173" r:id="rId213" display="https://my.zakupki.prom.ua/remote/dispatcher/state_purchase_view/12447051"/>
    <hyperlink ref="AR173" r:id="rId214" display="https://auction.openprocurement.org/tenders/956874b3479840ffbe6035b253f1bfdc"/>
    <hyperlink ref="B174" r:id="rId215" display="https://my.zakupki.prom.ua/remote/dispatcher/state_purchase_view/19450168"/>
    <hyperlink ref="B175" r:id="rId216" display="https://my.zakupki.prom.ua/remote/dispatcher/state_purchase_view/12508788"/>
    <hyperlink ref="B176" r:id="rId217" display="https://my.zakupki.prom.ua/remote/dispatcher/state_purchase_view/20312985"/>
    <hyperlink ref="B177" r:id="rId218" display="https://my.zakupki.prom.ua/remote/dispatcher/state_purchase_view/9109528"/>
    <hyperlink ref="B178" r:id="rId219" display="https://my.zakupki.prom.ua/remote/dispatcher/state_purchase_view/9595073"/>
    <hyperlink ref="B179" r:id="rId220" display="https://my.zakupki.prom.ua/remote/dispatcher/state_purchase_view/10565266"/>
    <hyperlink ref="AR179" r:id="rId221" display="https://auction.openprocurement.org/tenders/5958a980ad414d63af7b6406fdd015e5"/>
    <hyperlink ref="B180" r:id="rId222" display="https://my.zakupki.prom.ua/remote/dispatcher/state_purchase_view/18297087"/>
    <hyperlink ref="B181" r:id="rId223" display="https://my.zakupki.prom.ua/remote/dispatcher/state_purchase_view/21782361"/>
    <hyperlink ref="B182" r:id="rId224" display="https://my.zakupki.prom.ua/remote/dispatcher/state_purchase_view/14927334"/>
    <hyperlink ref="B183" r:id="rId225" display="https://my.zakupki.prom.ua/remote/dispatcher/state_purchase_view/15416260"/>
    <hyperlink ref="AR183" r:id="rId226" display="https://auction.openprocurement.org/tenders/cea9deb46a514740bd584c28efecc018"/>
    <hyperlink ref="B184" r:id="rId227" display="https://my.zakupki.prom.ua/remote/dispatcher/state_purchase_view/15729806"/>
    <hyperlink ref="B185" r:id="rId228" display="https://my.zakupki.prom.ua/remote/dispatcher/state_purchase_view/14473611"/>
    <hyperlink ref="B186" r:id="rId229" display="https://my.zakupki.prom.ua/remote/dispatcher/state_purchase_view/20026222"/>
    <hyperlink ref="B187" r:id="rId230" display="https://my.zakupki.prom.ua/remote/dispatcher/state_purchase_view/19252892"/>
    <hyperlink ref="B188" r:id="rId231" display="https://my.zakupki.prom.ua/remote/dispatcher/state_purchase_view/22361488"/>
    <hyperlink ref="B189" r:id="rId232" display="https://my.zakupki.prom.ua/remote/dispatcher/state_purchase_view/22050067"/>
    <hyperlink ref="B190" r:id="rId233" display="https://my.zakupki.prom.ua/remote/dispatcher/state_purchase_view/22356035"/>
    <hyperlink ref="B191" r:id="rId234" display="https://my.zakupki.prom.ua/remote/dispatcher/state_purchase_view/23039677"/>
    <hyperlink ref="B192" r:id="rId235" display="https://my.zakupki.prom.ua/remote/dispatcher/state_purchase_view/21393000"/>
    <hyperlink ref="B193" r:id="rId236" display="https://my.zakupki.prom.ua/remote/dispatcher/state_purchase_view/21037754"/>
    <hyperlink ref="B194" r:id="rId237" display="https://my.zakupki.prom.ua/remote/dispatcher/state_purchase_view/14196610"/>
    <hyperlink ref="B195" r:id="rId238" display="https://my.zakupki.prom.ua/remote/dispatcher/state_purchase_view/23252822"/>
    <hyperlink ref="B196" r:id="rId239" display="https://my.zakupki.prom.ua/remote/dispatcher/state_purchase_view/22527713"/>
    <hyperlink ref="AR196" r:id="rId240" display="https://auction.openprocurement.org/tenders/a65107e13ee447978561c5ccfc3eb6a2"/>
    <hyperlink ref="B197" r:id="rId241" display="https://my.zakupki.prom.ua/remote/dispatcher/state_purchase_view/23030330"/>
    <hyperlink ref="AR197" r:id="rId242" display="https://auction.openprocurement.org/tenders/ace04d4128984009b1726d129625304f"/>
    <hyperlink ref="B198" r:id="rId243" display="https://my.zakupki.prom.ua/remote/dispatcher/state_purchase_view/17888984"/>
    <hyperlink ref="B199" r:id="rId244" display="https://my.zakupki.prom.ua/remote/dispatcher/state_purchase_view/17891516"/>
    <hyperlink ref="B200" r:id="rId245" display="https://my.zakupki.prom.ua/remote/dispatcher/state_purchase_view/24588649"/>
    <hyperlink ref="B201" r:id="rId246" display="https://my.zakupki.prom.ua/remote/dispatcher/state_purchase_view/22984449"/>
    <hyperlink ref="B202" r:id="rId247" display="https://my.zakupki.prom.ua/remote/dispatcher/state_purchase_view/24006186"/>
    <hyperlink ref="AR202" r:id="rId248" display="https://auction.openprocurement.org/tenders/491058dfcea545509a671428992d98e4"/>
    <hyperlink ref="B203" r:id="rId249" display="https://my.zakupki.prom.ua/remote/dispatcher/state_purchase_view/26941302"/>
    <hyperlink ref="AR203" r:id="rId250" display="https://auction.openprocurement.org/tenders/d46defff14d74e37b8a4be23aa4b77c8"/>
    <hyperlink ref="B204" r:id="rId251" display="https://my.zakupki.prom.ua/remote/dispatcher/state_purchase_view/18122268"/>
    <hyperlink ref="AR204" r:id="rId252" display="https://auction.openprocurement.org/tenders/95edfef19eb044b88ce7f5094865c8ca"/>
    <hyperlink ref="B205" r:id="rId253" display="https://my.zakupki.prom.ua/remote/dispatcher/state_purchase_view/14191350"/>
    <hyperlink ref="B206" r:id="rId254" display="https://my.zakupki.prom.ua/remote/dispatcher/state_purchase_view/9614727"/>
    <hyperlink ref="B207" r:id="rId255" display="https://my.zakupki.prom.ua/remote/dispatcher/state_purchase_view/15030249"/>
    <hyperlink ref="AR207" r:id="rId256" display="https://auction.openprocurement.org/tenders/d992d4f5bdee40358e7ee71b4d397845"/>
    <hyperlink ref="B208" r:id="rId257" display="https://my.zakupki.prom.ua/remote/dispatcher/state_purchase_view/15634732"/>
    <hyperlink ref="B209" r:id="rId258" display="https://my.zakupki.prom.ua/remote/dispatcher/state_purchase_view/17689504"/>
    <hyperlink ref="B210" r:id="rId259" display="https://my.zakupki.prom.ua/remote/dispatcher/state_purchase_view/16534678"/>
    <hyperlink ref="AR210" r:id="rId260" display="https://auction.openprocurement.org/tenders/2acead8d0ea24dbd9c68093a03d50e39"/>
    <hyperlink ref="B211" r:id="rId261" display="https://my.zakupki.prom.ua/remote/dispatcher/state_purchase_view/14108292"/>
    <hyperlink ref="AR211" r:id="rId262" display="https://auction.openprocurement.org/tenders/cdff23e79d18431b84dde9da0fcf4c06"/>
    <hyperlink ref="B212" r:id="rId263" display="https://my.zakupki.prom.ua/remote/dispatcher/state_purchase_view/14373476"/>
    <hyperlink ref="B213" r:id="rId264" display="https://my.zakupki.prom.ua/remote/dispatcher/state_purchase_view/19985364"/>
    <hyperlink ref="AR213" r:id="rId265" display="https://auction.openprocurement.org/tenders/22236afc6aac4664bd96679f84b462e4"/>
    <hyperlink ref="B214" r:id="rId266" display="https://my.zakupki.prom.ua/remote/dispatcher/state_purchase_view/20915112"/>
    <hyperlink ref="B215" r:id="rId267" display="https://my.zakupki.prom.ua/remote/dispatcher/state_purchase_view/18270373"/>
    <hyperlink ref="B216" r:id="rId268" display="https://my.zakupki.prom.ua/remote/dispatcher/state_purchase_view/21726792"/>
    <hyperlink ref="B217" r:id="rId269" display="https://my.zakupki.prom.ua/remote/dispatcher/state_purchase_view/19618159"/>
    <hyperlink ref="AR217" r:id="rId270" display="https://auction.openprocurement.org/tenders/cc016270d1044b9bada98029da03d0ba"/>
    <hyperlink ref="B218" r:id="rId271" display="https://my.zakupki.prom.ua/remote/dispatcher/state_purchase_view/10611612"/>
    <hyperlink ref="AR218" r:id="rId272" display="https://auction.openprocurement.org/tenders/5893a5f22f5b4dc19d759435f9e424cf"/>
    <hyperlink ref="B219" r:id="rId273" display="https://my.zakupki.prom.ua/remote/dispatcher/state_purchase_view/11887001"/>
    <hyperlink ref="C219" r:id="rId274" display="https://my.zakupki.prom.ua/remote/dispatcher/state_purchase_lot_view/456325"/>
    <hyperlink ref="B220" r:id="rId275" display="https://my.zakupki.prom.ua/remote/dispatcher/state_purchase_view/11887001"/>
    <hyperlink ref="C220" r:id="rId276" display="https://my.zakupki.prom.ua/remote/dispatcher/state_purchase_lot_view/456326"/>
    <hyperlink ref="B221" r:id="rId277" display="https://my.zakupki.prom.ua/remote/dispatcher/state_purchase_view/12234254"/>
    <hyperlink ref="AR221" r:id="rId278" display="https://auction.openprocurement.org/tenders/2dd87de9383e4c5894c3e72c6c8b6af0"/>
    <hyperlink ref="B222" r:id="rId279" display="https://my.zakupki.prom.ua/remote/dispatcher/state_purchase_view/12044891"/>
    <hyperlink ref="AR222" r:id="rId280" display="https://auction.openprocurement.org/tenders/a8c977731b184ff78c90e6355a412a16"/>
    <hyperlink ref="B223" r:id="rId281" display="https://my.zakupki.prom.ua/remote/dispatcher/state_purchase_view/8415557"/>
    <hyperlink ref="AR223" r:id="rId282" display="https://auction.openprocurement.org/tenders/84af9ed95de74eb1a29758063e51023a"/>
    <hyperlink ref="B224" r:id="rId283" display="https://my.zakupki.prom.ua/remote/dispatcher/state_purchase_view/8486858"/>
    <hyperlink ref="AR224" r:id="rId284" display="https://auction.openprocurement.org/tenders/71794b3dbd0645f5b4281adf9e6af641"/>
    <hyperlink ref="B225" r:id="rId285" display="https://my.zakupki.prom.ua/remote/dispatcher/state_purchase_view/12865370"/>
    <hyperlink ref="AR225" r:id="rId286" display="https://auction.openprocurement.org/tenders/1be7890066da498ab33ef87dd8934523"/>
    <hyperlink ref="B226" r:id="rId287" display="https://my.zakupki.prom.ua/remote/dispatcher/state_purchase_view/12600013"/>
    <hyperlink ref="AR226" r:id="rId288" display="https://auction.openprocurement.org/tenders/81a5f4bf5f04470ea8d7556dd029c1d7"/>
    <hyperlink ref="B227" r:id="rId289" display="https://my.zakupki.prom.ua/remote/dispatcher/state_purchase_view/11705066"/>
    <hyperlink ref="C227" r:id="rId290" display="https://my.zakupki.prom.ua/remote/dispatcher/state_purchase_lot_view/452330"/>
    <hyperlink ref="AR227" r:id="rId291" display="https://auction.openprocurement.org/tenders/dee5e5590df743988bb3a7a22fa0703d_9f5f5c423d154435858ac5a4206eaf51"/>
    <hyperlink ref="B228" r:id="rId292" display="https://my.zakupki.prom.ua/remote/dispatcher/state_purchase_view/11705066"/>
    <hyperlink ref="C228" r:id="rId293" display="https://my.zakupki.prom.ua/remote/dispatcher/state_purchase_lot_view/452331"/>
    <hyperlink ref="B229" r:id="rId294" display="https://my.zakupki.prom.ua/remote/dispatcher/state_purchase_view/11602150"/>
    <hyperlink ref="B230" r:id="rId295" display="https://my.zakupki.prom.ua/remote/dispatcher/state_purchase_view/15581401"/>
    <hyperlink ref="B231" r:id="rId296" display="https://my.zakupki.prom.ua/remote/dispatcher/state_purchase_view/22452158"/>
    <hyperlink ref="B232" r:id="rId297" display="https://my.zakupki.prom.ua/remote/dispatcher/state_purchase_view/20615611"/>
    <hyperlink ref="AR232" r:id="rId298" display="https://auction.openprocurement.org/tenders/d2662b8384374137ad9b015ca0785aec"/>
    <hyperlink ref="B233" r:id="rId299" display="https://my.zakupki.prom.ua/remote/dispatcher/state_purchase_view/25639979"/>
    <hyperlink ref="B234" r:id="rId300" display="https://my.zakupki.prom.ua/remote/dispatcher/state_purchase_view/24085966"/>
    <hyperlink ref="B235" r:id="rId301" display="https://my.zakupki.prom.ua/remote/dispatcher/state_purchase_view/22942468"/>
    <hyperlink ref="B236" r:id="rId302" display="https://my.zakupki.prom.ua/remote/dispatcher/state_purchase_view/23397016"/>
    <hyperlink ref="AR236" r:id="rId303" display="https://auction.openprocurement.org/tenders/c64465d0c1434edf897e4d8bbea4f27c"/>
    <hyperlink ref="B237" r:id="rId304" display="https://my.zakupki.prom.ua/remote/dispatcher/state_purchase_view/26170130"/>
    <hyperlink ref="B238" r:id="rId305" display="https://my.zakupki.prom.ua/remote/dispatcher/state_purchase_view/12234131"/>
    <hyperlink ref="AR238" r:id="rId306" display="https://auction.openprocurement.org/tenders/d636d8d6dcba42ab89f8ef224f3bc710"/>
    <hyperlink ref="B239" r:id="rId307" display="https://my.zakupki.prom.ua/remote/dispatcher/state_purchase_view/10374815"/>
    <hyperlink ref="B240" r:id="rId308" display="https://my.zakupki.prom.ua/remote/dispatcher/state_purchase_view/14305417"/>
    <hyperlink ref="B241" r:id="rId309" display="https://my.zakupki.prom.ua/remote/dispatcher/state_purchase_view/13492419"/>
    <hyperlink ref="B242" r:id="rId310" display="https://my.zakupki.prom.ua/remote/dispatcher/state_purchase_view/13086645"/>
    <hyperlink ref="AR242" r:id="rId311" display="https://auction.openprocurement.org/tenders/1269eccdb5224e7cb41eac248053e3e0"/>
    <hyperlink ref="B243" r:id="rId312" display="https://my.zakupki.prom.ua/remote/dispatcher/state_purchase_view/11505299"/>
    <hyperlink ref="B244" r:id="rId313" display="https://my.zakupki.prom.ua/remote/dispatcher/state_purchase_view/11476169"/>
    <hyperlink ref="AR244" r:id="rId314" display="https://auction.openprocurement.org/tenders/5fee5ca737bd449cbef6607d03b9f161"/>
    <hyperlink ref="B245" r:id="rId315" display="https://my.zakupki.prom.ua/remote/dispatcher/state_purchase_view/12465661"/>
    <hyperlink ref="AR245" r:id="rId316" display="https://auction.openprocurement.org/tenders/37ec91b36878447e9e3c38c173c0f838"/>
    <hyperlink ref="B246" r:id="rId317" display="https://my.zakupki.prom.ua/remote/dispatcher/state_purchase_view/12922705"/>
    <hyperlink ref="B247" r:id="rId318" display="https://my.zakupki.prom.ua/remote/dispatcher/state_purchase_view/12728028"/>
    <hyperlink ref="AR247" r:id="rId319" display="https://auction.openprocurement.org/tenders/332ad9c1a9fe4c238312a77bb0de1189"/>
    <hyperlink ref="B248" r:id="rId320" display="https://my.zakupki.prom.ua/remote/dispatcher/state_purchase_view/10905672"/>
    <hyperlink ref="B249" r:id="rId321" display="https://my.zakupki.prom.ua/remote/dispatcher/state_purchase_view/10831216"/>
    <hyperlink ref="B250" r:id="rId322" display="https://my.zakupki.prom.ua/remote/dispatcher/state_purchase_view/10672939"/>
    <hyperlink ref="AR250" r:id="rId323" display="https://auction.openprocurement.org/tenders/5d694f28f7b04d3ebee044b988d3d1dc"/>
    <hyperlink ref="B251" r:id="rId324" display="https://my.zakupki.prom.ua/remote/dispatcher/state_purchase_view/8405683"/>
    <hyperlink ref="AR251" r:id="rId325" display="https://auction.openprocurement.org/tenders/45b560c79c7e41ba8b3d157d5619098d"/>
    <hyperlink ref="B252" r:id="rId326" display="https://my.zakupki.prom.ua/remote/dispatcher/state_purchase_view/10126170"/>
    <hyperlink ref="B253" r:id="rId327" display="https://my.zakupki.prom.ua/remote/dispatcher/state_purchase_view/14450412"/>
    <hyperlink ref="AR253" r:id="rId328" display="https://auction.openprocurement.org/tenders/2ebdae0de87f4bd7bf10a20f4bf3b5d8"/>
    <hyperlink ref="B254" r:id="rId329" display="https://my.zakupki.prom.ua/remote/dispatcher/state_purchase_view/22852399"/>
    <hyperlink ref="B255" r:id="rId330" display="https://my.zakupki.prom.ua/remote/dispatcher/state_purchase_view/22967219"/>
    <hyperlink ref="B256" r:id="rId331" display="https://my.zakupki.prom.ua/remote/dispatcher/state_purchase_view/22911887"/>
    <hyperlink ref="B257" r:id="rId332" display="https://my.zakupki.prom.ua/remote/dispatcher/state_purchase_view/14437198"/>
    <hyperlink ref="B258" r:id="rId333" display="https://my.zakupki.prom.ua/remote/dispatcher/state_purchase_view/14375960"/>
    <hyperlink ref="B259" r:id="rId334" display="https://my.zakupki.prom.ua/remote/dispatcher/state_purchase_view/14375454"/>
    <hyperlink ref="B260" r:id="rId335" display="https://my.zakupki.prom.ua/remote/dispatcher/state_purchase_view/21979901"/>
    <hyperlink ref="B261" r:id="rId336" display="https://my.zakupki.prom.ua/remote/dispatcher/state_purchase_view/21427512"/>
    <hyperlink ref="B262" r:id="rId337" display="https://my.zakupki.prom.ua/remote/dispatcher/state_purchase_view/21316316"/>
    <hyperlink ref="B263" r:id="rId338" display="https://my.zakupki.prom.ua/remote/dispatcher/state_purchase_view/20914537"/>
    <hyperlink ref="B264" r:id="rId339" display="https://my.zakupki.prom.ua/remote/dispatcher/state_purchase_view/15040535"/>
    <hyperlink ref="B265" r:id="rId340" display="https://my.zakupki.prom.ua/remote/dispatcher/state_purchase_view/22096755"/>
    <hyperlink ref="B266" r:id="rId341" display="https://my.zakupki.prom.ua/remote/dispatcher/state_purchase_view/22013625"/>
    <hyperlink ref="B267" r:id="rId342" display="https://my.zakupki.prom.ua/remote/dispatcher/state_purchase_view/20075784"/>
    <hyperlink ref="B268" r:id="rId343" display="https://my.zakupki.prom.ua/remote/dispatcher/state_purchase_view/19612593"/>
    <hyperlink ref="AR268" r:id="rId344" display="https://auction.openprocurement.org/tenders/f0ee15c07769491e94f9790789d36750"/>
    <hyperlink ref="B269" r:id="rId345" display="https://my.zakupki.prom.ua/remote/dispatcher/state_purchase_view/22829378"/>
    <hyperlink ref="B270" r:id="rId346" display="https://my.zakupki.prom.ua/remote/dispatcher/state_purchase_view/22285775"/>
    <hyperlink ref="B271" r:id="rId347" display="https://my.zakupki.prom.ua/remote/dispatcher/state_purchase_view/22198513"/>
    <hyperlink ref="B272" r:id="rId348" display="https://my.zakupki.prom.ua/remote/dispatcher/state_purchase_view/23303029"/>
    <hyperlink ref="B273" r:id="rId349" display="https://my.zakupki.prom.ua/remote/dispatcher/state_purchase_view/22896321"/>
    <hyperlink ref="AR273" r:id="rId350" display="https://auction.openprocurement.org/tenders/8e3cd899507343c9bf708fec25392f2d"/>
    <hyperlink ref="B274" r:id="rId351" display="https://my.zakupki.prom.ua/remote/dispatcher/state_purchase_view/23096268"/>
    <hyperlink ref="B275" r:id="rId352" display="https://my.zakupki.prom.ua/remote/dispatcher/state_purchase_view/23221635"/>
    <hyperlink ref="B276" r:id="rId353" display="https://my.zakupki.prom.ua/remote/dispatcher/state_purchase_view/22446520"/>
    <hyperlink ref="B277" r:id="rId354" display="https://my.zakupki.prom.ua/remote/dispatcher/state_purchase_view/23327207"/>
    <hyperlink ref="AR277" r:id="rId355" display="https://auction.openprocurement.org/tenders/4ea96ccff18c49d185c23f6e3d42387c"/>
    <hyperlink ref="B278" r:id="rId356" display="https://my.zakupki.prom.ua/remote/dispatcher/state_purchase_view/24671920"/>
    <hyperlink ref="B279" r:id="rId357" display="https://my.zakupki.prom.ua/remote/dispatcher/state_purchase_view/26805481"/>
    <hyperlink ref="B280" r:id="rId358" display="https://my.zakupki.prom.ua/remote/dispatcher/state_purchase_view/27957283"/>
    <hyperlink ref="B281" r:id="rId359" display="https://my.zakupki.prom.ua/remote/dispatcher/state_purchase_view/14191657"/>
    <hyperlink ref="B282" r:id="rId360" display="https://my.zakupki.prom.ua/remote/dispatcher/state_purchase_view/12998775"/>
    <hyperlink ref="B283" r:id="rId361" display="https://my.zakupki.prom.ua/remote/dispatcher/state_purchase_view/13491776"/>
    <hyperlink ref="B284" r:id="rId362" display="https://my.zakupki.prom.ua/remote/dispatcher/state_purchase_view/11782277"/>
    <hyperlink ref="B285" r:id="rId363" display="https://my.zakupki.prom.ua/remote/dispatcher/state_purchase_view/12032827"/>
    <hyperlink ref="AR285" r:id="rId364" display="https://auction.openprocurement.org/tenders/9b963ee925df444eacd5ccc4ba0d8c35"/>
    <hyperlink ref="B286" r:id="rId365" display="https://my.zakupki.prom.ua/remote/dispatcher/state_purchase_view/11659165"/>
    <hyperlink ref="B287" r:id="rId366" display="https://my.zakupki.prom.ua/remote/dispatcher/state_purchase_view/11775759"/>
    <hyperlink ref="AR287" r:id="rId367" display="https://auction.openprocurement.org/tenders/11b2de4e0ec54d0988459dec3468b217"/>
    <hyperlink ref="B288" r:id="rId368" display="https://my.zakupki.prom.ua/remote/dispatcher/state_purchase_view/12130671"/>
    <hyperlink ref="B289" r:id="rId369" display="https://my.zakupki.prom.ua/remote/dispatcher/state_purchase_view/12370837"/>
    <hyperlink ref="AR289" r:id="rId370" display="https://auction.openprocurement.org/tenders/e2e3c847fa4942dcb1f55ccb97598f9d"/>
    <hyperlink ref="B290" r:id="rId371" display="https://my.zakupki.prom.ua/remote/dispatcher/state_purchase_view/10755920"/>
    <hyperlink ref="AR290" r:id="rId372" display="https://auction.openprocurement.org/tenders/f0988a67d5eb4e0481f9f78bd8c45106"/>
    <hyperlink ref="B291" r:id="rId373" display="https://my.zakupki.prom.ua/remote/dispatcher/state_purchase_view/11418347"/>
    <hyperlink ref="B292" r:id="rId374" display="https://my.zakupki.prom.ua/remote/dispatcher/state_purchase_view/13286595"/>
    <hyperlink ref="AR292" r:id="rId375" display="https://auction.openprocurement.org/tenders/83c02fff275e4a7ebf70e67714f7a248"/>
    <hyperlink ref="B293" r:id="rId376" display="https://my.zakupki.prom.ua/remote/dispatcher/state_purchase_view/10029639"/>
    <hyperlink ref="AR293" r:id="rId377" display="https://auction.openprocurement.org/tenders/1f4dfd1de0ff42f99321af8af672a787"/>
    <hyperlink ref="B294" r:id="rId378" display="https://my.zakupki.prom.ua/remote/dispatcher/state_purchase_view/8485448"/>
    <hyperlink ref="AR294" r:id="rId379" display="https://auction.openprocurement.org/tenders/d852318993374bda995bc52cfae4b70f"/>
    <hyperlink ref="B295" r:id="rId380" display="https://my.zakupki.prom.ua/remote/dispatcher/state_purchase_view/12762627"/>
    <hyperlink ref="AR295" r:id="rId381" display="https://auction.openprocurement.org/tenders/dc72306dce4b4f1f9530de0dbf645b7b"/>
    <hyperlink ref="B296" r:id="rId382" display="https://my.zakupki.prom.ua/remote/dispatcher/state_purchase_view/13833732"/>
    <hyperlink ref="AR296" r:id="rId383" display="https://auction.openprocurement.org/tenders/c7208bfa02764c7a9b0a1bd679bb1db1"/>
    <hyperlink ref="B297" r:id="rId384" display="https://my.zakupki.prom.ua/remote/dispatcher/state_purchase_view/16021724"/>
    <hyperlink ref="B298" r:id="rId385" display="https://my.zakupki.prom.ua/remote/dispatcher/state_purchase_view/14659741"/>
    <hyperlink ref="B299" r:id="rId386" display="https://my.zakupki.prom.ua/remote/dispatcher/state_purchase_view/22891581"/>
    <hyperlink ref="B300" r:id="rId387" display="https://my.zakupki.prom.ua/remote/dispatcher/state_purchase_view/14376127"/>
    <hyperlink ref="B301" r:id="rId388" display="https://my.zakupki.prom.ua/remote/dispatcher/state_purchase_view/14374199"/>
    <hyperlink ref="B302" r:id="rId389" display="https://my.zakupki.prom.ua/remote/dispatcher/state_purchase_view/22016115"/>
    <hyperlink ref="B303" r:id="rId390" display="https://my.zakupki.prom.ua/remote/dispatcher/state_purchase_view/15269350"/>
    <hyperlink ref="B304" r:id="rId391" display="https://my.zakupki.prom.ua/remote/dispatcher/state_purchase_view/14878555"/>
    <hyperlink ref="B305" r:id="rId392" display="https://my.zakupki.prom.ua/remote/dispatcher/state_purchase_view/14812498"/>
    <hyperlink ref="B306" r:id="rId393" display="https://my.zakupki.prom.ua/remote/dispatcher/state_purchase_view/20421765"/>
    <hyperlink ref="B307" r:id="rId394" display="https://my.zakupki.prom.ua/remote/dispatcher/state_purchase_view/19605189"/>
    <hyperlink ref="B308" r:id="rId395" display="https://my.zakupki.prom.ua/remote/dispatcher/state_purchase_view/19495890"/>
    <hyperlink ref="B309" r:id="rId396" display="https://my.zakupki.prom.ua/remote/dispatcher/state_purchase_view/22045673"/>
    <hyperlink ref="B310" r:id="rId397" display="https://my.zakupki.prom.ua/remote/dispatcher/state_purchase_view/24436186"/>
    <hyperlink ref="AR310" r:id="rId398" display="https://auction.openprocurement.org/tenders/c0d09ac1c19d4f11bad616ee5a4544e4"/>
    <hyperlink ref="B311" r:id="rId399" display="https://my.zakupki.prom.ua/remote/dispatcher/state_purchase_view/20919372"/>
    <hyperlink ref="B312" r:id="rId400" display="https://my.zakupki.prom.ua/remote/dispatcher/state_purchase_view/18517989"/>
    <hyperlink ref="B313" r:id="rId401" display="https://my.zakupki.prom.ua/remote/dispatcher/state_purchase_view/17765041"/>
    <hyperlink ref="AR313" r:id="rId402" display="https://auction.openprocurement.org/tenders/b63f590b4aaa41579e45c8ec39d820f3"/>
    <hyperlink ref="B314" r:id="rId403" display="https://my.zakupki.prom.ua/remote/dispatcher/state_purchase_view/25991086"/>
    <hyperlink ref="B315" r:id="rId404" display="https://my.zakupki.prom.ua/remote/dispatcher/state_purchase_view/26804327"/>
    <hyperlink ref="B316" r:id="rId405" display="https://my.zakupki.prom.ua/remote/dispatcher/state_purchase_view/25711805"/>
    <hyperlink ref="AR316" r:id="rId406" display="https://auction.openprocurement.org/tenders/e5979f447cc04855ad3d65f4bb4fa63b"/>
    <hyperlink ref="B317" r:id="rId407" display="https://my.zakupki.prom.ua/remote/dispatcher/state_purchase_view/24872482"/>
    <hyperlink ref="AR317" r:id="rId408" display="https://auction.openprocurement.org/tenders/5c973d74ea39488e9dc25c51832f0618"/>
    <hyperlink ref="B318" r:id="rId409" display="https://my.zakupki.prom.ua/remote/dispatcher/state_purchase_view/26071921"/>
    <hyperlink ref="B319" r:id="rId410" display="https://my.zakupki.prom.ua/remote/dispatcher/state_purchase_view/21896543"/>
    <hyperlink ref="B320" r:id="rId411" display="https://my.zakupki.prom.ua/remote/dispatcher/state_purchase_view/27883168"/>
    <hyperlink ref="B321" r:id="rId412" display="https://my.zakupki.prom.ua/remote/dispatcher/state_purchase_view/28226878"/>
    <hyperlink ref="B322" r:id="rId413" display="https://my.zakupki.prom.ua/remote/dispatcher/state_purchase_view/14189803"/>
    <hyperlink ref="B323" r:id="rId414" display="https://my.zakupki.prom.ua/remote/dispatcher/state_purchase_view/9206699"/>
    <hyperlink ref="B324" r:id="rId415" display="https://my.zakupki.prom.ua/remote/dispatcher/state_purchase_view/10756959"/>
    <hyperlink ref="AR324" r:id="rId416" display="https://auction.openprocurement.org/tenders/99efaeed9bd04738acbd461bdb528950"/>
    <hyperlink ref="B325" r:id="rId417" display="https://my.zakupki.prom.ua/remote/dispatcher/state_purchase_view/11873448"/>
    <hyperlink ref="AR325" r:id="rId418" display="https://auction.openprocurement.org/tenders/46cc428b86004949bf5c47873938977a"/>
    <hyperlink ref="B326" r:id="rId419" display="https://my.zakupki.prom.ua/remote/dispatcher/state_purchase_view/11575518"/>
    <hyperlink ref="B327" r:id="rId420" display="https://my.zakupki.prom.ua/remote/dispatcher/state_purchase_view/15637229"/>
    <hyperlink ref="B328" r:id="rId421" display="https://my.zakupki.prom.ua/remote/dispatcher/state_purchase_view/12865202"/>
    <hyperlink ref="AR328" r:id="rId422" display="https://auction.openprocurement.org/tenders/f53ed4057e53479c9956c300912624d8"/>
    <hyperlink ref="B329" r:id="rId423" display="https://my.zakupki.prom.ua/remote/dispatcher/state_purchase_view/13474560"/>
    <hyperlink ref="AR329" r:id="rId424" display="https://auction.openprocurement.org/tenders/2707497619dd49d9b787d391c8e5e934"/>
    <hyperlink ref="B330" r:id="rId425" display="https://my.zakupki.prom.ua/remote/dispatcher/state_purchase_view/12142300"/>
    <hyperlink ref="B331" r:id="rId426" display="https://my.zakupki.prom.ua/remote/dispatcher/state_purchase_view/8413586"/>
    <hyperlink ref="B332" r:id="rId427" display="https://my.zakupki.prom.ua/remote/dispatcher/state_purchase_view/8458668"/>
    <hyperlink ref="AR332" r:id="rId428" display="https://auction.openprocurement.org/tenders/8fca25f568ef4104961f20a5f5d1c867"/>
    <hyperlink ref="B333" r:id="rId429" display="https://my.zakupki.prom.ua/remote/dispatcher/state_purchase_view/10389109"/>
    <hyperlink ref="AR333" r:id="rId430" display="https://auction.openprocurement.org/tenders/353fe8e9eeb9457ca9b5a50a4a59290e"/>
    <hyperlink ref="B334" r:id="rId431" display="https://my.zakupki.prom.ua/remote/dispatcher/state_purchase_view/12233996"/>
    <hyperlink ref="AR334" r:id="rId432" display="https://auction.openprocurement.org/tenders/8b500423fb8449278c24e5ab6417873d"/>
    <hyperlink ref="B335" r:id="rId433" display="https://my.zakupki.prom.ua/remote/dispatcher/state_purchase_view/20015930"/>
    <hyperlink ref="B336" r:id="rId434" display="https://my.zakupki.prom.ua/remote/dispatcher/state_purchase_view/22823300"/>
    <hyperlink ref="B337" r:id="rId435" display="https://my.zakupki.prom.ua/remote/dispatcher/state_purchase_view/22422948"/>
    <hyperlink ref="B338" r:id="rId436" display="https://my.zakupki.prom.ua/remote/dispatcher/state_purchase_view/21747852"/>
    <hyperlink ref="B339" r:id="rId437" display="https://my.zakupki.prom.ua/remote/dispatcher/state_purchase_view/21533054"/>
    <hyperlink ref="B340" r:id="rId438" display="https://my.zakupki.prom.ua/remote/dispatcher/state_purchase_view/14953490"/>
    <hyperlink ref="B341" r:id="rId439" display="https://my.zakupki.prom.ua/remote/dispatcher/state_purchase_view/14885577"/>
    <hyperlink ref="B342" r:id="rId440" display="https://my.zakupki.prom.ua/remote/dispatcher/state_purchase_view/19350056"/>
    <hyperlink ref="AR342" r:id="rId441" display="https://auction.openprocurement.org/tenders/aec918b65e144ce28d3f2fdb59e88f51"/>
    <hyperlink ref="B343" r:id="rId442" display="https://my.zakupki.prom.ua/remote/dispatcher/state_purchase_view/20490874"/>
    <hyperlink ref="B344" r:id="rId443" display="https://my.zakupki.prom.ua/remote/dispatcher/state_purchase_view/15065420"/>
    <hyperlink ref="AR344" r:id="rId444" display="https://auction.openprocurement.org/tenders/f4d3d2ec17884f99a87e5491722c233f"/>
    <hyperlink ref="B345" r:id="rId445" display="https://my.zakupki.prom.ua/remote/dispatcher/state_purchase_view/16520592"/>
    <hyperlink ref="AR345" r:id="rId446" display="https://auction.openprocurement.org/tenders/fb957df1f00f41da8135dea76db2f9db"/>
    <hyperlink ref="B346" r:id="rId447" display="https://my.zakupki.prom.ua/remote/dispatcher/state_purchase_view/16557583"/>
    <hyperlink ref="B347" r:id="rId448" display="https://my.zakupki.prom.ua/remote/dispatcher/state_purchase_view/15321931"/>
    <hyperlink ref="B348" r:id="rId449" display="https://my.zakupki.prom.ua/remote/dispatcher/state_purchase_view/14492873"/>
    <hyperlink ref="B349" r:id="rId450" display="https://my.zakupki.prom.ua/remote/dispatcher/state_purchase_view/18766380"/>
    <hyperlink ref="B350" r:id="rId451" display="https://my.zakupki.prom.ua/remote/dispatcher/state_purchase_view/17851082"/>
    <hyperlink ref="AR350" r:id="rId452" display="https://auction.openprocurement.org/tenders/0d7edb442f5e447e9ad2ff1eaf55f5c9"/>
    <hyperlink ref="B351" r:id="rId453" display="https://my.zakupki.prom.ua/remote/dispatcher/state_purchase_view/19518330"/>
    <hyperlink ref="B352" r:id="rId454" display="https://my.zakupki.prom.ua/remote/dispatcher/state_purchase_view/18979736"/>
    <hyperlink ref="AR352" r:id="rId455" display="https://auction.openprocurement.org/tenders/2d15cd3ab894484098e407478ac9b7c5"/>
    <hyperlink ref="B353" r:id="rId456" display="https://my.zakupki.prom.ua/remote/dispatcher/state_purchase_view/16038907"/>
    <hyperlink ref="AR353" r:id="rId457" display="https://auction.openprocurement.org/tenders/4609124b2e8f4b6f95ec17b0cce84727"/>
    <hyperlink ref="B354" r:id="rId458" display="https://my.zakupki.prom.ua/remote/dispatcher/state_purchase_view/15675233"/>
    <hyperlink ref="AR354" r:id="rId459" display="https://auction.openprocurement.org/tenders/9ca1d73717004cd7a4ac3e88c0b25030"/>
    <hyperlink ref="B355" r:id="rId460" display="https://my.zakupki.prom.ua/remote/dispatcher/state_purchase_view/24377674"/>
    <hyperlink ref="B356" r:id="rId461" display="https://my.zakupki.prom.ua/remote/dispatcher/state_purchase_view/24670729"/>
    <hyperlink ref="B357" r:id="rId462" display="https://my.zakupki.prom.ua/remote/dispatcher/state_purchase_view/23269062"/>
    <hyperlink ref="B358" r:id="rId463" display="https://my.zakupki.prom.ua/remote/dispatcher/state_purchase_view/27392990"/>
    <hyperlink ref="AR358" r:id="rId464" display="https://auctions.prozorro.gov.ua/tenders/d215d70855fa4646b230d6c558619e90"/>
    <hyperlink ref="B359" r:id="rId465" display="https://my.zakupki.prom.ua/remote/dispatcher/state_purchase_view/11489053"/>
    <hyperlink ref="B360" r:id="rId466" display="https://my.zakupki.prom.ua/remote/dispatcher/state_purchase_view/12381092"/>
    <hyperlink ref="B361" r:id="rId467" display="https://my.zakupki.prom.ua/remote/dispatcher/state_purchase_view/12771158"/>
    <hyperlink ref="AR361" r:id="rId468" display="https://auction.openprocurement.org/tenders/4bf96b95b943452f8a9be27884e59666"/>
    <hyperlink ref="B362" r:id="rId469" display="https://my.zakupki.prom.ua/remote/dispatcher/state_purchase_view/12708057"/>
    <hyperlink ref="AR362" r:id="rId470" display="https://auction.openprocurement.org/tenders/62b95c08c19742df8cb5299d3dff1913"/>
    <hyperlink ref="B363" r:id="rId471" display="https://my.zakupki.prom.ua/remote/dispatcher/state_purchase_view/13354464"/>
    <hyperlink ref="B364" r:id="rId472" display="https://my.zakupki.prom.ua/remote/dispatcher/state_purchase_view/11193498"/>
    <hyperlink ref="AR364" r:id="rId473" display="https://auction.openprocurement.org/tenders/1d205d5f57cd40f49db9ee92b6cef1fd"/>
    <hyperlink ref="B365" r:id="rId474" display="https://my.zakupki.prom.ua/remote/dispatcher/state_purchase_view/11034699"/>
    <hyperlink ref="B366" r:id="rId475" display="https://my.zakupki.prom.ua/remote/dispatcher/state_purchase_view/10754409"/>
    <hyperlink ref="B367" r:id="rId476" display="https://my.zakupki.prom.ua/remote/dispatcher/state_purchase_view/11283968"/>
    <hyperlink ref="B368" r:id="rId477" display="https://my.zakupki.prom.ua/remote/dispatcher/state_purchase_view/10303006"/>
    <hyperlink ref="AR368" r:id="rId478" display="https://auction.openprocurement.org/tenders/6942704bc7174fb2844d102c9c387bb4"/>
    <hyperlink ref="B369" r:id="rId479" display="https://my.zakupki.prom.ua/remote/dispatcher/state_purchase_view/8521666"/>
    <hyperlink ref="AR369" r:id="rId480" display="https://auction.openprocurement.org/tenders/dd02c9e6722b4ba488962694693a8120"/>
    <hyperlink ref="B370" r:id="rId481" display="https://my.zakupki.prom.ua/remote/dispatcher/state_purchase_view/9166750"/>
    <hyperlink ref="B371" r:id="rId482" display="https://my.zakupki.prom.ua/remote/dispatcher/state_purchase_view/13605512"/>
    <hyperlink ref="AR371" r:id="rId483" display="https://auction.openprocurement.org/tenders/b06394e0bd474395bdceb62ca92f4c45"/>
    <hyperlink ref="B372" r:id="rId484" display="https://my.zakupki.prom.ua/remote/dispatcher/state_purchase_view/17021310"/>
    <hyperlink ref="AR372" r:id="rId485" display="https://auction.openprocurement.org/tenders/1b7f920efcc84e208bd0712637056b35"/>
    <hyperlink ref="B373" r:id="rId486" display="https://my.zakupki.prom.ua/remote/dispatcher/state_purchase_view/15853253"/>
    <hyperlink ref="B374" r:id="rId487" display="https://my.zakupki.prom.ua/remote/dispatcher/state_purchase_view/15743740"/>
    <hyperlink ref="B375" r:id="rId488" display="https://my.zakupki.prom.ua/remote/dispatcher/state_purchase_view/13761934"/>
    <hyperlink ref="B376" r:id="rId489" display="https://my.zakupki.prom.ua/remote/dispatcher/state_purchase_view/18781229"/>
    <hyperlink ref="B377" r:id="rId490" display="https://my.zakupki.prom.ua/remote/dispatcher/state_purchase_view/18822660"/>
    <hyperlink ref="B378" r:id="rId491" display="https://my.zakupki.prom.ua/remote/dispatcher/state_purchase_view/17690513"/>
    <hyperlink ref="B379" r:id="rId492" display="https://my.zakupki.prom.ua/remote/dispatcher/state_purchase_view/23167917"/>
    <hyperlink ref="B380" r:id="rId493" display="https://my.zakupki.prom.ua/remote/dispatcher/state_purchase_view/14953883"/>
    <hyperlink ref="B381" r:id="rId494" display="https://my.zakupki.prom.ua/remote/dispatcher/state_purchase_view/14391152"/>
    <hyperlink ref="AR381" r:id="rId495" display="https://auction.openprocurement.org/tenders/3a84508ad8a648eaa8ea82d76a76eb73"/>
    <hyperlink ref="B382" r:id="rId496" display="https://my.zakupki.prom.ua/remote/dispatcher/state_purchase_view/19013480"/>
    <hyperlink ref="B383" r:id="rId497" display="https://my.zakupki.prom.ua/remote/dispatcher/state_purchase_view/18964901"/>
    <hyperlink ref="B384" r:id="rId498" display="https://my.zakupki.prom.ua/remote/dispatcher/state_purchase_view/15220655"/>
    <hyperlink ref="AR384" r:id="rId499" display="https://auction.openprocurement.org/tenders/96744a2881064b3eb5a7e4d6f8840e7b"/>
    <hyperlink ref="B385" r:id="rId500" display="https://my.zakupki.prom.ua/remote/dispatcher/state_purchase_view/15040983"/>
    <hyperlink ref="B386" r:id="rId501" display="https://my.zakupki.prom.ua/remote/dispatcher/state_purchase_view/19658799"/>
    <hyperlink ref="B387" r:id="rId502" display="https://my.zakupki.prom.ua/remote/dispatcher/state_purchase_view/22017159"/>
    <hyperlink ref="B388" r:id="rId503" display="https://my.zakupki.prom.ua/remote/dispatcher/state_purchase_view/19619864"/>
    <hyperlink ref="AR388" r:id="rId504" display="https://auction.openprocurement.org/tenders/a7c1228aae1c4427af3c6846fefb9ee8"/>
    <hyperlink ref="B389" r:id="rId505" display="https://my.zakupki.prom.ua/remote/dispatcher/state_purchase_view/22940750"/>
    <hyperlink ref="B390" r:id="rId506" display="https://my.zakupki.prom.ua/remote/dispatcher/state_purchase_view/22968694"/>
    <hyperlink ref="B391" r:id="rId507" display="https://my.zakupki.prom.ua/remote/dispatcher/state_purchase_view/18933496"/>
    <hyperlink ref="B392" r:id="rId508" display="https://my.zakupki.prom.ua/remote/dispatcher/state_purchase_view/24040313"/>
    <hyperlink ref="B393" r:id="rId509" display="https://my.zakupki.prom.ua/remote/dispatcher/state_purchase_view/24428301"/>
    <hyperlink ref="B394" r:id="rId510" display="https://my.zakupki.prom.ua/remote/dispatcher/state_purchase_view/24698248"/>
    <hyperlink ref="AR394" r:id="rId511" display="https://auction.openprocurement.org/tenders/e81b35038f8d495a96544d52422809d5"/>
    <hyperlink ref="B395" r:id="rId512" display="https://my.zakupki.prom.ua/remote/dispatcher/state_purchase_view/27361590"/>
    <hyperlink ref="C395" r:id="rId513" display="https://my.zakupki.prom.ua/remote/dispatcher/state_purchase_lot_view/665675"/>
    <hyperlink ref="AR395" r:id="rId514" display="https://auction.openprocurement.org/tenders/7f97cb92f95947cb9c17b28f01768c6c_41053cc8d43d4edfaccef418c23c1a04"/>
    <hyperlink ref="B396" r:id="rId515" display="https://my.zakupki.prom.ua/remote/dispatcher/state_purchase_view/27361590"/>
    <hyperlink ref="C396" r:id="rId516" display="https://my.zakupki.prom.ua/remote/dispatcher/state_purchase_lot_view/665676"/>
    <hyperlink ref="AR396" r:id="rId517" display="https://auction.openprocurement.org/tenders/7f97cb92f95947cb9c17b28f01768c6c_77d53fb6cc1f491da17fd3c2bf5a2f9e"/>
    <hyperlink ref="B397" r:id="rId518" display="https://my.zakupki.prom.ua/remote/dispatcher/state_purchase_view/26600741"/>
    <hyperlink ref="AR397" r:id="rId519" display="https://auction.openprocurement.org/tenders/b764c64b97d64cc483f04b39cea23e04"/>
    <hyperlink ref="B398" r:id="rId520" display="https://my.zakupki.prom.ua/remote/dispatcher/state_purchase_view/27625800"/>
    <hyperlink ref="AR398" r:id="rId521" display="https://auction.openprocurement.org/tenders/e8965efd75284b6ea29d1dada4551fd8"/>
    <hyperlink ref="B399" r:id="rId522" display="https://my.zakupki.prom.ua/remote/dispatcher/state_purchase_view/12704305"/>
    <hyperlink ref="B400" r:id="rId523" display="https://my.zakupki.prom.ua/remote/dispatcher/state_purchase_view/13491268"/>
    <hyperlink ref="B401" r:id="rId524" display="https://my.zakupki.prom.ua/remote/dispatcher/state_purchase_view/11811209"/>
    <hyperlink ref="B402" r:id="rId525" display="https://my.zakupki.prom.ua/remote/dispatcher/state_purchase_view/12488838"/>
    <hyperlink ref="B403" r:id="rId526" display="https://my.zakupki.prom.ua/remote/dispatcher/state_purchase_view/12707681"/>
    <hyperlink ref="AR403" r:id="rId527" display="https://auction.openprocurement.org/tenders/86a5ccf087c74c3e9cb04af0a8af07e2"/>
    <hyperlink ref="B404" r:id="rId528" display="https://my.zakupki.prom.ua/remote/dispatcher/state_purchase_view/12709098"/>
    <hyperlink ref="B405" r:id="rId529" display="https://my.zakupki.prom.ua/remote/dispatcher/state_purchase_view/12509481"/>
    <hyperlink ref="AR405" r:id="rId530" display="https://auction.openprocurement.org/tenders/c6005ea2956a4dbcbe1580048cf992fe"/>
    <hyperlink ref="B406" r:id="rId531" display="https://my.zakupki.prom.ua/remote/dispatcher/state_purchase_view/12793650"/>
    <hyperlink ref="AR406" r:id="rId532" display="https://auction.openprocurement.org/tenders/a42960c5a31845948f3ab86a72f03f74"/>
    <hyperlink ref="B407" r:id="rId533" display="https://my.zakupki.prom.ua/remote/dispatcher/state_purchase_view/14802529"/>
    <hyperlink ref="B408" r:id="rId534" display="https://my.zakupki.prom.ua/remote/dispatcher/state_purchase_view/11907305"/>
    <hyperlink ref="AR408" r:id="rId535" display="https://auction.openprocurement.org/tenders/cb3027d5e8ed4b16a8c31f79fb54438e"/>
    <hyperlink ref="B409" r:id="rId536" display="https://my.zakupki.prom.ua/remote/dispatcher/state_purchase_view/18074347"/>
    <hyperlink ref="B410" r:id="rId537" display="https://my.zakupki.prom.ua/remote/dispatcher/state_purchase_view/17696876"/>
    <hyperlink ref="AR410" r:id="rId538" display="https://auction.openprocurement.org/tenders/a6d6f683f8de47e58b044f89c7ebf7c9"/>
    <hyperlink ref="B411" r:id="rId539" display="https://my.zakupki.prom.ua/remote/dispatcher/state_purchase_view/19444644"/>
    <hyperlink ref="B412" r:id="rId540" display="https://my.zakupki.prom.ua/remote/dispatcher/state_purchase_view/9045037"/>
    <hyperlink ref="B413" r:id="rId541" display="https://my.zakupki.prom.ua/remote/dispatcher/state_purchase_view/8486213"/>
    <hyperlink ref="AR413" r:id="rId542" display="https://auction.openprocurement.org/tenders/b6866b2c730e44f0946698811aef95e2"/>
    <hyperlink ref="B414" r:id="rId543" display="https://my.zakupki.prom.ua/remote/dispatcher/state_purchase_view/9777374"/>
    <hyperlink ref="B415" r:id="rId544" display="https://my.zakupki.prom.ua/remote/dispatcher/state_purchase_view/21251613"/>
    <hyperlink ref="B416" r:id="rId545" display="https://my.zakupki.prom.ua/remote/dispatcher/state_purchase_view/21718595"/>
    <hyperlink ref="B417" r:id="rId546" display="https://my.zakupki.prom.ua/remote/dispatcher/state_purchase_view/19991363"/>
    <hyperlink ref="B418" r:id="rId547" display="https://my.zakupki.prom.ua/remote/dispatcher/state_purchase_view/19570117"/>
    <hyperlink ref="B419" r:id="rId548" display="https://my.zakupki.prom.ua/remote/dispatcher/state_purchase_view/18218083"/>
    <hyperlink ref="AR419" r:id="rId549" display="https://auction.openprocurement.org/tenders/ef28466ce52e425096100f0997ddbd74"/>
    <hyperlink ref="B420" r:id="rId550" display="https://my.zakupki.prom.ua/remote/dispatcher/state_purchase_view/22052120"/>
    <hyperlink ref="B421" r:id="rId551" display="https://my.zakupki.prom.ua/remote/dispatcher/state_purchase_view/22245315"/>
    <hyperlink ref="B422" r:id="rId552" display="https://my.zakupki.prom.ua/remote/dispatcher/state_purchase_view/23254234"/>
    <hyperlink ref="B423" r:id="rId553" display="https://my.zakupki.prom.ua/remote/dispatcher/state_purchase_view/21216324"/>
    <hyperlink ref="B424" r:id="rId554" display="https://my.zakupki.prom.ua/remote/dispatcher/state_purchase_view/19657840"/>
    <hyperlink ref="B425" r:id="rId555" display="https://my.zakupki.prom.ua/remote/dispatcher/state_purchase_view/19558723"/>
    <hyperlink ref="B426" r:id="rId556" display="https://my.zakupki.prom.ua/remote/dispatcher/state_purchase_view/18636900"/>
    <hyperlink ref="B427" r:id="rId557" display="https://my.zakupki.prom.ua/remote/dispatcher/state_purchase_view/16431701"/>
    <hyperlink ref="B428" r:id="rId558" display="https://my.zakupki.prom.ua/remote/dispatcher/state_purchase_view/16931457"/>
    <hyperlink ref="B429" r:id="rId559" display="https://my.zakupki.prom.ua/remote/dispatcher/state_purchase_view/14956553"/>
    <hyperlink ref="B430" r:id="rId560" display="https://my.zakupki.prom.ua/remote/dispatcher/state_purchase_view/15359813"/>
    <hyperlink ref="B431" r:id="rId561" display="https://my.zakupki.prom.ua/remote/dispatcher/state_purchase_view/15359416"/>
    <hyperlink ref="B432" r:id="rId562" display="https://my.zakupki.prom.ua/remote/dispatcher/state_purchase_view/15264118"/>
    <hyperlink ref="B433" r:id="rId563" display="https://my.zakupki.prom.ua/remote/dispatcher/state_purchase_view/15191426"/>
    <hyperlink ref="B434" r:id="rId564" display="https://my.zakupki.prom.ua/remote/dispatcher/state_purchase_view/22874743"/>
    <hyperlink ref="B435" r:id="rId565" display="https://my.zakupki.prom.ua/remote/dispatcher/state_purchase_view/24206673"/>
    <hyperlink ref="B436" r:id="rId566" display="https://my.zakupki.prom.ua/remote/dispatcher/state_purchase_view/24521122"/>
    <hyperlink ref="B437" r:id="rId567" display="https://my.zakupki.prom.ua/remote/dispatcher/state_purchase_view/25444759"/>
    <hyperlink ref="B438" r:id="rId568" display="https://my.zakupki.prom.ua/remote/dispatcher/state_purchase_view/25355192"/>
    <hyperlink ref="AR438" r:id="rId569" display="https://auction.openprocurement.org/tenders/669455eaad03483f98dadf1b2f987fa7"/>
    <hyperlink ref="B439" r:id="rId570" display="https://my.zakupki.prom.ua/remote/dispatcher/state_purchase_view/26153661"/>
    <hyperlink ref="B440" r:id="rId571" display="https://my.zakupki.prom.ua/remote/dispatcher/state_purchase_view/25165355"/>
    <hyperlink ref="AR440" r:id="rId572" display="https://auction.openprocurement.org/tenders/1ffb62f5bb9641c58519ed57ae0a72e3"/>
    <hyperlink ref="B441" r:id="rId573" display="https://my.zakupki.prom.ua/remote/dispatcher/state_purchase_view/26590909"/>
    <hyperlink ref="B442" r:id="rId574" display="https://my.zakupki.prom.ua/remote/dispatcher/state_purchase_view/24056552"/>
    <hyperlink ref="B443" r:id="rId575" display="https://my.zakupki.prom.ua/remote/dispatcher/state_purchase_view/28179669"/>
    <hyperlink ref="B444" r:id="rId576" display="https://my.zakupki.prom.ua/remote/dispatcher/state_purchase_view/14190064"/>
    <hyperlink ref="B445" r:id="rId577" display="https://my.zakupki.prom.ua/remote/dispatcher/state_purchase_view/11206339"/>
    <hyperlink ref="AR445" r:id="rId578" display="https://auction.openprocurement.org/tenders/1f74083db99a4ee7ae46b865853adb1c"/>
    <hyperlink ref="B446" r:id="rId579" display="https://my.zakupki.prom.ua/remote/dispatcher/state_purchase_view/10661089"/>
    <hyperlink ref="AR446" r:id="rId580" display="https://auction.openprocurement.org/tenders/f419e1fc5d6d4a0080eeea24b7fb56bc"/>
    <hyperlink ref="B447" r:id="rId581" display="https://my.zakupki.prom.ua/remote/dispatcher/state_purchase_view/8458436"/>
    <hyperlink ref="AR447" r:id="rId582" display="https://auction.openprocurement.org/tenders/5cbe3ebda917440e81a4f7cc0a5bf50c"/>
    <hyperlink ref="B448" r:id="rId583" display="https://my.zakupki.prom.ua/remote/dispatcher/state_purchase_view/8459382"/>
    <hyperlink ref="B449" r:id="rId584" display="https://my.zakupki.prom.ua/remote/dispatcher/state_purchase_view/8387094"/>
    <hyperlink ref="AR449" r:id="rId585" display="https://auction.openprocurement.org/tenders/402533dc4ab54de5bd003ffdc1ef97a9"/>
    <hyperlink ref="B450" r:id="rId586" display="https://my.zakupki.prom.ua/remote/dispatcher/state_purchase_view/8429803"/>
    <hyperlink ref="AR450" r:id="rId587" display="https://auction.openprocurement.org/tenders/09a8d6cd7ced47bea025d4c1be4c9fb3"/>
    <hyperlink ref="B451" r:id="rId588" display="https://my.zakupki.prom.ua/remote/dispatcher/state_purchase_view/10448781"/>
    <hyperlink ref="AR451" r:id="rId589" display="https://auction.openprocurement.org/tenders/d3ffbc49faa74a4eb7aab160525daa82"/>
    <hyperlink ref="B452" r:id="rId590" display="https://my.zakupki.prom.ua/remote/dispatcher/state_purchase_view/10728264"/>
    <hyperlink ref="AR452" r:id="rId591" display="https://auction.openprocurement.org/tenders/31762bd54e1d42189b1f140678016068"/>
    <hyperlink ref="B453" r:id="rId592" display="https://my.zakupki.prom.ua/remote/dispatcher/state_purchase_view/9803402"/>
    <hyperlink ref="B454" r:id="rId593" display="https://my.zakupki.prom.ua/remote/dispatcher/state_purchase_view/19119749"/>
    <hyperlink ref="B455" r:id="rId594" display="https://my.zakupki.prom.ua/remote/dispatcher/state_purchase_view/15609139"/>
    <hyperlink ref="AR455" r:id="rId595" display="https://auction.openprocurement.org/tenders/d0d6b107131f4e40b87c667e561c76bd"/>
    <hyperlink ref="B456" r:id="rId596" display="https://my.zakupki.prom.ua/remote/dispatcher/state_purchase_view/22287818"/>
    <hyperlink ref="B457" r:id="rId597" display="https://my.zakupki.prom.ua/remote/dispatcher/state_purchase_view/22909868"/>
    <hyperlink ref="B458" r:id="rId598" display="https://my.zakupki.prom.ua/remote/dispatcher/state_purchase_view/22289800"/>
    <hyperlink ref="B459" r:id="rId599" display="https://my.zakupki.prom.ua/remote/dispatcher/state_purchase_view/15042102"/>
    <hyperlink ref="B460" r:id="rId600" display="https://my.zakupki.prom.ua/remote/dispatcher/state_purchase_view/14469749"/>
    <hyperlink ref="AR460" r:id="rId601" display="https://auction.openprocurement.org/tenders/d8a2aa2cc3444a1cb899d2cfc36644bd"/>
    <hyperlink ref="B461" r:id="rId602" display="https://my.zakupki.prom.ua/remote/dispatcher/state_purchase_view/15605788"/>
    <hyperlink ref="AR461" r:id="rId603" display="https://auction.openprocurement.org/tenders/ff2a9c9301f54c9f8b24d05756c69a6e"/>
    <hyperlink ref="B462" r:id="rId604" display="https://my.zakupki.prom.ua/remote/dispatcher/state_purchase_view/15419414"/>
    <hyperlink ref="B463" r:id="rId605" display="https://my.zakupki.prom.ua/remote/dispatcher/state_purchase_view/17554251"/>
    <hyperlink ref="AR463" r:id="rId606" display="https://auction.openprocurement.org/tenders/0f26b61cdc304bc483317bbac0814a6c"/>
    <hyperlink ref="B464" r:id="rId607" display="https://my.zakupki.prom.ua/remote/dispatcher/state_purchase_view/16518918"/>
    <hyperlink ref="B465" r:id="rId608" display="https://my.zakupki.prom.ua/remote/dispatcher/state_purchase_view/16834205"/>
    <hyperlink ref="AR465" r:id="rId609" display="https://auction.openprocurement.org/tenders/bb084c195db64d35b8af4c525c2046aa"/>
    <hyperlink ref="B466" r:id="rId610" display="https://my.zakupki.prom.ua/remote/dispatcher/state_purchase_view/22131138"/>
    <hyperlink ref="B467" r:id="rId611" display="https://my.zakupki.prom.ua/remote/dispatcher/state_purchase_view/20423104"/>
    <hyperlink ref="B468" r:id="rId612" display="https://my.zakupki.prom.ua/remote/dispatcher/state_purchase_view/21978699"/>
    <hyperlink ref="B469" r:id="rId613" display="https://my.zakupki.prom.ua/remote/dispatcher/state_purchase_view/19494743"/>
    <hyperlink ref="B470" r:id="rId614" display="https://my.zakupki.prom.ua/remote/dispatcher/state_purchase_view/20880120"/>
    <hyperlink ref="B471" r:id="rId615" display="https://my.zakupki.prom.ua/remote/dispatcher/state_purchase_view/19520784"/>
    <hyperlink ref="B472" r:id="rId616" display="https://my.zakupki.prom.ua/remote/dispatcher/state_purchase_view/17976151"/>
    <hyperlink ref="B473" r:id="rId617" display="https://my.zakupki.prom.ua/remote/dispatcher/state_purchase_view/23416941"/>
    <hyperlink ref="B474" r:id="rId618" display="https://my.zakupki.prom.ua/remote/dispatcher/state_purchase_view/25598674"/>
    <hyperlink ref="B475" r:id="rId619" display="https://my.zakupki.prom.ua/remote/dispatcher/state_purchase_view/26027196"/>
    <hyperlink ref="B476" r:id="rId620" display="https://my.zakupki.prom.ua/remote/dispatcher/state_purchase_view/2484139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877</cp:lastModifiedBy>
  <dcterms:created xsi:type="dcterms:W3CDTF">2021-07-15T12:21:44Z</dcterms:created>
  <dcterms:modified xsi:type="dcterms:W3CDTF">2021-07-15T09:29:14Z</dcterms:modified>
  <cp:category/>
</cp:coreProperties>
</file>