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 activeTab="8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штатка" sheetId="9" r:id="rId8"/>
    <sheet name="6.2. Інша інфо_2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Коефіцієнти'!$A$1:$H$26</definedName>
    <definedName name="Z_1E3D5FB9_014E_4051_8AD5_DB0A17D05797_.wvu.PrintArea" localSheetId="6" hidden="1">'6.1. Інша інфо_1'!$A$1:$O$81</definedName>
    <definedName name="Z_1E3D5FB9_014E_4051_8AD5_DB0A17D05797_.wvu.PrintArea" localSheetId="8" hidden="1">'6.2. Інша інфо_2'!$A$1:$AE$53</definedName>
    <definedName name="Z_1E3D5FB9_014E_4051_8AD5_DB0A17D05797_.wvu.PrintArea" localSheetId="1" hidden="1">'I. Фін результат'!$A$1:$J$109</definedName>
    <definedName name="Z_1E3D5FB9_014E_4051_8AD5_DB0A17D05797_.wvu.PrintArea" localSheetId="4" hidden="1">'IV. Кап. інвестиції'!$A$1:$I$16</definedName>
    <definedName name="Z_1E3D5FB9_014E_4051_8AD5_DB0A17D05797_.wvu.PrintArea" localSheetId="2" hidden="1">'ІІ. Розр. з бюджетом'!$A$1:$I$42</definedName>
    <definedName name="Z_1E3D5FB9_014E_4051_8AD5_DB0A17D05797_.wvu.PrintArea" localSheetId="3" hidden="1">'ІІІ. Рух грош. коштів'!$A$1:$I$85</definedName>
    <definedName name="Z_1E3D5FB9_014E_4051_8AD5_DB0A17D05797_.wvu.PrintArea" localSheetId="0" hidden="1">'Осн. фін. пок.'!$A$1:$J$87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пок.'!$36:$36</definedName>
    <definedName name="Z_43DCEB14_ADF8_4168_9283_6542A71D3CF7_.wvu.PrintArea" localSheetId="5" hidden="1">' V. Коефіцієнти'!$A$1:$H$26</definedName>
    <definedName name="Z_43DCEB14_ADF8_4168_9283_6542A71D3CF7_.wvu.PrintArea" localSheetId="6" hidden="1">'6.1. Інша інфо_1'!$A$1:$O$81</definedName>
    <definedName name="Z_43DCEB14_ADF8_4168_9283_6542A71D3CF7_.wvu.PrintArea" localSheetId="8" hidden="1">'6.2. Інша інфо_2'!$A$1:$AE$53</definedName>
    <definedName name="Z_43DCEB14_ADF8_4168_9283_6542A71D3CF7_.wvu.PrintArea" localSheetId="1" hidden="1">'I. Фін результат'!$A$1:$J$109</definedName>
    <definedName name="Z_43DCEB14_ADF8_4168_9283_6542A71D3CF7_.wvu.PrintArea" localSheetId="4" hidden="1">'IV. Кап. інвестиції'!$A$1:$I$16</definedName>
    <definedName name="Z_43DCEB14_ADF8_4168_9283_6542A71D3CF7_.wvu.PrintArea" localSheetId="2" hidden="1">'ІІ. Розр. з бюджетом'!$A$1:$I$42</definedName>
    <definedName name="Z_43DCEB14_ADF8_4168_9283_6542A71D3CF7_.wvu.PrintArea" localSheetId="3" hidden="1">'ІІІ. Рух грош. коштів'!$A$1:$I$85</definedName>
    <definedName name="Z_43DCEB14_ADF8_4168_9283_6542A71D3CF7_.wvu.PrintArea" localSheetId="0" hidden="1">'Осн. фін. пок.'!$A$1:$J$87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пок.'!$36:$36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пок.'!$36:$36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інфо_1'!$A$1:$O$81</definedName>
    <definedName name="_xlnm.Print_Area" localSheetId="8">'6.2. Інша інфо_2'!$A$1:$AE$53</definedName>
    <definedName name="_xlnm.Print_Area" localSheetId="1">'I. Фін результат'!$A$1:$J$109</definedName>
    <definedName name="_xlnm.Print_Area" localSheetId="4">'IV. Кап. інвестиції'!$A$1:$I$16</definedName>
    <definedName name="_xlnm.Print_Area" localSheetId="2">'ІІ. Розр. з бюджетом'!$A$1:$I$42</definedName>
    <definedName name="_xlnm.Print_Area" localSheetId="3">'ІІІ. Рух грош. коштів'!$A$1:$I$85</definedName>
    <definedName name="_xlnm.Print_Area" localSheetId="0">'Осн. фін. пок.'!$A$1:$J$87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3"/>
  </customWorkbookViews>
</workbook>
</file>

<file path=xl/calcChain.xml><?xml version="1.0" encoding="utf-8"?>
<calcChain xmlns="http://schemas.openxmlformats.org/spreadsheetml/2006/main">
  <c r="X66" i="9"/>
  <c r="X67"/>
  <c r="X65"/>
  <c r="J63" i="1"/>
  <c r="E7" i="3"/>
  <c r="I9"/>
  <c r="I10"/>
  <c r="H10"/>
  <c r="H9"/>
  <c r="D7" i="2"/>
  <c r="E7"/>
  <c r="F7"/>
  <c r="G7"/>
  <c r="H7"/>
  <c r="I7"/>
  <c r="C7"/>
  <c r="E69"/>
  <c r="E98" l="1"/>
  <c r="E101"/>
  <c r="D97"/>
  <c r="E97"/>
  <c r="E96" s="1"/>
  <c r="E99"/>
  <c r="E100"/>
  <c r="E16" i="4" l="1"/>
  <c r="V67" i="9" l="1"/>
  <c r="J29" i="7" s="1"/>
  <c r="V66" i="9"/>
  <c r="J28" i="7" s="1"/>
  <c r="V65" i="9"/>
  <c r="J27" i="7" s="1"/>
  <c r="R11" i="9" l="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10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5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0"/>
  <c r="I99" i="2"/>
  <c r="H99"/>
  <c r="G99"/>
  <c r="F99"/>
  <c r="I100"/>
  <c r="I59" i="4"/>
  <c r="G59"/>
  <c r="H59"/>
  <c r="F59"/>
  <c r="V70" i="9" l="1"/>
  <c r="V55"/>
  <c r="X55" s="1"/>
  <c r="Y46"/>
  <c r="Y47"/>
  <c r="X40"/>
  <c r="V72"/>
  <c r="V71"/>
  <c r="Y40"/>
  <c r="X47"/>
  <c r="V46"/>
  <c r="V40"/>
  <c r="V47"/>
  <c r="V43"/>
  <c r="W43"/>
  <c r="W46"/>
  <c r="W40"/>
  <c r="W47"/>
  <c r="X46"/>
  <c r="I45" i="4"/>
  <c r="H45"/>
  <c r="G45"/>
  <c r="F45"/>
  <c r="C12"/>
  <c r="C16"/>
  <c r="D39"/>
  <c r="I39"/>
  <c r="H39"/>
  <c r="G39"/>
  <c r="F39"/>
  <c r="E39"/>
  <c r="I20" i="2"/>
  <c r="H20"/>
  <c r="I25"/>
  <c r="I101"/>
  <c r="I98"/>
  <c r="G100"/>
  <c r="H100"/>
  <c r="F100"/>
  <c r="J33" i="7" l="1"/>
  <c r="X72" i="9"/>
  <c r="J32" i="7"/>
  <c r="X71" i="9"/>
  <c r="J31" i="7"/>
  <c r="X70" i="9"/>
  <c r="L13" i="2"/>
  <c r="W49" i="9"/>
  <c r="W41"/>
  <c r="K32" i="2"/>
  <c r="V44" i="9"/>
  <c r="K33" i="2" s="1"/>
  <c r="K13"/>
  <c r="V49" i="9"/>
  <c r="V41"/>
  <c r="M13" i="2"/>
  <c r="X41" i="9"/>
  <c r="L32" i="2"/>
  <c r="W44" i="9"/>
  <c r="L33" i="2" s="1"/>
  <c r="N13"/>
  <c r="Y41" i="9"/>
  <c r="V57"/>
  <c r="V60"/>
  <c r="J19" i="7"/>
  <c r="X43" i="9"/>
  <c r="X49" s="1"/>
  <c r="Y43"/>
  <c r="L30" i="8"/>
  <c r="M30"/>
  <c r="N30"/>
  <c r="K30"/>
  <c r="L29"/>
  <c r="X29" s="1"/>
  <c r="M29"/>
  <c r="Y29" s="1"/>
  <c r="N29"/>
  <c r="Z29" s="1"/>
  <c r="K29"/>
  <c r="W29" s="1"/>
  <c r="J23" i="7" l="1"/>
  <c r="X60" i="9"/>
  <c r="J21" i="7"/>
  <c r="X57" i="9"/>
  <c r="M32" i="2"/>
  <c r="X44" i="9"/>
  <c r="M33" i="2" s="1"/>
  <c r="N14"/>
  <c r="M14"/>
  <c r="X50" i="9"/>
  <c r="L14" i="2"/>
  <c r="W50" i="9"/>
  <c r="V62"/>
  <c r="N32" i="2"/>
  <c r="V56" i="9"/>
  <c r="Y44"/>
  <c r="N33" i="2" s="1"/>
  <c r="K14"/>
  <c r="V50" i="9"/>
  <c r="Y49"/>
  <c r="N31" i="8"/>
  <c r="L31"/>
  <c r="K31"/>
  <c r="M31"/>
  <c r="D12" i="4"/>
  <c r="E12"/>
  <c r="G13"/>
  <c r="G12" s="1"/>
  <c r="H13"/>
  <c r="H12" s="1"/>
  <c r="I13"/>
  <c r="I12" s="1"/>
  <c r="F13"/>
  <c r="F12" s="1"/>
  <c r="J20" i="7" l="1"/>
  <c r="X56" i="9"/>
  <c r="J25" i="7"/>
  <c r="X62" i="9"/>
  <c r="V61"/>
  <c r="Y50"/>
  <c r="N13" i="7"/>
  <c r="N15"/>
  <c r="N16"/>
  <c r="N19"/>
  <c r="N20"/>
  <c r="N21"/>
  <c r="N12"/>
  <c r="L13"/>
  <c r="L16"/>
  <c r="L19"/>
  <c r="L20"/>
  <c r="L21"/>
  <c r="L12"/>
  <c r="D59" i="4"/>
  <c r="D45"/>
  <c r="J24" i="7" l="1"/>
  <c r="X61" i="9"/>
  <c r="C69" i="2"/>
  <c r="C61"/>
  <c r="D80" i="1" l="1"/>
  <c r="D77"/>
  <c r="I60" i="2" l="1"/>
  <c r="H60"/>
  <c r="G60"/>
  <c r="F60"/>
  <c r="G36" i="3"/>
  <c r="H36"/>
  <c r="I36"/>
  <c r="F36"/>
  <c r="G29"/>
  <c r="H29"/>
  <c r="I29"/>
  <c r="F29"/>
  <c r="H28" i="7" l="1"/>
  <c r="H29"/>
  <c r="X30" i="8"/>
  <c r="X31" s="1"/>
  <c r="Y30"/>
  <c r="Y31" s="1"/>
  <c r="Z30"/>
  <c r="Z31" s="1"/>
  <c r="L29" i="7" l="1"/>
  <c r="L56"/>
  <c r="F56"/>
  <c r="H35" i="3"/>
  <c r="L28" i="7" l="1"/>
  <c r="H98" i="2"/>
  <c r="H101"/>
  <c r="G101"/>
  <c r="F101"/>
  <c r="C39" i="4" l="1"/>
  <c r="C46" i="2"/>
  <c r="C20"/>
  <c r="C18"/>
  <c r="C17" s="1"/>
  <c r="G20" l="1"/>
  <c r="C21" i="4" l="1"/>
  <c r="C35" i="3"/>
  <c r="C97" i="2"/>
  <c r="C98"/>
  <c r="C99"/>
  <c r="C100"/>
  <c r="C37" i="3" s="1"/>
  <c r="C101" i="2"/>
  <c r="C60"/>
  <c r="C96" l="1"/>
  <c r="D14" i="6"/>
  <c r="D15"/>
  <c r="D19"/>
  <c r="H33" i="7" l="1"/>
  <c r="F29"/>
  <c r="H32"/>
  <c r="F28"/>
  <c r="H27"/>
  <c r="L27" s="1"/>
  <c r="F27"/>
  <c r="H25"/>
  <c r="F25"/>
  <c r="H24"/>
  <c r="L24" s="1"/>
  <c r="F24"/>
  <c r="N24" s="1"/>
  <c r="H23"/>
  <c r="F23"/>
  <c r="F37" i="3"/>
  <c r="L32" i="7" l="1"/>
  <c r="N25"/>
  <c r="L25"/>
  <c r="F31"/>
  <c r="N31" s="1"/>
  <c r="N27"/>
  <c r="F32"/>
  <c r="N32" s="1"/>
  <c r="N28"/>
  <c r="F33"/>
  <c r="N29"/>
  <c r="N33"/>
  <c r="L33"/>
  <c r="N23"/>
  <c r="L23"/>
  <c r="H31"/>
  <c r="L31" s="1"/>
  <c r="F80" i="1" l="1"/>
  <c r="E80"/>
  <c r="F77"/>
  <c r="I46" i="2"/>
  <c r="C58" i="1"/>
  <c r="Q11" i="8"/>
  <c r="T11"/>
  <c r="W11"/>
  <c r="Z11"/>
  <c r="AC11"/>
  <c r="V19"/>
  <c r="V20"/>
  <c r="X21"/>
  <c r="Z21"/>
  <c r="AB21"/>
  <c r="AD21"/>
  <c r="W30"/>
  <c r="W31" s="1"/>
  <c r="G31"/>
  <c r="H31"/>
  <c r="I31"/>
  <c r="J31"/>
  <c r="O31"/>
  <c r="P31"/>
  <c r="Q31"/>
  <c r="R31"/>
  <c r="S31"/>
  <c r="T31"/>
  <c r="U31"/>
  <c r="V31"/>
  <c r="M40"/>
  <c r="M41"/>
  <c r="M42"/>
  <c r="M43"/>
  <c r="M44"/>
  <c r="M45"/>
  <c r="M46"/>
  <c r="E47"/>
  <c r="G47"/>
  <c r="I47"/>
  <c r="K47"/>
  <c r="O47"/>
  <c r="Q47"/>
  <c r="S47"/>
  <c r="O56" i="7"/>
  <c r="G57"/>
  <c r="J57"/>
  <c r="M57"/>
  <c r="K66"/>
  <c r="C6" i="5"/>
  <c r="C68" i="1" s="1"/>
  <c r="D6" i="5"/>
  <c r="E6"/>
  <c r="F68" i="1" s="1"/>
  <c r="F6" i="5"/>
  <c r="G6"/>
  <c r="H6"/>
  <c r="I6"/>
  <c r="E68" i="1" s="1"/>
  <c r="G68" s="1"/>
  <c r="H68" s="1"/>
  <c r="I68" s="1"/>
  <c r="J68" s="1"/>
  <c r="F26" i="4"/>
  <c r="G26"/>
  <c r="H26"/>
  <c r="C47"/>
  <c r="C63" i="1" s="1"/>
  <c r="D47" i="4"/>
  <c r="E47"/>
  <c r="F63" i="1" s="1"/>
  <c r="F47" i="4"/>
  <c r="G47"/>
  <c r="H47"/>
  <c r="I47"/>
  <c r="E63" i="1" s="1"/>
  <c r="G63" s="1"/>
  <c r="H63" s="1"/>
  <c r="I63" s="1"/>
  <c r="F22" i="3"/>
  <c r="G22"/>
  <c r="H22"/>
  <c r="C25"/>
  <c r="C57" i="1" s="1"/>
  <c r="D25" i="3"/>
  <c r="D57" i="1" s="1"/>
  <c r="E25" i="3"/>
  <c r="F57" i="1" s="1"/>
  <c r="F35" i="3"/>
  <c r="F25" s="1"/>
  <c r="G35"/>
  <c r="G25" s="1"/>
  <c r="H25"/>
  <c r="I35"/>
  <c r="I25" s="1"/>
  <c r="D86" i="2"/>
  <c r="G86"/>
  <c r="I9"/>
  <c r="E39" i="1" s="1"/>
  <c r="G39" s="1"/>
  <c r="H39" s="1"/>
  <c r="I39" s="1"/>
  <c r="J39" s="1"/>
  <c r="F9" i="2"/>
  <c r="C9"/>
  <c r="D9"/>
  <c r="E9"/>
  <c r="F20"/>
  <c r="C24"/>
  <c r="C41" i="1" s="1"/>
  <c r="D24" i="2"/>
  <c r="E24"/>
  <c r="F41" i="1" s="1"/>
  <c r="H47" i="2"/>
  <c r="H46" s="1"/>
  <c r="C48"/>
  <c r="D48"/>
  <c r="D42" i="1" s="1"/>
  <c r="E48" i="2"/>
  <c r="F48"/>
  <c r="G48"/>
  <c r="H48"/>
  <c r="I48"/>
  <c r="C55"/>
  <c r="C102" s="1"/>
  <c r="D55"/>
  <c r="E55"/>
  <c r="F55"/>
  <c r="G55"/>
  <c r="I55"/>
  <c r="C84"/>
  <c r="C47" i="1" s="1"/>
  <c r="D84" i="2"/>
  <c r="E84"/>
  <c r="F47" i="1" s="1"/>
  <c r="F84" i="2"/>
  <c r="G84"/>
  <c r="H84"/>
  <c r="I84"/>
  <c r="E47" i="1" s="1"/>
  <c r="G47" s="1"/>
  <c r="H47" s="1"/>
  <c r="I47" s="1"/>
  <c r="J47" s="1"/>
  <c r="C85" i="2"/>
  <c r="D85"/>
  <c r="D48" i="1" s="1"/>
  <c r="E85" i="2"/>
  <c r="F85"/>
  <c r="G85"/>
  <c r="H85"/>
  <c r="I85"/>
  <c r="C86"/>
  <c r="E86"/>
  <c r="C91"/>
  <c r="D91"/>
  <c r="E91"/>
  <c r="F91"/>
  <c r="G91"/>
  <c r="H91"/>
  <c r="I91"/>
  <c r="C92"/>
  <c r="D92"/>
  <c r="E92"/>
  <c r="F92"/>
  <c r="G92"/>
  <c r="H92"/>
  <c r="I92"/>
  <c r="F97"/>
  <c r="G97"/>
  <c r="H97"/>
  <c r="I97"/>
  <c r="F98"/>
  <c r="F96" s="1"/>
  <c r="G98"/>
  <c r="G37" i="3"/>
  <c r="H37"/>
  <c r="I37"/>
  <c r="E58" i="1" s="1"/>
  <c r="G58" s="1"/>
  <c r="H58" s="1"/>
  <c r="I58" s="1"/>
  <c r="J58" s="1"/>
  <c r="C90" i="2"/>
  <c r="D9" i="4"/>
  <c r="F9"/>
  <c r="H9"/>
  <c r="B38" i="1"/>
  <c r="C38"/>
  <c r="D38"/>
  <c r="F38"/>
  <c r="B39"/>
  <c r="B40"/>
  <c r="B41"/>
  <c r="B42"/>
  <c r="C42"/>
  <c r="F42"/>
  <c r="E42"/>
  <c r="G42" s="1"/>
  <c r="H42" s="1"/>
  <c r="I42" s="1"/>
  <c r="J42" s="1"/>
  <c r="B43"/>
  <c r="B44"/>
  <c r="B45"/>
  <c r="B46"/>
  <c r="B47"/>
  <c r="D47"/>
  <c r="B48"/>
  <c r="C48"/>
  <c r="F48"/>
  <c r="E48"/>
  <c r="G48" s="1"/>
  <c r="H48" s="1"/>
  <c r="I48" s="1"/>
  <c r="J48" s="1"/>
  <c r="B49"/>
  <c r="B50"/>
  <c r="B51"/>
  <c r="B52"/>
  <c r="B54"/>
  <c r="B55"/>
  <c r="C56"/>
  <c r="D56"/>
  <c r="F56"/>
  <c r="E56"/>
  <c r="G56" s="1"/>
  <c r="H56" s="1"/>
  <c r="I56" s="1"/>
  <c r="J56" s="1"/>
  <c r="B57"/>
  <c r="B58"/>
  <c r="D58"/>
  <c r="B59"/>
  <c r="B61"/>
  <c r="C61"/>
  <c r="D61"/>
  <c r="B62"/>
  <c r="B63"/>
  <c r="D63"/>
  <c r="B64"/>
  <c r="B65"/>
  <c r="C65"/>
  <c r="D65"/>
  <c r="F65"/>
  <c r="E65"/>
  <c r="G65" s="1"/>
  <c r="H65" s="1"/>
  <c r="I65" s="1"/>
  <c r="J65" s="1"/>
  <c r="B66"/>
  <c r="B68"/>
  <c r="D68"/>
  <c r="B70"/>
  <c r="B71"/>
  <c r="B72"/>
  <c r="C72"/>
  <c r="C77"/>
  <c r="C80"/>
  <c r="F86" i="2" l="1"/>
  <c r="E57" i="1"/>
  <c r="G57" s="1"/>
  <c r="H57" s="1"/>
  <c r="I57" s="1"/>
  <c r="J57" s="1"/>
  <c r="H96" i="2"/>
  <c r="I90"/>
  <c r="I9" i="4"/>
  <c r="G90" i="2"/>
  <c r="G9" i="4"/>
  <c r="E37" i="3"/>
  <c r="F58" i="1" s="1"/>
  <c r="E74"/>
  <c r="G96" i="2"/>
  <c r="I96"/>
  <c r="F17" i="6"/>
  <c r="D18"/>
  <c r="D17"/>
  <c r="G17"/>
  <c r="F19" i="2"/>
  <c r="D83"/>
  <c r="D43" i="1" s="1"/>
  <c r="M47" i="8"/>
  <c r="M11"/>
  <c r="D19" i="3"/>
  <c r="D54" i="1" s="1"/>
  <c r="V21" i="8"/>
  <c r="H55" i="2"/>
  <c r="F83"/>
  <c r="D19"/>
  <c r="D40" i="1" s="1"/>
  <c r="D39"/>
  <c r="H90" i="2"/>
  <c r="D90"/>
  <c r="H9"/>
  <c r="H19" s="1"/>
  <c r="G9"/>
  <c r="G19" s="1"/>
  <c r="G19" i="6"/>
  <c r="D103" i="2"/>
  <c r="F90"/>
  <c r="E19"/>
  <c r="E64" s="1"/>
  <c r="C19"/>
  <c r="C64" s="1"/>
  <c r="I83"/>
  <c r="E43" i="1" s="1"/>
  <c r="G43" s="1"/>
  <c r="H43" s="1"/>
  <c r="I43" s="1"/>
  <c r="J43" s="1"/>
  <c r="D41"/>
  <c r="H86" i="2"/>
  <c r="F39" i="1"/>
  <c r="C39"/>
  <c r="I19" i="2"/>
  <c r="E38" i="1"/>
  <c r="G38" s="1"/>
  <c r="H38" s="1"/>
  <c r="I38" s="1"/>
  <c r="J38" s="1"/>
  <c r="I86" i="2"/>
  <c r="G83"/>
  <c r="E83"/>
  <c r="F43" i="1" s="1"/>
  <c r="C83" i="2"/>
  <c r="C43" i="1" s="1"/>
  <c r="C103" i="2"/>
  <c r="E9" i="4"/>
  <c r="C9"/>
  <c r="F19" i="6"/>
  <c r="F15"/>
  <c r="F14"/>
  <c r="E90" i="2"/>
  <c r="F18" i="6"/>
  <c r="F40" i="1" l="1"/>
  <c r="F7" i="6" s="1"/>
  <c r="F72" i="1"/>
  <c r="C40"/>
  <c r="D7" i="6" s="1"/>
  <c r="D64" i="2"/>
  <c r="D75" s="1"/>
  <c r="D76" s="1"/>
  <c r="H83"/>
  <c r="G18" i="6"/>
  <c r="G40" i="1"/>
  <c r="C75" i="2"/>
  <c r="C89"/>
  <c r="C94" s="1"/>
  <c r="C45" i="1" s="1"/>
  <c r="C44"/>
  <c r="E75" i="2"/>
  <c r="E76" s="1"/>
  <c r="E89"/>
  <c r="E94" s="1"/>
  <c r="F45" i="1" s="1"/>
  <c r="F8" i="6" s="1"/>
  <c r="F44" i="1"/>
  <c r="E40"/>
  <c r="G7" i="6" s="1"/>
  <c r="C76" i="2" l="1"/>
  <c r="C22" i="3" s="1"/>
  <c r="C7" i="4"/>
  <c r="D89" i="2"/>
  <c r="D94" s="1"/>
  <c r="D45" i="1" s="1"/>
  <c r="D46" s="1"/>
  <c r="C26" i="4"/>
  <c r="C87" i="2"/>
  <c r="D44" i="1"/>
  <c r="D8" i="6"/>
  <c r="C46" i="1" s="1"/>
  <c r="D13" i="6"/>
  <c r="F13"/>
  <c r="C49" i="1"/>
  <c r="D78" i="2"/>
  <c r="D17" i="3" s="1"/>
  <c r="D49" i="1"/>
  <c r="D7" i="4"/>
  <c r="E7"/>
  <c r="E15" s="1"/>
  <c r="E25" s="1"/>
  <c r="E78" i="2"/>
  <c r="E9" i="3" s="1"/>
  <c r="F49" i="1"/>
  <c r="H40"/>
  <c r="D15" i="4" l="1"/>
  <c r="D25" s="1"/>
  <c r="D27" s="1"/>
  <c r="C78" i="2"/>
  <c r="C79" s="1"/>
  <c r="C50" i="1"/>
  <c r="D9" i="3"/>
  <c r="D64" i="4" s="1"/>
  <c r="E10" i="3"/>
  <c r="E64" i="4"/>
  <c r="E8" i="3"/>
  <c r="E17" s="1"/>
  <c r="E20"/>
  <c r="C55" i="1"/>
  <c r="C15" i="4"/>
  <c r="C25" s="1"/>
  <c r="C27" s="1"/>
  <c r="F46" i="1"/>
  <c r="D80" i="2"/>
  <c r="D51" i="1"/>
  <c r="D79" i="2"/>
  <c r="I40" i="1"/>
  <c r="J40"/>
  <c r="E79" i="2"/>
  <c r="E80"/>
  <c r="F51" i="1"/>
  <c r="E26" i="4"/>
  <c r="E27" s="1"/>
  <c r="E22" i="3"/>
  <c r="F50" i="1"/>
  <c r="E87" i="2"/>
  <c r="E102" s="1"/>
  <c r="E103" s="1"/>
  <c r="D50" i="1"/>
  <c r="D87" i="2"/>
  <c r="C9" i="3" l="1"/>
  <c r="C80" i="2"/>
  <c r="C10" i="3"/>
  <c r="C65" i="4" s="1"/>
  <c r="C64"/>
  <c r="C51" i="1"/>
  <c r="D10" i="6" s="1"/>
  <c r="C71" i="1" s="1"/>
  <c r="C20" i="3"/>
  <c r="D10"/>
  <c r="D52" i="1"/>
  <c r="I7" i="3"/>
  <c r="F7"/>
  <c r="G7"/>
  <c r="H7"/>
  <c r="E65" i="4"/>
  <c r="E75" s="1"/>
  <c r="F64" i="1" s="1"/>
  <c r="E21" i="3"/>
  <c r="E19" s="1"/>
  <c r="F54" i="1" s="1"/>
  <c r="F10" i="6"/>
  <c r="F9"/>
  <c r="F11"/>
  <c r="C62" i="1"/>
  <c r="D62"/>
  <c r="F62"/>
  <c r="F55"/>
  <c r="D55"/>
  <c r="D38" i="3"/>
  <c r="D59" i="1" s="1"/>
  <c r="D9" i="6" l="1"/>
  <c r="C70" i="1" s="1"/>
  <c r="C8" i="3"/>
  <c r="C21"/>
  <c r="C75" i="4"/>
  <c r="C64" i="1" s="1"/>
  <c r="D65" i="4"/>
  <c r="D75" s="1"/>
  <c r="D11" i="6"/>
  <c r="C52" i="1" s="1"/>
  <c r="C19" i="3"/>
  <c r="E38"/>
  <c r="F59" i="1" s="1"/>
  <c r="E79" i="4"/>
  <c r="F52" i="1"/>
  <c r="F70"/>
  <c r="F71"/>
  <c r="F61"/>
  <c r="C79" i="4" l="1"/>
  <c r="C66" i="1" s="1"/>
  <c r="D64"/>
  <c r="D79" i="4"/>
  <c r="D66" i="1" s="1"/>
  <c r="C54"/>
  <c r="C38" i="3"/>
  <c r="C59" i="1" s="1"/>
  <c r="E80" i="4"/>
  <c r="F76" i="1"/>
  <c r="G77" i="4"/>
  <c r="F77"/>
  <c r="H77"/>
  <c r="I77"/>
  <c r="F66" i="1"/>
  <c r="D80" i="4" l="1"/>
  <c r="C76" i="1"/>
  <c r="C80" i="4"/>
  <c r="G24" i="2"/>
  <c r="G87" s="1"/>
  <c r="G102" s="1"/>
  <c r="F24"/>
  <c r="I24"/>
  <c r="G103" l="1"/>
  <c r="F87"/>
  <c r="F102" s="1"/>
  <c r="F64"/>
  <c r="E41" i="1"/>
  <c r="G41" s="1"/>
  <c r="H41" s="1"/>
  <c r="I41" s="1"/>
  <c r="J41" s="1"/>
  <c r="I64" i="2"/>
  <c r="H24"/>
  <c r="G64"/>
  <c r="F103" l="1"/>
  <c r="H87"/>
  <c r="H102" s="1"/>
  <c r="H103" s="1"/>
  <c r="H64"/>
  <c r="G89"/>
  <c r="G94" s="1"/>
  <c r="G75"/>
  <c r="G7" i="4" s="1"/>
  <c r="E44" i="1"/>
  <c r="I75" i="2"/>
  <c r="I89"/>
  <c r="I94" s="1"/>
  <c r="E45" i="1" s="1"/>
  <c r="G45" s="1"/>
  <c r="H45" s="1"/>
  <c r="I45" s="1"/>
  <c r="J45" s="1"/>
  <c r="F89" i="2"/>
  <c r="F94" s="1"/>
  <c r="F75"/>
  <c r="G44" i="1"/>
  <c r="G49" s="1"/>
  <c r="I7" i="4" l="1"/>
  <c r="I15" s="1"/>
  <c r="I25" s="1"/>
  <c r="I76" i="2"/>
  <c r="H44" i="1"/>
  <c r="H49" s="1"/>
  <c r="F78" i="2"/>
  <c r="F9" i="3" s="1"/>
  <c r="F10" s="1"/>
  <c r="F7" i="4"/>
  <c r="F15" s="1"/>
  <c r="F25" s="1"/>
  <c r="F27" s="1"/>
  <c r="G13" i="6"/>
  <c r="G8"/>
  <c r="E46" i="1" s="1"/>
  <c r="G46" s="1"/>
  <c r="H46" s="1"/>
  <c r="I46" s="1"/>
  <c r="J46" s="1"/>
  <c r="G50"/>
  <c r="E49"/>
  <c r="G78" i="2"/>
  <c r="G9" i="3" s="1"/>
  <c r="G10" s="1"/>
  <c r="G15" i="4"/>
  <c r="G25" s="1"/>
  <c r="G27" s="1"/>
  <c r="H89" i="2"/>
  <c r="H94" s="1"/>
  <c r="H75"/>
  <c r="H7" i="4" s="1"/>
  <c r="I78" i="2" l="1"/>
  <c r="I64" i="4" s="1"/>
  <c r="G51" i="1"/>
  <c r="G54" s="1"/>
  <c r="G55"/>
  <c r="G65" i="4"/>
  <c r="G80" i="2"/>
  <c r="G79"/>
  <c r="H15" i="4"/>
  <c r="H25" s="1"/>
  <c r="H27" s="1"/>
  <c r="H78" i="2"/>
  <c r="F80"/>
  <c r="F79"/>
  <c r="H50" i="1"/>
  <c r="I26" i="4"/>
  <c r="I27" s="1"/>
  <c r="I22" i="3"/>
  <c r="E55" i="1" s="1"/>
  <c r="E50"/>
  <c r="I87" i="2"/>
  <c r="I102" s="1"/>
  <c r="I103" s="1"/>
  <c r="J44" i="1"/>
  <c r="J49" s="1"/>
  <c r="I44"/>
  <c r="I49" s="1"/>
  <c r="E51" l="1"/>
  <c r="G11" i="6" s="1"/>
  <c r="E52" i="1" s="1"/>
  <c r="I79" i="2"/>
  <c r="I80"/>
  <c r="I65" i="4"/>
  <c r="G52" i="1"/>
  <c r="H51"/>
  <c r="H52" s="1"/>
  <c r="H55"/>
  <c r="G8" i="3"/>
  <c r="G17" s="1"/>
  <c r="H65" i="4"/>
  <c r="E62" i="1"/>
  <c r="G62" s="1"/>
  <c r="H62" s="1"/>
  <c r="I62" s="1"/>
  <c r="J62" s="1"/>
  <c r="I50"/>
  <c r="J50"/>
  <c r="F21" i="3"/>
  <c r="F65" i="4"/>
  <c r="G59" i="1"/>
  <c r="F8" i="3"/>
  <c r="F17" s="1"/>
  <c r="F20"/>
  <c r="F64" i="4"/>
  <c r="H80" i="2"/>
  <c r="H79"/>
  <c r="G64" i="4"/>
  <c r="G20" i="3"/>
  <c r="G75" i="4" l="1"/>
  <c r="G79" s="1"/>
  <c r="G80" s="1"/>
  <c r="I75"/>
  <c r="I79" s="1"/>
  <c r="I80" s="1"/>
  <c r="I8" i="3"/>
  <c r="H54" i="1"/>
  <c r="H59" s="1"/>
  <c r="I51"/>
  <c r="I52" s="1"/>
  <c r="I55"/>
  <c r="J51"/>
  <c r="J54" s="1"/>
  <c r="J55"/>
  <c r="H8" i="3"/>
  <c r="H17" s="1"/>
  <c r="F75" i="4"/>
  <c r="F79" s="1"/>
  <c r="F80" s="1"/>
  <c r="F19" i="3"/>
  <c r="F38" s="1"/>
  <c r="E61" i="1"/>
  <c r="G21" i="3"/>
  <c r="G19" s="1"/>
  <c r="G38" s="1"/>
  <c r="H20"/>
  <c r="H64" i="4"/>
  <c r="H75" s="1"/>
  <c r="H21" i="3"/>
  <c r="I54" i="1" l="1"/>
  <c r="I59" s="1"/>
  <c r="J52"/>
  <c r="J59"/>
  <c r="H79" i="4"/>
  <c r="H80" s="1"/>
  <c r="I21" i="3"/>
  <c r="I17"/>
  <c r="I20"/>
  <c r="H19"/>
  <c r="H38" s="1"/>
  <c r="I19" l="1"/>
  <c r="I38" s="1"/>
  <c r="E59" i="1" s="1"/>
  <c r="E64"/>
  <c r="G64" s="1"/>
  <c r="H64" s="1"/>
  <c r="I64" s="1"/>
  <c r="J64" s="1"/>
  <c r="E83" l="1"/>
  <c r="E75" s="1"/>
  <c r="E54"/>
  <c r="E66"/>
  <c r="G61" s="1"/>
  <c r="G66" s="1"/>
  <c r="H61" s="1"/>
  <c r="H66" s="1"/>
  <c r="I61" s="1"/>
  <c r="I66" s="1"/>
  <c r="J61" s="1"/>
  <c r="J66" s="1"/>
  <c r="E76"/>
  <c r="G14" i="6" l="1"/>
  <c r="E72" i="1" s="1"/>
  <c r="G10" i="6"/>
  <c r="E71" i="1" s="1"/>
  <c r="G15" i="6"/>
  <c r="E77" i="1"/>
  <c r="G9" i="6" s="1"/>
  <c r="E70" i="1" s="1"/>
</calcChain>
</file>

<file path=xl/comments1.xml><?xml version="1.0" encoding="utf-8"?>
<comments xmlns="http://schemas.openxmlformats.org/spreadsheetml/2006/main">
  <authors>
    <author>1235</author>
  </authors>
  <commentList>
    <comment ref="D69" authorId="0">
      <text>
        <r>
          <rPr>
            <b/>
            <sz val="9"/>
            <color indexed="81"/>
            <rFont val="Tahoma"/>
            <family val="2"/>
            <charset val="204"/>
          </rPr>
          <t>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1235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<sst xmlns="http://schemas.openxmlformats.org/spreadsheetml/2006/main" count="785" uniqueCount="542">
  <si>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</si>
  <si>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</si>
  <si>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</si>
  <si>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</si>
  <si>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</si>
  <si>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</si>
  <si>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</si>
  <si>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</si>
  <si>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</si>
  <si>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</si>
  <si>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</si>
  <si>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</si>
  <si>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</si>
  <si>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</si>
  <si>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</si>
  <si>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</si>
  <si>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</si>
  <si>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</si>
  <si>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</si>
  <si>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</si>
  <si>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</si>
  <si>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</si>
  <si>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</si>
  <si>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</si>
  <si>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</si>
  <si>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</si>
  <si>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</si>
  <si>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</si>
  <si>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</si>
  <si>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</si>
  <si>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</si>
  <si>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</si>
  <si>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</si>
  <si>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</si>
  <si>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</si>
  <si>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</si>
  <si>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</si>
  <si>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</si>
  <si>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</si>
  <si>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</si>
  <si>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</si>
  <si>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</si>
  <si>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</si>
  <si>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</si>
  <si>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</si>
  <si>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</si>
  <si>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</si>
  <si>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</si>
  <si>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</si>
  <si>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</si>
  <si>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</si>
  <si>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</si>
  <si>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</si>
  <si>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</si>
  <si>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</si>
  <si>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</si>
  <si>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</si>
  <si>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</si>
  <si>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</si>
  <si>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</si>
  <si>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</si>
  <si>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</si>
  <si>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</si>
  <si>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</si>
  <si>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</si>
  <si>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</si>
  <si>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</si>
  <si>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</si>
  <si>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</si>
  <si>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</si>
  <si>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</si>
  <si>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</si>
  <si>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</si>
  <si>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</si>
  <si>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</si>
  <si>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</si>
  <si>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</si>
  <si>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</si>
  <si>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</si>
  <si>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</si>
  <si>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</si>
  <si>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</si>
  <si>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</si>
  <si>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</si>
  <si>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</si>
  <si>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</si>
  <si>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</si>
  <si>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</si>
  <si>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</si>
  <si>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</si>
  <si>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</si>
  <si>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</si>
  <si>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</si>
  <si>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</si>
  <si>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</si>
  <si>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</si>
  <si>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</si>
  <si>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</si>
  <si>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</si>
  <si>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</si>
  <si>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</si>
  <si>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</si>
  <si>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</si>
  <si>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</si>
  <si>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</si>
  <si>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</si>
  <si>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</si>
  <si>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</si>
  <si>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</si>
  <si>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</si>
  <si>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</si>
  <si>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</si>
  <si>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</si>
  <si>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</si>
  <si>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</si>
  <si>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</si>
  <si>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</si>
  <si>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</si>
  <si>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</si>
  <si>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</si>
  <si>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</si>
  <si>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</si>
  <si>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</si>
  <si>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</si>
  <si>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</si>
  <si>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</si>
  <si>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</si>
  <si>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</si>
  <si>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</si>
  <si>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</si>
  <si>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</si>
  <si>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</si>
  <si>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</si>
  <si>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</si>
  <si>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</si>
  <si>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</si>
  <si>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</si>
  <si>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</si>
  <si>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</si>
  <si>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</si>
  <si>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</si>
  <si>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</si>
  <si>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</si>
  <si>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</si>
  <si>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</si>
  <si>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</si>
  <si>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</si>
  <si>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</si>
  <si>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</si>
  <si>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</si>
  <si>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</si>
  <si>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</si>
  <si>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</si>
  <si>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</si>
  <si>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</si>
  <si>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</si>
  <si>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</si>
  <si>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</si>
  <si>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</si>
  <si>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</si>
  <si>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</si>
  <si>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</si>
  <si>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</si>
  <si>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</si>
  <si>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</si>
  <si>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</si>
  <si>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</si>
  <si>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</si>
  <si>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</si>
  <si>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</si>
  <si>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</si>
  <si>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</si>
  <si>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</si>
  <si>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</si>
  <si>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</si>
  <si>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</si>
  <si>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</si>
  <si>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</si>
  <si>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</si>
  <si>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</si>
  <si>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</si>
  <si>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</si>
  <si>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</si>
  <si>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</si>
  <si>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</si>
  <si>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</si>
  <si>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</si>
  <si>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</si>
  <si>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</si>
  <si>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</si>
  <si>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</si>
  <si>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</si>
  <si>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</si>
  <si>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</si>
  <si>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</si>
  <si>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</si>
  <si>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</si>
  <si>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</si>
  <si>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</si>
  <si>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</si>
  <si>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</si>
  <si>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</si>
  <si>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</si>
  <si>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</si>
  <si>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</si>
  <si>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</si>
  <si>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</si>
  <si>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</si>
  <si>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</si>
  <si>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</si>
  <si>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</si>
  <si>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</si>
  <si>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</si>
  <si>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</si>
  <si>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</si>
  <si>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</si>
  <si>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</si>
  <si>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</si>
  <si>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</si>
  <si>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</si>
  <si>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</si>
  <si>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</si>
  <si>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</si>
  <si>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</si>
  <si>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</si>
  <si>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</si>
  <si>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</si>
  <si>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</si>
  <si>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</si>
  <si>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</si>
  <si>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</si>
  <si>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</si>
  <si>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</si>
  <si>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</si>
  <si>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</si>
  <si>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</si>
  <si>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</si>
  <si>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</si>
  <si>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</si>
  <si>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</si>
  <si>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</si>
  <si>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</si>
  <si>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</si>
  <si>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</si>
  <si>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</si>
  <si>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</si>
  <si>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</si>
  <si>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</si>
  <si>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</si>
  <si>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</si>
  <si>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</si>
  <si>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</si>
  <si>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</si>
  <si>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</si>
  <si>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</si>
  <si>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</si>
  <si>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</si>
  <si>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</si>
  <si>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</si>
  <si>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</si>
  <si>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</si>
  <si>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</si>
  <si>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</si>
  <si>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</si>
  <si>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</si>
  <si>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</si>
  <si>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</si>
  <si>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</si>
  <si>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</si>
  <si>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</si>
  <si>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</si>
  <si>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</si>
  <si>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</si>
  <si>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</si>
  <si>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</si>
  <si>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</si>
  <si>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</si>
  <si>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</si>
  <si>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</si>
  <si>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</si>
  <si>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</si>
  <si>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</si>
  <si>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</si>
  <si>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</si>
  <si>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</si>
  <si>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</si>
  <si>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</si>
  <si>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</si>
  <si>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</si>
  <si>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</si>
  <si>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</si>
  <si>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</si>
  <si>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</si>
  <si>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</si>
  <si>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</si>
  <si>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</si>
  <si>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</si>
  <si>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</si>
  <si>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</si>
  <si>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</si>
  <si>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</si>
  <si>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</si>
  <si>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</si>
  <si>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</si>
  <si>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</si>
  <si>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</si>
  <si>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</si>
  <si>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</si>
  <si>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</si>
  <si>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</si>
  <si>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</si>
  <si>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</si>
  <si>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</si>
  <si>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</si>
  <si>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</si>
  <si>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</si>
  <si>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</si>
  <si>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</si>
  <si>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</si>
  <si>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</si>
  <si>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</si>
  <si>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</si>
  <si>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</si>
  <si>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</si>
  <si>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</si>
  <si>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</si>
  <si>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</si>
  <si>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</si>
  <si>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</si>
  <si>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</si>
  <si>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</si>
  <si>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</si>
  <si>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</si>
  <si>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</si>
  <si>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</si>
  <si>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</si>
  <si>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</si>
  <si>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</si>
  <si>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</si>
  <si>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</si>
  <si>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</si>
  <si>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</si>
  <si>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</si>
  <si>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</si>
  <si>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</si>
  <si>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</si>
  <si>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</si>
  <si>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</si>
  <si>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</si>
  <si>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</si>
  <si>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</si>
  <si>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</si>
  <si>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</si>
  <si>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</si>
  <si>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</si>
  <si>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</si>
  <si>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</si>
  <si>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</si>
  <si>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</si>
  <si>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</si>
  <si>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</si>
  <si>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</si>
  <si>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</si>
  <si>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</si>
  <si>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</si>
  <si>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</si>
  <si>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</si>
  <si>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</si>
  <si>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</si>
  <si>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</si>
  <si>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</si>
  <si>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</si>
  <si>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</si>
  <si>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</si>
  <si>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</si>
  <si>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</si>
  <si>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</si>
  <si>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</si>
  <si>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</si>
  <si>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</si>
  <si>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</si>
  <si>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</si>
  <si>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</si>
  <si>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</si>
  <si>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</si>
  <si>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</si>
  <si>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</si>
  <si>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</si>
  <si>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</si>
  <si>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</si>
  <si>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</si>
  <si>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</si>
  <si>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</si>
  <si>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</si>
  <si>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</si>
  <si>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1080/3</t>
  </si>
  <si>
    <t>послуги сторонніх організацій</t>
  </si>
  <si>
    <t>ремонтне обслуговування</t>
  </si>
  <si>
    <t>Комунальне підприємство "Водно- спортивний комбінат" Дніпропетровської міської ради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</si>
  <si>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</si>
  <si>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</si>
  <si>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</si>
  <si>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</si>
  <si>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</si>
  <si>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</si>
  <si>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________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</si>
  <si>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</si>
  <si>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</si>
  <si>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</si>
  <si>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</si>
  <si>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</si>
  <si>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</si>
  <si>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</si>
  <si>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</si>
  <si>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</si>
  <si>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</si>
  <si>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 xml:space="preserve">      Загальна інформація про підприємство (резюме): Комунальне підприємство "Водно-спортивний комбінат" Дніпропетровської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</si>
  <si>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</si>
  <si>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</si>
  <si>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</si>
  <si>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</si>
  <si>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</si>
  <si>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</si>
  <si>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</si>
  <si>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</si>
  <si>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</si>
  <si>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</si>
  <si>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</si>
  <si>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3470/1</t>
  </si>
  <si>
    <t>фінансування капітальних видатків</t>
  </si>
  <si>
    <t>03564217</t>
  </si>
  <si>
    <t>93.19</t>
  </si>
  <si>
    <t>Комунальне підприємство</t>
  </si>
  <si>
    <t>Інша діяльність у сфері спорту</t>
  </si>
  <si>
    <t xml:space="preserve">                           32  комунальна</t>
  </si>
  <si>
    <t>Середньооблікова кількість штатних працівників:                     41 чоловік</t>
  </si>
  <si>
    <t>753-55-07;  753-58-57;   753-59-36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</si>
  <si>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</si>
  <si>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</si>
  <si>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</si>
  <si>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Директор Департаменту гуманітарної політики</t>
  </si>
  <si>
    <t>єсв</t>
  </si>
  <si>
    <t xml:space="preserve">         (ініціали, прізвище)  1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</si>
  <si>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</si>
  <si>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</si>
  <si>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</si>
  <si>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</si>
  <si>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</si>
  <si>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</si>
  <si>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</si>
  <si>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</si>
  <si>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</si>
  <si>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</si>
  <si>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</si>
  <si>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</si>
  <si>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</si>
  <si>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</si>
  <si>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</si>
  <si>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</si>
  <si>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</si>
  <si>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придбання човнів та моторів, обладнання фотофінішу</t>
  </si>
  <si>
    <t>виготовлення плотів та стійок під човни</t>
  </si>
  <si>
    <t xml:space="preserve">ЗАТВЕРДЖЕНО  </t>
  </si>
  <si>
    <t>Рішення виконавчого комітету міської ради                                           №________ від _________________ року</t>
  </si>
  <si>
    <t>49094, м.Дніпро, Соборний  район</t>
  </si>
  <si>
    <t>м.Дніпро,  вул.Набережна Перемоги,13</t>
  </si>
  <si>
    <t xml:space="preserve">Газель А22R33-55PRO </t>
  </si>
  <si>
    <t>Дніпровської міської ради</t>
  </si>
  <si>
    <t>(дата та номер рішення виконавчого комітету міської ради)</t>
  </si>
  <si>
    <t>до Порядку складання, затвердження та контролю виконання                                          фінансових планів підприємств комунальної власності територіальної      громади міста Дніпра</t>
  </si>
  <si>
    <r>
      <t xml:space="preserve">ПОГОДЖЕНО _____________________ Шикуленко О.В.   
</t>
    </r>
    <r>
      <rPr>
        <sz val="12"/>
        <rFont val="Times New Roman"/>
        <family val="1"/>
        <charset val="204"/>
      </rPr>
      <t>(прізвище та ініціали та підпис заступника міського голови за напрямом діяльності  підприємства)</t>
    </r>
  </si>
  <si>
    <t>Рік 2018</t>
  </si>
  <si>
    <t>_______________________Сушко К.А.</t>
  </si>
  <si>
    <t>ФІНАНСОВИЙ ПЛАН ПІДПРИЄМСТВА НА 2018 рік</t>
  </si>
  <si>
    <t>Плановий 2018 рік</t>
  </si>
  <si>
    <t>Фактичний показник поточного року за останній звітній період 
 2017 року</t>
  </si>
  <si>
    <t>Плановий показник поточного
2017 року</t>
  </si>
  <si>
    <t>Фактичний показник за 
2016 минулий рік</t>
  </si>
  <si>
    <t>до фінансового плану на 2018 рік</t>
  </si>
  <si>
    <t>Реконструкція та реставрація об'єктів</t>
  </si>
  <si>
    <t xml:space="preserve">         (ініціали, прізвище)  </t>
  </si>
  <si>
    <t xml:space="preserve"> цільове фінансування капітальних інвестицій, що включаються до доходів у розмірі амортизації</t>
  </si>
  <si>
    <t>Придбання стартової системи для веслувальників, човни та двигуни, бензиновий генератор, альтанки, кондиціонери, консольний кран, холодильники, міні трактор з навісним обладнанням для утримання береговоїх зони веслувального каналу</t>
  </si>
  <si>
    <t xml:space="preserve">             Всього:</t>
  </si>
  <si>
    <t>Комунальне підприємство  “ Водно - спортивний комбінат ” ДМР</t>
  </si>
  <si>
    <t>адм-</t>
  </si>
  <si>
    <t>з   01.01 2018 року.</t>
  </si>
  <si>
    <t>себ.</t>
  </si>
  <si>
    <t>№ п/п</t>
  </si>
  <si>
    <t>Назва структурного підрозділу та посада</t>
  </si>
  <si>
    <t>Кількість штатних посад</t>
  </si>
  <si>
    <t>Посадовий оклад (грн.)</t>
  </si>
  <si>
    <t>Всего</t>
  </si>
  <si>
    <t>Доплата за нічні та святкові</t>
  </si>
  <si>
    <t>Доплата та надбавки за складність та напружність-50%</t>
  </si>
  <si>
    <t>Доплата за звання-20%-10%</t>
  </si>
  <si>
    <t>Доплата за  прибирання -10%</t>
  </si>
  <si>
    <t>Фонд заробітної плати на місяць (грн.)</t>
  </si>
  <si>
    <t>Фонд заробітної плати на рік  бюджет (грн.)</t>
  </si>
  <si>
    <t>Доплата до МЗП ,індекс.</t>
  </si>
  <si>
    <t>Фонд заробітної плати на рік бюджет           ( грн.)</t>
  </si>
  <si>
    <t>Доплата до с учетом квал.раб( премия -вл.кошти (грн)</t>
  </si>
  <si>
    <t>Грошова допом -вл.кошти (грн)</t>
  </si>
  <si>
    <t>Фонд заробітної плати на рік вл.кошти             ( грн.)</t>
  </si>
  <si>
    <t xml:space="preserve">Всего бюджет+вл.кошти </t>
  </si>
  <si>
    <t>Директор</t>
  </si>
  <si>
    <t>Заступник директора по експлуатації та обслуговування спортивних споруд</t>
  </si>
  <si>
    <t>Заступник директора по реконструкції та розвитку спортивних споруд-НВКБ</t>
  </si>
  <si>
    <t>Головний бухгалтер</t>
  </si>
  <si>
    <t>Помічник керівника по забезпеченню по організації  спортивно-оздоровчих заходів</t>
  </si>
  <si>
    <t>Провідний фахівець  зі спорту по роботі з населенням</t>
  </si>
  <si>
    <t>Головний інженер</t>
  </si>
  <si>
    <t>Головний енергетик</t>
  </si>
  <si>
    <t>Начальник водної станціі</t>
  </si>
  <si>
    <t>Начальник дистанції</t>
  </si>
  <si>
    <t>Механік</t>
  </si>
  <si>
    <t>Бухгалтер</t>
  </si>
  <si>
    <t>Провідний фахівець по налагодженню обладнання і обслуговуванню спортивних споруд</t>
  </si>
  <si>
    <t>Фахівець ІІ категорії</t>
  </si>
  <si>
    <t>Адміністратор системи</t>
  </si>
  <si>
    <t>Секретарь-друкувальник</t>
  </si>
  <si>
    <t>Газоелектрозварник</t>
  </si>
  <si>
    <t xml:space="preserve">Робітник  з ремонту й налагодження електронного та іншого особливо складного обладнання </t>
  </si>
  <si>
    <t>Моторист</t>
  </si>
  <si>
    <t>Водій</t>
  </si>
  <si>
    <t>Прибиральник приміщень</t>
  </si>
  <si>
    <t>Комірник</t>
  </si>
  <si>
    <t>Сторож</t>
  </si>
  <si>
    <t>Двірник -садівник</t>
  </si>
  <si>
    <t>месяц</t>
  </si>
  <si>
    <t>собівартість</t>
  </si>
  <si>
    <t>адміністративні</t>
  </si>
  <si>
    <t>ФОП</t>
  </si>
  <si>
    <t>ЄСВ</t>
  </si>
  <si>
    <t>фоп інвалідів с/с</t>
  </si>
  <si>
    <t>фоп інвалідів ауп</t>
  </si>
  <si>
    <t>для 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</si>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</sst>
</file>

<file path=xl/styles.xml><?xml version="1.0" encoding="utf-8"?>
<styleSheet xmlns="http://schemas.openxmlformats.org/spreadsheetml/2006/main">
  <numFmts count="18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00"/>
    <numFmt numFmtId="179" formatCode="#,##0.000"/>
    <numFmt numFmtId="180" formatCode="_-* #,##0_₴_-;\-* #,##0_₴_-;_-* &quot;-&quot;??_₴_-;_-@_-"/>
  </numFmts>
  <fonts count="10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rgb="FF0070C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  <xf numFmtId="43" fontId="2" fillId="0" borderId="0" applyFont="0" applyFill="0" applyBorder="0" applyAlignment="0" applyProtection="0"/>
  </cellStyleXfs>
  <cellXfs count="50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5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69" fontId="4" fillId="0" borderId="0" xfId="0" quotePrefix="1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178" fontId="5" fillId="29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 wrapText="1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3" xfId="0" applyNumberFormat="1" applyFont="1" applyFill="1" applyBorder="1" applyAlignment="1">
      <alignment horizontal="center" vertical="center" wrapText="1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9" fontId="84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89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>
      <alignment vertical="center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2" fillId="0" borderId="3" xfId="238" applyFont="1" applyBorder="1" applyAlignment="1">
      <alignment wrapText="1"/>
    </xf>
    <xf numFmtId="0" fontId="92" fillId="0" borderId="3" xfId="238" applyFont="1" applyBorder="1" applyAlignment="1">
      <alignment vertical="top" wrapText="1"/>
    </xf>
    <xf numFmtId="0" fontId="91" fillId="0" borderId="3" xfId="238" applyFont="1" applyBorder="1" applyAlignment="1">
      <alignment horizontal="center"/>
    </xf>
    <xf numFmtId="0" fontId="93" fillId="0" borderId="3" xfId="238" applyFont="1" applyBorder="1" applyAlignment="1">
      <alignment horizontal="center"/>
    </xf>
    <xf numFmtId="2" fontId="94" fillId="0" borderId="3" xfId="238" applyNumberFormat="1" applyFont="1" applyBorder="1" applyAlignment="1">
      <alignment horizontal="center"/>
    </xf>
    <xf numFmtId="0" fontId="91" fillId="34" borderId="3" xfId="238" applyFont="1" applyFill="1" applyBorder="1" applyAlignment="1">
      <alignment horizontal="center"/>
    </xf>
    <xf numFmtId="0" fontId="93" fillId="34" borderId="3" xfId="238" applyFont="1" applyFill="1" applyBorder="1" applyAlignment="1">
      <alignment horizontal="center"/>
    </xf>
    <xf numFmtId="2" fontId="92" fillId="34" borderId="3" xfId="238" applyNumberFormat="1" applyFont="1" applyFill="1" applyBorder="1" applyAlignment="1">
      <alignment horizontal="center"/>
    </xf>
    <xf numFmtId="0" fontId="95" fillId="34" borderId="3" xfId="238" applyFont="1" applyFill="1" applyBorder="1" applyAlignment="1">
      <alignment horizontal="center" vertical="center" wrapText="1"/>
    </xf>
    <xf numFmtId="0" fontId="95" fillId="34" borderId="3" xfId="238" applyFont="1" applyFill="1" applyBorder="1" applyAlignment="1">
      <alignment vertical="top" wrapText="1"/>
    </xf>
    <xf numFmtId="0" fontId="95" fillId="34" borderId="3" xfId="238" applyFont="1" applyFill="1" applyBorder="1" applyAlignment="1">
      <alignment horizontal="left" vertical="center" wrapText="1"/>
    </xf>
    <xf numFmtId="0" fontId="95" fillId="34" borderId="3" xfId="238" applyFont="1" applyFill="1" applyBorder="1" applyAlignment="1">
      <alignment vertical="center" wrapText="1"/>
    </xf>
    <xf numFmtId="0" fontId="95" fillId="0" borderId="3" xfId="238" applyFont="1" applyBorder="1" applyAlignment="1">
      <alignment horizontal="center" vertical="center" wrapText="1"/>
    </xf>
    <xf numFmtId="0" fontId="95" fillId="0" borderId="3" xfId="238" applyFont="1" applyBorder="1" applyAlignment="1">
      <alignment vertical="center" wrapText="1"/>
    </xf>
    <xf numFmtId="0" fontId="92" fillId="0" borderId="3" xfId="238" applyFont="1" applyBorder="1" applyAlignment="1">
      <alignment horizontal="center" vertical="top" wrapText="1"/>
    </xf>
    <xf numFmtId="0" fontId="92" fillId="0" borderId="3" xfId="238" applyFont="1" applyBorder="1" applyAlignment="1">
      <alignment horizontal="center" vertical="center" wrapText="1"/>
    </xf>
    <xf numFmtId="1" fontId="97" fillId="34" borderId="3" xfId="238" applyNumberFormat="1" applyFont="1" applyFill="1" applyBorder="1" applyAlignment="1">
      <alignment horizontal="center" vertical="center" wrapText="1"/>
    </xf>
    <xf numFmtId="1" fontId="98" fillId="34" borderId="3" xfId="238" applyNumberFormat="1" applyFont="1" applyFill="1" applyBorder="1" applyAlignment="1">
      <alignment horizontal="center" vertical="center" wrapText="1"/>
    </xf>
    <xf numFmtId="1" fontId="97" fillId="0" borderId="3" xfId="238" applyNumberFormat="1" applyFont="1" applyBorder="1" applyAlignment="1">
      <alignment horizontal="center" vertical="center" wrapText="1"/>
    </xf>
    <xf numFmtId="1" fontId="97" fillId="0" borderId="3" xfId="238" applyNumberFormat="1" applyFont="1" applyFill="1" applyBorder="1" applyAlignment="1">
      <alignment horizontal="center" vertical="center" wrapText="1"/>
    </xf>
    <xf numFmtId="1" fontId="97" fillId="0" borderId="24" xfId="238" applyNumberFormat="1" applyFont="1" applyFill="1" applyBorder="1" applyAlignment="1">
      <alignment horizontal="center" vertical="center" wrapText="1"/>
    </xf>
    <xf numFmtId="1" fontId="98" fillId="0" borderId="3" xfId="238" applyNumberFormat="1" applyFont="1" applyBorder="1" applyAlignment="1">
      <alignment horizontal="center" vertical="center" wrapText="1"/>
    </xf>
    <xf numFmtId="1" fontId="99" fillId="0" borderId="3" xfId="238" applyNumberFormat="1" applyFont="1" applyBorder="1" applyAlignment="1">
      <alignment horizontal="center" vertical="center" wrapText="1"/>
    </xf>
    <xf numFmtId="1" fontId="98" fillId="31" borderId="3" xfId="238" applyNumberFormat="1" applyFont="1" applyFill="1" applyBorder="1" applyAlignment="1">
      <alignment horizontal="center" vertical="center" wrapText="1"/>
    </xf>
    <xf numFmtId="1" fontId="97" fillId="35" borderId="3" xfId="238" applyNumberFormat="1" applyFont="1" applyFill="1" applyBorder="1" applyAlignment="1">
      <alignment horizontal="center" vertical="center" wrapText="1"/>
    </xf>
    <xf numFmtId="0" fontId="91" fillId="33" borderId="3" xfId="238" applyFont="1" applyFill="1" applyBorder="1" applyAlignment="1">
      <alignment horizontal="center"/>
    </xf>
    <xf numFmtId="1" fontId="97" fillId="36" borderId="3" xfId="238" applyNumberFormat="1" applyFont="1" applyFill="1" applyBorder="1" applyAlignment="1">
      <alignment horizontal="center" vertical="center" wrapText="1"/>
    </xf>
    <xf numFmtId="0" fontId="101" fillId="0" borderId="0" xfId="0" applyFont="1"/>
    <xf numFmtId="0" fontId="95" fillId="37" borderId="3" xfId="238" applyFont="1" applyFill="1" applyBorder="1" applyAlignment="1">
      <alignment horizontal="center" vertical="center" wrapText="1"/>
    </xf>
    <xf numFmtId="180" fontId="0" fillId="0" borderId="0" xfId="353" applyNumberFormat="1" applyFont="1"/>
    <xf numFmtId="180" fontId="102" fillId="0" borderId="0" xfId="353" applyNumberFormat="1" applyFont="1" applyFill="1" applyAlignment="1">
      <alignment vertical="center"/>
    </xf>
    <xf numFmtId="180" fontId="102" fillId="0" borderId="0" xfId="353" applyNumberFormat="1" applyFont="1" applyFill="1" applyBorder="1" applyAlignment="1">
      <alignment vertical="center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/>
    <xf numFmtId="0" fontId="88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69" fontId="5" fillId="0" borderId="0" xfId="0" quotePrefix="1" applyNumberFormat="1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10" fillId="31" borderId="3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31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9" fontId="4" fillId="29" borderId="14" xfId="0" applyNumberFormat="1" applyFont="1" applyFill="1" applyBorder="1" applyAlignment="1" applyProtection="1">
      <alignment horizontal="center" vertical="center" wrapText="1"/>
    </xf>
    <xf numFmtId="9" fontId="4" fillId="29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177" fontId="5" fillId="30" borderId="14" xfId="0" applyNumberFormat="1" applyFont="1" applyFill="1" applyBorder="1" applyAlignment="1" applyProtection="1">
      <alignment horizontal="center" vertical="center" wrapText="1"/>
    </xf>
    <xf numFmtId="177" fontId="5" fillId="3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3" fontId="4" fillId="29" borderId="14" xfId="0" applyNumberFormat="1" applyFont="1" applyFill="1" applyBorder="1" applyAlignment="1" applyProtection="1">
      <alignment horizontal="center" vertical="center" wrapText="1"/>
    </xf>
    <xf numFmtId="3" fontId="4" fillId="29" borderId="16" xfId="0" applyNumberFormat="1" applyFont="1" applyFill="1" applyBorder="1" applyAlignment="1" applyProtection="1">
      <alignment horizontal="center" vertical="center" wrapText="1"/>
    </xf>
    <xf numFmtId="0" fontId="96" fillId="0" borderId="3" xfId="238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91" fillId="0" borderId="0" xfId="238" applyFont="1" applyBorder="1" applyAlignment="1">
      <alignment horizontal="center"/>
    </xf>
    <xf numFmtId="0" fontId="94" fillId="0" borderId="3" xfId="238" applyFont="1" applyBorder="1" applyAlignment="1">
      <alignment horizontal="center" vertical="center" wrapText="1"/>
    </xf>
    <xf numFmtId="0" fontId="96" fillId="0" borderId="18" xfId="238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6" fillId="0" borderId="24" xfId="238" applyFont="1" applyBorder="1" applyAlignment="1">
      <alignment horizontal="center" vertical="center" wrapText="1"/>
    </xf>
    <xf numFmtId="0" fontId="96" fillId="0" borderId="19" xfId="238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49" fontId="71" fillId="31" borderId="14" xfId="0" applyNumberFormat="1" applyFont="1" applyFill="1" applyBorder="1" applyAlignment="1">
      <alignment horizontal="left" vertical="center" wrapText="1"/>
    </xf>
    <xf numFmtId="49" fontId="71" fillId="31" borderId="15" xfId="0" applyNumberFormat="1" applyFont="1" applyFill="1" applyBorder="1" applyAlignment="1">
      <alignment horizontal="left" vertical="center" wrapText="1"/>
    </xf>
    <xf numFmtId="49" fontId="71" fillId="31" borderId="16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56"/>
  <sheetViews>
    <sheetView view="pageBreakPreview" topLeftCell="A91" zoomScale="90" zoomScaleNormal="75" zoomScaleSheetLayoutView="90" workbookViewId="0">
      <selection activeCell="J64" sqref="J64"/>
    </sheetView>
  </sheetViews>
  <sheetFormatPr defaultRowHeight="18.75"/>
  <cols>
    <col min="1" max="1" width="44.7109375" style="2" customWidth="1"/>
    <col min="2" max="2" width="14.42578125" style="25" customWidth="1"/>
    <col min="3" max="3" width="16.85546875" style="25" customWidth="1"/>
    <col min="4" max="4" width="14.5703125" style="25" customWidth="1"/>
    <col min="5" max="5" width="14.28515625" style="2" customWidth="1"/>
    <col min="6" max="6" width="13" style="2" customWidth="1"/>
    <col min="7" max="7" width="13.140625" style="2" customWidth="1"/>
    <col min="8" max="9" width="13.42578125" style="2" customWidth="1"/>
    <col min="10" max="10" width="13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1">
      <c r="A1" s="108"/>
      <c r="B1" s="109"/>
      <c r="C1" s="109"/>
      <c r="D1" s="109"/>
      <c r="E1" s="108"/>
      <c r="F1" s="108"/>
      <c r="G1" s="108"/>
      <c r="H1" s="108"/>
      <c r="I1" s="108"/>
      <c r="J1" s="108"/>
    </row>
    <row r="2" spans="1:11" ht="18.75" customHeight="1">
      <c r="A2" s="333" t="s">
        <v>376</v>
      </c>
      <c r="B2" s="333"/>
      <c r="C2" s="111"/>
      <c r="D2" s="112"/>
      <c r="E2" s="336" t="s">
        <v>469</v>
      </c>
      <c r="F2" s="336"/>
      <c r="G2" s="336"/>
      <c r="H2" s="336"/>
      <c r="I2" s="336"/>
      <c r="J2" s="336"/>
      <c r="K2" s="336"/>
    </row>
    <row r="3" spans="1:11" ht="18.75" customHeight="1">
      <c r="A3" s="334" t="s">
        <v>440</v>
      </c>
      <c r="B3" s="334"/>
      <c r="C3" s="111"/>
      <c r="D3" s="114"/>
      <c r="E3" s="336"/>
      <c r="F3" s="336"/>
      <c r="G3" s="336"/>
      <c r="H3" s="336"/>
      <c r="I3" s="336"/>
      <c r="J3" s="336"/>
      <c r="K3" s="336"/>
    </row>
    <row r="4" spans="1:11" ht="18.75" customHeight="1">
      <c r="A4" s="334" t="s">
        <v>467</v>
      </c>
      <c r="B4" s="334"/>
      <c r="C4" s="111"/>
      <c r="D4" s="114"/>
      <c r="E4" s="336"/>
      <c r="F4" s="336"/>
      <c r="G4" s="336"/>
      <c r="H4" s="336"/>
      <c r="I4" s="336"/>
      <c r="J4" s="336"/>
      <c r="K4" s="336"/>
    </row>
    <row r="5" spans="1:11" ht="18.75" customHeight="1">
      <c r="A5" s="333" t="s">
        <v>472</v>
      </c>
      <c r="B5" s="333"/>
      <c r="C5" s="111"/>
      <c r="D5" s="114"/>
      <c r="E5" s="114"/>
      <c r="F5" s="114"/>
      <c r="G5" s="335"/>
      <c r="H5" s="335"/>
      <c r="I5" s="233"/>
      <c r="J5" s="233"/>
    </row>
    <row r="6" spans="1:11" ht="18.75" customHeight="1">
      <c r="A6" s="312" t="s">
        <v>377</v>
      </c>
      <c r="B6" s="312"/>
      <c r="C6" s="111"/>
      <c r="D6" s="115"/>
      <c r="E6" s="313" t="s">
        <v>462</v>
      </c>
      <c r="F6" s="313"/>
      <c r="G6" s="313"/>
      <c r="H6" s="313"/>
      <c r="I6" s="313"/>
      <c r="J6" s="313"/>
      <c r="K6" s="313"/>
    </row>
    <row r="7" spans="1:11" ht="44.25" customHeight="1">
      <c r="A7" s="312"/>
      <c r="B7" s="312"/>
      <c r="C7" s="111"/>
      <c r="D7" s="115"/>
      <c r="E7" s="314" t="s">
        <v>463</v>
      </c>
      <c r="F7" s="314"/>
      <c r="G7" s="314"/>
      <c r="H7" s="314"/>
      <c r="I7" s="314"/>
      <c r="J7" s="314"/>
      <c r="K7" s="314"/>
    </row>
    <row r="8" spans="1:11" ht="18.75" customHeight="1">
      <c r="A8" s="116" t="s">
        <v>346</v>
      </c>
      <c r="B8" s="110"/>
      <c r="C8" s="111"/>
      <c r="D8" s="115"/>
      <c r="E8" s="315" t="s">
        <v>468</v>
      </c>
      <c r="F8" s="315"/>
      <c r="G8" s="315"/>
      <c r="H8" s="315"/>
      <c r="I8" s="315"/>
      <c r="J8" s="315"/>
      <c r="K8" s="315"/>
    </row>
    <row r="9" spans="1:11" ht="18.75" customHeight="1">
      <c r="A9" s="110"/>
      <c r="B9" s="110"/>
      <c r="C9" s="111"/>
      <c r="D9" s="115"/>
      <c r="E9" s="336"/>
      <c r="F9" s="336"/>
      <c r="G9" s="336"/>
      <c r="H9" s="336"/>
      <c r="I9" s="336"/>
      <c r="J9" s="336"/>
      <c r="K9" s="336"/>
    </row>
    <row r="10" spans="1:11" ht="20.25">
      <c r="A10" s="110"/>
      <c r="B10" s="110"/>
      <c r="C10" s="111"/>
      <c r="D10" s="115"/>
      <c r="E10" s="112"/>
      <c r="F10" s="112"/>
      <c r="G10" s="112"/>
      <c r="H10" s="112"/>
      <c r="I10" s="112"/>
      <c r="J10" s="112"/>
    </row>
    <row r="11" spans="1:11" ht="61.5" customHeight="1">
      <c r="A11" s="110"/>
      <c r="B11" s="110"/>
      <c r="C11" s="111"/>
      <c r="D11" s="115"/>
      <c r="E11" s="313" t="s">
        <v>470</v>
      </c>
      <c r="F11" s="313"/>
      <c r="G11" s="313"/>
      <c r="H11" s="313"/>
      <c r="I11" s="313"/>
      <c r="J11" s="313"/>
      <c r="K11" s="313"/>
    </row>
    <row r="12" spans="1:11" ht="20.25" customHeight="1">
      <c r="A12" s="110"/>
      <c r="B12" s="110"/>
      <c r="C12" s="111"/>
      <c r="D12" s="115"/>
      <c r="E12" s="229"/>
      <c r="F12" s="229"/>
      <c r="G12" s="112"/>
      <c r="H12" s="112"/>
      <c r="I12" s="112"/>
      <c r="J12" s="112"/>
    </row>
    <row r="13" spans="1:11" ht="19.5" customHeight="1">
      <c r="A13" s="110"/>
      <c r="B13" s="110"/>
      <c r="C13" s="111"/>
      <c r="D13" s="115"/>
      <c r="E13" s="112"/>
      <c r="F13" s="112"/>
      <c r="G13" s="230"/>
      <c r="H13" s="229"/>
      <c r="I13" s="229"/>
      <c r="J13" s="229"/>
    </row>
    <row r="14" spans="1:11" ht="19.5" customHeight="1">
      <c r="A14" s="112"/>
      <c r="B14" s="117"/>
      <c r="C14" s="117"/>
      <c r="D14" s="117"/>
      <c r="E14" s="117"/>
      <c r="F14" s="117"/>
      <c r="G14" s="118"/>
      <c r="H14" s="118"/>
      <c r="I14" s="118"/>
      <c r="J14" s="118"/>
    </row>
    <row r="15" spans="1:11" ht="19.5" customHeight="1">
      <c r="A15" s="119"/>
      <c r="B15" s="337"/>
      <c r="C15" s="337"/>
      <c r="D15" s="337"/>
      <c r="E15" s="120"/>
      <c r="F15" s="120"/>
      <c r="G15" s="121"/>
      <c r="H15" s="212"/>
      <c r="I15" s="263" t="s">
        <v>471</v>
      </c>
      <c r="J15" s="123" t="s">
        <v>261</v>
      </c>
    </row>
    <row r="16" spans="1:11" ht="16.5" customHeight="1">
      <c r="A16" s="124" t="s">
        <v>14</v>
      </c>
      <c r="B16" s="332" t="s">
        <v>438</v>
      </c>
      <c r="C16" s="332"/>
      <c r="D16" s="332"/>
      <c r="E16" s="120"/>
      <c r="F16" s="120"/>
      <c r="G16" s="125"/>
      <c r="H16" s="126"/>
      <c r="I16" s="188" t="s">
        <v>145</v>
      </c>
      <c r="J16" s="210" t="s">
        <v>430</v>
      </c>
    </row>
    <row r="17" spans="1:10" ht="16.5" customHeight="1">
      <c r="A17" s="124" t="s">
        <v>15</v>
      </c>
      <c r="B17" s="332" t="s">
        <v>432</v>
      </c>
      <c r="C17" s="332"/>
      <c r="D17" s="332"/>
      <c r="E17" s="120"/>
      <c r="F17" s="120"/>
      <c r="G17" s="121"/>
      <c r="H17" s="122"/>
      <c r="I17" s="188" t="s">
        <v>144</v>
      </c>
      <c r="J17" s="189">
        <v>150</v>
      </c>
    </row>
    <row r="18" spans="1:10" ht="18.75" customHeight="1">
      <c r="A18" s="124" t="s">
        <v>19</v>
      </c>
      <c r="B18" s="332" t="s">
        <v>464</v>
      </c>
      <c r="C18" s="332"/>
      <c r="D18" s="332"/>
      <c r="E18" s="190"/>
      <c r="F18" s="120"/>
      <c r="G18" s="121"/>
      <c r="H18" s="122"/>
      <c r="I18" s="188" t="s">
        <v>143</v>
      </c>
      <c r="J18" s="189">
        <v>1210136900</v>
      </c>
    </row>
    <row r="19" spans="1:10" ht="19.5" customHeight="1">
      <c r="A19" s="124" t="s">
        <v>378</v>
      </c>
      <c r="B19" s="337"/>
      <c r="C19" s="337"/>
      <c r="D19" s="337"/>
      <c r="E19" s="337"/>
      <c r="F19" s="337"/>
      <c r="G19" s="337"/>
      <c r="H19" s="338"/>
      <c r="I19" s="188" t="s">
        <v>9</v>
      </c>
      <c r="J19" s="189"/>
    </row>
    <row r="20" spans="1:10" ht="18" customHeight="1">
      <c r="A20" s="124" t="s">
        <v>17</v>
      </c>
      <c r="B20" s="337"/>
      <c r="C20" s="337"/>
      <c r="D20" s="337"/>
      <c r="E20" s="120"/>
      <c r="F20" s="120"/>
      <c r="G20" s="125"/>
      <c r="H20" s="126"/>
      <c r="I20" s="188" t="s">
        <v>8</v>
      </c>
      <c r="J20" s="189">
        <v>91700</v>
      </c>
    </row>
    <row r="21" spans="1:10" ht="21" customHeight="1">
      <c r="A21" s="124" t="s">
        <v>16</v>
      </c>
      <c r="B21" s="332" t="s">
        <v>433</v>
      </c>
      <c r="C21" s="332"/>
      <c r="D21" s="332"/>
      <c r="E21" s="120"/>
      <c r="F21" s="120"/>
      <c r="G21" s="125"/>
      <c r="H21" s="127"/>
      <c r="I21" s="208" t="s">
        <v>10</v>
      </c>
      <c r="J21" s="189" t="s">
        <v>431</v>
      </c>
    </row>
    <row r="22" spans="1:10" ht="20.25" customHeight="1">
      <c r="A22" s="339" t="s">
        <v>379</v>
      </c>
      <c r="B22" s="337"/>
      <c r="C22" s="337"/>
      <c r="D22" s="337"/>
      <c r="E22" s="120"/>
      <c r="F22" s="120"/>
      <c r="G22" s="337" t="s">
        <v>206</v>
      </c>
      <c r="H22" s="340"/>
      <c r="I22" s="341"/>
      <c r="J22" s="209"/>
    </row>
    <row r="23" spans="1:10" ht="18.75" customHeight="1">
      <c r="A23" s="124" t="s">
        <v>20</v>
      </c>
      <c r="B23" s="332" t="s">
        <v>434</v>
      </c>
      <c r="C23" s="332"/>
      <c r="D23" s="332"/>
      <c r="E23" s="120"/>
      <c r="F23" s="120"/>
      <c r="G23" s="337" t="s">
        <v>207</v>
      </c>
      <c r="H23" s="340"/>
      <c r="I23" s="341"/>
      <c r="J23" s="209"/>
    </row>
    <row r="24" spans="1:10" ht="18" customHeight="1">
      <c r="A24" s="345" t="s">
        <v>435</v>
      </c>
      <c r="B24" s="332"/>
      <c r="C24" s="332"/>
      <c r="D24" s="332"/>
      <c r="E24" s="120"/>
      <c r="F24" s="120"/>
      <c r="G24" s="125"/>
      <c r="H24" s="125"/>
      <c r="I24" s="125"/>
      <c r="J24" s="126"/>
    </row>
    <row r="25" spans="1:10" ht="18.75" customHeight="1">
      <c r="A25" s="124" t="s">
        <v>11</v>
      </c>
      <c r="B25" s="332" t="s">
        <v>465</v>
      </c>
      <c r="C25" s="332"/>
      <c r="D25" s="332"/>
      <c r="E25" s="332"/>
      <c r="F25" s="190"/>
      <c r="G25" s="211"/>
      <c r="H25" s="121"/>
      <c r="I25" s="121"/>
      <c r="J25" s="122"/>
    </row>
    <row r="26" spans="1:10" ht="18" customHeight="1">
      <c r="A26" s="124" t="s">
        <v>12</v>
      </c>
      <c r="B26" s="332" t="s">
        <v>436</v>
      </c>
      <c r="C26" s="332"/>
      <c r="D26" s="332"/>
      <c r="E26" s="120"/>
      <c r="F26" s="120"/>
      <c r="G26" s="125"/>
      <c r="H26" s="125"/>
      <c r="I26" s="125"/>
      <c r="J26" s="126"/>
    </row>
    <row r="27" spans="1:10" ht="21" customHeight="1">
      <c r="A27" s="124" t="s">
        <v>13</v>
      </c>
      <c r="B27" s="332" t="s">
        <v>437</v>
      </c>
      <c r="C27" s="332"/>
      <c r="D27" s="332"/>
      <c r="E27" s="120"/>
      <c r="F27" s="120"/>
      <c r="G27" s="121"/>
      <c r="H27" s="121"/>
      <c r="I27" s="121"/>
      <c r="J27" s="122"/>
    </row>
    <row r="28" spans="1:10" ht="20.100000000000001" customHeight="1">
      <c r="B28" s="2"/>
      <c r="C28" s="2"/>
      <c r="D28" s="2"/>
    </row>
    <row r="29" spans="1:10" ht="19.5" customHeight="1">
      <c r="A29" s="66"/>
      <c r="B29" s="2"/>
      <c r="D29" s="2"/>
    </row>
    <row r="30" spans="1:10">
      <c r="A30" s="342" t="s">
        <v>473</v>
      </c>
      <c r="B30" s="342"/>
      <c r="C30" s="342"/>
      <c r="D30" s="342"/>
      <c r="E30" s="342"/>
      <c r="F30" s="342"/>
      <c r="G30" s="342"/>
      <c r="H30" s="342"/>
      <c r="I30" s="342"/>
      <c r="J30" s="342"/>
    </row>
    <row r="31" spans="1:10" ht="9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>
      <c r="A32" s="342" t="s">
        <v>220</v>
      </c>
      <c r="B32" s="342"/>
      <c r="C32" s="342"/>
      <c r="D32" s="342"/>
      <c r="E32" s="342"/>
      <c r="F32" s="342"/>
      <c r="G32" s="342"/>
      <c r="H32" s="342"/>
      <c r="I32" s="342"/>
      <c r="J32" s="342"/>
    </row>
    <row r="33" spans="1:10" ht="12" customHeight="1">
      <c r="A33" s="192"/>
      <c r="B33" s="193"/>
      <c r="C33" s="194"/>
      <c r="D33" s="193"/>
      <c r="E33" s="193"/>
      <c r="F33" s="193"/>
      <c r="G33" s="193"/>
      <c r="H33" s="193"/>
      <c r="I33" s="193"/>
      <c r="J33" s="193"/>
    </row>
    <row r="34" spans="1:10" ht="41.25" customHeight="1">
      <c r="A34" s="319" t="s">
        <v>272</v>
      </c>
      <c r="B34" s="320" t="s">
        <v>18</v>
      </c>
      <c r="C34" s="327" t="s">
        <v>31</v>
      </c>
      <c r="D34" s="327" t="s">
        <v>39</v>
      </c>
      <c r="E34" s="320" t="s">
        <v>149</v>
      </c>
      <c r="F34" s="346" t="s">
        <v>181</v>
      </c>
      <c r="G34" s="321" t="s">
        <v>273</v>
      </c>
      <c r="H34" s="322"/>
      <c r="I34" s="322"/>
      <c r="J34" s="323"/>
    </row>
    <row r="35" spans="1:10" ht="54.75" customHeight="1">
      <c r="A35" s="319"/>
      <c r="B35" s="320"/>
      <c r="C35" s="328"/>
      <c r="D35" s="328"/>
      <c r="E35" s="320"/>
      <c r="F35" s="347"/>
      <c r="G35" s="97" t="s">
        <v>265</v>
      </c>
      <c r="H35" s="97" t="s">
        <v>266</v>
      </c>
      <c r="I35" s="97" t="s">
        <v>267</v>
      </c>
      <c r="J35" s="97" t="s">
        <v>354</v>
      </c>
    </row>
    <row r="36" spans="1:10" ht="20.100000000000001" customHeight="1">
      <c r="A36" s="96">
        <v>1</v>
      </c>
      <c r="B36" s="97">
        <v>2</v>
      </c>
      <c r="C36" s="97">
        <v>3</v>
      </c>
      <c r="D36" s="97">
        <v>4</v>
      </c>
      <c r="E36" s="97">
        <v>5</v>
      </c>
      <c r="F36" s="97">
        <v>6</v>
      </c>
      <c r="G36" s="97">
        <v>7</v>
      </c>
      <c r="H36" s="97">
        <v>8</v>
      </c>
      <c r="I36" s="97">
        <v>9</v>
      </c>
      <c r="J36" s="97">
        <v>10</v>
      </c>
    </row>
    <row r="37" spans="1:10" ht="24.95" customHeight="1">
      <c r="A37" s="324" t="s">
        <v>108</v>
      </c>
      <c r="B37" s="324"/>
      <c r="C37" s="324"/>
      <c r="D37" s="324"/>
      <c r="E37" s="324"/>
      <c r="F37" s="324"/>
      <c r="G37" s="324"/>
      <c r="H37" s="324"/>
      <c r="I37" s="324"/>
      <c r="J37" s="324"/>
    </row>
    <row r="38" spans="1:10" ht="37.5">
      <c r="A38" s="98" t="s">
        <v>221</v>
      </c>
      <c r="B38" s="96">
        <f>'I. Фін результат'!B7</f>
        <v>1000</v>
      </c>
      <c r="C38" s="181">
        <f>'I. Фін результат'!C7</f>
        <v>1215</v>
      </c>
      <c r="D38" s="181">
        <f>'I. Фін результат'!D7</f>
        <v>1024</v>
      </c>
      <c r="E38" s="181">
        <f>'I. Фін результат'!I7</f>
        <v>1835</v>
      </c>
      <c r="F38" s="181">
        <f>'I. Фін результат'!E7</f>
        <v>1866</v>
      </c>
      <c r="G38" s="195">
        <f>ROUND(E38*105.5%,0)</f>
        <v>1936</v>
      </c>
      <c r="H38" s="195">
        <f>ROUND(G38*105.2%,0)</f>
        <v>2037</v>
      </c>
      <c r="I38" s="195">
        <f t="shared" ref="I38:J38" si="0">ROUND(H38*105.2%,0)</f>
        <v>2143</v>
      </c>
      <c r="J38" s="195">
        <f t="shared" si="0"/>
        <v>2254</v>
      </c>
    </row>
    <row r="39" spans="1:10" ht="37.5">
      <c r="A39" s="98" t="s">
        <v>189</v>
      </c>
      <c r="B39" s="96">
        <f>'I. Фін результат'!B9</f>
        <v>1010</v>
      </c>
      <c r="C39" s="181">
        <f>'I. Фін результат'!C9</f>
        <v>1544</v>
      </c>
      <c r="D39" s="181">
        <f>'I. Фін результат'!D9</f>
        <v>3235</v>
      </c>
      <c r="E39" s="181">
        <f>'I. Фін результат'!I9</f>
        <v>5943</v>
      </c>
      <c r="F39" s="181">
        <f>'I. Фін результат'!E9</f>
        <v>5164</v>
      </c>
      <c r="G39" s="195">
        <f>ROUND(E39*105.5%,0)</f>
        <v>6270</v>
      </c>
      <c r="H39" s="195">
        <f>ROUND(G39*105.2%,0)</f>
        <v>6596</v>
      </c>
      <c r="I39" s="195">
        <f t="shared" ref="I39:J41" si="1">ROUND(H39*105.2%,0)</f>
        <v>6939</v>
      </c>
      <c r="J39" s="195">
        <f t="shared" si="1"/>
        <v>7300</v>
      </c>
    </row>
    <row r="40" spans="1:10" ht="20.100000000000001" customHeight="1">
      <c r="A40" s="100" t="s">
        <v>304</v>
      </c>
      <c r="B40" s="96">
        <f>'I. Фін результат'!B19</f>
        <v>1020</v>
      </c>
      <c r="C40" s="181">
        <f>'I. Фін результат'!C19</f>
        <v>-329</v>
      </c>
      <c r="D40" s="181">
        <f>'I. Фін результат'!D19</f>
        <v>-2211</v>
      </c>
      <c r="E40" s="181">
        <f>'I. Фін результат'!I19</f>
        <v>-4108</v>
      </c>
      <c r="F40" s="181">
        <f>'I. Фін результат'!E19</f>
        <v>-3298</v>
      </c>
      <c r="G40" s="181">
        <f>G38-G39</f>
        <v>-4334</v>
      </c>
      <c r="H40" s="181">
        <f>H38-H39</f>
        <v>-4559</v>
      </c>
      <c r="I40" s="181">
        <f>I38-I39</f>
        <v>-4796</v>
      </c>
      <c r="J40" s="181">
        <f>J38-J39</f>
        <v>-5046</v>
      </c>
    </row>
    <row r="41" spans="1:10" ht="20.100000000000001" customHeight="1">
      <c r="A41" s="98" t="s">
        <v>154</v>
      </c>
      <c r="B41" s="96">
        <f>'I. Фін результат'!B24</f>
        <v>1040</v>
      </c>
      <c r="C41" s="181">
        <f>'I. Фін результат'!C24</f>
        <v>2731</v>
      </c>
      <c r="D41" s="181">
        <f>'I. Фін результат'!D24</f>
        <v>2940</v>
      </c>
      <c r="E41" s="181">
        <f>'I. Фін результат'!I24</f>
        <v>1627</v>
      </c>
      <c r="F41" s="181">
        <f>'I. Фін результат'!E24</f>
        <v>2940</v>
      </c>
      <c r="G41" s="195">
        <f>ROUND(E41*105.5%,0)</f>
        <v>1716</v>
      </c>
      <c r="H41" s="195">
        <f>ROUND(G41*105.2%,0)</f>
        <v>1805</v>
      </c>
      <c r="I41" s="195">
        <f t="shared" si="1"/>
        <v>1899</v>
      </c>
      <c r="J41" s="195">
        <f t="shared" si="1"/>
        <v>1998</v>
      </c>
    </row>
    <row r="42" spans="1:10" ht="20.100000000000001" customHeight="1">
      <c r="A42" s="98" t="s">
        <v>151</v>
      </c>
      <c r="B42" s="96">
        <f>'I. Фін результат'!B48</f>
        <v>1070</v>
      </c>
      <c r="C42" s="181">
        <f>'I. Фін результат'!C48</f>
        <v>0</v>
      </c>
      <c r="D42" s="181">
        <f>'I. Фін результат'!D48</f>
        <v>0</v>
      </c>
      <c r="E42" s="181">
        <f>'I. Фін результат'!I48</f>
        <v>0</v>
      </c>
      <c r="F42" s="181">
        <f>'I. Фін результат'!E48</f>
        <v>0</v>
      </c>
      <c r="G42" s="195">
        <f t="shared" ref="G42:G43" si="2">ROUND(E42*105.5%,0)</f>
        <v>0</v>
      </c>
      <c r="H42" s="195">
        <f t="shared" ref="H42:J42" si="3">ROUND(G42*105.2%,0)</f>
        <v>0</v>
      </c>
      <c r="I42" s="195">
        <f t="shared" si="3"/>
        <v>0</v>
      </c>
      <c r="J42" s="195">
        <f t="shared" si="3"/>
        <v>0</v>
      </c>
    </row>
    <row r="43" spans="1:10" ht="20.100000000000001" customHeight="1">
      <c r="A43" s="98" t="s">
        <v>155</v>
      </c>
      <c r="B43" s="96">
        <f>'I. Фін результат'!B83</f>
        <v>1300</v>
      </c>
      <c r="C43" s="181">
        <f>'I. Фін результат'!C83</f>
        <v>1755</v>
      </c>
      <c r="D43" s="181">
        <f>'I. Фін результат'!D83</f>
        <v>5228</v>
      </c>
      <c r="E43" s="181">
        <f>'I. Фін результат'!I83</f>
        <v>5809</v>
      </c>
      <c r="F43" s="181">
        <f>'I. Фін результат'!E83</f>
        <v>4886</v>
      </c>
      <c r="G43" s="195">
        <f t="shared" si="2"/>
        <v>6128</v>
      </c>
      <c r="H43" s="195">
        <f t="shared" ref="H43:J45" si="4">ROUND(G43*105.2%,0)</f>
        <v>6447</v>
      </c>
      <c r="I43" s="195">
        <f t="shared" si="4"/>
        <v>6782</v>
      </c>
      <c r="J43" s="195">
        <f t="shared" si="4"/>
        <v>7135</v>
      </c>
    </row>
    <row r="44" spans="1:10" ht="37.5">
      <c r="A44" s="101" t="s">
        <v>4</v>
      </c>
      <c r="B44" s="96">
        <f>'I. Фін результат'!B64</f>
        <v>1100</v>
      </c>
      <c r="C44" s="181">
        <f>'I. Фін результат'!C64</f>
        <v>-1305</v>
      </c>
      <c r="D44" s="181">
        <f>'I. Фін результат'!D64</f>
        <v>77</v>
      </c>
      <c r="E44" s="181">
        <f>'I. Фін результат'!I64</f>
        <v>74</v>
      </c>
      <c r="F44" s="181">
        <f>'I. Фін результат'!E64</f>
        <v>-1352</v>
      </c>
      <c r="G44" s="181">
        <f>G40-G41-G42+G43</f>
        <v>78</v>
      </c>
      <c r="H44" s="181">
        <f>H40-H41-H42+H43</f>
        <v>83</v>
      </c>
      <c r="I44" s="181">
        <f>I40-I41-I42+I43</f>
        <v>87</v>
      </c>
      <c r="J44" s="181">
        <f>J40-J41-J42+J43</f>
        <v>91</v>
      </c>
    </row>
    <row r="45" spans="1:10" ht="20.100000000000001" customHeight="1">
      <c r="A45" s="101" t="s">
        <v>156</v>
      </c>
      <c r="B45" s="96">
        <f>'I. Фін результат'!B94</f>
        <v>1410</v>
      </c>
      <c r="C45" s="181">
        <f>'I. Фін результат'!C94</f>
        <v>-1045</v>
      </c>
      <c r="D45" s="181">
        <f>'I. Фін результат'!D94</f>
        <v>345</v>
      </c>
      <c r="E45" s="181">
        <f>'I. Фін результат'!I94</f>
        <v>367</v>
      </c>
      <c r="F45" s="181">
        <f>'I. Фін результат'!E94</f>
        <v>-1084</v>
      </c>
      <c r="G45" s="195">
        <f t="shared" ref="G45" si="5">ROUND(E45*105.5%,0)</f>
        <v>387</v>
      </c>
      <c r="H45" s="195">
        <f t="shared" si="4"/>
        <v>407</v>
      </c>
      <c r="I45" s="195">
        <f t="shared" si="4"/>
        <v>428</v>
      </c>
      <c r="J45" s="195">
        <f t="shared" si="4"/>
        <v>450</v>
      </c>
    </row>
    <row r="46" spans="1:10" ht="20.100000000000001" customHeight="1">
      <c r="A46" s="102" t="s">
        <v>243</v>
      </c>
      <c r="B46" s="96">
        <f>' V. Коефіцієнти'!B8</f>
        <v>5010</v>
      </c>
      <c r="C46" s="181">
        <f>' V. Коефіцієнти'!D8</f>
        <v>-86.008230452674894</v>
      </c>
      <c r="D46" s="181">
        <f>D45*100/D38</f>
        <v>33.69140625</v>
      </c>
      <c r="E46" s="181">
        <f>' V. Коефіцієнти'!G8</f>
        <v>20</v>
      </c>
      <c r="F46" s="181">
        <f>' V. Коефіцієнти'!F8</f>
        <v>-58.09217577706324</v>
      </c>
      <c r="G46" s="195">
        <f t="shared" ref="G46:G48" si="6">ROUND(E46*105.5%,0)</f>
        <v>21</v>
      </c>
      <c r="H46" s="195">
        <f t="shared" ref="H46:J46" si="7">ROUND(G46*105.2%,0)</f>
        <v>22</v>
      </c>
      <c r="I46" s="195">
        <f t="shared" si="7"/>
        <v>23</v>
      </c>
      <c r="J46" s="195">
        <f t="shared" si="7"/>
        <v>24</v>
      </c>
    </row>
    <row r="47" spans="1:10" ht="37.5">
      <c r="A47" s="102" t="s">
        <v>157</v>
      </c>
      <c r="B47" s="96">
        <f>'I. Фін результат'!B84</f>
        <v>1310</v>
      </c>
      <c r="C47" s="181">
        <f>'I. Фін результат'!C84</f>
        <v>0</v>
      </c>
      <c r="D47" s="181">
        <f>'I. Фін результат'!D84</f>
        <v>0</v>
      </c>
      <c r="E47" s="181">
        <f>'I. Фін результат'!I84</f>
        <v>0</v>
      </c>
      <c r="F47" s="181">
        <f>'I. Фін результат'!E84</f>
        <v>0</v>
      </c>
      <c r="G47" s="195">
        <f t="shared" si="6"/>
        <v>0</v>
      </c>
      <c r="H47" s="195">
        <f t="shared" ref="H47:J47" si="8">ROUND(G47*105.2%,0)</f>
        <v>0</v>
      </c>
      <c r="I47" s="195">
        <f t="shared" si="8"/>
        <v>0</v>
      </c>
      <c r="J47" s="195">
        <f t="shared" si="8"/>
        <v>0</v>
      </c>
    </row>
    <row r="48" spans="1:10" ht="20.100000000000001" customHeight="1">
      <c r="A48" s="98" t="s">
        <v>248</v>
      </c>
      <c r="B48" s="96">
        <f>'I. Фін результат'!B85</f>
        <v>1320</v>
      </c>
      <c r="C48" s="181">
        <f>'I. Фін результат'!C85</f>
        <v>1343</v>
      </c>
      <c r="D48" s="181">
        <f>'I. Фін результат'!D85</f>
        <v>0</v>
      </c>
      <c r="E48" s="181">
        <f>'I. Фін результат'!I85</f>
        <v>0</v>
      </c>
      <c r="F48" s="181">
        <f>'I. Фін результат'!E85</f>
        <v>1409</v>
      </c>
      <c r="G48" s="195">
        <f t="shared" si="6"/>
        <v>0</v>
      </c>
      <c r="H48" s="195">
        <f t="shared" ref="H48:J48" si="9">ROUND(G48*105.2%,0)</f>
        <v>0</v>
      </c>
      <c r="I48" s="195">
        <f t="shared" si="9"/>
        <v>0</v>
      </c>
      <c r="J48" s="195">
        <f t="shared" si="9"/>
        <v>0</v>
      </c>
    </row>
    <row r="49" spans="1:10" ht="37.5">
      <c r="A49" s="101" t="s">
        <v>106</v>
      </c>
      <c r="B49" s="96">
        <f>'I. Фін результат'!B75</f>
        <v>1170</v>
      </c>
      <c r="C49" s="181">
        <f>'I. Фін результат'!C75</f>
        <v>38</v>
      </c>
      <c r="D49" s="181">
        <f>'I. Фін результат'!D75</f>
        <v>77</v>
      </c>
      <c r="E49" s="181">
        <f>'I. Фін результат'!I75</f>
        <v>74</v>
      </c>
      <c r="F49" s="181">
        <f>'I. Фін результат'!E75</f>
        <v>57</v>
      </c>
      <c r="G49" s="181">
        <f>G44+G47+G48</f>
        <v>78</v>
      </c>
      <c r="H49" s="181">
        <f>H44+H47+H48</f>
        <v>83</v>
      </c>
      <c r="I49" s="181">
        <f>I44+I47+I48</f>
        <v>87</v>
      </c>
      <c r="J49" s="181">
        <f>J44+J47+J48</f>
        <v>91</v>
      </c>
    </row>
    <row r="50" spans="1:10" ht="20.100000000000001" customHeight="1">
      <c r="A50" s="102" t="s">
        <v>152</v>
      </c>
      <c r="B50" s="96">
        <f>'I. Фін результат'!B76</f>
        <v>1180</v>
      </c>
      <c r="C50" s="181">
        <f>'I. Фін результат'!C76</f>
        <v>6.84</v>
      </c>
      <c r="D50" s="181">
        <f>'I. Фін результат'!D76</f>
        <v>13.86</v>
      </c>
      <c r="E50" s="181">
        <f>'I. Фін результат'!I76</f>
        <v>13</v>
      </c>
      <c r="F50" s="181">
        <f>'I. Фін результат'!E76</f>
        <v>10.26</v>
      </c>
      <c r="G50" s="195">
        <f>ROUND(G49*18%,0)</f>
        <v>14</v>
      </c>
      <c r="H50" s="195">
        <f t="shared" ref="H50:J50" si="10">ROUND(H49*18%,0)</f>
        <v>15</v>
      </c>
      <c r="I50" s="195">
        <f t="shared" si="10"/>
        <v>16</v>
      </c>
      <c r="J50" s="195">
        <f t="shared" si="10"/>
        <v>16</v>
      </c>
    </row>
    <row r="51" spans="1:10" ht="20.100000000000001" customHeight="1">
      <c r="A51" s="101" t="s">
        <v>244</v>
      </c>
      <c r="B51" s="96">
        <f>'I. Фін результат'!B78</f>
        <v>1200</v>
      </c>
      <c r="C51" s="181">
        <f>'I. Фін результат'!C78</f>
        <v>31.16</v>
      </c>
      <c r="D51" s="181">
        <f>'I. Фін результат'!D78</f>
        <v>63.14</v>
      </c>
      <c r="E51" s="181">
        <f>'I. Фін результат'!I78</f>
        <v>61</v>
      </c>
      <c r="F51" s="181">
        <f>'I. Фін результат'!E78</f>
        <v>46.74</v>
      </c>
      <c r="G51" s="181">
        <f>G49-G50</f>
        <v>64</v>
      </c>
      <c r="H51" s="181">
        <f>H49-H50</f>
        <v>68</v>
      </c>
      <c r="I51" s="181">
        <f>I49-I50</f>
        <v>71</v>
      </c>
      <c r="J51" s="181">
        <f>J49-J50</f>
        <v>75</v>
      </c>
    </row>
    <row r="52" spans="1:10" ht="20.100000000000001" customHeight="1">
      <c r="A52" s="102" t="s">
        <v>245</v>
      </c>
      <c r="B52" s="96">
        <f>' V. Коефіцієнти'!B11</f>
        <v>5040</v>
      </c>
      <c r="C52" s="181">
        <f>' V. Коефіцієнти'!D11</f>
        <v>2.5646090534979425E-2</v>
      </c>
      <c r="D52" s="181">
        <f>D51*100/D38</f>
        <v>6.166015625</v>
      </c>
      <c r="E52" s="181">
        <f>' V. Коефіцієнти'!G11</f>
        <v>3.3242506811989099E-2</v>
      </c>
      <c r="F52" s="181">
        <f>' V. Коефіцієнти'!F11</f>
        <v>2.5048231511254019E-2</v>
      </c>
      <c r="G52" s="181">
        <f>G51/G38</f>
        <v>3.3057851239669422E-2</v>
      </c>
      <c r="H52" s="181">
        <f>H51/H38</f>
        <v>3.3382425135002454E-2</v>
      </c>
      <c r="I52" s="181">
        <f>I51/I38</f>
        <v>3.3131124591693886E-2</v>
      </c>
      <c r="J52" s="181">
        <f>J51/J38</f>
        <v>3.3274179236912158E-2</v>
      </c>
    </row>
    <row r="53" spans="1:10" ht="24.95" customHeight="1">
      <c r="A53" s="326" t="s">
        <v>169</v>
      </c>
      <c r="B53" s="326"/>
      <c r="C53" s="326"/>
      <c r="D53" s="326"/>
      <c r="E53" s="326"/>
      <c r="F53" s="326"/>
      <c r="G53" s="326"/>
      <c r="H53" s="326"/>
      <c r="I53" s="326"/>
      <c r="J53" s="326"/>
    </row>
    <row r="54" spans="1:10" ht="37.5">
      <c r="A54" s="103" t="s">
        <v>359</v>
      </c>
      <c r="B54" s="96">
        <f>'ІІ. Розр. з бюджетом'!B19</f>
        <v>2100</v>
      </c>
      <c r="C54" s="181">
        <f>'ІІ. Розр. з бюджетом'!C19</f>
        <v>21</v>
      </c>
      <c r="D54" s="181">
        <f>'ІІ. Розр. з бюджетом'!D19</f>
        <v>41</v>
      </c>
      <c r="E54" s="181">
        <f>'ІІ. Розр. з бюджетом'!I19</f>
        <v>500</v>
      </c>
      <c r="F54" s="181">
        <f>'ІІ. Розр. з бюджетом'!E19</f>
        <v>31</v>
      </c>
      <c r="G54" s="195">
        <f>ROUND(G51*66%,0)</f>
        <v>42</v>
      </c>
      <c r="H54" s="195">
        <f t="shared" ref="H54:J54" si="11">ROUND(H51*66%,0)</f>
        <v>45</v>
      </c>
      <c r="I54" s="195">
        <f t="shared" si="11"/>
        <v>47</v>
      </c>
      <c r="J54" s="195">
        <f t="shared" si="11"/>
        <v>50</v>
      </c>
    </row>
    <row r="55" spans="1:10" ht="20.100000000000001" customHeight="1">
      <c r="A55" s="104" t="s">
        <v>168</v>
      </c>
      <c r="B55" s="96">
        <f>'ІІ. Розр. з бюджетом'!B22</f>
        <v>2110</v>
      </c>
      <c r="C55" s="181">
        <f>'ІІ. Розр. з бюджетом'!C22</f>
        <v>6.84</v>
      </c>
      <c r="D55" s="181">
        <f>'ІІ. Розр. з бюджетом'!D22</f>
        <v>14</v>
      </c>
      <c r="E55" s="181">
        <f>'ІІ. Розр. з бюджетом'!I22</f>
        <v>13</v>
      </c>
      <c r="F55" s="181">
        <f>'ІІ. Розр. з бюджетом'!E22</f>
        <v>10.26</v>
      </c>
      <c r="G55" s="195">
        <f>G50</f>
        <v>14</v>
      </c>
      <c r="H55" s="195">
        <f t="shared" ref="H55:J55" si="12">H50</f>
        <v>15</v>
      </c>
      <c r="I55" s="195">
        <f t="shared" si="12"/>
        <v>16</v>
      </c>
      <c r="J55" s="195">
        <f t="shared" si="12"/>
        <v>16</v>
      </c>
    </row>
    <row r="56" spans="1:10" ht="56.25">
      <c r="A56" s="104" t="s">
        <v>355</v>
      </c>
      <c r="B56" s="96" t="s">
        <v>246</v>
      </c>
      <c r="C56" s="181">
        <f>SUM('ІІ. Розр. з бюджетом'!C23,'ІІ. Розр. з бюджетом'!C24)</f>
        <v>45</v>
      </c>
      <c r="D56" s="181">
        <f>SUM('ІІ. Розр. з бюджетом'!D23,'ІІ. Розр. з бюджетом'!D24)</f>
        <v>59</v>
      </c>
      <c r="E56" s="181">
        <f>'ІІ. Розр. з бюджетом'!I23+'ІІ. Розр. з бюджетом'!I24</f>
        <v>89</v>
      </c>
      <c r="F56" s="181">
        <f>SUM('ІІ. Розр. з бюджетом'!E23,'ІІ. Розр. з бюджетом'!E24)</f>
        <v>68</v>
      </c>
      <c r="G56" s="195">
        <f t="shared" ref="G56" si="13">ROUND(E56*105.5%,0)</f>
        <v>94</v>
      </c>
      <c r="H56" s="195">
        <f t="shared" ref="H56:J56" si="14">ROUND(G56*105.2%,0)</f>
        <v>99</v>
      </c>
      <c r="I56" s="195">
        <f t="shared" si="14"/>
        <v>104</v>
      </c>
      <c r="J56" s="195">
        <f t="shared" si="14"/>
        <v>109</v>
      </c>
    </row>
    <row r="57" spans="1:10" ht="56.25">
      <c r="A57" s="103" t="s">
        <v>360</v>
      </c>
      <c r="B57" s="96">
        <f>'ІІ. Розр. з бюджетом'!B25</f>
        <v>2140</v>
      </c>
      <c r="C57" s="181">
        <f>'ІІ. Розр. з бюджетом'!C25</f>
        <v>179</v>
      </c>
      <c r="D57" s="181">
        <f>'ІІ. Розр. з бюджетом'!D25</f>
        <v>753</v>
      </c>
      <c r="E57" s="181">
        <f>'ІІ. Розр. з бюджетом'!I25</f>
        <v>893</v>
      </c>
      <c r="F57" s="181">
        <f>'ІІ. Розр. з бюджетом'!E25</f>
        <v>753</v>
      </c>
      <c r="G57" s="195">
        <f t="shared" ref="G57:G58" si="15">ROUND(E57*105.5%,0)</f>
        <v>942</v>
      </c>
      <c r="H57" s="195">
        <f t="shared" ref="H57:J57" si="16">ROUND(G57*105.2%,0)</f>
        <v>991</v>
      </c>
      <c r="I57" s="195">
        <f t="shared" si="16"/>
        <v>1043</v>
      </c>
      <c r="J57" s="195">
        <f t="shared" si="16"/>
        <v>1097</v>
      </c>
    </row>
    <row r="58" spans="1:10" ht="39" customHeight="1">
      <c r="A58" s="103" t="s">
        <v>90</v>
      </c>
      <c r="B58" s="96">
        <f>'ІІ. Розр. з бюджетом'!B37</f>
        <v>2150</v>
      </c>
      <c r="C58" s="181">
        <f>'ІІ. Розр. з бюджетом'!C37</f>
        <v>387</v>
      </c>
      <c r="D58" s="181">
        <f>'ІІ. Розр. з бюджетом'!D37</f>
        <v>834</v>
      </c>
      <c r="E58" s="181">
        <f>'ІІ. Розр. з бюджетом'!I37</f>
        <v>952</v>
      </c>
      <c r="F58" s="181">
        <f>'ІІ. Розр. з бюджетом'!E37</f>
        <v>834</v>
      </c>
      <c r="G58" s="195">
        <f t="shared" si="15"/>
        <v>1004</v>
      </c>
      <c r="H58" s="195">
        <f t="shared" ref="H58:J58" si="17">ROUND(G58*105.2%,0)</f>
        <v>1056</v>
      </c>
      <c r="I58" s="195">
        <f t="shared" si="17"/>
        <v>1111</v>
      </c>
      <c r="J58" s="195">
        <f t="shared" si="17"/>
        <v>1169</v>
      </c>
    </row>
    <row r="59" spans="1:10" ht="20.100000000000001" customHeight="1">
      <c r="A59" s="105" t="s">
        <v>361</v>
      </c>
      <c r="B59" s="96">
        <f>'ІІ. Розр. з бюджетом'!B38</f>
        <v>2200</v>
      </c>
      <c r="C59" s="181">
        <f>'ІІ. Розр. з бюджетом'!C38</f>
        <v>638.84</v>
      </c>
      <c r="D59" s="181">
        <f>'ІІ. Розр. з бюджетом'!D38</f>
        <v>1701</v>
      </c>
      <c r="E59" s="181">
        <f>'ІІ. Розр. з бюджетом'!I38</f>
        <v>2447</v>
      </c>
      <c r="F59" s="181">
        <f>'ІІ. Розр. з бюджетом'!E38</f>
        <v>1696.26</v>
      </c>
      <c r="G59" s="181">
        <f>SUM(G54:G58)</f>
        <v>2096</v>
      </c>
      <c r="H59" s="181">
        <f>SUM(H54:H58)</f>
        <v>2206</v>
      </c>
      <c r="I59" s="181">
        <f>SUM(I54:I58)</f>
        <v>2321</v>
      </c>
      <c r="J59" s="181">
        <f>SUM(J54:J58)</f>
        <v>2441</v>
      </c>
    </row>
    <row r="60" spans="1:10" ht="24.95" customHeight="1">
      <c r="A60" s="326" t="s">
        <v>167</v>
      </c>
      <c r="B60" s="326"/>
      <c r="C60" s="326"/>
      <c r="D60" s="326"/>
      <c r="E60" s="326"/>
      <c r="F60" s="326"/>
      <c r="G60" s="326"/>
      <c r="H60" s="326"/>
      <c r="I60" s="326"/>
      <c r="J60" s="326"/>
    </row>
    <row r="61" spans="1:10" ht="20.100000000000001" customHeight="1">
      <c r="A61" s="105" t="s">
        <v>158</v>
      </c>
      <c r="B61" s="96">
        <f>'ІІІ. Рух грош. коштів'!B77</f>
        <v>3600</v>
      </c>
      <c r="C61" s="181">
        <f>'ІІІ. Рух грош. коштів'!C77</f>
        <v>499</v>
      </c>
      <c r="D61" s="181">
        <f>'ІІІ. Рух грош. коштів'!D77</f>
        <v>442</v>
      </c>
      <c r="E61" s="181">
        <f>'ІІІ. Рух грош. коштів'!I77</f>
        <v>746.73999999999978</v>
      </c>
      <c r="F61" s="181">
        <f>'ІІІ. Рух грош. коштів'!E77</f>
        <v>384</v>
      </c>
      <c r="G61" s="181">
        <f>E66</f>
        <v>600.73999999999978</v>
      </c>
      <c r="H61" s="181">
        <f>G66</f>
        <v>445.73999999999978</v>
      </c>
      <c r="I61" s="181">
        <f>H66</f>
        <v>282.73999999999978</v>
      </c>
      <c r="J61" s="181">
        <f>I66</f>
        <v>110.73999999999978</v>
      </c>
    </row>
    <row r="62" spans="1:10" ht="37.5">
      <c r="A62" s="103" t="s">
        <v>159</v>
      </c>
      <c r="B62" s="96">
        <f>'ІІІ. Рух грош. коштів'!B27</f>
        <v>3090</v>
      </c>
      <c r="C62" s="181">
        <f>'ІІІ. Рух грош. коштів'!C27</f>
        <v>726.16</v>
      </c>
      <c r="D62" s="181">
        <f>'ІІІ. Рух грош. коштів'!D27</f>
        <v>331</v>
      </c>
      <c r="E62" s="181">
        <f>'ІІІ. Рух грош. коштів'!I27</f>
        <v>354</v>
      </c>
      <c r="F62" s="181">
        <f>'ІІІ. Рух грош. коштів'!E27</f>
        <v>393.74</v>
      </c>
      <c r="G62" s="195">
        <f t="shared" ref="G62" si="18">ROUND(E62*105.5%,0)</f>
        <v>373</v>
      </c>
      <c r="H62" s="195">
        <f t="shared" ref="H62:J62" si="19">ROUND(G62*105.2%,0)</f>
        <v>392</v>
      </c>
      <c r="I62" s="195">
        <f t="shared" si="19"/>
        <v>412</v>
      </c>
      <c r="J62" s="195">
        <f t="shared" si="19"/>
        <v>433</v>
      </c>
    </row>
    <row r="63" spans="1:10" ht="37.5">
      <c r="A63" s="103" t="s">
        <v>249</v>
      </c>
      <c r="B63" s="96">
        <f>'ІІІ. Рух грош. коштів'!B47</f>
        <v>3320</v>
      </c>
      <c r="C63" s="181">
        <f>'ІІІ. Рух грош. коштів'!C47</f>
        <v>-8094</v>
      </c>
      <c r="D63" s="181">
        <f>'ІІІ. Рух грош. коштів'!D47</f>
        <v>-7000</v>
      </c>
      <c r="E63" s="181">
        <f>'ІІІ. Рух грош. коштів'!I47</f>
        <v>-2500</v>
      </c>
      <c r="F63" s="181">
        <f>'ІІІ. Рух грош. коштів'!E47</f>
        <v>-12855</v>
      </c>
      <c r="G63" s="195">
        <f t="shared" ref="G63:G65" si="20">ROUND(E63*105.5%,0)</f>
        <v>-2638</v>
      </c>
      <c r="H63" s="195">
        <f t="shared" ref="H63:I63" si="21">ROUND(G63*105.2%,0)</f>
        <v>-2775</v>
      </c>
      <c r="I63" s="195">
        <f t="shared" si="21"/>
        <v>-2919</v>
      </c>
      <c r="J63" s="195">
        <f>ROUND(I63*105.2%,0)+100</f>
        <v>-2971</v>
      </c>
    </row>
    <row r="64" spans="1:10" ht="37.5">
      <c r="A64" s="103" t="s">
        <v>160</v>
      </c>
      <c r="B64" s="96">
        <f>'ІІІ. Рух грош. коштів'!B75</f>
        <v>3580</v>
      </c>
      <c r="C64" s="181">
        <f>'ІІІ. Рух грош. коштів'!C75</f>
        <v>7253</v>
      </c>
      <c r="D64" s="181">
        <f>'ІІІ. Рух грош. коштів'!D75</f>
        <v>6959</v>
      </c>
      <c r="E64" s="181">
        <f>'ІІІ. Рух грош. коштів'!I75</f>
        <v>2000</v>
      </c>
      <c r="F64" s="181">
        <f>'ІІІ. Рух грош. коштів'!E75</f>
        <v>12824</v>
      </c>
      <c r="G64" s="195">
        <f t="shared" si="20"/>
        <v>2110</v>
      </c>
      <c r="H64" s="195">
        <f t="shared" ref="H64:J64" si="22">ROUND(G64*105.2%,0)</f>
        <v>2220</v>
      </c>
      <c r="I64" s="195">
        <f t="shared" si="22"/>
        <v>2335</v>
      </c>
      <c r="J64" s="195">
        <f t="shared" si="22"/>
        <v>2456</v>
      </c>
    </row>
    <row r="65" spans="1:10" ht="37.5">
      <c r="A65" s="103" t="s">
        <v>184</v>
      </c>
      <c r="B65" s="96">
        <f>'ІІІ. Рух грош. коштів'!B78</f>
        <v>3610</v>
      </c>
      <c r="C65" s="181">
        <f>'ІІІ. Рух грош. коштів'!C78</f>
        <v>0</v>
      </c>
      <c r="D65" s="181">
        <f>'ІІІ. Рух грош. коштів'!D78</f>
        <v>0</v>
      </c>
      <c r="E65" s="181">
        <f>'ІІІ. Рух грош. коштів'!I78</f>
        <v>0</v>
      </c>
      <c r="F65" s="181">
        <f>'ІІІ. Рух грош. коштів'!E78</f>
        <v>0</v>
      </c>
      <c r="G65" s="195">
        <f t="shared" si="20"/>
        <v>0</v>
      </c>
      <c r="H65" s="195">
        <f t="shared" ref="H65:J65" si="23">ROUND(G65*105.2%,0)</f>
        <v>0</v>
      </c>
      <c r="I65" s="195">
        <f t="shared" si="23"/>
        <v>0</v>
      </c>
      <c r="J65" s="195">
        <f t="shared" si="23"/>
        <v>0</v>
      </c>
    </row>
    <row r="66" spans="1:10" ht="20.100000000000001" customHeight="1">
      <c r="A66" s="105" t="s">
        <v>161</v>
      </c>
      <c r="B66" s="96">
        <f>'ІІІ. Рух грош. коштів'!B79</f>
        <v>3620</v>
      </c>
      <c r="C66" s="181">
        <f>'ІІІ. Рух грош. коштів'!C79</f>
        <v>384.15999999999985</v>
      </c>
      <c r="D66" s="181">
        <f>'ІІІ. Рух грош. коштів'!D79</f>
        <v>732</v>
      </c>
      <c r="E66" s="181">
        <f>'ІІІ. Рух грош. коштів'!I79</f>
        <v>600.73999999999978</v>
      </c>
      <c r="F66" s="181">
        <f>'ІІІ. Рух грош. коштів'!E79</f>
        <v>746.73999999999978</v>
      </c>
      <c r="G66" s="181">
        <f>SUM(G61:G65)</f>
        <v>445.73999999999978</v>
      </c>
      <c r="H66" s="181">
        <f>SUM(H61:H65)</f>
        <v>282.73999999999978</v>
      </c>
      <c r="I66" s="181">
        <f>SUM(I61:I65)</f>
        <v>110.73999999999978</v>
      </c>
      <c r="J66" s="181">
        <f>SUM(J61:J65)</f>
        <v>28.739999999999782</v>
      </c>
    </row>
    <row r="67" spans="1:10" ht="24.95" customHeight="1">
      <c r="A67" s="329" t="s">
        <v>228</v>
      </c>
      <c r="B67" s="330"/>
      <c r="C67" s="330"/>
      <c r="D67" s="330"/>
      <c r="E67" s="330"/>
      <c r="F67" s="330"/>
      <c r="G67" s="330"/>
      <c r="H67" s="330"/>
      <c r="I67" s="330"/>
      <c r="J67" s="331"/>
    </row>
    <row r="68" spans="1:10" ht="20.100000000000001" customHeight="1">
      <c r="A68" s="103" t="s">
        <v>227</v>
      </c>
      <c r="B68" s="96">
        <f>'IV. Кап. інвестиції'!B6</f>
        <v>4000</v>
      </c>
      <c r="C68" s="181">
        <f>'IV. Кап. інвестиції'!C6</f>
        <v>7274</v>
      </c>
      <c r="D68" s="181">
        <f>'IV. Кап. інвестиції'!D6</f>
        <v>5833</v>
      </c>
      <c r="E68" s="181">
        <f>'IV. Кап. інвестиції'!I6</f>
        <v>2083</v>
      </c>
      <c r="F68" s="181">
        <f>'IV. Кап. інвестиції'!E6</f>
        <v>10713</v>
      </c>
      <c r="G68" s="195">
        <f t="shared" ref="G68" si="24">ROUND(E68*105.5%,0)</f>
        <v>2198</v>
      </c>
      <c r="H68" s="195">
        <f t="shared" ref="H68:J68" si="25">ROUND(G68*105.2%,0)</f>
        <v>2312</v>
      </c>
      <c r="I68" s="195">
        <f t="shared" si="25"/>
        <v>2432</v>
      </c>
      <c r="J68" s="195">
        <f t="shared" si="25"/>
        <v>2558</v>
      </c>
    </row>
    <row r="69" spans="1:10" ht="24.95" customHeight="1">
      <c r="A69" s="325" t="s">
        <v>231</v>
      </c>
      <c r="B69" s="325"/>
      <c r="C69" s="325"/>
      <c r="D69" s="325"/>
      <c r="E69" s="325"/>
      <c r="F69" s="325"/>
      <c r="G69" s="325"/>
      <c r="H69" s="325"/>
      <c r="I69" s="325"/>
      <c r="J69" s="325"/>
    </row>
    <row r="70" spans="1:10" ht="20.100000000000001" customHeight="1">
      <c r="A70" s="103" t="s">
        <v>187</v>
      </c>
      <c r="B70" s="96">
        <f>' V. Коефіцієнти'!B9</f>
        <v>5020</v>
      </c>
      <c r="C70" s="187">
        <f>' V. Коефіцієнти'!D9</f>
        <v>1.3202270993983561E-3</v>
      </c>
      <c r="D70" s="187">
        <v>4.0000000000000001E-3</v>
      </c>
      <c r="E70" s="187">
        <f>' V. Коефіцієнти'!G9</f>
        <v>3.2882324402997141E-3</v>
      </c>
      <c r="F70" s="187">
        <f>' V. Коефіцієнти'!F9</f>
        <v>2.8472222222222223E-3</v>
      </c>
      <c r="G70" s="99" t="s">
        <v>240</v>
      </c>
      <c r="H70" s="99" t="s">
        <v>240</v>
      </c>
      <c r="I70" s="99" t="s">
        <v>240</v>
      </c>
      <c r="J70" s="99" t="s">
        <v>240</v>
      </c>
    </row>
    <row r="71" spans="1:10" ht="37.5">
      <c r="A71" s="103" t="s">
        <v>183</v>
      </c>
      <c r="B71" s="96">
        <f>' V. Коефіцієнти'!B10</f>
        <v>5030</v>
      </c>
      <c r="C71" s="187">
        <f>' V. Коефіцієнти'!D10</f>
        <v>5.5742397137745973E-2</v>
      </c>
      <c r="D71" s="187">
        <v>0.121</v>
      </c>
      <c r="E71" s="187">
        <f>' V. Коефіцієнти'!G10</f>
        <v>2.3615950445218737E-2</v>
      </c>
      <c r="F71" s="187">
        <f>' V. Коефіцієнти'!F10</f>
        <v>8.9540229885057471E-2</v>
      </c>
      <c r="G71" s="99" t="s">
        <v>240</v>
      </c>
      <c r="H71" s="99" t="s">
        <v>240</v>
      </c>
      <c r="I71" s="99" t="s">
        <v>240</v>
      </c>
      <c r="J71" s="99" t="s">
        <v>240</v>
      </c>
    </row>
    <row r="72" spans="1:10" ht="20.100000000000001" customHeight="1">
      <c r="A72" s="103" t="s">
        <v>247</v>
      </c>
      <c r="B72" s="96">
        <f>' V. Коефіцієнти'!B14</f>
        <v>5110</v>
      </c>
      <c r="C72" s="187">
        <f>' V. Коефіцієнти'!D14</f>
        <v>2.4258994054593586E-2</v>
      </c>
      <c r="D72" s="187">
        <v>3.3000000000000002E-2</v>
      </c>
      <c r="E72" s="187">
        <f>' V. Коефіцієнти'!G14</f>
        <v>0.16176102204408818</v>
      </c>
      <c r="F72" s="187">
        <f>' V. Коефіцієнти'!F14</f>
        <v>3.2842582106455263E-2</v>
      </c>
      <c r="G72" s="99" t="s">
        <v>240</v>
      </c>
      <c r="H72" s="99" t="s">
        <v>240</v>
      </c>
      <c r="I72" s="99" t="s">
        <v>240</v>
      </c>
      <c r="J72" s="99" t="s">
        <v>240</v>
      </c>
    </row>
    <row r="73" spans="1:10" ht="24.95" customHeight="1">
      <c r="A73" s="326" t="s">
        <v>230</v>
      </c>
      <c r="B73" s="326"/>
      <c r="C73" s="326"/>
      <c r="D73" s="326"/>
      <c r="E73" s="326"/>
      <c r="F73" s="326"/>
      <c r="G73" s="326"/>
      <c r="H73" s="326"/>
      <c r="I73" s="326"/>
      <c r="J73" s="326"/>
    </row>
    <row r="74" spans="1:10" ht="20.100000000000001" customHeight="1">
      <c r="A74" s="103" t="s">
        <v>162</v>
      </c>
      <c r="B74" s="96">
        <v>6000</v>
      </c>
      <c r="C74" s="225">
        <v>22316</v>
      </c>
      <c r="D74" s="225">
        <v>20957</v>
      </c>
      <c r="E74" s="195">
        <f>F74+'IV. Кап. інвестиції'!I6-'I. Фін результат'!I101</f>
        <v>17182</v>
      </c>
      <c r="F74" s="225">
        <v>15392</v>
      </c>
      <c r="G74" s="106" t="s">
        <v>240</v>
      </c>
      <c r="H74" s="106" t="s">
        <v>240</v>
      </c>
      <c r="I74" s="106" t="s">
        <v>240</v>
      </c>
      <c r="J74" s="106" t="s">
        <v>240</v>
      </c>
    </row>
    <row r="75" spans="1:10" ht="20.100000000000001" customHeight="1">
      <c r="A75" s="103" t="s">
        <v>163</v>
      </c>
      <c r="B75" s="96">
        <v>6010</v>
      </c>
      <c r="C75" s="225">
        <v>1286</v>
      </c>
      <c r="D75" s="225">
        <v>2555</v>
      </c>
      <c r="E75" s="225">
        <f>E83+E80-E74</f>
        <v>1369</v>
      </c>
      <c r="F75" s="225">
        <v>1024</v>
      </c>
      <c r="G75" s="106" t="s">
        <v>240</v>
      </c>
      <c r="H75" s="106" t="s">
        <v>240</v>
      </c>
      <c r="I75" s="106" t="s">
        <v>240</v>
      </c>
      <c r="J75" s="106" t="s">
        <v>240</v>
      </c>
    </row>
    <row r="76" spans="1:10" ht="37.5">
      <c r="A76" s="103" t="s">
        <v>274</v>
      </c>
      <c r="B76" s="96">
        <v>6020</v>
      </c>
      <c r="C76" s="225">
        <f>'ІІІ. Рух грош. коштів'!C79</f>
        <v>384.15999999999985</v>
      </c>
      <c r="D76" s="225">
        <v>727</v>
      </c>
      <c r="E76" s="195">
        <f>'ІІІ. Рух грош. коштів'!I79</f>
        <v>600.73999999999978</v>
      </c>
      <c r="F76" s="225">
        <f>'ІІІ. Рух грош. коштів'!E79</f>
        <v>746.73999999999978</v>
      </c>
      <c r="G76" s="106" t="s">
        <v>240</v>
      </c>
      <c r="H76" s="106" t="s">
        <v>240</v>
      </c>
      <c r="I76" s="106" t="s">
        <v>240</v>
      </c>
      <c r="J76" s="106" t="s">
        <v>240</v>
      </c>
    </row>
    <row r="77" spans="1:10" s="5" customFormat="1" ht="20.100000000000001" customHeight="1">
      <c r="A77" s="105" t="s">
        <v>278</v>
      </c>
      <c r="B77" s="96">
        <v>6030</v>
      </c>
      <c r="C77" s="225">
        <f>C74+C75</f>
        <v>23602</v>
      </c>
      <c r="D77" s="225">
        <f>D74+D75</f>
        <v>23512</v>
      </c>
      <c r="E77" s="273">
        <f>E74+E75</f>
        <v>18551</v>
      </c>
      <c r="F77" s="225">
        <f>F74+F75</f>
        <v>16416</v>
      </c>
      <c r="G77" s="106" t="s">
        <v>240</v>
      </c>
      <c r="H77" s="106" t="s">
        <v>240</v>
      </c>
      <c r="I77" s="106" t="s">
        <v>240</v>
      </c>
      <c r="J77" s="106" t="s">
        <v>240</v>
      </c>
    </row>
    <row r="78" spans="1:10" ht="37.5">
      <c r="A78" s="103" t="s">
        <v>185</v>
      </c>
      <c r="B78" s="96">
        <v>6040</v>
      </c>
      <c r="C78" s="225">
        <v>13626</v>
      </c>
      <c r="D78" s="225">
        <v>11820</v>
      </c>
      <c r="E78" s="195">
        <v>11820</v>
      </c>
      <c r="F78" s="225">
        <v>11820</v>
      </c>
      <c r="G78" s="106" t="s">
        <v>240</v>
      </c>
      <c r="H78" s="106" t="s">
        <v>240</v>
      </c>
      <c r="I78" s="106" t="s">
        <v>240</v>
      </c>
      <c r="J78" s="106" t="s">
        <v>240</v>
      </c>
    </row>
    <row r="79" spans="1:10" ht="20.100000000000001" customHeight="1">
      <c r="A79" s="103" t="s">
        <v>186</v>
      </c>
      <c r="B79" s="96">
        <v>6050</v>
      </c>
      <c r="C79" s="225">
        <v>9417</v>
      </c>
      <c r="D79" s="225">
        <v>4148</v>
      </c>
      <c r="E79" s="195">
        <v>4148</v>
      </c>
      <c r="F79" s="225">
        <v>4074</v>
      </c>
      <c r="G79" s="106" t="s">
        <v>240</v>
      </c>
      <c r="H79" s="106" t="s">
        <v>240</v>
      </c>
      <c r="I79" s="106" t="s">
        <v>240</v>
      </c>
      <c r="J79" s="106" t="s">
        <v>240</v>
      </c>
    </row>
    <row r="80" spans="1:10" s="5" customFormat="1" ht="37.5">
      <c r="A80" s="105" t="s">
        <v>277</v>
      </c>
      <c r="B80" s="96">
        <v>6060</v>
      </c>
      <c r="C80" s="225">
        <f>SUM(C78:C79)</f>
        <v>23043</v>
      </c>
      <c r="D80" s="225">
        <f>SUM(D78:D79)</f>
        <v>15968</v>
      </c>
      <c r="E80" s="181">
        <f>SUM(E78:E79)</f>
        <v>15968</v>
      </c>
      <c r="F80" s="225">
        <f>SUM(F78:F79)</f>
        <v>15894</v>
      </c>
      <c r="G80" s="106" t="s">
        <v>240</v>
      </c>
      <c r="H80" s="106" t="s">
        <v>240</v>
      </c>
      <c r="I80" s="106" t="s">
        <v>240</v>
      </c>
      <c r="J80" s="106" t="s">
        <v>240</v>
      </c>
    </row>
    <row r="81" spans="1:10" ht="44.25" customHeight="1">
      <c r="A81" s="103" t="s">
        <v>275</v>
      </c>
      <c r="B81" s="96">
        <v>6070</v>
      </c>
      <c r="C81" s="225">
        <v>0</v>
      </c>
      <c r="D81" s="225">
        <v>0</v>
      </c>
      <c r="E81" s="195">
        <v>0</v>
      </c>
      <c r="F81" s="225">
        <v>0</v>
      </c>
      <c r="G81" s="106" t="s">
        <v>240</v>
      </c>
      <c r="H81" s="106" t="s">
        <v>240</v>
      </c>
      <c r="I81" s="106" t="s">
        <v>240</v>
      </c>
      <c r="J81" s="106" t="s">
        <v>240</v>
      </c>
    </row>
    <row r="82" spans="1:10" ht="20.100000000000001" customHeight="1">
      <c r="A82" s="103" t="s">
        <v>276</v>
      </c>
      <c r="B82" s="96">
        <v>6080</v>
      </c>
      <c r="C82" s="225">
        <v>0</v>
      </c>
      <c r="D82" s="225">
        <v>0</v>
      </c>
      <c r="E82" s="195">
        <v>0</v>
      </c>
      <c r="F82" s="225">
        <v>0</v>
      </c>
      <c r="G82" s="106" t="s">
        <v>240</v>
      </c>
      <c r="H82" s="106" t="s">
        <v>240</v>
      </c>
      <c r="I82" s="106" t="s">
        <v>240</v>
      </c>
      <c r="J82" s="106" t="s">
        <v>240</v>
      </c>
    </row>
    <row r="83" spans="1:10" s="5" customFormat="1" ht="20.100000000000001" customHeight="1">
      <c r="A83" s="105" t="s">
        <v>164</v>
      </c>
      <c r="B83" s="96">
        <v>6090</v>
      </c>
      <c r="C83" s="225">
        <v>559</v>
      </c>
      <c r="D83" s="225">
        <v>7544</v>
      </c>
      <c r="E83" s="195">
        <f>F83+'I. Фін результат'!I79-'ІІ. Розр. з бюджетом'!I19+'ІІІ. Рух грош. коштів'!I46</f>
        <v>2583</v>
      </c>
      <c r="F83" s="225">
        <v>522</v>
      </c>
      <c r="G83" s="106" t="s">
        <v>240</v>
      </c>
      <c r="H83" s="106" t="s">
        <v>240</v>
      </c>
      <c r="I83" s="106" t="s">
        <v>240</v>
      </c>
      <c r="J83" s="106" t="s">
        <v>240</v>
      </c>
    </row>
    <row r="84" spans="1:10" s="5" customFormat="1" ht="48" customHeight="1">
      <c r="A84" s="196"/>
      <c r="B84" s="197"/>
      <c r="C84" s="198"/>
      <c r="D84" s="199"/>
      <c r="E84" s="199"/>
      <c r="F84" s="199"/>
      <c r="G84" s="200"/>
      <c r="H84" s="200"/>
      <c r="I84" s="200"/>
      <c r="J84" s="200"/>
    </row>
    <row r="85" spans="1:10" ht="24.95" customHeight="1">
      <c r="A85" s="201"/>
      <c r="B85" s="197"/>
      <c r="C85" s="200"/>
      <c r="D85" s="202"/>
      <c r="E85" s="202"/>
      <c r="F85" s="202"/>
      <c r="G85" s="202"/>
      <c r="H85" s="202"/>
      <c r="I85" s="202"/>
      <c r="J85" s="202"/>
    </row>
    <row r="86" spans="1:10" ht="26.25" customHeight="1">
      <c r="A86" s="203" t="s">
        <v>404</v>
      </c>
      <c r="B86" s="204"/>
      <c r="C86" s="316" t="s">
        <v>405</v>
      </c>
      <c r="D86" s="317"/>
      <c r="E86" s="205"/>
      <c r="F86" s="205"/>
      <c r="G86" s="318" t="s">
        <v>403</v>
      </c>
      <c r="H86" s="318"/>
      <c r="I86" s="318"/>
      <c r="J86" s="192"/>
    </row>
    <row r="87" spans="1:10" s="1" customFormat="1" ht="21" customHeight="1">
      <c r="A87" s="206" t="s">
        <v>380</v>
      </c>
      <c r="B87" s="192"/>
      <c r="C87" s="343" t="s">
        <v>84</v>
      </c>
      <c r="D87" s="343"/>
      <c r="E87" s="193"/>
      <c r="F87" s="193"/>
      <c r="G87" s="344" t="s">
        <v>115</v>
      </c>
      <c r="H87" s="344"/>
      <c r="I87" s="344"/>
      <c r="J87" s="207">
        <v>1</v>
      </c>
    </row>
    <row r="89" spans="1:10">
      <c r="A89" s="50"/>
    </row>
    <row r="90" spans="1:10">
      <c r="A90" s="50"/>
    </row>
    <row r="91" spans="1:10">
      <c r="A91" s="50"/>
    </row>
    <row r="92" spans="1:10" s="25" customFormat="1">
      <c r="A92" s="50"/>
      <c r="E92" s="2"/>
      <c r="F92" s="2"/>
      <c r="G92" s="2"/>
      <c r="H92" s="2"/>
      <c r="I92" s="2"/>
      <c r="J92" s="2"/>
    </row>
    <row r="93" spans="1:10" s="25" customFormat="1">
      <c r="A93" s="50"/>
      <c r="E93" s="2"/>
      <c r="F93" s="2"/>
      <c r="G93" s="2"/>
      <c r="H93" s="2"/>
      <c r="I93" s="2"/>
      <c r="J93" s="2"/>
    </row>
    <row r="94" spans="1:10" s="25" customFormat="1">
      <c r="A94" s="50"/>
      <c r="E94" s="2"/>
      <c r="F94" s="2"/>
      <c r="G94" s="2"/>
      <c r="H94" s="2"/>
      <c r="I94" s="2"/>
      <c r="J94" s="2"/>
    </row>
    <row r="95" spans="1:10" s="25" customFormat="1">
      <c r="A95" s="50"/>
      <c r="E95" s="2"/>
      <c r="F95" s="2"/>
      <c r="G95" s="2"/>
      <c r="H95" s="2"/>
      <c r="I95" s="2"/>
      <c r="J95" s="2"/>
    </row>
    <row r="96" spans="1:10" s="25" customFormat="1">
      <c r="A96" s="50"/>
      <c r="E96" s="2"/>
      <c r="F96" s="2"/>
      <c r="G96" s="2"/>
      <c r="H96" s="2"/>
      <c r="I96" s="2"/>
      <c r="J96" s="2"/>
    </row>
    <row r="97" spans="1:10" s="25" customFormat="1">
      <c r="A97" s="50"/>
      <c r="E97" s="2"/>
      <c r="F97" s="2"/>
      <c r="G97" s="2"/>
      <c r="H97" s="2"/>
      <c r="I97" s="2"/>
      <c r="J97" s="2"/>
    </row>
    <row r="98" spans="1:10" s="25" customFormat="1">
      <c r="A98" s="50"/>
      <c r="E98" s="2"/>
      <c r="F98" s="2"/>
      <c r="G98" s="2"/>
      <c r="H98" s="2"/>
      <c r="I98" s="2"/>
      <c r="J98" s="2"/>
    </row>
    <row r="99" spans="1:10" s="25" customFormat="1">
      <c r="A99" s="50"/>
      <c r="E99" s="2"/>
      <c r="F99" s="2"/>
      <c r="G99" s="2"/>
      <c r="H99" s="2"/>
      <c r="I99" s="2"/>
      <c r="J99" s="2"/>
    </row>
    <row r="100" spans="1:10" s="25" customFormat="1">
      <c r="A100" s="50"/>
      <c r="E100" s="2"/>
      <c r="F100" s="2"/>
      <c r="G100" s="2"/>
      <c r="H100" s="2"/>
      <c r="I100" s="2"/>
      <c r="J100" s="2"/>
    </row>
    <row r="101" spans="1:10" s="25" customFormat="1">
      <c r="A101" s="50"/>
      <c r="E101" s="2"/>
      <c r="F101" s="2"/>
      <c r="G101" s="2"/>
      <c r="H101" s="2"/>
      <c r="I101" s="2"/>
      <c r="J101" s="2"/>
    </row>
    <row r="102" spans="1:10" s="25" customFormat="1">
      <c r="A102" s="50"/>
      <c r="E102" s="2"/>
      <c r="F102" s="2"/>
      <c r="G102" s="2"/>
      <c r="H102" s="2"/>
      <c r="I102" s="2"/>
      <c r="J102" s="2"/>
    </row>
    <row r="103" spans="1:10" s="25" customFormat="1">
      <c r="A103" s="50"/>
      <c r="E103" s="2"/>
      <c r="F103" s="2"/>
      <c r="G103" s="2"/>
      <c r="H103" s="2"/>
      <c r="I103" s="2"/>
      <c r="J103" s="2"/>
    </row>
    <row r="104" spans="1:10" s="25" customFormat="1">
      <c r="A104" s="50"/>
      <c r="E104" s="2"/>
      <c r="F104" s="2"/>
      <c r="G104" s="2"/>
      <c r="H104" s="2"/>
      <c r="I104" s="2"/>
      <c r="J104" s="2"/>
    </row>
    <row r="105" spans="1:10" s="25" customFormat="1">
      <c r="A105" s="50"/>
      <c r="E105" s="2"/>
      <c r="F105" s="2"/>
      <c r="G105" s="2"/>
      <c r="H105" s="2"/>
      <c r="I105" s="2"/>
      <c r="J105" s="2"/>
    </row>
    <row r="106" spans="1:10" s="25" customFormat="1">
      <c r="A106" s="50"/>
      <c r="E106" s="2"/>
      <c r="F106" s="2"/>
      <c r="G106" s="2"/>
      <c r="H106" s="2"/>
      <c r="I106" s="2"/>
      <c r="J106" s="2"/>
    </row>
    <row r="107" spans="1:10" s="25" customFormat="1">
      <c r="A107" s="50"/>
      <c r="E107" s="2"/>
      <c r="F107" s="2"/>
      <c r="G107" s="2"/>
      <c r="H107" s="2"/>
      <c r="I107" s="2"/>
      <c r="J107" s="2"/>
    </row>
    <row r="108" spans="1:10" s="25" customFormat="1">
      <c r="A108" s="50"/>
      <c r="E108" s="2"/>
      <c r="F108" s="2"/>
      <c r="G108" s="2"/>
      <c r="H108" s="2"/>
      <c r="I108" s="2"/>
      <c r="J108" s="2"/>
    </row>
    <row r="109" spans="1:10" s="25" customFormat="1">
      <c r="A109" s="50"/>
      <c r="E109" s="2"/>
      <c r="F109" s="2"/>
      <c r="G109" s="2"/>
      <c r="H109" s="2"/>
      <c r="I109" s="2"/>
      <c r="J109" s="2"/>
    </row>
    <row r="110" spans="1:10" s="25" customFormat="1">
      <c r="A110" s="50"/>
      <c r="E110" s="2"/>
      <c r="F110" s="2"/>
      <c r="G110" s="2"/>
      <c r="H110" s="2"/>
      <c r="I110" s="2"/>
      <c r="J110" s="2"/>
    </row>
    <row r="111" spans="1:10" s="25" customFormat="1">
      <c r="A111" s="50"/>
      <c r="E111" s="2"/>
      <c r="F111" s="2"/>
      <c r="G111" s="2"/>
      <c r="H111" s="2"/>
      <c r="I111" s="2"/>
      <c r="J111" s="2"/>
    </row>
    <row r="112" spans="1:10" s="25" customFormat="1">
      <c r="A112" s="50"/>
      <c r="E112" s="2"/>
      <c r="F112" s="2"/>
      <c r="G112" s="2"/>
      <c r="H112" s="2"/>
      <c r="I112" s="2"/>
      <c r="J112" s="2"/>
    </row>
    <row r="113" spans="1:10" s="25" customFormat="1">
      <c r="A113" s="50"/>
      <c r="E113" s="2"/>
      <c r="F113" s="2"/>
      <c r="G113" s="2"/>
      <c r="H113" s="2"/>
      <c r="I113" s="2"/>
      <c r="J113" s="2"/>
    </row>
    <row r="114" spans="1:10" s="25" customFormat="1">
      <c r="A114" s="50"/>
      <c r="E114" s="2"/>
      <c r="F114" s="2"/>
      <c r="G114" s="2"/>
      <c r="H114" s="2"/>
      <c r="I114" s="2"/>
      <c r="J114" s="2"/>
    </row>
    <row r="115" spans="1:10" s="25" customFormat="1">
      <c r="A115" s="50"/>
      <c r="E115" s="2"/>
      <c r="F115" s="2"/>
      <c r="G115" s="2"/>
      <c r="H115" s="2"/>
      <c r="I115" s="2"/>
      <c r="J115" s="2"/>
    </row>
    <row r="116" spans="1:10" s="25" customFormat="1">
      <c r="A116" s="50"/>
      <c r="E116" s="2"/>
      <c r="F116" s="2"/>
      <c r="G116" s="2"/>
      <c r="H116" s="2"/>
      <c r="I116" s="2"/>
      <c r="J116" s="2"/>
    </row>
    <row r="117" spans="1:10" s="25" customFormat="1">
      <c r="A117" s="50"/>
      <c r="E117" s="2"/>
      <c r="F117" s="2"/>
      <c r="G117" s="2"/>
      <c r="H117" s="2"/>
      <c r="I117" s="2"/>
      <c r="J117" s="2"/>
    </row>
    <row r="118" spans="1:10" s="25" customFormat="1">
      <c r="A118" s="50"/>
      <c r="E118" s="2"/>
      <c r="F118" s="2"/>
      <c r="G118" s="2"/>
      <c r="H118" s="2"/>
      <c r="I118" s="2"/>
      <c r="J118" s="2"/>
    </row>
    <row r="119" spans="1:10" s="25" customFormat="1">
      <c r="A119" s="50"/>
      <c r="E119" s="2"/>
      <c r="F119" s="2"/>
      <c r="G119" s="2"/>
      <c r="H119" s="2"/>
      <c r="I119" s="2"/>
      <c r="J119" s="2"/>
    </row>
    <row r="120" spans="1:10" s="25" customFormat="1">
      <c r="A120" s="50"/>
      <c r="E120" s="2"/>
      <c r="F120" s="2"/>
      <c r="G120" s="2"/>
      <c r="H120" s="2"/>
      <c r="I120" s="2"/>
      <c r="J120" s="2"/>
    </row>
    <row r="121" spans="1:10" s="25" customFormat="1">
      <c r="A121" s="50"/>
      <c r="E121" s="2"/>
      <c r="F121" s="2"/>
      <c r="G121" s="2"/>
      <c r="H121" s="2"/>
      <c r="I121" s="2"/>
      <c r="J121" s="2"/>
    </row>
    <row r="122" spans="1:10" s="25" customFormat="1">
      <c r="A122" s="50"/>
      <c r="E122" s="2"/>
      <c r="F122" s="2"/>
      <c r="G122" s="2"/>
      <c r="H122" s="2"/>
      <c r="I122" s="2"/>
      <c r="J122" s="2"/>
    </row>
    <row r="123" spans="1:10" s="25" customFormat="1">
      <c r="A123" s="50"/>
      <c r="E123" s="2"/>
      <c r="F123" s="2"/>
      <c r="G123" s="2"/>
      <c r="H123" s="2"/>
      <c r="I123" s="2"/>
      <c r="J123" s="2"/>
    </row>
    <row r="124" spans="1:10" s="25" customFormat="1">
      <c r="A124" s="50"/>
      <c r="E124" s="2"/>
      <c r="F124" s="2"/>
      <c r="G124" s="2"/>
      <c r="H124" s="2"/>
      <c r="I124" s="2"/>
      <c r="J124" s="2"/>
    </row>
    <row r="125" spans="1:10" s="25" customFormat="1">
      <c r="A125" s="50"/>
      <c r="E125" s="2"/>
      <c r="F125" s="2"/>
      <c r="G125" s="2"/>
      <c r="H125" s="2"/>
      <c r="I125" s="2"/>
      <c r="J125" s="2"/>
    </row>
    <row r="126" spans="1:10" s="25" customFormat="1">
      <c r="A126" s="50"/>
      <c r="E126" s="2"/>
      <c r="F126" s="2"/>
      <c r="G126" s="2"/>
      <c r="H126" s="2"/>
      <c r="I126" s="2"/>
      <c r="J126" s="2"/>
    </row>
    <row r="127" spans="1:10" s="25" customFormat="1">
      <c r="A127" s="50"/>
      <c r="E127" s="2"/>
      <c r="F127" s="2"/>
      <c r="G127" s="2"/>
      <c r="H127" s="2"/>
      <c r="I127" s="2"/>
      <c r="J127" s="2"/>
    </row>
    <row r="128" spans="1:10" s="25" customFormat="1">
      <c r="A128" s="50"/>
      <c r="E128" s="2"/>
      <c r="F128" s="2"/>
      <c r="G128" s="2"/>
      <c r="H128" s="2"/>
      <c r="I128" s="2"/>
      <c r="J128" s="2"/>
    </row>
    <row r="129" spans="1:10" s="25" customFormat="1">
      <c r="A129" s="50"/>
      <c r="E129" s="2"/>
      <c r="F129" s="2"/>
      <c r="G129" s="2"/>
      <c r="H129" s="2"/>
      <c r="I129" s="2"/>
      <c r="J129" s="2"/>
    </row>
    <row r="130" spans="1:10" s="25" customFormat="1">
      <c r="A130" s="50"/>
      <c r="E130" s="2"/>
      <c r="F130" s="2"/>
      <c r="G130" s="2"/>
      <c r="H130" s="2"/>
      <c r="I130" s="2"/>
      <c r="J130" s="2"/>
    </row>
    <row r="131" spans="1:10" s="25" customFormat="1">
      <c r="A131" s="50"/>
      <c r="E131" s="2"/>
      <c r="F131" s="2"/>
      <c r="G131" s="2"/>
      <c r="H131" s="2"/>
      <c r="I131" s="2"/>
      <c r="J131" s="2"/>
    </row>
    <row r="132" spans="1:10" s="25" customFormat="1">
      <c r="A132" s="50"/>
      <c r="E132" s="2"/>
      <c r="F132" s="2"/>
      <c r="G132" s="2"/>
      <c r="H132" s="2"/>
      <c r="I132" s="2"/>
      <c r="J132" s="2"/>
    </row>
    <row r="133" spans="1:10" s="25" customFormat="1">
      <c r="A133" s="50"/>
      <c r="E133" s="2"/>
      <c r="F133" s="2"/>
      <c r="G133" s="2"/>
      <c r="H133" s="2"/>
      <c r="I133" s="2"/>
      <c r="J133" s="2"/>
    </row>
    <row r="134" spans="1:10" s="25" customFormat="1">
      <c r="A134" s="50"/>
      <c r="E134" s="2"/>
      <c r="F134" s="2"/>
      <c r="G134" s="2"/>
      <c r="H134" s="2"/>
      <c r="I134" s="2"/>
      <c r="J134" s="2"/>
    </row>
    <row r="135" spans="1:10" s="25" customFormat="1">
      <c r="A135" s="50"/>
      <c r="E135" s="2"/>
      <c r="F135" s="2"/>
      <c r="G135" s="2"/>
      <c r="H135" s="2"/>
      <c r="I135" s="2"/>
      <c r="J135" s="2"/>
    </row>
    <row r="136" spans="1:10" s="25" customFormat="1">
      <c r="A136" s="50"/>
      <c r="E136" s="2"/>
      <c r="F136" s="2"/>
      <c r="G136" s="2"/>
      <c r="H136" s="2"/>
      <c r="I136" s="2"/>
      <c r="J136" s="2"/>
    </row>
    <row r="137" spans="1:10" s="25" customFormat="1">
      <c r="A137" s="50"/>
      <c r="E137" s="2"/>
      <c r="F137" s="2"/>
      <c r="G137" s="2"/>
      <c r="H137" s="2"/>
      <c r="I137" s="2"/>
      <c r="J137" s="2"/>
    </row>
    <row r="138" spans="1:10" s="25" customFormat="1">
      <c r="A138" s="50"/>
      <c r="E138" s="2"/>
      <c r="F138" s="2"/>
      <c r="G138" s="2"/>
      <c r="H138" s="2"/>
      <c r="I138" s="2"/>
      <c r="J138" s="2"/>
    </row>
    <row r="139" spans="1:10" s="25" customFormat="1">
      <c r="A139" s="50"/>
      <c r="E139" s="2"/>
      <c r="F139" s="2"/>
      <c r="G139" s="2"/>
      <c r="H139" s="2"/>
      <c r="I139" s="2"/>
      <c r="J139" s="2"/>
    </row>
    <row r="140" spans="1:10" s="25" customFormat="1">
      <c r="A140" s="50"/>
      <c r="E140" s="2"/>
      <c r="F140" s="2"/>
      <c r="G140" s="2"/>
      <c r="H140" s="2"/>
      <c r="I140" s="2"/>
      <c r="J140" s="2"/>
    </row>
    <row r="141" spans="1:10" s="25" customFormat="1">
      <c r="A141" s="50"/>
      <c r="E141" s="2"/>
      <c r="F141" s="2"/>
      <c r="G141" s="2"/>
      <c r="H141" s="2"/>
      <c r="I141" s="2"/>
      <c r="J141" s="2"/>
    </row>
    <row r="142" spans="1:10" s="25" customFormat="1">
      <c r="A142" s="50"/>
      <c r="E142" s="2"/>
      <c r="F142" s="2"/>
      <c r="G142" s="2"/>
      <c r="H142" s="2"/>
      <c r="I142" s="2"/>
      <c r="J142" s="2"/>
    </row>
    <row r="143" spans="1:10" s="25" customFormat="1">
      <c r="A143" s="50"/>
      <c r="E143" s="2"/>
      <c r="F143" s="2"/>
      <c r="G143" s="2"/>
      <c r="H143" s="2"/>
      <c r="I143" s="2"/>
      <c r="J143" s="2"/>
    </row>
    <row r="144" spans="1:10" s="25" customFormat="1">
      <c r="A144" s="50"/>
      <c r="E144" s="2"/>
      <c r="F144" s="2"/>
      <c r="G144" s="2"/>
      <c r="H144" s="2"/>
      <c r="I144" s="2"/>
      <c r="J144" s="2"/>
    </row>
    <row r="145" spans="1:10" s="25" customFormat="1">
      <c r="A145" s="50"/>
      <c r="E145" s="2"/>
      <c r="F145" s="2"/>
      <c r="G145" s="2"/>
      <c r="H145" s="2"/>
      <c r="I145" s="2"/>
      <c r="J145" s="2"/>
    </row>
    <row r="146" spans="1:10" s="25" customFormat="1">
      <c r="A146" s="50"/>
      <c r="E146" s="2"/>
      <c r="F146" s="2"/>
      <c r="G146" s="2"/>
      <c r="H146" s="2"/>
      <c r="I146" s="2"/>
      <c r="J146" s="2"/>
    </row>
    <row r="147" spans="1:10" s="25" customFormat="1">
      <c r="A147" s="50"/>
      <c r="E147" s="2"/>
      <c r="F147" s="2"/>
      <c r="G147" s="2"/>
      <c r="H147" s="2"/>
      <c r="I147" s="2"/>
      <c r="J147" s="2"/>
    </row>
    <row r="148" spans="1:10" s="25" customFormat="1">
      <c r="A148" s="50"/>
      <c r="E148" s="2"/>
      <c r="F148" s="2"/>
      <c r="G148" s="2"/>
      <c r="H148" s="2"/>
      <c r="I148" s="2"/>
      <c r="J148" s="2"/>
    </row>
    <row r="149" spans="1:10" s="25" customFormat="1">
      <c r="A149" s="50"/>
      <c r="E149" s="2"/>
      <c r="F149" s="2"/>
      <c r="G149" s="2"/>
      <c r="H149" s="2"/>
      <c r="I149" s="2"/>
      <c r="J149" s="2"/>
    </row>
    <row r="150" spans="1:10" s="25" customFormat="1">
      <c r="A150" s="50"/>
      <c r="E150" s="2"/>
      <c r="F150" s="2"/>
      <c r="G150" s="2"/>
      <c r="H150" s="2"/>
      <c r="I150" s="2"/>
      <c r="J150" s="2"/>
    </row>
    <row r="151" spans="1:10" s="25" customFormat="1">
      <c r="A151" s="50"/>
      <c r="E151" s="2"/>
      <c r="F151" s="2"/>
      <c r="G151" s="2"/>
      <c r="H151" s="2"/>
      <c r="I151" s="2"/>
      <c r="J151" s="2"/>
    </row>
    <row r="152" spans="1:10" s="25" customFormat="1">
      <c r="A152" s="50"/>
      <c r="E152" s="2"/>
      <c r="F152" s="2"/>
      <c r="G152" s="2"/>
      <c r="H152" s="2"/>
      <c r="I152" s="2"/>
      <c r="J152" s="2"/>
    </row>
    <row r="153" spans="1:10" s="25" customFormat="1">
      <c r="A153" s="50"/>
      <c r="E153" s="2"/>
      <c r="F153" s="2"/>
      <c r="G153" s="2"/>
      <c r="H153" s="2"/>
      <c r="I153" s="2"/>
      <c r="J153" s="2"/>
    </row>
    <row r="154" spans="1:10" s="25" customFormat="1">
      <c r="A154" s="50"/>
      <c r="E154" s="2"/>
      <c r="F154" s="2"/>
      <c r="G154" s="2"/>
      <c r="H154" s="2"/>
      <c r="I154" s="2"/>
      <c r="J154" s="2"/>
    </row>
    <row r="155" spans="1:10" s="25" customFormat="1">
      <c r="A155" s="50"/>
      <c r="E155" s="2"/>
      <c r="F155" s="2"/>
      <c r="G155" s="2"/>
      <c r="H155" s="2"/>
      <c r="I155" s="2"/>
      <c r="J155" s="2"/>
    </row>
    <row r="156" spans="1:10" s="25" customFormat="1">
      <c r="A156" s="50"/>
      <c r="E156" s="2"/>
      <c r="F156" s="2"/>
      <c r="G156" s="2"/>
      <c r="H156" s="2"/>
      <c r="I156" s="2"/>
      <c r="J156" s="2"/>
    </row>
    <row r="157" spans="1:10" s="25" customFormat="1">
      <c r="A157" s="50"/>
      <c r="E157" s="2"/>
      <c r="F157" s="2"/>
      <c r="G157" s="2"/>
      <c r="H157" s="2"/>
      <c r="I157" s="2"/>
      <c r="J157" s="2"/>
    </row>
    <row r="158" spans="1:10" s="25" customFormat="1">
      <c r="A158" s="50"/>
      <c r="E158" s="2"/>
      <c r="F158" s="2"/>
      <c r="G158" s="2"/>
      <c r="H158" s="2"/>
      <c r="I158" s="2"/>
      <c r="J158" s="2"/>
    </row>
    <row r="159" spans="1:10" s="25" customFormat="1">
      <c r="A159" s="50"/>
      <c r="E159" s="2"/>
      <c r="F159" s="2"/>
      <c r="G159" s="2"/>
      <c r="H159" s="2"/>
      <c r="I159" s="2"/>
      <c r="J159" s="2"/>
    </row>
    <row r="160" spans="1:10" s="25" customFormat="1">
      <c r="A160" s="50"/>
      <c r="E160" s="2"/>
      <c r="F160" s="2"/>
      <c r="G160" s="2"/>
      <c r="H160" s="2"/>
      <c r="I160" s="2"/>
      <c r="J160" s="2"/>
    </row>
    <row r="161" spans="1:10" s="25" customFormat="1">
      <c r="A161" s="50"/>
      <c r="E161" s="2"/>
      <c r="F161" s="2"/>
      <c r="G161" s="2"/>
      <c r="H161" s="2"/>
      <c r="I161" s="2"/>
      <c r="J161" s="2"/>
    </row>
    <row r="162" spans="1:10" s="25" customFormat="1">
      <c r="A162" s="50"/>
      <c r="E162" s="2"/>
      <c r="F162" s="2"/>
      <c r="G162" s="2"/>
      <c r="H162" s="2"/>
      <c r="I162" s="2"/>
      <c r="J162" s="2"/>
    </row>
    <row r="163" spans="1:10" s="25" customFormat="1">
      <c r="A163" s="50"/>
      <c r="E163" s="2"/>
      <c r="F163" s="2"/>
      <c r="G163" s="2"/>
      <c r="H163" s="2"/>
      <c r="I163" s="2"/>
      <c r="J163" s="2"/>
    </row>
    <row r="164" spans="1:10" s="25" customFormat="1">
      <c r="A164" s="50"/>
      <c r="E164" s="2"/>
      <c r="F164" s="2"/>
      <c r="G164" s="2"/>
      <c r="H164" s="2"/>
      <c r="I164" s="2"/>
      <c r="J164" s="2"/>
    </row>
    <row r="165" spans="1:10" s="25" customFormat="1">
      <c r="A165" s="50"/>
      <c r="E165" s="2"/>
      <c r="F165" s="2"/>
      <c r="G165" s="2"/>
      <c r="H165" s="2"/>
      <c r="I165" s="2"/>
      <c r="J165" s="2"/>
    </row>
    <row r="166" spans="1:10" s="25" customFormat="1">
      <c r="A166" s="50"/>
      <c r="E166" s="2"/>
      <c r="F166" s="2"/>
      <c r="G166" s="2"/>
      <c r="H166" s="2"/>
      <c r="I166" s="2"/>
      <c r="J166" s="2"/>
    </row>
    <row r="167" spans="1:10" s="25" customFormat="1">
      <c r="A167" s="50"/>
      <c r="E167" s="2"/>
      <c r="F167" s="2"/>
      <c r="G167" s="2"/>
      <c r="H167" s="2"/>
      <c r="I167" s="2"/>
      <c r="J167" s="2"/>
    </row>
    <row r="168" spans="1:10" s="25" customFormat="1">
      <c r="A168" s="50"/>
      <c r="E168" s="2"/>
      <c r="F168" s="2"/>
      <c r="G168" s="2"/>
      <c r="H168" s="2"/>
      <c r="I168" s="2"/>
      <c r="J168" s="2"/>
    </row>
    <row r="169" spans="1:10" s="25" customFormat="1">
      <c r="A169" s="50"/>
      <c r="E169" s="2"/>
      <c r="F169" s="2"/>
      <c r="G169" s="2"/>
      <c r="H169" s="2"/>
      <c r="I169" s="2"/>
      <c r="J169" s="2"/>
    </row>
    <row r="170" spans="1:10" s="25" customFormat="1">
      <c r="A170" s="50"/>
      <c r="E170" s="2"/>
      <c r="F170" s="2"/>
      <c r="G170" s="2"/>
      <c r="H170" s="2"/>
      <c r="I170" s="2"/>
      <c r="J170" s="2"/>
    </row>
    <row r="171" spans="1:10" s="25" customFormat="1">
      <c r="A171" s="50"/>
      <c r="E171" s="2"/>
      <c r="F171" s="2"/>
      <c r="G171" s="2"/>
      <c r="H171" s="2"/>
      <c r="I171" s="2"/>
      <c r="J171" s="2"/>
    </row>
    <row r="172" spans="1:10" s="25" customFormat="1">
      <c r="A172" s="50"/>
      <c r="E172" s="2"/>
      <c r="F172" s="2"/>
      <c r="G172" s="2"/>
      <c r="H172" s="2"/>
      <c r="I172" s="2"/>
      <c r="J172" s="2"/>
    </row>
    <row r="173" spans="1:10" s="25" customFormat="1">
      <c r="A173" s="50"/>
      <c r="E173" s="2"/>
      <c r="F173" s="2"/>
      <c r="G173" s="2"/>
      <c r="H173" s="2"/>
      <c r="I173" s="2"/>
      <c r="J173" s="2"/>
    </row>
    <row r="174" spans="1:10" s="25" customFormat="1">
      <c r="A174" s="50"/>
      <c r="E174" s="2"/>
      <c r="F174" s="2"/>
      <c r="G174" s="2"/>
      <c r="H174" s="2"/>
      <c r="I174" s="2"/>
      <c r="J174" s="2"/>
    </row>
    <row r="175" spans="1:10" s="25" customFormat="1">
      <c r="A175" s="50"/>
      <c r="E175" s="2"/>
      <c r="F175" s="2"/>
      <c r="G175" s="2"/>
      <c r="H175" s="2"/>
      <c r="I175" s="2"/>
      <c r="J175" s="2"/>
    </row>
    <row r="176" spans="1:10" s="25" customFormat="1">
      <c r="A176" s="50"/>
      <c r="E176" s="2"/>
      <c r="F176" s="2"/>
      <c r="G176" s="2"/>
      <c r="H176" s="2"/>
      <c r="I176" s="2"/>
      <c r="J176" s="2"/>
    </row>
    <row r="177" spans="1:10" s="25" customFormat="1">
      <c r="A177" s="50"/>
      <c r="E177" s="2"/>
      <c r="F177" s="2"/>
      <c r="G177" s="2"/>
      <c r="H177" s="2"/>
      <c r="I177" s="2"/>
      <c r="J177" s="2"/>
    </row>
    <row r="178" spans="1:10" s="25" customFormat="1">
      <c r="A178" s="50"/>
      <c r="E178" s="2"/>
      <c r="F178" s="2"/>
      <c r="G178" s="2"/>
      <c r="H178" s="2"/>
      <c r="I178" s="2"/>
      <c r="J178" s="2"/>
    </row>
    <row r="179" spans="1:10" s="25" customFormat="1">
      <c r="A179" s="50"/>
      <c r="E179" s="2"/>
      <c r="F179" s="2"/>
      <c r="G179" s="2"/>
      <c r="H179" s="2"/>
      <c r="I179" s="2"/>
      <c r="J179" s="2"/>
    </row>
    <row r="180" spans="1:10" s="25" customFormat="1">
      <c r="A180" s="50"/>
      <c r="E180" s="2"/>
      <c r="F180" s="2"/>
      <c r="G180" s="2"/>
      <c r="H180" s="2"/>
      <c r="I180" s="2"/>
      <c r="J180" s="2"/>
    </row>
    <row r="181" spans="1:10" s="25" customFormat="1">
      <c r="A181" s="50"/>
      <c r="E181" s="2"/>
      <c r="F181" s="2"/>
      <c r="G181" s="2"/>
      <c r="H181" s="2"/>
      <c r="I181" s="2"/>
      <c r="J181" s="2"/>
    </row>
    <row r="182" spans="1:10" s="25" customFormat="1">
      <c r="A182" s="50"/>
      <c r="E182" s="2"/>
      <c r="F182" s="2"/>
      <c r="G182" s="2"/>
      <c r="H182" s="2"/>
      <c r="I182" s="2"/>
      <c r="J182" s="2"/>
    </row>
    <row r="183" spans="1:10" s="25" customFormat="1">
      <c r="A183" s="50"/>
      <c r="E183" s="2"/>
      <c r="F183" s="2"/>
      <c r="G183" s="2"/>
      <c r="H183" s="2"/>
      <c r="I183" s="2"/>
      <c r="J183" s="2"/>
    </row>
    <row r="184" spans="1:10" s="25" customFormat="1">
      <c r="A184" s="50"/>
      <c r="E184" s="2"/>
      <c r="F184" s="2"/>
      <c r="G184" s="2"/>
      <c r="H184" s="2"/>
      <c r="I184" s="2"/>
      <c r="J184" s="2"/>
    </row>
    <row r="185" spans="1:10" s="25" customFormat="1">
      <c r="A185" s="50"/>
      <c r="E185" s="2"/>
      <c r="F185" s="2"/>
      <c r="G185" s="2"/>
      <c r="H185" s="2"/>
      <c r="I185" s="2"/>
      <c r="J185" s="2"/>
    </row>
    <row r="186" spans="1:10" s="25" customFormat="1">
      <c r="A186" s="50"/>
      <c r="E186" s="2"/>
      <c r="F186" s="2"/>
      <c r="G186" s="2"/>
      <c r="H186" s="2"/>
      <c r="I186" s="2"/>
      <c r="J186" s="2"/>
    </row>
    <row r="187" spans="1:10" s="25" customFormat="1">
      <c r="A187" s="50"/>
      <c r="E187" s="2"/>
      <c r="F187" s="2"/>
      <c r="G187" s="2"/>
      <c r="H187" s="2"/>
      <c r="I187" s="2"/>
      <c r="J187" s="2"/>
    </row>
    <row r="188" spans="1:10" s="25" customFormat="1">
      <c r="A188" s="50"/>
      <c r="E188" s="2"/>
      <c r="F188" s="2"/>
      <c r="G188" s="2"/>
      <c r="H188" s="2"/>
      <c r="I188" s="2"/>
      <c r="J188" s="2"/>
    </row>
    <row r="189" spans="1:10" s="25" customFormat="1">
      <c r="A189" s="50"/>
      <c r="E189" s="2"/>
      <c r="F189" s="2"/>
      <c r="G189" s="2"/>
      <c r="H189" s="2"/>
      <c r="I189" s="2"/>
      <c r="J189" s="2"/>
    </row>
    <row r="190" spans="1:10" s="25" customFormat="1">
      <c r="A190" s="50"/>
      <c r="E190" s="2"/>
      <c r="F190" s="2"/>
      <c r="G190" s="2"/>
      <c r="H190" s="2"/>
      <c r="I190" s="2"/>
      <c r="J190" s="2"/>
    </row>
    <row r="191" spans="1:10" s="25" customFormat="1">
      <c r="A191" s="50"/>
      <c r="E191" s="2"/>
      <c r="F191" s="2"/>
      <c r="G191" s="2"/>
      <c r="H191" s="2"/>
      <c r="I191" s="2"/>
      <c r="J191" s="2"/>
    </row>
    <row r="192" spans="1:10" s="25" customFormat="1">
      <c r="A192" s="50"/>
      <c r="E192" s="2"/>
      <c r="F192" s="2"/>
      <c r="G192" s="2"/>
      <c r="H192" s="2"/>
      <c r="I192" s="2"/>
      <c r="J192" s="2"/>
    </row>
    <row r="193" spans="1:10" s="25" customFormat="1">
      <c r="A193" s="50"/>
      <c r="E193" s="2"/>
      <c r="F193" s="2"/>
      <c r="G193" s="2"/>
      <c r="H193" s="2"/>
      <c r="I193" s="2"/>
      <c r="J193" s="2"/>
    </row>
    <row r="194" spans="1:10" s="25" customFormat="1">
      <c r="A194" s="50"/>
      <c r="E194" s="2"/>
      <c r="F194" s="2"/>
      <c r="G194" s="2"/>
      <c r="H194" s="2"/>
      <c r="I194" s="2"/>
      <c r="J194" s="2"/>
    </row>
    <row r="195" spans="1:10" s="25" customFormat="1">
      <c r="A195" s="50"/>
      <c r="E195" s="2"/>
      <c r="F195" s="2"/>
      <c r="G195" s="2"/>
      <c r="H195" s="2"/>
      <c r="I195" s="2"/>
      <c r="J195" s="2"/>
    </row>
    <row r="196" spans="1:10" s="25" customFormat="1">
      <c r="A196" s="50"/>
      <c r="E196" s="2"/>
      <c r="F196" s="2"/>
      <c r="G196" s="2"/>
      <c r="H196" s="2"/>
      <c r="I196" s="2"/>
      <c r="J196" s="2"/>
    </row>
    <row r="197" spans="1:10" s="25" customFormat="1">
      <c r="A197" s="50"/>
      <c r="E197" s="2"/>
      <c r="F197" s="2"/>
      <c r="G197" s="2"/>
      <c r="H197" s="2"/>
      <c r="I197" s="2"/>
      <c r="J197" s="2"/>
    </row>
    <row r="198" spans="1:10" s="25" customFormat="1">
      <c r="A198" s="50"/>
      <c r="E198" s="2"/>
      <c r="F198" s="2"/>
      <c r="G198" s="2"/>
      <c r="H198" s="2"/>
      <c r="I198" s="2"/>
      <c r="J198" s="2"/>
    </row>
    <row r="199" spans="1:10" s="25" customFormat="1">
      <c r="A199" s="50"/>
      <c r="E199" s="2"/>
      <c r="F199" s="2"/>
      <c r="G199" s="2"/>
      <c r="H199" s="2"/>
      <c r="I199" s="2"/>
      <c r="J199" s="2"/>
    </row>
    <row r="200" spans="1:10" s="25" customFormat="1">
      <c r="A200" s="50"/>
      <c r="E200" s="2"/>
      <c r="F200" s="2"/>
      <c r="G200" s="2"/>
      <c r="H200" s="2"/>
      <c r="I200" s="2"/>
      <c r="J200" s="2"/>
    </row>
    <row r="201" spans="1:10" s="25" customFormat="1">
      <c r="A201" s="50"/>
      <c r="E201" s="2"/>
      <c r="F201" s="2"/>
      <c r="G201" s="2"/>
      <c r="H201" s="2"/>
      <c r="I201" s="2"/>
      <c r="J201" s="2"/>
    </row>
    <row r="202" spans="1:10" s="25" customFormat="1">
      <c r="A202" s="50"/>
      <c r="E202" s="2"/>
      <c r="F202" s="2"/>
      <c r="G202" s="2"/>
      <c r="H202" s="2"/>
      <c r="I202" s="2"/>
      <c r="J202" s="2"/>
    </row>
    <row r="203" spans="1:10" s="25" customFormat="1">
      <c r="A203" s="50"/>
      <c r="E203" s="2"/>
      <c r="F203" s="2"/>
      <c r="G203" s="2"/>
      <c r="H203" s="2"/>
      <c r="I203" s="2"/>
      <c r="J203" s="2"/>
    </row>
    <row r="204" spans="1:10" s="25" customFormat="1">
      <c r="A204" s="50"/>
      <c r="E204" s="2"/>
      <c r="F204" s="2"/>
      <c r="G204" s="2"/>
      <c r="H204" s="2"/>
      <c r="I204" s="2"/>
      <c r="J204" s="2"/>
    </row>
    <row r="205" spans="1:10" s="25" customFormat="1">
      <c r="A205" s="50"/>
      <c r="E205" s="2"/>
      <c r="F205" s="2"/>
      <c r="G205" s="2"/>
      <c r="H205" s="2"/>
      <c r="I205" s="2"/>
      <c r="J205" s="2"/>
    </row>
    <row r="206" spans="1:10" s="25" customFormat="1">
      <c r="A206" s="50"/>
      <c r="E206" s="2"/>
      <c r="F206" s="2"/>
      <c r="G206" s="2"/>
      <c r="H206" s="2"/>
      <c r="I206" s="2"/>
      <c r="J206" s="2"/>
    </row>
    <row r="207" spans="1:10" s="25" customFormat="1">
      <c r="A207" s="50"/>
      <c r="E207" s="2"/>
      <c r="F207" s="2"/>
      <c r="G207" s="2"/>
      <c r="H207" s="2"/>
      <c r="I207" s="2"/>
      <c r="J207" s="2"/>
    </row>
    <row r="208" spans="1:10" s="25" customFormat="1">
      <c r="A208" s="50"/>
      <c r="E208" s="2"/>
      <c r="F208" s="2"/>
      <c r="G208" s="2"/>
      <c r="H208" s="2"/>
      <c r="I208" s="2"/>
      <c r="J208" s="2"/>
    </row>
    <row r="209" spans="1:10" s="25" customFormat="1">
      <c r="A209" s="50"/>
      <c r="E209" s="2"/>
      <c r="F209" s="2"/>
      <c r="G209" s="2"/>
      <c r="H209" s="2"/>
      <c r="I209" s="2"/>
      <c r="J209" s="2"/>
    </row>
    <row r="210" spans="1:10" s="25" customFormat="1">
      <c r="A210" s="50"/>
      <c r="E210" s="2"/>
      <c r="F210" s="2"/>
      <c r="G210" s="2"/>
      <c r="H210" s="2"/>
      <c r="I210" s="2"/>
      <c r="J210" s="2"/>
    </row>
    <row r="211" spans="1:10" s="25" customFormat="1">
      <c r="A211" s="50"/>
      <c r="E211" s="2"/>
      <c r="F211" s="2"/>
      <c r="G211" s="2"/>
      <c r="H211" s="2"/>
      <c r="I211" s="2"/>
      <c r="J211" s="2"/>
    </row>
    <row r="212" spans="1:10" s="25" customFormat="1">
      <c r="A212" s="50"/>
      <c r="E212" s="2"/>
      <c r="F212" s="2"/>
      <c r="G212" s="2"/>
      <c r="H212" s="2"/>
      <c r="I212" s="2"/>
      <c r="J212" s="2"/>
    </row>
    <row r="213" spans="1:10" s="25" customFormat="1">
      <c r="A213" s="50"/>
      <c r="E213" s="2"/>
      <c r="F213" s="2"/>
      <c r="G213" s="2"/>
      <c r="H213" s="2"/>
      <c r="I213" s="2"/>
      <c r="J213" s="2"/>
    </row>
    <row r="214" spans="1:10" s="25" customFormat="1">
      <c r="A214" s="50"/>
      <c r="E214" s="2"/>
      <c r="F214" s="2"/>
      <c r="G214" s="2"/>
      <c r="H214" s="2"/>
      <c r="I214" s="2"/>
      <c r="J214" s="2"/>
    </row>
    <row r="215" spans="1:10" s="25" customFormat="1">
      <c r="A215" s="50"/>
      <c r="E215" s="2"/>
      <c r="F215" s="2"/>
      <c r="G215" s="2"/>
      <c r="H215" s="2"/>
      <c r="I215" s="2"/>
      <c r="J215" s="2"/>
    </row>
    <row r="216" spans="1:10" s="25" customFormat="1">
      <c r="A216" s="50"/>
      <c r="E216" s="2"/>
      <c r="F216" s="2"/>
      <c r="G216" s="2"/>
      <c r="H216" s="2"/>
      <c r="I216" s="2"/>
      <c r="J216" s="2"/>
    </row>
    <row r="217" spans="1:10" s="25" customFormat="1">
      <c r="A217" s="50"/>
      <c r="E217" s="2"/>
      <c r="F217" s="2"/>
      <c r="G217" s="2"/>
      <c r="H217" s="2"/>
      <c r="I217" s="2"/>
      <c r="J217" s="2"/>
    </row>
    <row r="218" spans="1:10" s="25" customFormat="1">
      <c r="A218" s="50"/>
      <c r="E218" s="2"/>
      <c r="F218" s="2"/>
      <c r="G218" s="2"/>
      <c r="H218" s="2"/>
      <c r="I218" s="2"/>
      <c r="J218" s="2"/>
    </row>
    <row r="219" spans="1:10" s="25" customFormat="1">
      <c r="A219" s="50"/>
      <c r="E219" s="2"/>
      <c r="F219" s="2"/>
      <c r="G219" s="2"/>
      <c r="H219" s="2"/>
      <c r="I219" s="2"/>
      <c r="J219" s="2"/>
    </row>
    <row r="220" spans="1:10" s="25" customFormat="1">
      <c r="A220" s="50"/>
      <c r="E220" s="2"/>
      <c r="F220" s="2"/>
      <c r="G220" s="2"/>
      <c r="H220" s="2"/>
      <c r="I220" s="2"/>
      <c r="J220" s="2"/>
    </row>
    <row r="221" spans="1:10" s="25" customFormat="1">
      <c r="A221" s="50"/>
      <c r="E221" s="2"/>
      <c r="F221" s="2"/>
      <c r="G221" s="2"/>
      <c r="H221" s="2"/>
      <c r="I221" s="2"/>
      <c r="J221" s="2"/>
    </row>
    <row r="222" spans="1:10" s="25" customFormat="1">
      <c r="A222" s="50"/>
      <c r="E222" s="2"/>
      <c r="F222" s="2"/>
      <c r="G222" s="2"/>
      <c r="H222" s="2"/>
      <c r="I222" s="2"/>
      <c r="J222" s="2"/>
    </row>
    <row r="223" spans="1:10" s="25" customFormat="1">
      <c r="A223" s="50"/>
      <c r="E223" s="2"/>
      <c r="F223" s="2"/>
      <c r="G223" s="2"/>
      <c r="H223" s="2"/>
      <c r="I223" s="2"/>
      <c r="J223" s="2"/>
    </row>
    <row r="224" spans="1:10" s="25" customFormat="1">
      <c r="A224" s="50"/>
      <c r="E224" s="2"/>
      <c r="F224" s="2"/>
      <c r="G224" s="2"/>
      <c r="H224" s="2"/>
      <c r="I224" s="2"/>
      <c r="J224" s="2"/>
    </row>
    <row r="225" spans="1:10" s="25" customFormat="1">
      <c r="A225" s="50"/>
      <c r="E225" s="2"/>
      <c r="F225" s="2"/>
      <c r="G225" s="2"/>
      <c r="H225" s="2"/>
      <c r="I225" s="2"/>
      <c r="J225" s="2"/>
    </row>
    <row r="226" spans="1:10" s="25" customFormat="1">
      <c r="A226" s="50"/>
      <c r="E226" s="2"/>
      <c r="F226" s="2"/>
      <c r="G226" s="2"/>
      <c r="H226" s="2"/>
      <c r="I226" s="2"/>
      <c r="J226" s="2"/>
    </row>
    <row r="227" spans="1:10" s="25" customFormat="1">
      <c r="A227" s="50"/>
      <c r="E227" s="2"/>
      <c r="F227" s="2"/>
      <c r="G227" s="2"/>
      <c r="H227" s="2"/>
      <c r="I227" s="2"/>
      <c r="J227" s="2"/>
    </row>
    <row r="228" spans="1:10" s="25" customFormat="1">
      <c r="A228" s="50"/>
      <c r="E228" s="2"/>
      <c r="F228" s="2"/>
      <c r="G228" s="2"/>
      <c r="H228" s="2"/>
      <c r="I228" s="2"/>
      <c r="J228" s="2"/>
    </row>
    <row r="229" spans="1:10" s="25" customFormat="1">
      <c r="A229" s="50"/>
      <c r="E229" s="2"/>
      <c r="F229" s="2"/>
      <c r="G229" s="2"/>
      <c r="H229" s="2"/>
      <c r="I229" s="2"/>
      <c r="J229" s="2"/>
    </row>
    <row r="230" spans="1:10" s="25" customFormat="1">
      <c r="A230" s="50"/>
      <c r="E230" s="2"/>
      <c r="F230" s="2"/>
      <c r="G230" s="2"/>
      <c r="H230" s="2"/>
      <c r="I230" s="2"/>
      <c r="J230" s="2"/>
    </row>
    <row r="231" spans="1:10" s="25" customFormat="1">
      <c r="A231" s="50"/>
      <c r="E231" s="2"/>
      <c r="F231" s="2"/>
      <c r="G231" s="2"/>
      <c r="H231" s="2"/>
      <c r="I231" s="2"/>
      <c r="J231" s="2"/>
    </row>
    <row r="232" spans="1:10" s="25" customFormat="1">
      <c r="A232" s="50"/>
      <c r="E232" s="2"/>
      <c r="F232" s="2"/>
      <c r="G232" s="2"/>
      <c r="H232" s="2"/>
      <c r="I232" s="2"/>
      <c r="J232" s="2"/>
    </row>
    <row r="233" spans="1:10" s="25" customFormat="1">
      <c r="A233" s="50"/>
      <c r="E233" s="2"/>
      <c r="F233" s="2"/>
      <c r="G233" s="2"/>
      <c r="H233" s="2"/>
      <c r="I233" s="2"/>
      <c r="J233" s="2"/>
    </row>
    <row r="234" spans="1:10" s="25" customFormat="1">
      <c r="A234" s="50"/>
      <c r="E234" s="2"/>
      <c r="F234" s="2"/>
      <c r="G234" s="2"/>
      <c r="H234" s="2"/>
      <c r="I234" s="2"/>
      <c r="J234" s="2"/>
    </row>
    <row r="235" spans="1:10" s="25" customFormat="1">
      <c r="A235" s="50"/>
      <c r="E235" s="2"/>
      <c r="F235" s="2"/>
      <c r="G235" s="2"/>
      <c r="H235" s="2"/>
      <c r="I235" s="2"/>
      <c r="J235" s="2"/>
    </row>
    <row r="236" spans="1:10" s="25" customFormat="1">
      <c r="A236" s="50"/>
      <c r="E236" s="2"/>
      <c r="F236" s="2"/>
      <c r="G236" s="2"/>
      <c r="H236" s="2"/>
      <c r="I236" s="2"/>
      <c r="J236" s="2"/>
    </row>
    <row r="237" spans="1:10" s="25" customFormat="1">
      <c r="A237" s="50"/>
      <c r="E237" s="2"/>
      <c r="F237" s="2"/>
      <c r="G237" s="2"/>
      <c r="H237" s="2"/>
      <c r="I237" s="2"/>
      <c r="J237" s="2"/>
    </row>
    <row r="238" spans="1:10" s="25" customFormat="1">
      <c r="A238" s="50"/>
      <c r="E238" s="2"/>
      <c r="F238" s="2"/>
      <c r="G238" s="2"/>
      <c r="H238" s="2"/>
      <c r="I238" s="2"/>
      <c r="J238" s="2"/>
    </row>
    <row r="239" spans="1:10" s="25" customFormat="1">
      <c r="A239" s="50"/>
      <c r="E239" s="2"/>
      <c r="F239" s="2"/>
      <c r="G239" s="2"/>
      <c r="H239" s="2"/>
      <c r="I239" s="2"/>
      <c r="J239" s="2"/>
    </row>
    <row r="240" spans="1:10" s="25" customFormat="1">
      <c r="A240" s="50"/>
      <c r="E240" s="2"/>
      <c r="F240" s="2"/>
      <c r="G240" s="2"/>
      <c r="H240" s="2"/>
      <c r="I240" s="2"/>
      <c r="J240" s="2"/>
    </row>
    <row r="241" spans="1:10" s="25" customFormat="1">
      <c r="A241" s="50"/>
      <c r="E241" s="2"/>
      <c r="F241" s="2"/>
      <c r="G241" s="2"/>
      <c r="H241" s="2"/>
      <c r="I241" s="2"/>
      <c r="J241" s="2"/>
    </row>
    <row r="242" spans="1:10" s="25" customFormat="1">
      <c r="A242" s="50"/>
      <c r="E242" s="2"/>
      <c r="F242" s="2"/>
      <c r="G242" s="2"/>
      <c r="H242" s="2"/>
      <c r="I242" s="2"/>
      <c r="J242" s="2"/>
    </row>
    <row r="243" spans="1:10" s="25" customFormat="1">
      <c r="A243" s="50"/>
      <c r="E243" s="2"/>
      <c r="F243" s="2"/>
      <c r="G243" s="2"/>
      <c r="H243" s="2"/>
      <c r="I243" s="2"/>
      <c r="J243" s="2"/>
    </row>
    <row r="244" spans="1:10" s="25" customFormat="1">
      <c r="A244" s="50"/>
      <c r="E244" s="2"/>
      <c r="F244" s="2"/>
      <c r="G244" s="2"/>
      <c r="H244" s="2"/>
      <c r="I244" s="2"/>
      <c r="J244" s="2"/>
    </row>
    <row r="245" spans="1:10" s="25" customFormat="1">
      <c r="A245" s="50"/>
      <c r="E245" s="2"/>
      <c r="F245" s="2"/>
      <c r="G245" s="2"/>
      <c r="H245" s="2"/>
      <c r="I245" s="2"/>
      <c r="J245" s="2"/>
    </row>
    <row r="246" spans="1:10" s="25" customFormat="1">
      <c r="A246" s="50"/>
      <c r="E246" s="2"/>
      <c r="F246" s="2"/>
      <c r="G246" s="2"/>
      <c r="H246" s="2"/>
      <c r="I246" s="2"/>
      <c r="J246" s="2"/>
    </row>
    <row r="247" spans="1:10" s="25" customFormat="1">
      <c r="A247" s="50"/>
      <c r="E247" s="2"/>
      <c r="F247" s="2"/>
      <c r="G247" s="2"/>
      <c r="H247" s="2"/>
      <c r="I247" s="2"/>
      <c r="J247" s="2"/>
    </row>
    <row r="248" spans="1:10" s="25" customFormat="1">
      <c r="A248" s="50"/>
      <c r="E248" s="2"/>
      <c r="F248" s="2"/>
      <c r="G248" s="2"/>
      <c r="H248" s="2"/>
      <c r="I248" s="2"/>
      <c r="J248" s="2"/>
    </row>
    <row r="249" spans="1:10" s="25" customFormat="1">
      <c r="A249" s="50"/>
      <c r="E249" s="2"/>
      <c r="F249" s="2"/>
      <c r="G249" s="2"/>
      <c r="H249" s="2"/>
      <c r="I249" s="2"/>
      <c r="J249" s="2"/>
    </row>
    <row r="250" spans="1:10" s="25" customFormat="1">
      <c r="A250" s="50"/>
      <c r="E250" s="2"/>
      <c r="F250" s="2"/>
      <c r="G250" s="2"/>
      <c r="H250" s="2"/>
      <c r="I250" s="2"/>
      <c r="J250" s="2"/>
    </row>
    <row r="251" spans="1:10" s="25" customFormat="1">
      <c r="A251" s="50"/>
      <c r="E251" s="2"/>
      <c r="F251" s="2"/>
      <c r="G251" s="2"/>
      <c r="H251" s="2"/>
      <c r="I251" s="2"/>
      <c r="J251" s="2"/>
    </row>
    <row r="252" spans="1:10" s="25" customFormat="1">
      <c r="A252" s="50"/>
      <c r="E252" s="2"/>
      <c r="F252" s="2"/>
      <c r="G252" s="2"/>
      <c r="H252" s="2"/>
      <c r="I252" s="2"/>
      <c r="J252" s="2"/>
    </row>
    <row r="253" spans="1:10" s="25" customFormat="1">
      <c r="A253" s="50"/>
      <c r="E253" s="2"/>
      <c r="F253" s="2"/>
      <c r="G253" s="2"/>
      <c r="H253" s="2"/>
      <c r="I253" s="2"/>
      <c r="J253" s="2"/>
    </row>
    <row r="254" spans="1:10" s="25" customFormat="1">
      <c r="A254" s="50"/>
      <c r="E254" s="2"/>
      <c r="F254" s="2"/>
      <c r="G254" s="2"/>
      <c r="H254" s="2"/>
      <c r="I254" s="2"/>
      <c r="J254" s="2"/>
    </row>
    <row r="255" spans="1:10" s="25" customFormat="1">
      <c r="A255" s="50"/>
      <c r="E255" s="2"/>
      <c r="F255" s="2"/>
      <c r="G255" s="2"/>
      <c r="H255" s="2"/>
      <c r="I255" s="2"/>
      <c r="J255" s="2"/>
    </row>
    <row r="256" spans="1:10" s="25" customFormat="1">
      <c r="A256" s="50"/>
      <c r="E256" s="2"/>
      <c r="F256" s="2"/>
      <c r="G256" s="2"/>
      <c r="H256" s="2"/>
      <c r="I256" s="2"/>
      <c r="J256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65">
      <selection activeCell="F84" sqref="F84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46">
    <mergeCell ref="C87:D87"/>
    <mergeCell ref="G87:I87"/>
    <mergeCell ref="B23:D23"/>
    <mergeCell ref="G23:I23"/>
    <mergeCell ref="E9:K9"/>
    <mergeCell ref="E11:K11"/>
    <mergeCell ref="B15:D15"/>
    <mergeCell ref="B16:D16"/>
    <mergeCell ref="B17:D17"/>
    <mergeCell ref="B18:D18"/>
    <mergeCell ref="B20:D20"/>
    <mergeCell ref="A73:J73"/>
    <mergeCell ref="A53:J53"/>
    <mergeCell ref="A24:D24"/>
    <mergeCell ref="B26:D26"/>
    <mergeCell ref="F34:F35"/>
    <mergeCell ref="C34:C35"/>
    <mergeCell ref="B19:H19"/>
    <mergeCell ref="B21:D21"/>
    <mergeCell ref="A22:D22"/>
    <mergeCell ref="G22:I22"/>
    <mergeCell ref="A32:J32"/>
    <mergeCell ref="A30:J30"/>
    <mergeCell ref="B27:D27"/>
    <mergeCell ref="A2:B2"/>
    <mergeCell ref="A3:B3"/>
    <mergeCell ref="A5:B5"/>
    <mergeCell ref="G5:H5"/>
    <mergeCell ref="E2:K4"/>
    <mergeCell ref="A4:B4"/>
    <mergeCell ref="A6:B7"/>
    <mergeCell ref="E6:K6"/>
    <mergeCell ref="E7:K7"/>
    <mergeCell ref="E8:K8"/>
    <mergeCell ref="C86:D86"/>
    <mergeCell ref="G86:I86"/>
    <mergeCell ref="A34:A35"/>
    <mergeCell ref="B34:B35"/>
    <mergeCell ref="E34:E35"/>
    <mergeCell ref="G34:J34"/>
    <mergeCell ref="A37:J37"/>
    <mergeCell ref="A69:J69"/>
    <mergeCell ref="A60:J60"/>
    <mergeCell ref="D34:D35"/>
    <mergeCell ref="A67:J67"/>
    <mergeCell ref="B25:E2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N334"/>
  <sheetViews>
    <sheetView view="pageBreakPreview" topLeftCell="A93" zoomScale="90" zoomScaleNormal="65" zoomScaleSheetLayoutView="90" workbookViewId="0">
      <selection activeCell="E112" sqref="E112:I122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" customWidth="1"/>
    <col min="4" max="4" width="13.7109375" style="25" customWidth="1"/>
    <col min="5" max="5" width="15.5703125" style="254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2" width="11.5703125" style="2" customWidth="1"/>
    <col min="13" max="13" width="12.7109375" style="2" customWidth="1"/>
    <col min="14" max="14" width="12" style="2" customWidth="1"/>
    <col min="15" max="16384" width="9.140625" style="2"/>
  </cols>
  <sheetData>
    <row r="1" spans="1:14">
      <c r="A1" s="348" t="s">
        <v>369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4">
      <c r="A2" s="42"/>
      <c r="B2" s="53"/>
      <c r="C2" s="42"/>
      <c r="D2" s="42"/>
      <c r="E2" s="245"/>
      <c r="F2" s="42"/>
      <c r="G2" s="42"/>
      <c r="H2" s="42"/>
      <c r="I2" s="42"/>
    </row>
    <row r="3" spans="1:14" ht="36" customHeight="1">
      <c r="A3" s="355" t="s">
        <v>272</v>
      </c>
      <c r="B3" s="351" t="s">
        <v>18</v>
      </c>
      <c r="C3" s="356" t="s">
        <v>31</v>
      </c>
      <c r="D3" s="361" t="s">
        <v>39</v>
      </c>
      <c r="E3" s="360" t="s">
        <v>181</v>
      </c>
      <c r="F3" s="351" t="s">
        <v>364</v>
      </c>
      <c r="G3" s="351"/>
      <c r="H3" s="351"/>
      <c r="I3" s="351"/>
      <c r="J3" s="351" t="s">
        <v>250</v>
      </c>
    </row>
    <row r="4" spans="1:14" ht="46.5" customHeight="1">
      <c r="A4" s="355"/>
      <c r="B4" s="351"/>
      <c r="C4" s="356"/>
      <c r="D4" s="361"/>
      <c r="E4" s="360"/>
      <c r="F4" s="13" t="s">
        <v>365</v>
      </c>
      <c r="G4" s="13" t="s">
        <v>366</v>
      </c>
      <c r="H4" s="13" t="s">
        <v>367</v>
      </c>
      <c r="I4" s="13" t="s">
        <v>86</v>
      </c>
      <c r="J4" s="351"/>
    </row>
    <row r="5" spans="1:14" ht="23.25" customHeight="1">
      <c r="A5" s="6">
        <v>1</v>
      </c>
      <c r="B5" s="7">
        <v>2</v>
      </c>
      <c r="C5" s="7">
        <v>3</v>
      </c>
      <c r="D5" s="7">
        <v>4</v>
      </c>
      <c r="E5" s="246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4" s="5" customFormat="1" ht="20.100000000000001" customHeight="1">
      <c r="A6" s="352" t="s">
        <v>279</v>
      </c>
      <c r="B6" s="353"/>
      <c r="C6" s="353"/>
      <c r="D6" s="353"/>
      <c r="E6" s="353"/>
      <c r="F6" s="353"/>
      <c r="G6" s="353"/>
      <c r="H6" s="353"/>
      <c r="I6" s="353"/>
      <c r="J6" s="354"/>
    </row>
    <row r="7" spans="1:14" s="5" customFormat="1" ht="42" customHeight="1">
      <c r="A7" s="72" t="s">
        <v>121</v>
      </c>
      <c r="B7" s="9">
        <v>1000</v>
      </c>
      <c r="C7" s="228">
        <f>C8</f>
        <v>1215</v>
      </c>
      <c r="D7" s="228">
        <f t="shared" ref="D7:I7" si="0">D8</f>
        <v>1024</v>
      </c>
      <c r="E7" s="228">
        <f t="shared" si="0"/>
        <v>1866</v>
      </c>
      <c r="F7" s="228">
        <f t="shared" si="0"/>
        <v>190</v>
      </c>
      <c r="G7" s="228">
        <f t="shared" si="0"/>
        <v>1232</v>
      </c>
      <c r="H7" s="228">
        <f t="shared" si="0"/>
        <v>1580</v>
      </c>
      <c r="I7" s="228">
        <f t="shared" si="0"/>
        <v>1835</v>
      </c>
      <c r="J7" s="141"/>
    </row>
    <row r="8" spans="1:14" s="5" customFormat="1" ht="24.75" customHeight="1">
      <c r="A8" s="72" t="s">
        <v>409</v>
      </c>
      <c r="B8" s="6" t="s">
        <v>382</v>
      </c>
      <c r="C8" s="168">
        <v>1215</v>
      </c>
      <c r="D8" s="168">
        <v>1024</v>
      </c>
      <c r="E8" s="226">
        <v>1866</v>
      </c>
      <c r="F8" s="168">
        <v>190</v>
      </c>
      <c r="G8" s="168">
        <v>1232</v>
      </c>
      <c r="H8" s="168">
        <v>1580</v>
      </c>
      <c r="I8" s="168">
        <v>1835</v>
      </c>
      <c r="J8" s="141"/>
    </row>
    <row r="9" spans="1:14" ht="40.5" customHeight="1">
      <c r="A9" s="72" t="s">
        <v>139</v>
      </c>
      <c r="B9" s="9">
        <v>1010</v>
      </c>
      <c r="C9" s="169">
        <f t="shared" ref="C9:I9" si="1">SUM(C10:C17)</f>
        <v>1544</v>
      </c>
      <c r="D9" s="169">
        <f t="shared" si="1"/>
        <v>3235</v>
      </c>
      <c r="E9" s="256">
        <f t="shared" si="1"/>
        <v>5164</v>
      </c>
      <c r="F9" s="169">
        <f t="shared" si="1"/>
        <v>1380</v>
      </c>
      <c r="G9" s="169">
        <f t="shared" si="1"/>
        <v>3028</v>
      </c>
      <c r="H9" s="169">
        <f t="shared" si="1"/>
        <v>4470</v>
      </c>
      <c r="I9" s="169">
        <f t="shared" si="1"/>
        <v>5943</v>
      </c>
      <c r="J9" s="140"/>
    </row>
    <row r="10" spans="1:14" s="1" customFormat="1" ht="20.100000000000001" customHeight="1">
      <c r="A10" s="72" t="s">
        <v>305</v>
      </c>
      <c r="B10" s="7">
        <v>1011</v>
      </c>
      <c r="C10" s="168"/>
      <c r="D10" s="168"/>
      <c r="E10" s="226"/>
      <c r="F10" s="171"/>
      <c r="G10" s="171"/>
      <c r="H10" s="171"/>
      <c r="I10" s="171"/>
      <c r="J10" s="140"/>
    </row>
    <row r="11" spans="1:14" s="1" customFormat="1" ht="20.100000000000001" customHeight="1">
      <c r="A11" s="72" t="s">
        <v>68</v>
      </c>
      <c r="B11" s="7">
        <v>1012</v>
      </c>
      <c r="C11" s="168">
        <v>106</v>
      </c>
      <c r="D11" s="226">
        <v>121</v>
      </c>
      <c r="E11" s="226">
        <v>121</v>
      </c>
      <c r="F11" s="226">
        <v>34</v>
      </c>
      <c r="G11" s="226">
        <v>67</v>
      </c>
      <c r="H11" s="226">
        <v>119</v>
      </c>
      <c r="I11" s="226">
        <v>159</v>
      </c>
      <c r="J11" s="140"/>
    </row>
    <row r="12" spans="1:14" s="1" customFormat="1" ht="20.100000000000001" customHeight="1">
      <c r="A12" s="72" t="s">
        <v>67</v>
      </c>
      <c r="B12" s="7">
        <v>1013</v>
      </c>
      <c r="C12" s="168">
        <v>24</v>
      </c>
      <c r="D12" s="168">
        <v>781</v>
      </c>
      <c r="E12" s="226">
        <v>781</v>
      </c>
      <c r="F12" s="226">
        <v>121</v>
      </c>
      <c r="G12" s="226">
        <v>277</v>
      </c>
      <c r="H12" s="226">
        <v>481</v>
      </c>
      <c r="I12" s="226">
        <v>769</v>
      </c>
      <c r="J12" s="140"/>
    </row>
    <row r="13" spans="1:14" s="1" customFormat="1" ht="20.100000000000001" customHeight="1">
      <c r="A13" s="72" t="s">
        <v>42</v>
      </c>
      <c r="B13" s="7">
        <v>1014</v>
      </c>
      <c r="C13" s="168">
        <v>819</v>
      </c>
      <c r="D13" s="168">
        <v>1666</v>
      </c>
      <c r="E13" s="226">
        <v>1666</v>
      </c>
      <c r="F13" s="226">
        <v>884</v>
      </c>
      <c r="G13" s="226">
        <v>1767</v>
      </c>
      <c r="H13" s="226">
        <v>2651</v>
      </c>
      <c r="I13" s="226">
        <v>3534</v>
      </c>
      <c r="J13" s="140"/>
      <c r="K13" s="307">
        <f>штатка!V40/1000</f>
        <v>0</v>
      </c>
      <c r="L13" s="307">
        <f>штатка!W40/1000</f>
        <v>0</v>
      </c>
      <c r="M13" s="307">
        <f>штатка!X40/1000</f>
        <v>0</v>
      </c>
      <c r="N13" s="307">
        <f>штатка!Y40/1000</f>
        <v>0</v>
      </c>
    </row>
    <row r="14" spans="1:14" s="1" customFormat="1" ht="20.100000000000001" customHeight="1">
      <c r="A14" s="72" t="s">
        <v>43</v>
      </c>
      <c r="B14" s="7">
        <v>1015</v>
      </c>
      <c r="C14" s="168">
        <v>282</v>
      </c>
      <c r="D14" s="168">
        <v>364</v>
      </c>
      <c r="E14" s="226">
        <v>364</v>
      </c>
      <c r="F14" s="226">
        <v>187</v>
      </c>
      <c r="G14" s="226">
        <v>374</v>
      </c>
      <c r="H14" s="226">
        <v>562</v>
      </c>
      <c r="I14" s="226">
        <v>749</v>
      </c>
      <c r="J14" s="140"/>
      <c r="K14" s="307">
        <f>штатка!V41/1000</f>
        <v>0</v>
      </c>
      <c r="L14" s="307">
        <f>штатка!W41/1000</f>
        <v>0</v>
      </c>
      <c r="M14" s="307">
        <f>штатка!X41/1000</f>
        <v>0</v>
      </c>
      <c r="N14" s="307">
        <f>штатка!Y41/1000</f>
        <v>0</v>
      </c>
    </row>
    <row r="15" spans="1:14" s="1" customFormat="1" ht="76.5" customHeight="1">
      <c r="A15" s="72" t="s">
        <v>262</v>
      </c>
      <c r="B15" s="7">
        <v>1016</v>
      </c>
      <c r="C15" s="168"/>
      <c r="D15" s="168"/>
      <c r="E15" s="226">
        <v>1929</v>
      </c>
      <c r="F15" s="226">
        <v>105</v>
      </c>
      <c r="G15" s="226">
        <v>295</v>
      </c>
      <c r="H15" s="226">
        <v>295</v>
      </c>
      <c r="I15" s="226">
        <v>295</v>
      </c>
      <c r="J15" s="276"/>
    </row>
    <row r="16" spans="1:14" s="1" customFormat="1" ht="37.5" customHeight="1">
      <c r="A16" s="72" t="s">
        <v>66</v>
      </c>
      <c r="B16" s="7">
        <v>1017</v>
      </c>
      <c r="C16" s="168">
        <v>235</v>
      </c>
      <c r="D16" s="168">
        <v>237</v>
      </c>
      <c r="E16" s="226">
        <v>237</v>
      </c>
      <c r="F16" s="226">
        <v>29</v>
      </c>
      <c r="G16" s="226">
        <v>160</v>
      </c>
      <c r="H16" s="226">
        <v>232</v>
      </c>
      <c r="I16" s="226">
        <v>268</v>
      </c>
      <c r="J16" s="140"/>
    </row>
    <row r="17" spans="1:14" s="1" customFormat="1" ht="20.100000000000001" customHeight="1">
      <c r="A17" s="72" t="s">
        <v>137</v>
      </c>
      <c r="B17" s="7">
        <v>1018</v>
      </c>
      <c r="C17" s="168">
        <f>C18</f>
        <v>78</v>
      </c>
      <c r="D17" s="168">
        <v>66</v>
      </c>
      <c r="E17" s="226">
        <v>66</v>
      </c>
      <c r="F17" s="168">
        <v>20</v>
      </c>
      <c r="G17" s="168">
        <v>88</v>
      </c>
      <c r="H17" s="168">
        <v>130</v>
      </c>
      <c r="I17" s="168">
        <v>169</v>
      </c>
      <c r="J17" s="140"/>
    </row>
    <row r="18" spans="1:14" s="1" customFormat="1" ht="20.100000000000001" customHeight="1">
      <c r="A18" s="72" t="s">
        <v>410</v>
      </c>
      <c r="B18" s="7" t="s">
        <v>385</v>
      </c>
      <c r="C18" s="168">
        <f>21+57</f>
        <v>78</v>
      </c>
      <c r="D18" s="168">
        <v>66</v>
      </c>
      <c r="E18" s="226">
        <v>66</v>
      </c>
      <c r="F18" s="168">
        <v>20</v>
      </c>
      <c r="G18" s="168">
        <v>88</v>
      </c>
      <c r="H18" s="168">
        <v>130</v>
      </c>
      <c r="I18" s="168">
        <v>169</v>
      </c>
      <c r="J18" s="140"/>
    </row>
    <row r="19" spans="1:14" s="5" customFormat="1" ht="20.100000000000001" customHeight="1">
      <c r="A19" s="159" t="s">
        <v>23</v>
      </c>
      <c r="B19" s="11">
        <v>1020</v>
      </c>
      <c r="C19" s="170">
        <f t="shared" ref="C19:I19" si="2">C7-C9</f>
        <v>-329</v>
      </c>
      <c r="D19" s="170">
        <f t="shared" si="2"/>
        <v>-2211</v>
      </c>
      <c r="E19" s="257">
        <f t="shared" si="2"/>
        <v>-3298</v>
      </c>
      <c r="F19" s="170">
        <f t="shared" si="2"/>
        <v>-1190</v>
      </c>
      <c r="G19" s="170">
        <f t="shared" si="2"/>
        <v>-1796</v>
      </c>
      <c r="H19" s="170">
        <f t="shared" si="2"/>
        <v>-2890</v>
      </c>
      <c r="I19" s="170">
        <f t="shared" si="2"/>
        <v>-4108</v>
      </c>
      <c r="J19" s="141"/>
    </row>
    <row r="20" spans="1:14" ht="37.5">
      <c r="A20" s="72" t="s">
        <v>233</v>
      </c>
      <c r="B20" s="9">
        <v>1030</v>
      </c>
      <c r="C20" s="168">
        <f>C21+C22</f>
        <v>3966</v>
      </c>
      <c r="D20" s="168">
        <v>5420</v>
      </c>
      <c r="E20" s="226">
        <v>5078</v>
      </c>
      <c r="F20" s="168">
        <f>F22</f>
        <v>2106</v>
      </c>
      <c r="G20" s="168">
        <f>G22</f>
        <v>5523</v>
      </c>
      <c r="H20" s="168">
        <f>H22</f>
        <v>6381</v>
      </c>
      <c r="I20" s="168">
        <f>I22</f>
        <v>7990</v>
      </c>
      <c r="J20" s="140"/>
    </row>
    <row r="21" spans="1:14">
      <c r="A21" s="72" t="s">
        <v>386</v>
      </c>
      <c r="B21" s="6" t="s">
        <v>387</v>
      </c>
      <c r="C21" s="168"/>
      <c r="D21" s="168"/>
      <c r="E21" s="226"/>
      <c r="F21" s="168"/>
      <c r="G21" s="168"/>
      <c r="H21" s="168"/>
      <c r="I21" s="168"/>
      <c r="J21" s="140"/>
    </row>
    <row r="22" spans="1:14">
      <c r="A22" s="227" t="s">
        <v>391</v>
      </c>
      <c r="B22" s="6" t="s">
        <v>390</v>
      </c>
      <c r="C22" s="168">
        <v>3966</v>
      </c>
      <c r="D22" s="168">
        <v>5420</v>
      </c>
      <c r="E22" s="226">
        <v>5078</v>
      </c>
      <c r="F22" s="226">
        <v>2106</v>
      </c>
      <c r="G22" s="226">
        <v>5523</v>
      </c>
      <c r="H22" s="226">
        <v>6381</v>
      </c>
      <c r="I22" s="226">
        <v>7990</v>
      </c>
      <c r="J22" s="140"/>
    </row>
    <row r="23" spans="1:14" ht="20.100000000000001" customHeight="1">
      <c r="A23" s="72" t="s">
        <v>234</v>
      </c>
      <c r="B23" s="9">
        <v>1031</v>
      </c>
      <c r="C23" s="168"/>
      <c r="D23" s="168"/>
      <c r="E23" s="226"/>
      <c r="F23" s="171"/>
      <c r="G23" s="171"/>
      <c r="H23" s="171"/>
      <c r="I23" s="171"/>
      <c r="J23" s="140"/>
    </row>
    <row r="24" spans="1:14" ht="20.100000000000001" customHeight="1">
      <c r="A24" s="72" t="s">
        <v>241</v>
      </c>
      <c r="B24" s="9">
        <v>1040</v>
      </c>
      <c r="C24" s="169">
        <f t="shared" ref="C24:I24" si="3">SUM(C25:C46)</f>
        <v>2731</v>
      </c>
      <c r="D24" s="169">
        <f t="shared" si="3"/>
        <v>2940</v>
      </c>
      <c r="E24" s="256">
        <f t="shared" si="3"/>
        <v>2940</v>
      </c>
      <c r="F24" s="169">
        <f t="shared" si="3"/>
        <v>361</v>
      </c>
      <c r="G24" s="169">
        <f t="shared" si="3"/>
        <v>817</v>
      </c>
      <c r="H24" s="169">
        <f t="shared" si="3"/>
        <v>1217.5</v>
      </c>
      <c r="I24" s="169">
        <f t="shared" si="3"/>
        <v>1627</v>
      </c>
      <c r="J24" s="140"/>
    </row>
    <row r="25" spans="1:14" ht="37.5">
      <c r="A25" s="72" t="s">
        <v>120</v>
      </c>
      <c r="B25" s="9">
        <v>1041</v>
      </c>
      <c r="C25" s="168">
        <v>220</v>
      </c>
      <c r="D25" s="226">
        <v>159</v>
      </c>
      <c r="E25" s="226">
        <v>159</v>
      </c>
      <c r="F25" s="226">
        <v>34</v>
      </c>
      <c r="G25" s="226">
        <v>67</v>
      </c>
      <c r="H25" s="226">
        <v>119</v>
      </c>
      <c r="I25" s="226">
        <f>159+25</f>
        <v>184</v>
      </c>
      <c r="J25" s="140"/>
    </row>
    <row r="26" spans="1:14" ht="20.100000000000001" customHeight="1">
      <c r="A26" s="72" t="s">
        <v>223</v>
      </c>
      <c r="B26" s="9">
        <v>1042</v>
      </c>
      <c r="C26" s="168"/>
      <c r="D26" s="168"/>
      <c r="E26" s="226"/>
      <c r="F26" s="168"/>
      <c r="G26" s="168"/>
      <c r="H26" s="168"/>
      <c r="I26" s="168"/>
      <c r="J26" s="140"/>
    </row>
    <row r="27" spans="1:14" ht="20.100000000000001" customHeight="1">
      <c r="A27" s="72" t="s">
        <v>65</v>
      </c>
      <c r="B27" s="9">
        <v>1043</v>
      </c>
      <c r="C27" s="168"/>
      <c r="D27" s="168"/>
      <c r="E27" s="226"/>
      <c r="F27" s="168"/>
      <c r="G27" s="168"/>
      <c r="H27" s="168"/>
      <c r="I27" s="168"/>
      <c r="J27" s="140"/>
    </row>
    <row r="28" spans="1:14" ht="20.100000000000001" customHeight="1">
      <c r="A28" s="72" t="s">
        <v>21</v>
      </c>
      <c r="B28" s="9">
        <v>1044</v>
      </c>
      <c r="C28" s="168"/>
      <c r="D28" s="168"/>
      <c r="E28" s="226"/>
      <c r="F28" s="168"/>
      <c r="G28" s="168"/>
      <c r="H28" s="168"/>
      <c r="I28" s="168"/>
      <c r="J28" s="140"/>
    </row>
    <row r="29" spans="1:14" ht="20.100000000000001" customHeight="1">
      <c r="A29" s="72" t="s">
        <v>22</v>
      </c>
      <c r="B29" s="9">
        <v>1045</v>
      </c>
      <c r="C29" s="168"/>
      <c r="D29" s="168"/>
      <c r="E29" s="226"/>
      <c r="F29" s="168"/>
      <c r="G29" s="168"/>
      <c r="H29" s="168"/>
      <c r="I29" s="168"/>
      <c r="J29" s="140"/>
    </row>
    <row r="30" spans="1:14" s="1" customFormat="1" ht="20.100000000000001" customHeight="1">
      <c r="A30" s="72" t="s">
        <v>40</v>
      </c>
      <c r="B30" s="9">
        <v>1046</v>
      </c>
      <c r="C30" s="168">
        <v>35</v>
      </c>
      <c r="D30" s="168">
        <v>27</v>
      </c>
      <c r="E30" s="226">
        <v>27</v>
      </c>
      <c r="F30" s="168">
        <v>3</v>
      </c>
      <c r="G30" s="168">
        <v>20</v>
      </c>
      <c r="H30" s="168">
        <v>24</v>
      </c>
      <c r="I30" s="168">
        <v>32</v>
      </c>
      <c r="J30" s="140"/>
    </row>
    <row r="31" spans="1:14" s="1" customFormat="1" ht="20.100000000000001" customHeight="1">
      <c r="A31" s="72" t="s">
        <v>41</v>
      </c>
      <c r="B31" s="9">
        <v>1047</v>
      </c>
      <c r="C31" s="168">
        <v>19</v>
      </c>
      <c r="D31" s="168">
        <v>6</v>
      </c>
      <c r="E31" s="226">
        <v>6</v>
      </c>
      <c r="F31" s="168">
        <v>2</v>
      </c>
      <c r="G31" s="168">
        <v>3</v>
      </c>
      <c r="H31" s="168">
        <v>6</v>
      </c>
      <c r="I31" s="168">
        <v>9</v>
      </c>
      <c r="J31" s="140"/>
    </row>
    <row r="32" spans="1:14" s="1" customFormat="1" ht="20.100000000000001" customHeight="1">
      <c r="A32" s="72" t="s">
        <v>42</v>
      </c>
      <c r="B32" s="9">
        <v>1048</v>
      </c>
      <c r="C32" s="168">
        <v>285</v>
      </c>
      <c r="D32" s="271">
        <v>2166</v>
      </c>
      <c r="E32" s="226">
        <v>2166</v>
      </c>
      <c r="F32" s="226">
        <v>254</v>
      </c>
      <c r="G32" s="226">
        <v>508</v>
      </c>
      <c r="H32" s="226">
        <v>762</v>
      </c>
      <c r="I32" s="168">
        <v>1016</v>
      </c>
      <c r="J32" s="140"/>
      <c r="K32" s="307">
        <f>штатка!V43/1000</f>
        <v>0</v>
      </c>
      <c r="L32" s="307">
        <f>штатка!W43/1000</f>
        <v>0</v>
      </c>
      <c r="M32" s="307">
        <f>штатка!X43/1000</f>
        <v>0</v>
      </c>
      <c r="N32" s="307">
        <f>штатка!Y43/1000</f>
        <v>0</v>
      </c>
    </row>
    <row r="33" spans="1:14" s="1" customFormat="1" ht="20.100000000000001" customHeight="1">
      <c r="A33" s="72" t="s">
        <v>43</v>
      </c>
      <c r="B33" s="9">
        <v>1049</v>
      </c>
      <c r="C33" s="168">
        <v>105</v>
      </c>
      <c r="D33" s="271">
        <v>470</v>
      </c>
      <c r="E33" s="226">
        <v>470</v>
      </c>
      <c r="F33" s="226">
        <v>51</v>
      </c>
      <c r="G33" s="226">
        <v>102</v>
      </c>
      <c r="H33" s="226">
        <v>152</v>
      </c>
      <c r="I33" s="168">
        <v>203</v>
      </c>
      <c r="J33" s="140"/>
      <c r="K33" s="307">
        <f>штатка!V44/1000</f>
        <v>0</v>
      </c>
      <c r="L33" s="307">
        <f>штатка!W44/1000</f>
        <v>0</v>
      </c>
      <c r="M33" s="307">
        <f>штатка!X44/1000</f>
        <v>0</v>
      </c>
      <c r="N33" s="307">
        <f>штатка!Y44/1000</f>
        <v>0</v>
      </c>
    </row>
    <row r="34" spans="1:14" s="1" customFormat="1" ht="56.25">
      <c r="A34" s="72" t="s">
        <v>44</v>
      </c>
      <c r="B34" s="9">
        <v>1050</v>
      </c>
      <c r="C34" s="168"/>
      <c r="D34" s="168"/>
      <c r="E34" s="226"/>
      <c r="F34" s="309"/>
      <c r="G34" s="309"/>
      <c r="H34" s="309"/>
      <c r="I34" s="171"/>
      <c r="J34" s="140"/>
    </row>
    <row r="35" spans="1:14" s="1" customFormat="1" ht="56.25">
      <c r="A35" s="72" t="s">
        <v>45</v>
      </c>
      <c r="B35" s="9">
        <v>1051</v>
      </c>
      <c r="C35" s="168"/>
      <c r="D35" s="168"/>
      <c r="E35" s="226"/>
      <c r="F35" s="171"/>
      <c r="G35" s="171"/>
      <c r="H35" s="171"/>
      <c r="I35" s="171"/>
      <c r="J35" s="140"/>
    </row>
    <row r="36" spans="1:14" s="1" customFormat="1" ht="37.5">
      <c r="A36" s="72" t="s">
        <v>46</v>
      </c>
      <c r="B36" s="9">
        <v>1052</v>
      </c>
      <c r="C36" s="168"/>
      <c r="D36" s="168"/>
      <c r="E36" s="226"/>
      <c r="F36" s="171"/>
      <c r="G36" s="171"/>
      <c r="H36" s="171"/>
      <c r="I36" s="171"/>
      <c r="J36" s="140"/>
    </row>
    <row r="37" spans="1:14" s="1" customFormat="1" ht="37.5">
      <c r="A37" s="72" t="s">
        <v>47</v>
      </c>
      <c r="B37" s="9">
        <v>1053</v>
      </c>
      <c r="C37" s="168"/>
      <c r="D37" s="168"/>
      <c r="E37" s="226"/>
      <c r="F37" s="171"/>
      <c r="G37" s="171"/>
      <c r="H37" s="171"/>
      <c r="I37" s="171"/>
      <c r="J37" s="140"/>
    </row>
    <row r="38" spans="1:14" s="1" customFormat="1" ht="20.100000000000001" customHeight="1">
      <c r="A38" s="72" t="s">
        <v>48</v>
      </c>
      <c r="B38" s="9">
        <v>1054</v>
      </c>
      <c r="C38" s="168">
        <v>1710</v>
      </c>
      <c r="D38" s="168">
        <v>64</v>
      </c>
      <c r="E38" s="226">
        <v>64</v>
      </c>
      <c r="F38" s="168">
        <v>5</v>
      </c>
      <c r="G38" s="168">
        <v>64</v>
      </c>
      <c r="H38" s="168">
        <v>64</v>
      </c>
      <c r="I38" s="168">
        <v>64</v>
      </c>
      <c r="J38" s="140"/>
    </row>
    <row r="39" spans="1:14" s="1" customFormat="1" ht="20.100000000000001" customHeight="1">
      <c r="A39" s="72" t="s">
        <v>69</v>
      </c>
      <c r="B39" s="9">
        <v>1055</v>
      </c>
      <c r="C39" s="168">
        <v>25</v>
      </c>
      <c r="D39" s="168">
        <v>16</v>
      </c>
      <c r="E39" s="226">
        <v>16</v>
      </c>
      <c r="F39" s="168">
        <v>3</v>
      </c>
      <c r="G39" s="168">
        <v>6</v>
      </c>
      <c r="H39" s="168">
        <v>9</v>
      </c>
      <c r="I39" s="168">
        <v>12</v>
      </c>
      <c r="J39" s="140"/>
    </row>
    <row r="40" spans="1:14" s="1" customFormat="1" ht="20.100000000000001" customHeight="1">
      <c r="A40" s="72" t="s">
        <v>49</v>
      </c>
      <c r="B40" s="9">
        <v>1056</v>
      </c>
      <c r="C40" s="168"/>
      <c r="D40" s="168"/>
      <c r="E40" s="226"/>
      <c r="F40" s="171"/>
      <c r="G40" s="171"/>
      <c r="H40" s="171"/>
      <c r="I40" s="171"/>
      <c r="J40" s="140"/>
    </row>
    <row r="41" spans="1:14" s="1" customFormat="1" ht="20.100000000000001" customHeight="1">
      <c r="A41" s="72" t="s">
        <v>50</v>
      </c>
      <c r="B41" s="9">
        <v>1057</v>
      </c>
      <c r="C41" s="168"/>
      <c r="D41" s="168"/>
      <c r="E41" s="226"/>
      <c r="F41" s="171"/>
      <c r="G41" s="171"/>
      <c r="H41" s="171"/>
      <c r="I41" s="171"/>
      <c r="J41" s="140"/>
    </row>
    <row r="42" spans="1:14" s="1" customFormat="1" ht="37.5">
      <c r="A42" s="72" t="s">
        <v>51</v>
      </c>
      <c r="B42" s="9">
        <v>1058</v>
      </c>
      <c r="C42" s="168">
        <v>75</v>
      </c>
      <c r="D42" s="168">
        <v>32</v>
      </c>
      <c r="E42" s="226">
        <v>32</v>
      </c>
      <c r="F42" s="168">
        <v>3</v>
      </c>
      <c r="G42" s="168">
        <v>35</v>
      </c>
      <c r="H42" s="168">
        <v>50</v>
      </c>
      <c r="I42" s="168">
        <v>65</v>
      </c>
      <c r="J42" s="140"/>
    </row>
    <row r="43" spans="1:14" s="1" customFormat="1" ht="37.5">
      <c r="A43" s="72" t="s">
        <v>52</v>
      </c>
      <c r="B43" s="9">
        <v>1059</v>
      </c>
      <c r="C43" s="168"/>
      <c r="D43" s="168"/>
      <c r="E43" s="226"/>
      <c r="F43" s="171"/>
      <c r="G43" s="171"/>
      <c r="H43" s="171"/>
      <c r="I43" s="171"/>
      <c r="J43" s="140"/>
    </row>
    <row r="44" spans="1:14" s="1" customFormat="1" ht="75">
      <c r="A44" s="72" t="s">
        <v>82</v>
      </c>
      <c r="B44" s="9">
        <v>1060</v>
      </c>
      <c r="C44" s="168"/>
      <c r="D44" s="168"/>
      <c r="E44" s="226"/>
      <c r="F44" s="171"/>
      <c r="G44" s="171"/>
      <c r="H44" s="171"/>
      <c r="I44" s="171"/>
      <c r="J44" s="140"/>
    </row>
    <row r="45" spans="1:14" s="1" customFormat="1" ht="20.25" customHeight="1">
      <c r="A45" s="72" t="s">
        <v>53</v>
      </c>
      <c r="B45" s="9">
        <v>1061</v>
      </c>
      <c r="C45" s="168"/>
      <c r="D45" s="168"/>
      <c r="E45" s="226"/>
      <c r="F45" s="171"/>
      <c r="G45" s="171"/>
      <c r="H45" s="171"/>
      <c r="I45" s="171"/>
      <c r="J45" s="140"/>
    </row>
    <row r="46" spans="1:14" s="1" customFormat="1" ht="42" customHeight="1">
      <c r="A46" s="72" t="s">
        <v>392</v>
      </c>
      <c r="B46" s="9">
        <v>1062</v>
      </c>
      <c r="C46" s="168">
        <f t="shared" ref="C46" si="4">C47</f>
        <v>257</v>
      </c>
      <c r="D46" s="168">
        <v>0</v>
      </c>
      <c r="E46" s="226">
        <v>0</v>
      </c>
      <c r="F46" s="168">
        <v>6</v>
      </c>
      <c r="G46" s="168">
        <v>12</v>
      </c>
      <c r="H46" s="168">
        <f t="shared" ref="H46" si="5">H47</f>
        <v>31.5</v>
      </c>
      <c r="I46" s="168">
        <f>I47</f>
        <v>42</v>
      </c>
      <c r="J46" s="140"/>
    </row>
    <row r="47" spans="1:14" s="1" customFormat="1">
      <c r="A47" s="72" t="s">
        <v>408</v>
      </c>
      <c r="B47" s="6" t="s">
        <v>383</v>
      </c>
      <c r="C47" s="168">
        <v>257</v>
      </c>
      <c r="D47" s="168">
        <v>0</v>
      </c>
      <c r="E47" s="226">
        <v>0</v>
      </c>
      <c r="F47" s="168">
        <v>6</v>
      </c>
      <c r="G47" s="168">
        <v>12</v>
      </c>
      <c r="H47" s="168">
        <f>I47/4*3</f>
        <v>31.5</v>
      </c>
      <c r="I47" s="168">
        <v>42</v>
      </c>
      <c r="J47" s="140"/>
    </row>
    <row r="48" spans="1:14" ht="20.100000000000001" customHeight="1">
      <c r="A48" s="72" t="s">
        <v>242</v>
      </c>
      <c r="B48" s="9">
        <v>1070</v>
      </c>
      <c r="C48" s="169">
        <f>SUM(C49:C54)</f>
        <v>0</v>
      </c>
      <c r="D48" s="169">
        <f t="shared" ref="D48:I48" si="6">SUM(D49:D54)</f>
        <v>0</v>
      </c>
      <c r="E48" s="256">
        <f t="shared" si="6"/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40"/>
    </row>
    <row r="49" spans="1:10" s="1" customFormat="1" ht="20.100000000000001" customHeight="1">
      <c r="A49" s="72" t="s">
        <v>201</v>
      </c>
      <c r="B49" s="9">
        <v>1071</v>
      </c>
      <c r="C49" s="168"/>
      <c r="D49" s="168"/>
      <c r="E49" s="226"/>
      <c r="F49" s="168"/>
      <c r="G49" s="168"/>
      <c r="H49" s="168"/>
      <c r="I49" s="168"/>
      <c r="J49" s="140"/>
    </row>
    <row r="50" spans="1:10" s="1" customFormat="1" ht="20.100000000000001" customHeight="1">
      <c r="A50" s="72" t="s">
        <v>202</v>
      </c>
      <c r="B50" s="9">
        <v>1072</v>
      </c>
      <c r="C50" s="168"/>
      <c r="D50" s="168"/>
      <c r="E50" s="226"/>
      <c r="F50" s="168"/>
      <c r="G50" s="168"/>
      <c r="H50" s="168"/>
      <c r="I50" s="168"/>
      <c r="J50" s="140"/>
    </row>
    <row r="51" spans="1:10" s="1" customFormat="1" ht="20.100000000000001" customHeight="1">
      <c r="A51" s="72" t="s">
        <v>42</v>
      </c>
      <c r="B51" s="9">
        <v>1073</v>
      </c>
      <c r="C51" s="168"/>
      <c r="D51" s="168"/>
      <c r="E51" s="226"/>
      <c r="F51" s="168"/>
      <c r="G51" s="168"/>
      <c r="H51" s="168"/>
      <c r="I51" s="168"/>
      <c r="J51" s="140"/>
    </row>
    <row r="52" spans="1:10" s="1" customFormat="1" ht="37.5">
      <c r="A52" s="72" t="s">
        <v>66</v>
      </c>
      <c r="B52" s="9">
        <v>1074</v>
      </c>
      <c r="C52" s="168"/>
      <c r="D52" s="168"/>
      <c r="E52" s="226"/>
      <c r="F52" s="168"/>
      <c r="G52" s="168"/>
      <c r="H52" s="168"/>
      <c r="I52" s="168"/>
      <c r="J52" s="140"/>
    </row>
    <row r="53" spans="1:10" s="1" customFormat="1" ht="20.100000000000001" customHeight="1">
      <c r="A53" s="72" t="s">
        <v>85</v>
      </c>
      <c r="B53" s="9">
        <v>1075</v>
      </c>
      <c r="C53" s="168"/>
      <c r="D53" s="168"/>
      <c r="E53" s="226"/>
      <c r="F53" s="168"/>
      <c r="G53" s="168"/>
      <c r="H53" s="168"/>
      <c r="I53" s="168"/>
      <c r="J53" s="140"/>
    </row>
    <row r="54" spans="1:10" s="1" customFormat="1" ht="20.100000000000001" customHeight="1">
      <c r="A54" s="72" t="s">
        <v>138</v>
      </c>
      <c r="B54" s="9">
        <v>1076</v>
      </c>
      <c r="C54" s="168"/>
      <c r="D54" s="168"/>
      <c r="E54" s="226"/>
      <c r="F54" s="168"/>
      <c r="G54" s="168"/>
      <c r="H54" s="168"/>
      <c r="I54" s="168"/>
      <c r="J54" s="140"/>
    </row>
    <row r="55" spans="1:10" s="1" customFormat="1" ht="37.5">
      <c r="A55" s="160" t="s">
        <v>87</v>
      </c>
      <c r="B55" s="9">
        <v>1080</v>
      </c>
      <c r="C55" s="169">
        <f>SUM(C56:C60)</f>
        <v>2211</v>
      </c>
      <c r="D55" s="169">
        <f t="shared" ref="D55:I55" si="7">SUM(D56:D60)</f>
        <v>192</v>
      </c>
      <c r="E55" s="256">
        <f t="shared" si="7"/>
        <v>192</v>
      </c>
      <c r="F55" s="169">
        <f t="shared" si="7"/>
        <v>128</v>
      </c>
      <c r="G55" s="169">
        <f t="shared" si="7"/>
        <v>2153</v>
      </c>
      <c r="H55" s="169">
        <f t="shared" si="7"/>
        <v>2161</v>
      </c>
      <c r="I55" s="169">
        <f t="shared" si="7"/>
        <v>2181</v>
      </c>
      <c r="J55" s="140"/>
    </row>
    <row r="56" spans="1:10" s="1" customFormat="1" ht="20.100000000000001" customHeight="1">
      <c r="A56" s="72" t="s">
        <v>76</v>
      </c>
      <c r="B56" s="161">
        <v>1081</v>
      </c>
      <c r="C56" s="168"/>
      <c r="D56" s="168"/>
      <c r="E56" s="226"/>
      <c r="F56" s="168"/>
      <c r="G56" s="168"/>
      <c r="H56" s="168"/>
      <c r="I56" s="168"/>
      <c r="J56" s="140"/>
    </row>
    <row r="57" spans="1:10" s="1" customFormat="1" ht="37.5">
      <c r="A57" s="72" t="s">
        <v>54</v>
      </c>
      <c r="B57" s="161">
        <v>1082</v>
      </c>
      <c r="C57" s="168"/>
      <c r="D57" s="168"/>
      <c r="E57" s="226"/>
      <c r="F57" s="168"/>
      <c r="G57" s="168"/>
      <c r="H57" s="168"/>
      <c r="I57" s="168"/>
      <c r="J57" s="140"/>
    </row>
    <row r="58" spans="1:10" s="1" customFormat="1" ht="37.5">
      <c r="A58" s="72" t="s">
        <v>64</v>
      </c>
      <c r="B58" s="161">
        <v>1083</v>
      </c>
      <c r="C58" s="168"/>
      <c r="D58" s="168"/>
      <c r="E58" s="226"/>
      <c r="F58" s="168"/>
      <c r="G58" s="168"/>
      <c r="H58" s="168"/>
      <c r="I58" s="168"/>
      <c r="J58" s="140"/>
    </row>
    <row r="59" spans="1:10" s="1" customFormat="1" ht="20.100000000000001" customHeight="1">
      <c r="A59" s="72" t="s">
        <v>234</v>
      </c>
      <c r="B59" s="161">
        <v>1084</v>
      </c>
      <c r="C59" s="168"/>
      <c r="D59" s="168"/>
      <c r="E59" s="226"/>
      <c r="F59" s="168"/>
      <c r="G59" s="168"/>
      <c r="H59" s="168"/>
      <c r="I59" s="168"/>
      <c r="J59" s="140"/>
    </row>
    <row r="60" spans="1:10" s="1" customFormat="1" ht="20.100000000000001" customHeight="1">
      <c r="A60" s="72" t="s">
        <v>263</v>
      </c>
      <c r="B60" s="161">
        <v>1085</v>
      </c>
      <c r="C60" s="168">
        <f t="shared" ref="C60" si="8">SUM(C61:C63)</f>
        <v>2211</v>
      </c>
      <c r="D60" s="168">
        <v>192</v>
      </c>
      <c r="E60" s="226">
        <v>192</v>
      </c>
      <c r="F60" s="168">
        <f>F61+F62+F63</f>
        <v>128</v>
      </c>
      <c r="G60" s="168">
        <f>G61+G62+G63</f>
        <v>2153</v>
      </c>
      <c r="H60" s="168">
        <f>H61+H62+H63</f>
        <v>2161</v>
      </c>
      <c r="I60" s="168">
        <f>I61+I62+I63</f>
        <v>2181</v>
      </c>
      <c r="J60" s="140"/>
    </row>
    <row r="61" spans="1:10" s="1" customFormat="1" ht="20.100000000000001" customHeight="1">
      <c r="A61" s="160" t="s">
        <v>396</v>
      </c>
      <c r="B61" s="6" t="s">
        <v>393</v>
      </c>
      <c r="C61" s="226">
        <f>8+1047</f>
        <v>1055</v>
      </c>
      <c r="D61" s="168">
        <v>74</v>
      </c>
      <c r="E61" s="226">
        <v>74</v>
      </c>
      <c r="F61" s="168">
        <v>120</v>
      </c>
      <c r="G61" s="168">
        <v>2089</v>
      </c>
      <c r="H61" s="168">
        <v>2089</v>
      </c>
      <c r="I61" s="168">
        <v>2089</v>
      </c>
      <c r="J61" s="276"/>
    </row>
    <row r="62" spans="1:10" s="1" customFormat="1" ht="20.100000000000001" customHeight="1">
      <c r="A62" s="160" t="s">
        <v>397</v>
      </c>
      <c r="B62" s="6" t="s">
        <v>394</v>
      </c>
      <c r="C62" s="168">
        <v>836</v>
      </c>
      <c r="D62" s="168">
        <v>48</v>
      </c>
      <c r="E62" s="226">
        <v>48</v>
      </c>
      <c r="F62" s="168">
        <v>5</v>
      </c>
      <c r="G62" s="168">
        <v>58</v>
      </c>
      <c r="H62" s="168">
        <v>63</v>
      </c>
      <c r="I62" s="168">
        <v>80</v>
      </c>
      <c r="J62" s="140"/>
    </row>
    <row r="63" spans="1:10" s="1" customFormat="1" ht="20.100000000000001" customHeight="1">
      <c r="A63" s="160" t="s">
        <v>384</v>
      </c>
      <c r="B63" s="6" t="s">
        <v>395</v>
      </c>
      <c r="C63" s="168">
        <v>320</v>
      </c>
      <c r="D63" s="168">
        <v>70</v>
      </c>
      <c r="E63" s="226">
        <v>70</v>
      </c>
      <c r="F63" s="168">
        <v>3</v>
      </c>
      <c r="G63" s="168">
        <v>6</v>
      </c>
      <c r="H63" s="168">
        <v>9</v>
      </c>
      <c r="I63" s="168">
        <v>12</v>
      </c>
      <c r="J63" s="140"/>
    </row>
    <row r="64" spans="1:10" s="5" customFormat="1" ht="37.5">
      <c r="A64" s="159" t="s">
        <v>4</v>
      </c>
      <c r="B64" s="11">
        <v>1100</v>
      </c>
      <c r="C64" s="169">
        <f t="shared" ref="C64:I64" si="9">C19+C20-C24-C48-C55</f>
        <v>-1305</v>
      </c>
      <c r="D64" s="169">
        <f t="shared" si="9"/>
        <v>77</v>
      </c>
      <c r="E64" s="256">
        <f t="shared" si="9"/>
        <v>-1352</v>
      </c>
      <c r="F64" s="169">
        <f t="shared" si="9"/>
        <v>427</v>
      </c>
      <c r="G64" s="169">
        <f t="shared" si="9"/>
        <v>757</v>
      </c>
      <c r="H64" s="169">
        <f t="shared" si="9"/>
        <v>112.5</v>
      </c>
      <c r="I64" s="169">
        <f t="shared" si="9"/>
        <v>74</v>
      </c>
      <c r="J64" s="141"/>
    </row>
    <row r="65" spans="1:10" ht="21.75" customHeight="1">
      <c r="A65" s="72" t="s">
        <v>122</v>
      </c>
      <c r="B65" s="9">
        <v>1110</v>
      </c>
      <c r="C65" s="168"/>
      <c r="D65" s="168"/>
      <c r="E65" s="226"/>
      <c r="F65" s="168"/>
      <c r="G65" s="168"/>
      <c r="H65" s="168"/>
      <c r="I65" s="168"/>
      <c r="J65" s="140"/>
    </row>
    <row r="66" spans="1:10" ht="20.100000000000001" customHeight="1">
      <c r="A66" s="72" t="s">
        <v>123</v>
      </c>
      <c r="B66" s="9">
        <v>1120</v>
      </c>
      <c r="C66" s="168"/>
      <c r="D66" s="168"/>
      <c r="E66" s="226"/>
      <c r="F66" s="168"/>
      <c r="G66" s="168"/>
      <c r="H66" s="168"/>
      <c r="I66" s="168"/>
      <c r="J66" s="140"/>
    </row>
    <row r="67" spans="1:10" ht="37.5">
      <c r="A67" s="72" t="s">
        <v>125</v>
      </c>
      <c r="B67" s="9">
        <v>1130</v>
      </c>
      <c r="C67" s="168"/>
      <c r="D67" s="168"/>
      <c r="E67" s="226"/>
      <c r="F67" s="168"/>
      <c r="G67" s="168"/>
      <c r="H67" s="168"/>
      <c r="I67" s="168"/>
      <c r="J67" s="140"/>
    </row>
    <row r="68" spans="1:10" ht="20.100000000000001" customHeight="1">
      <c r="A68" s="72" t="s">
        <v>124</v>
      </c>
      <c r="B68" s="9">
        <v>1140</v>
      </c>
      <c r="C68" s="168"/>
      <c r="D68" s="168"/>
      <c r="E68" s="226"/>
      <c r="F68" s="168"/>
      <c r="G68" s="168"/>
      <c r="H68" s="168"/>
      <c r="I68" s="168"/>
      <c r="J68" s="140"/>
    </row>
    <row r="69" spans="1:10" ht="37.5">
      <c r="A69" s="227" t="s">
        <v>235</v>
      </c>
      <c r="B69" s="9">
        <v>1150</v>
      </c>
      <c r="C69" s="168">
        <f>C70</f>
        <v>1343</v>
      </c>
      <c r="D69" s="226"/>
      <c r="E69" s="226">
        <f>E70+E71</f>
        <v>1409</v>
      </c>
      <c r="F69" s="168"/>
      <c r="G69" s="168"/>
      <c r="H69" s="168"/>
      <c r="I69" s="168"/>
      <c r="J69" s="140"/>
    </row>
    <row r="70" spans="1:10">
      <c r="A70" s="72" t="s">
        <v>411</v>
      </c>
      <c r="B70" s="6" t="s">
        <v>412</v>
      </c>
      <c r="C70" s="226">
        <v>1343</v>
      </c>
      <c r="D70" s="168"/>
      <c r="E70" s="226">
        <v>1065</v>
      </c>
      <c r="F70" s="168"/>
      <c r="G70" s="168"/>
      <c r="H70" s="168"/>
      <c r="I70" s="168"/>
      <c r="J70" s="140"/>
    </row>
    <row r="71" spans="1:10" ht="56.25">
      <c r="A71" s="270" t="s">
        <v>481</v>
      </c>
      <c r="B71" s="6" t="s">
        <v>427</v>
      </c>
      <c r="C71" s="168"/>
      <c r="D71" s="168"/>
      <c r="E71" s="226">
        <v>344</v>
      </c>
      <c r="F71" s="168"/>
      <c r="G71" s="168"/>
      <c r="H71" s="168"/>
      <c r="I71" s="168"/>
      <c r="J71" s="140"/>
    </row>
    <row r="72" spans="1:10" ht="20.100000000000001" customHeight="1">
      <c r="A72" s="72" t="s">
        <v>234</v>
      </c>
      <c r="B72" s="9">
        <v>1151</v>
      </c>
      <c r="C72" s="168"/>
      <c r="D72" s="168"/>
      <c r="E72" s="226"/>
      <c r="F72" s="168"/>
      <c r="G72" s="168"/>
      <c r="H72" s="168"/>
      <c r="I72" s="168"/>
      <c r="J72" s="140"/>
    </row>
    <row r="73" spans="1:10" ht="37.5">
      <c r="A73" s="72" t="s">
        <v>236</v>
      </c>
      <c r="B73" s="9">
        <v>1160</v>
      </c>
      <c r="C73" s="168"/>
      <c r="D73" s="168"/>
      <c r="E73" s="226"/>
      <c r="F73" s="168"/>
      <c r="G73" s="168"/>
      <c r="H73" s="168"/>
      <c r="I73" s="168"/>
      <c r="J73" s="140"/>
    </row>
    <row r="74" spans="1:10" ht="20.100000000000001" customHeight="1">
      <c r="A74" s="72" t="s">
        <v>234</v>
      </c>
      <c r="B74" s="9">
        <v>1161</v>
      </c>
      <c r="C74" s="168"/>
      <c r="D74" s="168"/>
      <c r="E74" s="226"/>
      <c r="F74" s="168"/>
      <c r="G74" s="168"/>
      <c r="H74" s="168"/>
      <c r="I74" s="168"/>
      <c r="J74" s="140"/>
    </row>
    <row r="75" spans="1:10" s="5" customFormat="1" ht="37.5">
      <c r="A75" s="159" t="s">
        <v>106</v>
      </c>
      <c r="B75" s="11">
        <v>1170</v>
      </c>
      <c r="C75" s="169">
        <f>C64+C65+C66+C69-C68-C67-C73</f>
        <v>38</v>
      </c>
      <c r="D75" s="169">
        <f t="shared" ref="D75:I75" si="10">D64+D65+D66+D69-D68-D67-D73</f>
        <v>77</v>
      </c>
      <c r="E75" s="256">
        <f t="shared" si="10"/>
        <v>57</v>
      </c>
      <c r="F75" s="169">
        <f t="shared" si="10"/>
        <v>427</v>
      </c>
      <c r="G75" s="169">
        <f t="shared" si="10"/>
        <v>757</v>
      </c>
      <c r="H75" s="169">
        <f t="shared" si="10"/>
        <v>112.5</v>
      </c>
      <c r="I75" s="169">
        <f t="shared" si="10"/>
        <v>74</v>
      </c>
      <c r="J75" s="141"/>
    </row>
    <row r="76" spans="1:10" ht="20.100000000000001" customHeight="1">
      <c r="A76" s="72" t="s">
        <v>152</v>
      </c>
      <c r="B76" s="9">
        <v>1180</v>
      </c>
      <c r="C76" s="168">
        <f>C75*18%</f>
        <v>6.84</v>
      </c>
      <c r="D76" s="168">
        <f>D75*18%</f>
        <v>13.86</v>
      </c>
      <c r="E76" s="226">
        <f>E75*18%</f>
        <v>10.26</v>
      </c>
      <c r="F76" s="168"/>
      <c r="G76" s="168"/>
      <c r="H76" s="226"/>
      <c r="I76" s="168">
        <f>ROUND(I75*18%,0)</f>
        <v>13</v>
      </c>
      <c r="J76" s="217"/>
    </row>
    <row r="77" spans="1:10" ht="37.5">
      <c r="A77" s="72" t="s">
        <v>153</v>
      </c>
      <c r="B77" s="9">
        <v>1190</v>
      </c>
      <c r="C77" s="168"/>
      <c r="D77" s="168"/>
      <c r="E77" s="226"/>
      <c r="F77" s="168"/>
      <c r="G77" s="168"/>
      <c r="H77" s="168"/>
      <c r="I77" s="168"/>
      <c r="J77" s="140"/>
    </row>
    <row r="78" spans="1:10" s="5" customFormat="1" ht="37.5">
      <c r="A78" s="159" t="s">
        <v>107</v>
      </c>
      <c r="B78" s="11">
        <v>1200</v>
      </c>
      <c r="C78" s="169">
        <f t="shared" ref="C78:I78" si="11">C75-C76-C77</f>
        <v>31.16</v>
      </c>
      <c r="D78" s="169">
        <f t="shared" si="11"/>
        <v>63.14</v>
      </c>
      <c r="E78" s="256">
        <f t="shared" si="11"/>
        <v>46.74</v>
      </c>
      <c r="F78" s="256">
        <f t="shared" si="11"/>
        <v>427</v>
      </c>
      <c r="G78" s="256">
        <f t="shared" si="11"/>
        <v>757</v>
      </c>
      <c r="H78" s="256">
        <f t="shared" si="11"/>
        <v>112.5</v>
      </c>
      <c r="I78" s="169">
        <f t="shared" si="11"/>
        <v>61</v>
      </c>
      <c r="J78" s="141"/>
    </row>
    <row r="79" spans="1:10" ht="20.100000000000001" customHeight="1">
      <c r="A79" s="72" t="s">
        <v>24</v>
      </c>
      <c r="B79" s="6">
        <v>1201</v>
      </c>
      <c r="C79" s="169">
        <f>SUMIF(C78,"&gt;0")</f>
        <v>31.16</v>
      </c>
      <c r="D79" s="169">
        <f t="shared" ref="D79:I79" si="12">SUMIF(D78,"&gt;0")</f>
        <v>63.14</v>
      </c>
      <c r="E79" s="256">
        <f t="shared" si="12"/>
        <v>46.74</v>
      </c>
      <c r="F79" s="169">
        <f t="shared" si="12"/>
        <v>427</v>
      </c>
      <c r="G79" s="169">
        <f t="shared" si="12"/>
        <v>757</v>
      </c>
      <c r="H79" s="169">
        <f t="shared" si="12"/>
        <v>112.5</v>
      </c>
      <c r="I79" s="169">
        <f t="shared" si="12"/>
        <v>61</v>
      </c>
      <c r="J79" s="140"/>
    </row>
    <row r="80" spans="1:10" ht="20.100000000000001" customHeight="1">
      <c r="A80" s="72" t="s">
        <v>25</v>
      </c>
      <c r="B80" s="6">
        <v>1202</v>
      </c>
      <c r="C80" s="169">
        <f>SUMIF(C78,"&lt;0")</f>
        <v>0</v>
      </c>
      <c r="D80" s="169">
        <f t="shared" ref="D80:I80" si="13">SUMIF(D78,"&lt;0")</f>
        <v>0</v>
      </c>
      <c r="E80" s="256">
        <f t="shared" si="13"/>
        <v>0</v>
      </c>
      <c r="F80" s="169">
        <f t="shared" si="13"/>
        <v>0</v>
      </c>
      <c r="G80" s="169">
        <f t="shared" si="13"/>
        <v>0</v>
      </c>
      <c r="H80" s="169">
        <f t="shared" si="13"/>
        <v>0</v>
      </c>
      <c r="I80" s="169">
        <f t="shared" si="13"/>
        <v>0</v>
      </c>
      <c r="J80" s="140"/>
    </row>
    <row r="81" spans="1:10" ht="19.5" customHeight="1">
      <c r="A81" s="72" t="s">
        <v>264</v>
      </c>
      <c r="B81" s="9">
        <v>1210</v>
      </c>
      <c r="C81" s="168"/>
      <c r="D81" s="168"/>
      <c r="E81" s="226"/>
      <c r="F81" s="168"/>
      <c r="G81" s="168"/>
      <c r="H81" s="168"/>
      <c r="I81" s="168"/>
      <c r="J81" s="140"/>
    </row>
    <row r="82" spans="1:10" s="5" customFormat="1" ht="20.100000000000001" customHeight="1">
      <c r="A82" s="352" t="s">
        <v>306</v>
      </c>
      <c r="B82" s="353"/>
      <c r="C82" s="353"/>
      <c r="D82" s="353"/>
      <c r="E82" s="353"/>
      <c r="F82" s="353"/>
      <c r="G82" s="353"/>
      <c r="H82" s="353"/>
      <c r="I82" s="353"/>
      <c r="J82" s="354"/>
    </row>
    <row r="83" spans="1:10" ht="42.75" customHeight="1">
      <c r="A83" s="71" t="s">
        <v>286</v>
      </c>
      <c r="B83" s="6">
        <v>1300</v>
      </c>
      <c r="C83" s="169">
        <f t="shared" ref="C83:I83" si="14">C20-C55</f>
        <v>1755</v>
      </c>
      <c r="D83" s="169">
        <f t="shared" si="14"/>
        <v>5228</v>
      </c>
      <c r="E83" s="256">
        <f t="shared" si="14"/>
        <v>4886</v>
      </c>
      <c r="F83" s="169">
        <f t="shared" si="14"/>
        <v>1978</v>
      </c>
      <c r="G83" s="169">
        <f t="shared" si="14"/>
        <v>3370</v>
      </c>
      <c r="H83" s="169">
        <f t="shared" si="14"/>
        <v>4220</v>
      </c>
      <c r="I83" s="169">
        <f t="shared" si="14"/>
        <v>5809</v>
      </c>
      <c r="J83" s="140"/>
    </row>
    <row r="84" spans="1:10" ht="75">
      <c r="A84" s="72" t="s">
        <v>280</v>
      </c>
      <c r="B84" s="6">
        <v>1310</v>
      </c>
      <c r="C84" s="169">
        <f t="shared" ref="C84:I84" si="15">C65+C66-C67-C68</f>
        <v>0</v>
      </c>
      <c r="D84" s="169">
        <f t="shared" si="15"/>
        <v>0</v>
      </c>
      <c r="E84" s="256">
        <f t="shared" si="15"/>
        <v>0</v>
      </c>
      <c r="F84" s="169">
        <f t="shared" si="15"/>
        <v>0</v>
      </c>
      <c r="G84" s="169">
        <f t="shared" si="15"/>
        <v>0</v>
      </c>
      <c r="H84" s="169">
        <f t="shared" si="15"/>
        <v>0</v>
      </c>
      <c r="I84" s="169">
        <f t="shared" si="15"/>
        <v>0</v>
      </c>
      <c r="J84" s="140"/>
    </row>
    <row r="85" spans="1:10" ht="42.75" customHeight="1">
      <c r="A85" s="71" t="s">
        <v>281</v>
      </c>
      <c r="B85" s="6">
        <v>1320</v>
      </c>
      <c r="C85" s="169">
        <f>C69-C73</f>
        <v>1343</v>
      </c>
      <c r="D85" s="169">
        <f t="shared" ref="D85:I85" si="16">D69-D73</f>
        <v>0</v>
      </c>
      <c r="E85" s="256">
        <f t="shared" si="16"/>
        <v>1409</v>
      </c>
      <c r="F85" s="169">
        <f t="shared" si="16"/>
        <v>0</v>
      </c>
      <c r="G85" s="169">
        <f t="shared" si="16"/>
        <v>0</v>
      </c>
      <c r="H85" s="169">
        <f t="shared" si="16"/>
        <v>0</v>
      </c>
      <c r="I85" s="169">
        <f t="shared" si="16"/>
        <v>0</v>
      </c>
      <c r="J85" s="140"/>
    </row>
    <row r="86" spans="1:10" ht="56.25">
      <c r="A86" s="8" t="s">
        <v>362</v>
      </c>
      <c r="B86" s="9">
        <v>1330</v>
      </c>
      <c r="C86" s="169">
        <f t="shared" ref="C86:I86" si="17">C7+C20+C65+C66+C69</f>
        <v>6524</v>
      </c>
      <c r="D86" s="169">
        <f t="shared" si="17"/>
        <v>6444</v>
      </c>
      <c r="E86" s="256">
        <f t="shared" si="17"/>
        <v>8353</v>
      </c>
      <c r="F86" s="169">
        <f t="shared" si="17"/>
        <v>2296</v>
      </c>
      <c r="G86" s="169">
        <f t="shared" si="17"/>
        <v>6755</v>
      </c>
      <c r="H86" s="169">
        <f t="shared" si="17"/>
        <v>7961</v>
      </c>
      <c r="I86" s="169">
        <f t="shared" si="17"/>
        <v>9825</v>
      </c>
      <c r="J86" s="140"/>
    </row>
    <row r="87" spans="1:10" ht="75">
      <c r="A87" s="8" t="s">
        <v>363</v>
      </c>
      <c r="B87" s="9">
        <v>1340</v>
      </c>
      <c r="C87" s="169">
        <f>C9+C24+C48+C55+C67+C68+C73+C76+C77</f>
        <v>6492.84</v>
      </c>
      <c r="D87" s="169">
        <f t="shared" ref="D87:I87" si="18">D9+D24+D48+D55+D67+D68+D73+D76+D77</f>
        <v>6380.86</v>
      </c>
      <c r="E87" s="256">
        <f t="shared" si="18"/>
        <v>8306.26</v>
      </c>
      <c r="F87" s="169">
        <f t="shared" si="18"/>
        <v>1869</v>
      </c>
      <c r="G87" s="169">
        <f t="shared" si="18"/>
        <v>5998</v>
      </c>
      <c r="H87" s="169">
        <f t="shared" si="18"/>
        <v>7848.5</v>
      </c>
      <c r="I87" s="169">
        <f t="shared" si="18"/>
        <v>9764</v>
      </c>
      <c r="J87" s="140"/>
    </row>
    <row r="88" spans="1:10" ht="20.100000000000001" customHeight="1">
      <c r="A88" s="352" t="s">
        <v>182</v>
      </c>
      <c r="B88" s="353"/>
      <c r="C88" s="353"/>
      <c r="D88" s="353"/>
      <c r="E88" s="353"/>
      <c r="F88" s="353"/>
      <c r="G88" s="353"/>
      <c r="H88" s="353"/>
      <c r="I88" s="353"/>
      <c r="J88" s="354"/>
    </row>
    <row r="89" spans="1:10" ht="37.5">
      <c r="A89" s="8" t="s">
        <v>282</v>
      </c>
      <c r="B89" s="9">
        <v>1400</v>
      </c>
      <c r="C89" s="169">
        <f>C64</f>
        <v>-1305</v>
      </c>
      <c r="D89" s="169">
        <f t="shared" ref="D89:I89" si="19">D64</f>
        <v>77</v>
      </c>
      <c r="E89" s="256">
        <f t="shared" si="19"/>
        <v>-1352</v>
      </c>
      <c r="F89" s="169">
        <f t="shared" si="19"/>
        <v>427</v>
      </c>
      <c r="G89" s="169">
        <f t="shared" si="19"/>
        <v>757</v>
      </c>
      <c r="H89" s="169">
        <f t="shared" si="19"/>
        <v>112.5</v>
      </c>
      <c r="I89" s="169">
        <f t="shared" si="19"/>
        <v>74</v>
      </c>
      <c r="J89" s="140"/>
    </row>
    <row r="90" spans="1:10">
      <c r="A90" s="8" t="s">
        <v>283</v>
      </c>
      <c r="B90" s="9">
        <v>1401</v>
      </c>
      <c r="C90" s="169">
        <f>C101</f>
        <v>260</v>
      </c>
      <c r="D90" s="169">
        <f t="shared" ref="D90:I90" si="20">D101</f>
        <v>268</v>
      </c>
      <c r="E90" s="256">
        <f t="shared" si="20"/>
        <v>268</v>
      </c>
      <c r="F90" s="169">
        <f t="shared" si="20"/>
        <v>36</v>
      </c>
      <c r="G90" s="169">
        <f t="shared" si="20"/>
        <v>175</v>
      </c>
      <c r="H90" s="169">
        <f t="shared" si="20"/>
        <v>254</v>
      </c>
      <c r="I90" s="169">
        <f t="shared" si="20"/>
        <v>293</v>
      </c>
      <c r="J90" s="140"/>
    </row>
    <row r="91" spans="1:10" ht="23.25" customHeight="1">
      <c r="A91" s="8" t="s">
        <v>284</v>
      </c>
      <c r="B91" s="9">
        <v>1402</v>
      </c>
      <c r="C91" s="169">
        <f>C23</f>
        <v>0</v>
      </c>
      <c r="D91" s="169">
        <f t="shared" ref="D91:I91" si="21">D23</f>
        <v>0</v>
      </c>
      <c r="E91" s="256">
        <f t="shared" si="21"/>
        <v>0</v>
      </c>
      <c r="F91" s="169">
        <f t="shared" si="21"/>
        <v>0</v>
      </c>
      <c r="G91" s="169">
        <f t="shared" si="21"/>
        <v>0</v>
      </c>
      <c r="H91" s="169">
        <f t="shared" si="21"/>
        <v>0</v>
      </c>
      <c r="I91" s="169">
        <f t="shared" si="21"/>
        <v>0</v>
      </c>
      <c r="J91" s="140"/>
    </row>
    <row r="92" spans="1:10" ht="21.75" customHeight="1">
      <c r="A92" s="8" t="s">
        <v>285</v>
      </c>
      <c r="B92" s="9">
        <v>1403</v>
      </c>
      <c r="C92" s="169">
        <f>C59</f>
        <v>0</v>
      </c>
      <c r="D92" s="169">
        <f t="shared" ref="D92:I92" si="22">D59</f>
        <v>0</v>
      </c>
      <c r="E92" s="256">
        <f t="shared" si="22"/>
        <v>0</v>
      </c>
      <c r="F92" s="169">
        <f t="shared" si="22"/>
        <v>0</v>
      </c>
      <c r="G92" s="169">
        <f t="shared" si="22"/>
        <v>0</v>
      </c>
      <c r="H92" s="169">
        <f t="shared" si="22"/>
        <v>0</v>
      </c>
      <c r="I92" s="169">
        <f t="shared" si="22"/>
        <v>0</v>
      </c>
      <c r="J92" s="140"/>
    </row>
    <row r="93" spans="1:10" ht="19.5" customHeight="1">
      <c r="A93" s="8" t="s">
        <v>348</v>
      </c>
      <c r="B93" s="9">
        <v>1404</v>
      </c>
      <c r="C93" s="168"/>
      <c r="D93" s="168"/>
      <c r="E93" s="226"/>
      <c r="F93" s="168"/>
      <c r="G93" s="168"/>
      <c r="H93" s="168"/>
      <c r="I93" s="168"/>
      <c r="J93" s="140"/>
    </row>
    <row r="94" spans="1:10" s="5" customFormat="1" ht="20.100000000000001" customHeight="1">
      <c r="A94" s="10" t="s">
        <v>156</v>
      </c>
      <c r="B94" s="73">
        <v>1410</v>
      </c>
      <c r="C94" s="170">
        <f>C89+C90-C91+C92</f>
        <v>-1045</v>
      </c>
      <c r="D94" s="170">
        <f t="shared" ref="D94:I94" si="23">D89+D90-D91+D92</f>
        <v>345</v>
      </c>
      <c r="E94" s="257">
        <f t="shared" si="23"/>
        <v>-1084</v>
      </c>
      <c r="F94" s="170">
        <f t="shared" si="23"/>
        <v>463</v>
      </c>
      <c r="G94" s="170">
        <f t="shared" si="23"/>
        <v>932</v>
      </c>
      <c r="H94" s="170">
        <f t="shared" si="23"/>
        <v>366.5</v>
      </c>
      <c r="I94" s="170">
        <f t="shared" si="23"/>
        <v>367</v>
      </c>
      <c r="J94" s="141"/>
    </row>
    <row r="95" spans="1:10" ht="20.100000000000001" customHeight="1">
      <c r="A95" s="352" t="s">
        <v>251</v>
      </c>
      <c r="B95" s="353"/>
      <c r="C95" s="353"/>
      <c r="D95" s="353"/>
      <c r="E95" s="353"/>
      <c r="F95" s="353"/>
      <c r="G95" s="353"/>
      <c r="H95" s="353"/>
      <c r="I95" s="353"/>
      <c r="J95" s="354"/>
    </row>
    <row r="96" spans="1:10" ht="20.100000000000001" customHeight="1">
      <c r="A96" s="8" t="s">
        <v>307</v>
      </c>
      <c r="B96" s="74">
        <v>1500</v>
      </c>
      <c r="C96" s="168">
        <f t="shared" ref="C96" si="24">C97+C98</f>
        <v>231</v>
      </c>
      <c r="D96" s="168">
        <v>1030</v>
      </c>
      <c r="E96" s="168">
        <f t="shared" ref="E96" si="25">E97+E98</f>
        <v>1030</v>
      </c>
      <c r="F96" s="168">
        <f t="shared" ref="F96:I96" si="26">F97+F98</f>
        <v>182</v>
      </c>
      <c r="G96" s="168">
        <f t="shared" si="26"/>
        <v>396</v>
      </c>
      <c r="H96" s="168">
        <f t="shared" si="26"/>
        <v>697</v>
      </c>
      <c r="I96" s="168">
        <f t="shared" si="26"/>
        <v>1087</v>
      </c>
      <c r="J96" s="140"/>
    </row>
    <row r="97" spans="1:14" ht="20.100000000000001" customHeight="1">
      <c r="A97" s="8" t="s">
        <v>305</v>
      </c>
      <c r="B97" s="7">
        <v>1501</v>
      </c>
      <c r="C97" s="168">
        <f t="shared" ref="C97:E97" si="27">C10</f>
        <v>0</v>
      </c>
      <c r="D97" s="168">
        <f t="shared" si="27"/>
        <v>0</v>
      </c>
      <c r="E97" s="168">
        <f t="shared" si="27"/>
        <v>0</v>
      </c>
      <c r="F97" s="168">
        <f t="shared" ref="F97:I97" si="28">F10</f>
        <v>0</v>
      </c>
      <c r="G97" s="168">
        <f t="shared" si="28"/>
        <v>0</v>
      </c>
      <c r="H97" s="168">
        <f t="shared" si="28"/>
        <v>0</v>
      </c>
      <c r="I97" s="168">
        <f t="shared" si="28"/>
        <v>0</v>
      </c>
      <c r="J97" s="140"/>
    </row>
    <row r="98" spans="1:14">
      <c r="A98" s="8" t="s">
        <v>28</v>
      </c>
      <c r="B98" s="7">
        <v>1502</v>
      </c>
      <c r="C98" s="168">
        <f>C11+C12+101</f>
        <v>231</v>
      </c>
      <c r="D98" s="168">
        <v>1030</v>
      </c>
      <c r="E98" s="226">
        <f>E11+E12+128</f>
        <v>1030</v>
      </c>
      <c r="F98" s="226">
        <f>F11+F12+27</f>
        <v>182</v>
      </c>
      <c r="G98" s="226">
        <f>G11+G12+52</f>
        <v>396</v>
      </c>
      <c r="H98" s="226">
        <f>H11+H12+97</f>
        <v>697</v>
      </c>
      <c r="I98" s="226">
        <f>I11+I12+159</f>
        <v>1087</v>
      </c>
      <c r="J98" s="272"/>
    </row>
    <row r="99" spans="1:14" ht="20.100000000000001" customHeight="1">
      <c r="A99" s="8" t="s">
        <v>5</v>
      </c>
      <c r="B99" s="74">
        <v>1510</v>
      </c>
      <c r="C99" s="168">
        <f t="shared" ref="C99" si="29">C13+C32+C51</f>
        <v>1104</v>
      </c>
      <c r="D99" s="168">
        <v>3832</v>
      </c>
      <c r="E99" s="226">
        <f>E13+E32</f>
        <v>3832</v>
      </c>
      <c r="F99" s="226">
        <f>F13+F32</f>
        <v>1138</v>
      </c>
      <c r="G99" s="226">
        <f>G13+G32</f>
        <v>2275</v>
      </c>
      <c r="H99" s="226">
        <f>H13+H32</f>
        <v>3413</v>
      </c>
      <c r="I99" s="226">
        <f>I13+I32</f>
        <v>4550</v>
      </c>
      <c r="J99" s="140"/>
      <c r="K99" s="308"/>
      <c r="L99" s="308"/>
      <c r="M99" s="308"/>
      <c r="N99" s="308"/>
    </row>
    <row r="100" spans="1:14" ht="20.100000000000001" customHeight="1">
      <c r="A100" s="8" t="s">
        <v>6</v>
      </c>
      <c r="B100" s="74">
        <v>1520</v>
      </c>
      <c r="C100" s="168">
        <f t="shared" ref="C100" si="30">C14+C33</f>
        <v>387</v>
      </c>
      <c r="D100" s="168">
        <v>834</v>
      </c>
      <c r="E100" s="226">
        <f>E14+E33</f>
        <v>834</v>
      </c>
      <c r="F100" s="226">
        <f>F14+F33</f>
        <v>238</v>
      </c>
      <c r="G100" s="226">
        <f t="shared" ref="G100:I100" si="31">G14+G33</f>
        <v>476</v>
      </c>
      <c r="H100" s="226">
        <f t="shared" si="31"/>
        <v>714</v>
      </c>
      <c r="I100" s="226">
        <f t="shared" si="31"/>
        <v>952</v>
      </c>
      <c r="J100" s="140"/>
      <c r="K100" s="308"/>
      <c r="L100" s="308"/>
      <c r="M100" s="308"/>
      <c r="N100" s="308"/>
    </row>
    <row r="101" spans="1:14">
      <c r="A101" s="8" t="s">
        <v>7</v>
      </c>
      <c r="B101" s="74">
        <v>1530</v>
      </c>
      <c r="C101" s="168">
        <f>C16+C34+C52+25</f>
        <v>260</v>
      </c>
      <c r="D101" s="168">
        <v>268</v>
      </c>
      <c r="E101" s="226">
        <f>E16+E34+E52+31</f>
        <v>268</v>
      </c>
      <c r="F101" s="226">
        <f>F16+F34+F52+7</f>
        <v>36</v>
      </c>
      <c r="G101" s="226">
        <f>G16+G34+G52+15</f>
        <v>175</v>
      </c>
      <c r="H101" s="226">
        <f>H16+H34+H52+22</f>
        <v>254</v>
      </c>
      <c r="I101" s="226">
        <f>I16+I34+I52+25</f>
        <v>293</v>
      </c>
      <c r="J101" s="272"/>
      <c r="K101" s="268"/>
      <c r="L101" s="268"/>
      <c r="M101" s="268"/>
      <c r="N101" s="268"/>
    </row>
    <row r="102" spans="1:14" ht="20.100000000000001" customHeight="1">
      <c r="A102" s="8" t="s">
        <v>29</v>
      </c>
      <c r="B102" s="74">
        <v>1540</v>
      </c>
      <c r="C102" s="168">
        <f>C15+C17+C25+C26+C27+C28+C29+C30+C31+C35+C36+C37+C38+C39+C40+C41+C42+C43+C44+C45+C46+C49+C50+C53+C54+C55+C67+C73-101-25</f>
        <v>4504</v>
      </c>
      <c r="D102" s="168">
        <v>403</v>
      </c>
      <c r="E102" s="226">
        <f>E87-E96-E99-E100-E101-E76</f>
        <v>2332</v>
      </c>
      <c r="F102" s="226">
        <f>F87-F96-F99-F100-F101-F76</f>
        <v>275</v>
      </c>
      <c r="G102" s="226">
        <f t="shared" ref="G102:I102" si="32">G87-G96-G99-G100-G101-G76</f>
        <v>2676</v>
      </c>
      <c r="H102" s="226">
        <f t="shared" si="32"/>
        <v>2770.5</v>
      </c>
      <c r="I102" s="226">
        <f t="shared" si="32"/>
        <v>2869</v>
      </c>
      <c r="J102" s="242"/>
    </row>
    <row r="103" spans="1:14" s="5" customFormat="1" ht="20.100000000000001" customHeight="1">
      <c r="A103" s="10" t="s">
        <v>60</v>
      </c>
      <c r="B103" s="73">
        <v>1550</v>
      </c>
      <c r="C103" s="170">
        <f t="shared" ref="C103:I103" si="33">SUM(C96,C99:C102)</f>
        <v>6486</v>
      </c>
      <c r="D103" s="170">
        <f t="shared" si="33"/>
        <v>6367</v>
      </c>
      <c r="E103" s="257">
        <f t="shared" si="33"/>
        <v>8296</v>
      </c>
      <c r="F103" s="170">
        <f t="shared" si="33"/>
        <v>1869</v>
      </c>
      <c r="G103" s="170">
        <f t="shared" si="33"/>
        <v>5998</v>
      </c>
      <c r="H103" s="170">
        <f t="shared" si="33"/>
        <v>7848.5</v>
      </c>
      <c r="I103" s="170">
        <f t="shared" si="33"/>
        <v>9751</v>
      </c>
      <c r="J103" s="141"/>
    </row>
    <row r="104" spans="1:14" s="5" customFormat="1" ht="20.100000000000001" customHeight="1">
      <c r="A104" s="131"/>
      <c r="B104" s="135"/>
      <c r="C104" s="136"/>
      <c r="D104" s="136"/>
      <c r="E104" s="247"/>
      <c r="F104" s="244"/>
      <c r="G104" s="244"/>
      <c r="H104" s="244"/>
      <c r="I104" s="244"/>
      <c r="J104" s="138"/>
    </row>
    <row r="105" spans="1:14" s="5" customFormat="1" ht="15.75" customHeight="1">
      <c r="A105" s="131"/>
      <c r="B105" s="135"/>
      <c r="C105" s="137"/>
      <c r="D105" s="137"/>
      <c r="E105" s="247"/>
      <c r="F105" s="244"/>
      <c r="G105" s="244"/>
      <c r="H105" s="244"/>
      <c r="I105" s="244"/>
      <c r="J105" s="138"/>
    </row>
    <row r="106" spans="1:14" ht="16.5" customHeight="1">
      <c r="A106" s="113"/>
      <c r="B106" s="109"/>
      <c r="C106" s="129"/>
      <c r="D106" s="130"/>
      <c r="E106" s="248"/>
      <c r="F106" s="244"/>
      <c r="G106" s="244"/>
      <c r="H106" s="244"/>
      <c r="I106" s="244"/>
      <c r="J106" s="108"/>
    </row>
    <row r="107" spans="1:14" s="216" customFormat="1" ht="16.5" customHeight="1">
      <c r="A107" s="213"/>
      <c r="B107" s="214"/>
      <c r="C107" s="215"/>
      <c r="D107" s="130"/>
      <c r="E107" s="249"/>
      <c r="F107" s="244"/>
      <c r="G107" s="244"/>
      <c r="H107" s="244"/>
      <c r="I107" s="244"/>
      <c r="J107" s="108"/>
    </row>
    <row r="108" spans="1:14" s="5" customFormat="1" ht="20.25" customHeight="1">
      <c r="A108" s="174" t="s">
        <v>404</v>
      </c>
      <c r="B108" s="147"/>
      <c r="C108" s="357" t="s">
        <v>405</v>
      </c>
      <c r="D108" s="358"/>
      <c r="E108" s="358"/>
      <c r="F108" s="179"/>
      <c r="G108" s="359" t="s">
        <v>403</v>
      </c>
      <c r="H108" s="359"/>
      <c r="I108" s="359"/>
      <c r="J108" s="138"/>
    </row>
    <row r="109" spans="1:14" s="1" customFormat="1" ht="20.100000000000001" customHeight="1">
      <c r="A109" s="95" t="s">
        <v>380</v>
      </c>
      <c r="B109" s="108"/>
      <c r="C109" s="349" t="s">
        <v>84</v>
      </c>
      <c r="D109" s="349"/>
      <c r="E109" s="349"/>
      <c r="F109" s="134"/>
      <c r="G109" s="350" t="s">
        <v>115</v>
      </c>
      <c r="H109" s="350"/>
      <c r="I109" s="350"/>
      <c r="J109" s="139"/>
    </row>
    <row r="110" spans="1:14" ht="20.100000000000001" customHeight="1">
      <c r="A110" s="221"/>
      <c r="B110" s="222"/>
      <c r="C110" s="223"/>
      <c r="D110" s="130"/>
      <c r="E110" s="250"/>
      <c r="F110" s="130"/>
      <c r="G110" s="130"/>
      <c r="H110" s="130"/>
      <c r="I110" s="130"/>
      <c r="J110" s="108"/>
    </row>
    <row r="111" spans="1:14">
      <c r="A111" s="221"/>
      <c r="B111" s="222"/>
      <c r="C111" s="223"/>
      <c r="D111" s="130"/>
      <c r="E111" s="250"/>
      <c r="F111" s="130"/>
      <c r="G111" s="130"/>
      <c r="H111" s="130"/>
      <c r="I111" s="130"/>
      <c r="J111" s="108"/>
    </row>
    <row r="112" spans="1:14">
      <c r="A112" s="221"/>
      <c r="B112" s="222"/>
      <c r="C112" s="223"/>
      <c r="D112" s="130"/>
      <c r="E112" s="250"/>
      <c r="F112" s="130"/>
      <c r="G112" s="130"/>
      <c r="H112" s="130"/>
      <c r="I112" s="266"/>
      <c r="J112" s="244"/>
    </row>
    <row r="113" spans="1:10">
      <c r="A113" s="221"/>
      <c r="B113" s="222"/>
      <c r="C113" s="223"/>
      <c r="D113" s="130"/>
      <c r="E113" s="250"/>
      <c r="F113" s="130"/>
      <c r="G113" s="130"/>
      <c r="H113" s="130"/>
      <c r="I113" s="266"/>
      <c r="J113" s="108"/>
    </row>
    <row r="114" spans="1:10">
      <c r="A114" s="221"/>
      <c r="B114" s="222"/>
      <c r="C114" s="223"/>
      <c r="D114" s="130"/>
      <c r="E114" s="250"/>
      <c r="F114" s="130"/>
      <c r="G114" s="258"/>
      <c r="H114" s="258"/>
      <c r="I114" s="266"/>
      <c r="J114" s="108"/>
    </row>
    <row r="115" spans="1:10">
      <c r="A115" s="221"/>
      <c r="B115" s="222"/>
      <c r="C115" s="223"/>
      <c r="D115" s="130"/>
      <c r="E115" s="250"/>
      <c r="F115" s="243"/>
      <c r="G115" s="267"/>
      <c r="H115" s="267"/>
      <c r="I115" s="267"/>
      <c r="J115" s="108"/>
    </row>
    <row r="116" spans="1:10">
      <c r="A116" s="221"/>
      <c r="B116" s="222"/>
      <c r="C116" s="223"/>
      <c r="D116" s="130"/>
      <c r="E116" s="248"/>
      <c r="F116" s="108"/>
      <c r="G116" s="108"/>
      <c r="H116" s="108"/>
      <c r="I116" s="108"/>
      <c r="J116" s="108"/>
    </row>
    <row r="117" spans="1:10">
      <c r="A117" s="221"/>
      <c r="B117" s="222"/>
      <c r="C117" s="223"/>
      <c r="D117" s="130"/>
      <c r="E117" s="248"/>
      <c r="F117" s="108"/>
      <c r="G117" s="108"/>
      <c r="H117" s="108"/>
      <c r="I117" s="108"/>
      <c r="J117" s="108"/>
    </row>
    <row r="118" spans="1:10">
      <c r="A118" s="221"/>
      <c r="B118" s="222"/>
      <c r="C118" s="223"/>
      <c r="D118" s="130"/>
      <c r="E118" s="248"/>
      <c r="F118" s="108"/>
      <c r="G118" s="108"/>
      <c r="H118" s="108"/>
      <c r="I118" s="108"/>
      <c r="J118" s="108"/>
    </row>
    <row r="119" spans="1:10">
      <c r="A119" s="221"/>
      <c r="B119" s="222"/>
      <c r="C119" s="223"/>
      <c r="D119" s="130"/>
      <c r="E119" s="251"/>
      <c r="F119" s="218"/>
      <c r="G119" s="218"/>
      <c r="H119" s="218"/>
      <c r="I119" s="218"/>
      <c r="J119" s="108"/>
    </row>
    <row r="120" spans="1:10">
      <c r="A120" s="221"/>
      <c r="B120" s="222"/>
      <c r="C120" s="223"/>
      <c r="D120" s="130"/>
      <c r="E120" s="251"/>
      <c r="F120" s="220"/>
      <c r="G120" s="220"/>
      <c r="H120" s="220"/>
      <c r="I120" s="220"/>
      <c r="J120" s="108"/>
    </row>
    <row r="121" spans="1:10">
      <c r="A121" s="221"/>
      <c r="B121" s="222"/>
      <c r="C121" s="223"/>
      <c r="D121" s="130"/>
      <c r="E121" s="252"/>
      <c r="F121" s="219"/>
      <c r="G121" s="219"/>
      <c r="H121" s="219"/>
      <c r="I121" s="219"/>
      <c r="J121" s="108"/>
    </row>
    <row r="122" spans="1:10">
      <c r="A122" s="221"/>
      <c r="B122" s="222"/>
      <c r="C122" s="223"/>
      <c r="D122" s="130"/>
      <c r="E122" s="252"/>
      <c r="F122" s="219"/>
      <c r="G122" s="219"/>
      <c r="H122" s="219"/>
      <c r="I122" s="219"/>
      <c r="J122" s="108"/>
    </row>
    <row r="123" spans="1:10">
      <c r="A123" s="221"/>
      <c r="B123" s="222"/>
      <c r="C123" s="223"/>
      <c r="D123" s="130"/>
      <c r="E123" s="250"/>
      <c r="F123" s="130"/>
      <c r="G123" s="130"/>
      <c r="H123" s="130"/>
      <c r="I123" s="130"/>
      <c r="J123" s="108"/>
    </row>
    <row r="124" spans="1:10">
      <c r="A124" s="221"/>
      <c r="B124" s="222"/>
      <c r="C124" s="223"/>
      <c r="D124" s="130"/>
      <c r="E124" s="250"/>
      <c r="F124" s="130"/>
      <c r="G124" s="130"/>
      <c r="H124" s="130"/>
      <c r="I124" s="130"/>
      <c r="J124" s="108"/>
    </row>
    <row r="125" spans="1:10">
      <c r="A125" s="221"/>
      <c r="B125" s="222"/>
      <c r="C125" s="223"/>
      <c r="D125" s="130"/>
      <c r="E125" s="250"/>
      <c r="F125" s="130"/>
      <c r="G125" s="130"/>
      <c r="H125" s="130"/>
      <c r="I125" s="130"/>
      <c r="J125" s="108"/>
    </row>
    <row r="126" spans="1:10">
      <c r="A126" s="221"/>
      <c r="B126" s="222"/>
      <c r="C126" s="223"/>
      <c r="D126" s="130"/>
      <c r="E126" s="250"/>
      <c r="F126" s="130"/>
      <c r="G126" s="130"/>
      <c r="H126" s="130"/>
      <c r="I126" s="130"/>
      <c r="J126" s="108"/>
    </row>
    <row r="127" spans="1:10">
      <c r="A127" s="27"/>
      <c r="C127" s="32"/>
      <c r="D127" s="28"/>
      <c r="E127" s="253"/>
      <c r="F127" s="28"/>
      <c r="G127" s="28"/>
      <c r="H127" s="28"/>
      <c r="I127" s="28"/>
    </row>
    <row r="128" spans="1:10">
      <c r="A128" s="27"/>
      <c r="C128" s="32"/>
      <c r="D128" s="28"/>
      <c r="E128" s="253"/>
      <c r="F128" s="28"/>
      <c r="G128" s="28"/>
      <c r="H128" s="28"/>
      <c r="I128" s="28"/>
    </row>
    <row r="129" spans="1:9">
      <c r="A129" s="27"/>
      <c r="C129" s="32"/>
      <c r="D129" s="28"/>
      <c r="E129" s="253"/>
      <c r="F129" s="28"/>
      <c r="G129" s="28"/>
      <c r="H129" s="28"/>
      <c r="I129" s="28"/>
    </row>
    <row r="130" spans="1:9">
      <c r="A130" s="27"/>
      <c r="C130" s="32"/>
      <c r="D130" s="28"/>
      <c r="E130" s="253"/>
      <c r="F130" s="28"/>
      <c r="G130" s="28"/>
      <c r="H130" s="28"/>
      <c r="I130" s="28"/>
    </row>
    <row r="131" spans="1:9">
      <c r="A131" s="27"/>
      <c r="C131" s="32"/>
      <c r="D131" s="28"/>
      <c r="E131" s="253"/>
      <c r="F131" s="28"/>
      <c r="G131" s="28"/>
      <c r="H131" s="28"/>
      <c r="I131" s="28"/>
    </row>
    <row r="132" spans="1:9">
      <c r="A132" s="27"/>
      <c r="C132" s="32"/>
      <c r="D132" s="28"/>
      <c r="E132" s="253"/>
      <c r="F132" s="28"/>
      <c r="G132" s="28"/>
      <c r="H132" s="28"/>
      <c r="I132" s="28"/>
    </row>
    <row r="133" spans="1:9">
      <c r="A133" s="27"/>
      <c r="C133" s="32"/>
      <c r="D133" s="28"/>
      <c r="E133" s="253"/>
      <c r="F133" s="28"/>
      <c r="G133" s="28"/>
      <c r="H133" s="28"/>
      <c r="I133" s="28"/>
    </row>
    <row r="134" spans="1:9">
      <c r="A134" s="27"/>
      <c r="C134" s="32"/>
      <c r="D134" s="28"/>
      <c r="E134" s="253"/>
      <c r="F134" s="28"/>
      <c r="G134" s="28"/>
      <c r="H134" s="28"/>
      <c r="I134" s="28"/>
    </row>
    <row r="135" spans="1:9">
      <c r="A135" s="27"/>
      <c r="C135" s="32"/>
      <c r="D135" s="28"/>
      <c r="E135" s="253"/>
      <c r="F135" s="28"/>
      <c r="G135" s="28"/>
      <c r="H135" s="28"/>
      <c r="I135" s="28"/>
    </row>
    <row r="136" spans="1:9">
      <c r="A136" s="27"/>
      <c r="C136" s="32"/>
      <c r="D136" s="28"/>
      <c r="E136" s="253"/>
      <c r="F136" s="28"/>
      <c r="G136" s="28"/>
      <c r="H136" s="28"/>
      <c r="I136" s="28"/>
    </row>
    <row r="137" spans="1:9">
      <c r="A137" s="27"/>
      <c r="C137" s="32"/>
      <c r="D137" s="28"/>
      <c r="E137" s="253"/>
      <c r="F137" s="28"/>
      <c r="G137" s="28"/>
      <c r="H137" s="28"/>
      <c r="I137" s="28"/>
    </row>
    <row r="138" spans="1:9">
      <c r="A138" s="27"/>
      <c r="C138" s="32"/>
      <c r="D138" s="28"/>
      <c r="E138" s="253"/>
      <c r="F138" s="28"/>
      <c r="G138" s="28"/>
      <c r="H138" s="28"/>
      <c r="I138" s="28"/>
    </row>
    <row r="139" spans="1:9">
      <c r="A139" s="27"/>
      <c r="C139" s="32"/>
      <c r="D139" s="28"/>
      <c r="E139" s="253"/>
      <c r="F139" s="28"/>
      <c r="G139" s="28"/>
      <c r="H139" s="28"/>
      <c r="I139" s="28"/>
    </row>
    <row r="140" spans="1:9">
      <c r="A140" s="27"/>
      <c r="C140" s="32"/>
      <c r="D140" s="28"/>
      <c r="E140" s="253"/>
      <c r="F140" s="28"/>
      <c r="G140" s="28"/>
      <c r="H140" s="28"/>
      <c r="I140" s="28"/>
    </row>
    <row r="141" spans="1:9">
      <c r="A141" s="27"/>
      <c r="C141" s="32"/>
      <c r="D141" s="28"/>
      <c r="E141" s="253"/>
      <c r="F141" s="28"/>
      <c r="G141" s="28"/>
      <c r="H141" s="28"/>
      <c r="I141" s="28"/>
    </row>
    <row r="142" spans="1:9">
      <c r="A142" s="27"/>
      <c r="C142" s="32"/>
      <c r="D142" s="28"/>
      <c r="E142" s="253"/>
      <c r="F142" s="28"/>
      <c r="G142" s="28"/>
      <c r="H142" s="28"/>
      <c r="I142" s="28"/>
    </row>
    <row r="143" spans="1:9">
      <c r="A143" s="27"/>
      <c r="C143" s="32"/>
      <c r="D143" s="28"/>
      <c r="E143" s="253"/>
      <c r="F143" s="28"/>
      <c r="G143" s="28"/>
      <c r="H143" s="28"/>
      <c r="I143" s="28"/>
    </row>
    <row r="144" spans="1:9">
      <c r="A144" s="27"/>
      <c r="C144" s="32"/>
      <c r="D144" s="28"/>
      <c r="E144" s="253"/>
      <c r="F144" s="28"/>
      <c r="G144" s="28"/>
      <c r="H144" s="28"/>
      <c r="I144" s="28"/>
    </row>
    <row r="145" spans="1:9">
      <c r="A145" s="27"/>
      <c r="C145" s="32"/>
      <c r="D145" s="28"/>
      <c r="E145" s="253"/>
      <c r="F145" s="28"/>
      <c r="G145" s="28"/>
      <c r="H145" s="28"/>
      <c r="I145" s="28"/>
    </row>
    <row r="146" spans="1:9">
      <c r="A146" s="27"/>
      <c r="C146" s="32"/>
      <c r="D146" s="28"/>
      <c r="E146" s="253"/>
      <c r="F146" s="28"/>
      <c r="G146" s="28"/>
      <c r="H146" s="28"/>
      <c r="I146" s="28"/>
    </row>
    <row r="147" spans="1:9">
      <c r="A147" s="27"/>
      <c r="C147" s="32"/>
      <c r="D147" s="28"/>
      <c r="E147" s="253"/>
      <c r="F147" s="28"/>
      <c r="G147" s="28"/>
      <c r="H147" s="28"/>
      <c r="I147" s="28"/>
    </row>
    <row r="148" spans="1:9">
      <c r="A148" s="27"/>
      <c r="C148" s="32"/>
      <c r="D148" s="28"/>
      <c r="E148" s="253"/>
      <c r="F148" s="28"/>
      <c r="G148" s="28"/>
      <c r="H148" s="28"/>
      <c r="I148" s="28"/>
    </row>
    <row r="149" spans="1:9">
      <c r="A149" s="27"/>
      <c r="C149" s="32"/>
      <c r="D149" s="28"/>
      <c r="E149" s="253"/>
      <c r="F149" s="28"/>
      <c r="G149" s="28"/>
      <c r="H149" s="28"/>
      <c r="I149" s="28"/>
    </row>
    <row r="150" spans="1:9">
      <c r="A150" s="27"/>
      <c r="C150" s="32"/>
      <c r="D150" s="28"/>
      <c r="E150" s="253"/>
      <c r="F150" s="28"/>
      <c r="G150" s="28"/>
      <c r="H150" s="28"/>
      <c r="I150" s="28"/>
    </row>
    <row r="151" spans="1:9">
      <c r="A151" s="27"/>
      <c r="C151" s="32"/>
      <c r="D151" s="28"/>
      <c r="E151" s="253"/>
      <c r="F151" s="28"/>
      <c r="G151" s="28"/>
      <c r="H151" s="28"/>
      <c r="I151" s="28"/>
    </row>
    <row r="152" spans="1:9">
      <c r="A152" s="27"/>
      <c r="C152" s="32"/>
      <c r="D152" s="28"/>
      <c r="E152" s="253"/>
      <c r="F152" s="28"/>
      <c r="G152" s="28"/>
      <c r="H152" s="28"/>
      <c r="I152" s="28"/>
    </row>
    <row r="153" spans="1:9">
      <c r="A153" s="27"/>
      <c r="C153" s="32"/>
      <c r="D153" s="28"/>
      <c r="E153" s="253"/>
      <c r="F153" s="28"/>
      <c r="G153" s="28"/>
      <c r="H153" s="28"/>
      <c r="I153" s="28"/>
    </row>
    <row r="154" spans="1:9">
      <c r="A154" s="27"/>
      <c r="C154" s="32"/>
      <c r="D154" s="28"/>
      <c r="E154" s="253"/>
      <c r="F154" s="28"/>
      <c r="G154" s="28"/>
      <c r="H154" s="28"/>
      <c r="I154" s="28"/>
    </row>
    <row r="155" spans="1:9">
      <c r="A155" s="27"/>
      <c r="C155" s="32"/>
      <c r="D155" s="28"/>
      <c r="E155" s="253"/>
      <c r="F155" s="28"/>
      <c r="G155" s="28"/>
      <c r="H155" s="28"/>
      <c r="I155" s="28"/>
    </row>
    <row r="156" spans="1:9">
      <c r="A156" s="27"/>
      <c r="C156" s="32"/>
      <c r="D156" s="28"/>
      <c r="E156" s="253"/>
      <c r="F156" s="28"/>
      <c r="G156" s="28"/>
      <c r="H156" s="28"/>
      <c r="I156" s="28"/>
    </row>
    <row r="157" spans="1:9">
      <c r="A157" s="27"/>
      <c r="C157" s="32"/>
      <c r="D157" s="28"/>
      <c r="E157" s="253"/>
      <c r="F157" s="28"/>
      <c r="G157" s="28"/>
      <c r="H157" s="28"/>
      <c r="I157" s="28"/>
    </row>
    <row r="158" spans="1:9">
      <c r="A158" s="27"/>
      <c r="C158" s="32"/>
      <c r="D158" s="28"/>
      <c r="E158" s="253"/>
      <c r="F158" s="28"/>
      <c r="G158" s="28"/>
      <c r="H158" s="28"/>
      <c r="I158" s="28"/>
    </row>
    <row r="159" spans="1:9">
      <c r="A159" s="27"/>
      <c r="C159" s="32"/>
      <c r="D159" s="28"/>
      <c r="E159" s="253"/>
      <c r="F159" s="28"/>
      <c r="G159" s="28"/>
      <c r="H159" s="28"/>
      <c r="I159" s="28"/>
    </row>
    <row r="160" spans="1:9">
      <c r="A160" s="27"/>
      <c r="C160" s="32"/>
      <c r="D160" s="28"/>
      <c r="E160" s="253"/>
      <c r="F160" s="28"/>
      <c r="G160" s="28"/>
      <c r="H160" s="28"/>
      <c r="I160" s="28"/>
    </row>
    <row r="161" spans="1:9">
      <c r="A161" s="27"/>
      <c r="C161" s="32"/>
      <c r="D161" s="28"/>
      <c r="E161" s="253"/>
      <c r="F161" s="28"/>
      <c r="G161" s="28"/>
      <c r="H161" s="28"/>
      <c r="I161" s="28"/>
    </row>
    <row r="162" spans="1:9">
      <c r="A162" s="27"/>
      <c r="C162" s="32"/>
      <c r="D162" s="28"/>
      <c r="E162" s="253"/>
      <c r="F162" s="28"/>
      <c r="G162" s="28"/>
      <c r="H162" s="28"/>
      <c r="I162" s="28"/>
    </row>
    <row r="163" spans="1:9">
      <c r="A163" s="27"/>
      <c r="C163" s="32"/>
      <c r="D163" s="28"/>
      <c r="E163" s="253"/>
      <c r="F163" s="28"/>
      <c r="G163" s="28"/>
      <c r="H163" s="28"/>
      <c r="I163" s="28"/>
    </row>
    <row r="164" spans="1:9">
      <c r="A164" s="27"/>
      <c r="C164" s="32"/>
      <c r="D164" s="28"/>
      <c r="E164" s="253"/>
      <c r="F164" s="28"/>
      <c r="G164" s="28"/>
      <c r="H164" s="28"/>
      <c r="I164" s="28"/>
    </row>
    <row r="165" spans="1:9">
      <c r="A165" s="27"/>
      <c r="C165" s="32"/>
      <c r="D165" s="28"/>
      <c r="E165" s="253"/>
      <c r="F165" s="28"/>
      <c r="G165" s="28"/>
      <c r="H165" s="28"/>
      <c r="I165" s="28"/>
    </row>
    <row r="166" spans="1:9">
      <c r="A166" s="27"/>
      <c r="C166" s="32"/>
      <c r="D166" s="28"/>
      <c r="E166" s="253"/>
      <c r="F166" s="28"/>
      <c r="G166" s="28"/>
      <c r="H166" s="28"/>
      <c r="I166" s="28"/>
    </row>
    <row r="167" spans="1:9">
      <c r="A167" s="27"/>
      <c r="C167" s="32"/>
      <c r="D167" s="28"/>
      <c r="E167" s="253"/>
      <c r="F167" s="28"/>
      <c r="G167" s="28"/>
      <c r="H167" s="28"/>
      <c r="I167" s="28"/>
    </row>
    <row r="168" spans="1:9">
      <c r="A168" s="50"/>
    </row>
    <row r="169" spans="1:9">
      <c r="A169" s="50"/>
    </row>
    <row r="170" spans="1:9">
      <c r="A170" s="50"/>
    </row>
    <row r="171" spans="1:9">
      <c r="A171" s="50"/>
    </row>
    <row r="172" spans="1:9">
      <c r="A172" s="50"/>
    </row>
    <row r="173" spans="1:9">
      <c r="A173" s="50"/>
    </row>
    <row r="174" spans="1:9">
      <c r="A174" s="50"/>
    </row>
    <row r="175" spans="1:9">
      <c r="A175" s="50"/>
    </row>
    <row r="176" spans="1:9">
      <c r="A176" s="50"/>
    </row>
    <row r="177" spans="1:5">
      <c r="A177" s="50"/>
    </row>
    <row r="178" spans="1:5">
      <c r="A178" s="50"/>
      <c r="B178" s="2"/>
      <c r="C178" s="2"/>
      <c r="D178" s="2"/>
      <c r="E178" s="255"/>
    </row>
    <row r="179" spans="1:5">
      <c r="A179" s="50"/>
      <c r="B179" s="2"/>
      <c r="C179" s="2"/>
      <c r="D179" s="2"/>
      <c r="E179" s="255"/>
    </row>
    <row r="180" spans="1:5">
      <c r="A180" s="50"/>
      <c r="B180" s="2"/>
      <c r="C180" s="2"/>
      <c r="D180" s="2"/>
      <c r="E180" s="255"/>
    </row>
    <row r="181" spans="1:5">
      <c r="A181" s="50"/>
      <c r="B181" s="2"/>
      <c r="C181" s="2"/>
      <c r="D181" s="2"/>
      <c r="E181" s="255"/>
    </row>
    <row r="182" spans="1:5">
      <c r="A182" s="50"/>
      <c r="B182" s="2"/>
      <c r="C182" s="2"/>
      <c r="D182" s="2"/>
      <c r="E182" s="255"/>
    </row>
    <row r="183" spans="1:5">
      <c r="A183" s="50"/>
      <c r="B183" s="2"/>
      <c r="C183" s="2"/>
      <c r="D183" s="2"/>
      <c r="E183" s="255"/>
    </row>
    <row r="184" spans="1:5">
      <c r="A184" s="50"/>
      <c r="B184" s="2"/>
      <c r="C184" s="2"/>
      <c r="D184" s="2"/>
      <c r="E184" s="255"/>
    </row>
    <row r="185" spans="1:5">
      <c r="A185" s="50"/>
      <c r="B185" s="2"/>
      <c r="C185" s="2"/>
      <c r="D185" s="2"/>
      <c r="E185" s="255"/>
    </row>
    <row r="186" spans="1:5">
      <c r="A186" s="50"/>
      <c r="B186" s="2"/>
      <c r="C186" s="2"/>
      <c r="D186" s="2"/>
      <c r="E186" s="255"/>
    </row>
    <row r="187" spans="1:5">
      <c r="A187" s="50"/>
      <c r="B187" s="2"/>
      <c r="C187" s="2"/>
      <c r="D187" s="2"/>
      <c r="E187" s="255"/>
    </row>
    <row r="188" spans="1:5">
      <c r="A188" s="50"/>
      <c r="B188" s="2"/>
      <c r="C188" s="2"/>
      <c r="D188" s="2"/>
      <c r="E188" s="255"/>
    </row>
    <row r="189" spans="1:5">
      <c r="A189" s="50"/>
      <c r="B189" s="2"/>
      <c r="C189" s="2"/>
      <c r="D189" s="2"/>
      <c r="E189" s="255"/>
    </row>
    <row r="190" spans="1:5">
      <c r="A190" s="50"/>
      <c r="B190" s="2"/>
      <c r="C190" s="2"/>
      <c r="D190" s="2"/>
      <c r="E190" s="255"/>
    </row>
    <row r="191" spans="1:5">
      <c r="A191" s="50"/>
      <c r="B191" s="2"/>
      <c r="C191" s="2"/>
      <c r="D191" s="2"/>
      <c r="E191" s="255"/>
    </row>
    <row r="192" spans="1:5">
      <c r="A192" s="50"/>
      <c r="B192" s="2"/>
      <c r="C192" s="2"/>
      <c r="D192" s="2"/>
      <c r="E192" s="255"/>
    </row>
    <row r="193" spans="1:5">
      <c r="A193" s="50"/>
      <c r="B193" s="2"/>
      <c r="C193" s="2"/>
      <c r="D193" s="2"/>
      <c r="E193" s="255"/>
    </row>
    <row r="194" spans="1:5">
      <c r="A194" s="50"/>
      <c r="B194" s="2"/>
      <c r="C194" s="2"/>
      <c r="D194" s="2"/>
      <c r="E194" s="255"/>
    </row>
    <row r="195" spans="1:5">
      <c r="A195" s="50"/>
      <c r="B195" s="2"/>
      <c r="C195" s="2"/>
      <c r="D195" s="2"/>
      <c r="E195" s="255"/>
    </row>
    <row r="196" spans="1:5">
      <c r="A196" s="50"/>
      <c r="B196" s="2"/>
      <c r="C196" s="2"/>
      <c r="D196" s="2"/>
      <c r="E196" s="255"/>
    </row>
    <row r="197" spans="1:5">
      <c r="A197" s="50"/>
      <c r="B197" s="2"/>
      <c r="C197" s="2"/>
      <c r="D197" s="2"/>
      <c r="E197" s="255"/>
    </row>
    <row r="198" spans="1:5">
      <c r="A198" s="50"/>
      <c r="B198" s="2"/>
      <c r="C198" s="2"/>
      <c r="D198" s="2"/>
      <c r="E198" s="255"/>
    </row>
    <row r="199" spans="1:5">
      <c r="A199" s="50"/>
      <c r="B199" s="2"/>
      <c r="C199" s="2"/>
      <c r="D199" s="2"/>
      <c r="E199" s="255"/>
    </row>
    <row r="200" spans="1:5">
      <c r="A200" s="50"/>
      <c r="B200" s="2"/>
      <c r="C200" s="2"/>
      <c r="D200" s="2"/>
      <c r="E200" s="255"/>
    </row>
    <row r="201" spans="1:5">
      <c r="A201" s="50"/>
      <c r="B201" s="2"/>
      <c r="C201" s="2"/>
      <c r="D201" s="2"/>
      <c r="E201" s="255"/>
    </row>
    <row r="202" spans="1:5">
      <c r="A202" s="50"/>
      <c r="B202" s="2"/>
      <c r="C202" s="2"/>
      <c r="D202" s="2"/>
      <c r="E202" s="255"/>
    </row>
    <row r="203" spans="1:5">
      <c r="A203" s="50"/>
      <c r="B203" s="2"/>
      <c r="C203" s="2"/>
      <c r="D203" s="2"/>
      <c r="E203" s="255"/>
    </row>
    <row r="204" spans="1:5">
      <c r="A204" s="50"/>
      <c r="B204" s="2"/>
      <c r="C204" s="2"/>
      <c r="D204" s="2"/>
      <c r="E204" s="255"/>
    </row>
    <row r="205" spans="1:5">
      <c r="A205" s="50"/>
      <c r="B205" s="2"/>
      <c r="C205" s="2"/>
      <c r="D205" s="2"/>
      <c r="E205" s="255"/>
    </row>
    <row r="206" spans="1:5">
      <c r="A206" s="50"/>
      <c r="B206" s="2"/>
      <c r="C206" s="2"/>
      <c r="D206" s="2"/>
      <c r="E206" s="255"/>
    </row>
    <row r="207" spans="1:5">
      <c r="A207" s="50"/>
      <c r="B207" s="2"/>
      <c r="C207" s="2"/>
      <c r="D207" s="2"/>
      <c r="E207" s="255"/>
    </row>
    <row r="208" spans="1:5">
      <c r="A208" s="50"/>
      <c r="B208" s="2"/>
      <c r="C208" s="2"/>
      <c r="D208" s="2"/>
      <c r="E208" s="255"/>
    </row>
    <row r="209" spans="1:5">
      <c r="A209" s="50"/>
      <c r="B209" s="2"/>
      <c r="C209" s="2"/>
      <c r="D209" s="2"/>
      <c r="E209" s="255"/>
    </row>
    <row r="210" spans="1:5">
      <c r="A210" s="50"/>
      <c r="B210" s="2"/>
      <c r="C210" s="2"/>
      <c r="D210" s="2"/>
      <c r="E210" s="255"/>
    </row>
    <row r="211" spans="1:5">
      <c r="A211" s="50"/>
      <c r="B211" s="2"/>
      <c r="C211" s="2"/>
      <c r="D211" s="2"/>
      <c r="E211" s="255"/>
    </row>
    <row r="212" spans="1:5">
      <c r="A212" s="50"/>
      <c r="B212" s="2"/>
      <c r="C212" s="2"/>
      <c r="D212" s="2"/>
      <c r="E212" s="255"/>
    </row>
    <row r="213" spans="1:5">
      <c r="A213" s="50"/>
      <c r="B213" s="2"/>
      <c r="C213" s="2"/>
      <c r="D213" s="2"/>
      <c r="E213" s="255"/>
    </row>
    <row r="214" spans="1:5">
      <c r="A214" s="50"/>
      <c r="B214" s="2"/>
      <c r="C214" s="2"/>
      <c r="D214" s="2"/>
      <c r="E214" s="255"/>
    </row>
    <row r="215" spans="1:5">
      <c r="A215" s="50"/>
      <c r="B215" s="2"/>
      <c r="C215" s="2"/>
      <c r="D215" s="2"/>
      <c r="E215" s="255"/>
    </row>
    <row r="216" spans="1:5">
      <c r="A216" s="50"/>
      <c r="B216" s="2"/>
      <c r="C216" s="2"/>
      <c r="D216" s="2"/>
      <c r="E216" s="255"/>
    </row>
    <row r="217" spans="1:5">
      <c r="A217" s="50"/>
      <c r="B217" s="2"/>
      <c r="C217" s="2"/>
      <c r="D217" s="2"/>
      <c r="E217" s="255"/>
    </row>
    <row r="218" spans="1:5">
      <c r="A218" s="50"/>
      <c r="B218" s="2"/>
      <c r="C218" s="2"/>
      <c r="D218" s="2"/>
      <c r="E218" s="255"/>
    </row>
    <row r="219" spans="1:5">
      <c r="A219" s="50"/>
      <c r="B219" s="2"/>
      <c r="C219" s="2"/>
      <c r="D219" s="2"/>
      <c r="E219" s="255"/>
    </row>
    <row r="220" spans="1:5">
      <c r="A220" s="50"/>
      <c r="B220" s="2"/>
      <c r="C220" s="2"/>
      <c r="D220" s="2"/>
      <c r="E220" s="255"/>
    </row>
    <row r="221" spans="1:5">
      <c r="A221" s="50"/>
      <c r="B221" s="2"/>
      <c r="C221" s="2"/>
      <c r="D221" s="2"/>
      <c r="E221" s="255"/>
    </row>
    <row r="222" spans="1:5">
      <c r="A222" s="50"/>
      <c r="B222" s="2"/>
      <c r="C222" s="2"/>
      <c r="D222" s="2"/>
      <c r="E222" s="255"/>
    </row>
    <row r="223" spans="1:5">
      <c r="A223" s="50"/>
      <c r="B223" s="2"/>
      <c r="C223" s="2"/>
      <c r="D223" s="2"/>
      <c r="E223" s="255"/>
    </row>
    <row r="224" spans="1:5">
      <c r="A224" s="50"/>
      <c r="B224" s="2"/>
      <c r="C224" s="2"/>
      <c r="D224" s="2"/>
      <c r="E224" s="255"/>
    </row>
    <row r="225" spans="1:5">
      <c r="A225" s="50"/>
      <c r="B225" s="2"/>
      <c r="C225" s="2"/>
      <c r="D225" s="2"/>
      <c r="E225" s="255"/>
    </row>
    <row r="226" spans="1:5">
      <c r="A226" s="50"/>
      <c r="B226" s="2"/>
      <c r="C226" s="2"/>
      <c r="D226" s="2"/>
      <c r="E226" s="255"/>
    </row>
    <row r="227" spans="1:5">
      <c r="A227" s="50"/>
      <c r="B227" s="2"/>
      <c r="C227" s="2"/>
      <c r="D227" s="2"/>
      <c r="E227" s="255"/>
    </row>
    <row r="228" spans="1:5">
      <c r="A228" s="50"/>
      <c r="B228" s="2"/>
      <c r="C228" s="2"/>
      <c r="D228" s="2"/>
      <c r="E228" s="255"/>
    </row>
    <row r="229" spans="1:5">
      <c r="A229" s="50"/>
      <c r="B229" s="2"/>
      <c r="C229" s="2"/>
      <c r="D229" s="2"/>
      <c r="E229" s="255"/>
    </row>
    <row r="230" spans="1:5">
      <c r="A230" s="50"/>
      <c r="B230" s="2"/>
      <c r="C230" s="2"/>
      <c r="D230" s="2"/>
      <c r="E230" s="255"/>
    </row>
    <row r="231" spans="1:5">
      <c r="A231" s="50"/>
      <c r="B231" s="2"/>
      <c r="C231" s="2"/>
      <c r="D231" s="2"/>
      <c r="E231" s="255"/>
    </row>
    <row r="232" spans="1:5">
      <c r="A232" s="50"/>
      <c r="B232" s="2"/>
      <c r="C232" s="2"/>
      <c r="D232" s="2"/>
      <c r="E232" s="255"/>
    </row>
    <row r="233" spans="1:5">
      <c r="A233" s="50"/>
      <c r="B233" s="2"/>
      <c r="C233" s="2"/>
      <c r="D233" s="2"/>
      <c r="E233" s="255"/>
    </row>
    <row r="234" spans="1:5">
      <c r="A234" s="50"/>
      <c r="B234" s="2"/>
      <c r="C234" s="2"/>
      <c r="D234" s="2"/>
      <c r="E234" s="255"/>
    </row>
    <row r="235" spans="1:5">
      <c r="A235" s="50"/>
      <c r="B235" s="2"/>
      <c r="C235" s="2"/>
      <c r="D235" s="2"/>
      <c r="E235" s="255"/>
    </row>
    <row r="236" spans="1:5">
      <c r="A236" s="50"/>
      <c r="B236" s="2"/>
      <c r="C236" s="2"/>
      <c r="D236" s="2"/>
      <c r="E236" s="255"/>
    </row>
    <row r="237" spans="1:5">
      <c r="A237" s="50"/>
      <c r="B237" s="2"/>
      <c r="C237" s="2"/>
      <c r="D237" s="2"/>
      <c r="E237" s="255"/>
    </row>
    <row r="238" spans="1:5">
      <c r="A238" s="50"/>
      <c r="B238" s="2"/>
      <c r="C238" s="2"/>
      <c r="D238" s="2"/>
      <c r="E238" s="255"/>
    </row>
    <row r="239" spans="1:5">
      <c r="A239" s="50"/>
      <c r="B239" s="2"/>
      <c r="C239" s="2"/>
      <c r="D239" s="2"/>
      <c r="E239" s="255"/>
    </row>
    <row r="240" spans="1:5">
      <c r="A240" s="50"/>
      <c r="B240" s="2"/>
      <c r="C240" s="2"/>
      <c r="D240" s="2"/>
      <c r="E240" s="255"/>
    </row>
    <row r="241" spans="1:5">
      <c r="A241" s="50"/>
      <c r="B241" s="2"/>
      <c r="C241" s="2"/>
      <c r="D241" s="2"/>
      <c r="E241" s="255"/>
    </row>
    <row r="242" spans="1:5">
      <c r="A242" s="50"/>
      <c r="B242" s="2"/>
      <c r="C242" s="2"/>
      <c r="D242" s="2"/>
      <c r="E242" s="255"/>
    </row>
    <row r="243" spans="1:5">
      <c r="A243" s="50"/>
      <c r="B243" s="2"/>
      <c r="C243" s="2"/>
      <c r="D243" s="2"/>
      <c r="E243" s="255"/>
    </row>
    <row r="244" spans="1:5">
      <c r="A244" s="50"/>
      <c r="B244" s="2"/>
      <c r="C244" s="2"/>
      <c r="D244" s="2"/>
      <c r="E244" s="255"/>
    </row>
    <row r="245" spans="1:5">
      <c r="A245" s="50"/>
      <c r="B245" s="2"/>
      <c r="C245" s="2"/>
      <c r="D245" s="2"/>
      <c r="E245" s="255"/>
    </row>
    <row r="246" spans="1:5">
      <c r="A246" s="50"/>
      <c r="B246" s="2"/>
      <c r="C246" s="2"/>
      <c r="D246" s="2"/>
      <c r="E246" s="255"/>
    </row>
    <row r="247" spans="1:5">
      <c r="A247" s="50"/>
      <c r="B247" s="2"/>
      <c r="C247" s="2"/>
      <c r="D247" s="2"/>
      <c r="E247" s="255"/>
    </row>
    <row r="248" spans="1:5">
      <c r="A248" s="50"/>
      <c r="B248" s="2"/>
      <c r="C248" s="2"/>
      <c r="D248" s="2"/>
      <c r="E248" s="255"/>
    </row>
    <row r="249" spans="1:5">
      <c r="A249" s="50"/>
      <c r="B249" s="2"/>
      <c r="C249" s="2"/>
      <c r="D249" s="2"/>
      <c r="E249" s="255"/>
    </row>
    <row r="250" spans="1:5">
      <c r="A250" s="50"/>
      <c r="B250" s="2"/>
      <c r="C250" s="2"/>
      <c r="D250" s="2"/>
      <c r="E250" s="255"/>
    </row>
    <row r="251" spans="1:5">
      <c r="A251" s="50"/>
      <c r="B251" s="2"/>
      <c r="C251" s="2"/>
      <c r="D251" s="2"/>
      <c r="E251" s="255"/>
    </row>
    <row r="252" spans="1:5">
      <c r="A252" s="50"/>
      <c r="B252" s="2"/>
      <c r="C252" s="2"/>
      <c r="D252" s="2"/>
      <c r="E252" s="255"/>
    </row>
    <row r="253" spans="1:5">
      <c r="A253" s="50"/>
      <c r="B253" s="2"/>
      <c r="C253" s="2"/>
      <c r="D253" s="2"/>
      <c r="E253" s="255"/>
    </row>
    <row r="254" spans="1:5">
      <c r="A254" s="50"/>
      <c r="B254" s="2"/>
      <c r="C254" s="2"/>
      <c r="D254" s="2"/>
      <c r="E254" s="255"/>
    </row>
    <row r="255" spans="1:5">
      <c r="A255" s="50"/>
      <c r="B255" s="2"/>
      <c r="C255" s="2"/>
      <c r="D255" s="2"/>
      <c r="E255" s="255"/>
    </row>
    <row r="256" spans="1:5">
      <c r="A256" s="50"/>
      <c r="B256" s="2"/>
      <c r="C256" s="2"/>
      <c r="D256" s="2"/>
      <c r="E256" s="255"/>
    </row>
    <row r="257" spans="1:5">
      <c r="A257" s="50"/>
      <c r="B257" s="2"/>
      <c r="C257" s="2"/>
      <c r="D257" s="2"/>
      <c r="E257" s="255"/>
    </row>
    <row r="258" spans="1:5">
      <c r="A258" s="50"/>
      <c r="B258" s="2"/>
      <c r="C258" s="2"/>
      <c r="D258" s="2"/>
      <c r="E258" s="255"/>
    </row>
    <row r="259" spans="1:5">
      <c r="A259" s="50"/>
      <c r="B259" s="2"/>
      <c r="C259" s="2"/>
      <c r="D259" s="2"/>
      <c r="E259" s="255"/>
    </row>
    <row r="260" spans="1:5">
      <c r="A260" s="50"/>
      <c r="B260" s="2"/>
      <c r="C260" s="2"/>
      <c r="D260" s="2"/>
      <c r="E260" s="255"/>
    </row>
    <row r="261" spans="1:5">
      <c r="A261" s="50"/>
      <c r="B261" s="2"/>
      <c r="C261" s="2"/>
      <c r="D261" s="2"/>
      <c r="E261" s="255"/>
    </row>
    <row r="262" spans="1:5">
      <c r="A262" s="50"/>
      <c r="B262" s="2"/>
      <c r="C262" s="2"/>
      <c r="D262" s="2"/>
      <c r="E262" s="255"/>
    </row>
    <row r="263" spans="1:5">
      <c r="A263" s="50"/>
      <c r="B263" s="2"/>
      <c r="C263" s="2"/>
      <c r="D263" s="2"/>
      <c r="E263" s="255"/>
    </row>
    <row r="264" spans="1:5">
      <c r="A264" s="50"/>
      <c r="B264" s="2"/>
      <c r="C264" s="2"/>
      <c r="D264" s="2"/>
      <c r="E264" s="255"/>
    </row>
    <row r="265" spans="1:5">
      <c r="A265" s="50"/>
      <c r="B265" s="2"/>
      <c r="C265" s="2"/>
      <c r="D265" s="2"/>
      <c r="E265" s="255"/>
    </row>
    <row r="266" spans="1:5">
      <c r="A266" s="50"/>
      <c r="B266" s="2"/>
      <c r="C266" s="2"/>
      <c r="D266" s="2"/>
      <c r="E266" s="255"/>
    </row>
    <row r="267" spans="1:5">
      <c r="A267" s="50"/>
      <c r="B267" s="2"/>
      <c r="C267" s="2"/>
      <c r="D267" s="2"/>
      <c r="E267" s="255"/>
    </row>
    <row r="268" spans="1:5">
      <c r="A268" s="50"/>
      <c r="B268" s="2"/>
      <c r="C268" s="2"/>
      <c r="D268" s="2"/>
      <c r="E268" s="255"/>
    </row>
    <row r="269" spans="1:5">
      <c r="A269" s="50"/>
      <c r="B269" s="2"/>
      <c r="C269" s="2"/>
      <c r="D269" s="2"/>
      <c r="E269" s="255"/>
    </row>
    <row r="270" spans="1:5">
      <c r="A270" s="50"/>
      <c r="B270" s="2"/>
      <c r="C270" s="2"/>
      <c r="D270" s="2"/>
      <c r="E270" s="255"/>
    </row>
    <row r="271" spans="1:5">
      <c r="A271" s="50"/>
      <c r="B271" s="2"/>
      <c r="C271" s="2"/>
      <c r="D271" s="2"/>
      <c r="E271" s="255"/>
    </row>
    <row r="272" spans="1:5">
      <c r="A272" s="50"/>
      <c r="B272" s="2"/>
      <c r="C272" s="2"/>
      <c r="D272" s="2"/>
      <c r="E272" s="255"/>
    </row>
    <row r="273" spans="1:5">
      <c r="A273" s="50"/>
      <c r="B273" s="2"/>
      <c r="C273" s="2"/>
      <c r="D273" s="2"/>
      <c r="E273" s="255"/>
    </row>
    <row r="274" spans="1:5">
      <c r="A274" s="50"/>
      <c r="B274" s="2"/>
      <c r="C274" s="2"/>
      <c r="D274" s="2"/>
      <c r="E274" s="255"/>
    </row>
    <row r="275" spans="1:5">
      <c r="A275" s="50"/>
      <c r="B275" s="2"/>
      <c r="C275" s="2"/>
      <c r="D275" s="2"/>
      <c r="E275" s="255"/>
    </row>
    <row r="276" spans="1:5">
      <c r="A276" s="50"/>
      <c r="B276" s="2"/>
      <c r="C276" s="2"/>
      <c r="D276" s="2"/>
      <c r="E276" s="255"/>
    </row>
    <row r="277" spans="1:5">
      <c r="A277" s="50"/>
      <c r="B277" s="2"/>
      <c r="C277" s="2"/>
      <c r="D277" s="2"/>
      <c r="E277" s="255"/>
    </row>
    <row r="278" spans="1:5">
      <c r="A278" s="50"/>
      <c r="B278" s="2"/>
      <c r="C278" s="2"/>
      <c r="D278" s="2"/>
      <c r="E278" s="255"/>
    </row>
    <row r="279" spans="1:5">
      <c r="A279" s="50"/>
      <c r="B279" s="2"/>
      <c r="C279" s="2"/>
      <c r="D279" s="2"/>
      <c r="E279" s="255"/>
    </row>
    <row r="280" spans="1:5">
      <c r="A280" s="50"/>
      <c r="B280" s="2"/>
      <c r="C280" s="2"/>
      <c r="D280" s="2"/>
      <c r="E280" s="255"/>
    </row>
    <row r="281" spans="1:5">
      <c r="A281" s="50"/>
      <c r="B281" s="2"/>
      <c r="C281" s="2"/>
      <c r="D281" s="2"/>
      <c r="E281" s="255"/>
    </row>
    <row r="282" spans="1:5">
      <c r="A282" s="50"/>
      <c r="B282" s="2"/>
      <c r="C282" s="2"/>
      <c r="D282" s="2"/>
      <c r="E282" s="255"/>
    </row>
    <row r="283" spans="1:5">
      <c r="A283" s="50"/>
      <c r="B283" s="2"/>
      <c r="C283" s="2"/>
      <c r="D283" s="2"/>
      <c r="E283" s="255"/>
    </row>
    <row r="284" spans="1:5">
      <c r="A284" s="50"/>
      <c r="B284" s="2"/>
      <c r="C284" s="2"/>
      <c r="D284" s="2"/>
      <c r="E284" s="255"/>
    </row>
    <row r="285" spans="1:5">
      <c r="A285" s="50"/>
      <c r="B285" s="2"/>
      <c r="C285" s="2"/>
      <c r="D285" s="2"/>
      <c r="E285" s="255"/>
    </row>
    <row r="286" spans="1:5">
      <c r="A286" s="50"/>
      <c r="B286" s="2"/>
      <c r="C286" s="2"/>
      <c r="D286" s="2"/>
      <c r="E286" s="255"/>
    </row>
    <row r="287" spans="1:5">
      <c r="A287" s="50"/>
      <c r="B287" s="2"/>
      <c r="C287" s="2"/>
      <c r="D287" s="2"/>
      <c r="E287" s="255"/>
    </row>
    <row r="288" spans="1:5">
      <c r="A288" s="50"/>
      <c r="B288" s="2"/>
      <c r="C288" s="2"/>
      <c r="D288" s="2"/>
      <c r="E288" s="255"/>
    </row>
    <row r="289" spans="1:5">
      <c r="A289" s="50"/>
      <c r="B289" s="2"/>
      <c r="C289" s="2"/>
      <c r="D289" s="2"/>
      <c r="E289" s="255"/>
    </row>
    <row r="290" spans="1:5">
      <c r="A290" s="50"/>
      <c r="B290" s="2"/>
      <c r="C290" s="2"/>
      <c r="D290" s="2"/>
      <c r="E290" s="255"/>
    </row>
    <row r="291" spans="1:5">
      <c r="A291" s="50"/>
      <c r="B291" s="2"/>
      <c r="C291" s="2"/>
      <c r="D291" s="2"/>
      <c r="E291" s="255"/>
    </row>
    <row r="292" spans="1:5">
      <c r="A292" s="50"/>
      <c r="B292" s="2"/>
      <c r="C292" s="2"/>
      <c r="D292" s="2"/>
      <c r="E292" s="255"/>
    </row>
    <row r="293" spans="1:5">
      <c r="A293" s="50"/>
      <c r="B293" s="2"/>
      <c r="C293" s="2"/>
      <c r="D293" s="2"/>
      <c r="E293" s="255"/>
    </row>
    <row r="294" spans="1:5">
      <c r="A294" s="50"/>
      <c r="B294" s="2"/>
      <c r="C294" s="2"/>
      <c r="D294" s="2"/>
      <c r="E294" s="255"/>
    </row>
    <row r="295" spans="1:5">
      <c r="A295" s="50"/>
      <c r="B295" s="2"/>
      <c r="C295" s="2"/>
      <c r="D295" s="2"/>
      <c r="E295" s="255"/>
    </row>
    <row r="296" spans="1:5">
      <c r="A296" s="50"/>
      <c r="B296" s="2"/>
      <c r="C296" s="2"/>
      <c r="D296" s="2"/>
      <c r="E296" s="255"/>
    </row>
    <row r="297" spans="1:5">
      <c r="A297" s="50"/>
      <c r="B297" s="2"/>
      <c r="C297" s="2"/>
      <c r="D297" s="2"/>
      <c r="E297" s="255"/>
    </row>
    <row r="298" spans="1:5">
      <c r="A298" s="50"/>
      <c r="B298" s="2"/>
      <c r="C298" s="2"/>
      <c r="D298" s="2"/>
      <c r="E298" s="255"/>
    </row>
    <row r="299" spans="1:5">
      <c r="A299" s="50"/>
      <c r="B299" s="2"/>
      <c r="C299" s="2"/>
      <c r="D299" s="2"/>
      <c r="E299" s="255"/>
    </row>
    <row r="300" spans="1:5">
      <c r="A300" s="50"/>
      <c r="B300" s="2"/>
      <c r="C300" s="2"/>
      <c r="D300" s="2"/>
      <c r="E300" s="255"/>
    </row>
    <row r="301" spans="1:5">
      <c r="A301" s="50"/>
      <c r="B301" s="2"/>
      <c r="C301" s="2"/>
      <c r="D301" s="2"/>
      <c r="E301" s="255"/>
    </row>
    <row r="302" spans="1:5">
      <c r="A302" s="50"/>
      <c r="B302" s="2"/>
      <c r="C302" s="2"/>
      <c r="D302" s="2"/>
      <c r="E302" s="255"/>
    </row>
    <row r="303" spans="1:5">
      <c r="A303" s="50"/>
      <c r="B303" s="2"/>
      <c r="C303" s="2"/>
      <c r="D303" s="2"/>
      <c r="E303" s="255"/>
    </row>
    <row r="304" spans="1:5">
      <c r="A304" s="50"/>
      <c r="B304" s="2"/>
      <c r="C304" s="2"/>
      <c r="D304" s="2"/>
      <c r="E304" s="255"/>
    </row>
    <row r="305" spans="1:5">
      <c r="A305" s="50"/>
      <c r="B305" s="2"/>
      <c r="C305" s="2"/>
      <c r="D305" s="2"/>
      <c r="E305" s="255"/>
    </row>
    <row r="306" spans="1:5">
      <c r="A306" s="50"/>
      <c r="B306" s="2"/>
      <c r="C306" s="2"/>
      <c r="D306" s="2"/>
      <c r="E306" s="255"/>
    </row>
    <row r="307" spans="1:5">
      <c r="A307" s="50"/>
      <c r="B307" s="2"/>
      <c r="C307" s="2"/>
      <c r="D307" s="2"/>
      <c r="E307" s="255"/>
    </row>
    <row r="308" spans="1:5">
      <c r="A308" s="50"/>
      <c r="B308" s="2"/>
      <c r="C308" s="2"/>
      <c r="D308" s="2"/>
      <c r="E308" s="255"/>
    </row>
    <row r="309" spans="1:5">
      <c r="A309" s="50"/>
      <c r="B309" s="2"/>
      <c r="C309" s="2"/>
      <c r="D309" s="2"/>
      <c r="E309" s="255"/>
    </row>
    <row r="310" spans="1:5">
      <c r="A310" s="50"/>
      <c r="B310" s="2"/>
      <c r="C310" s="2"/>
      <c r="D310" s="2"/>
      <c r="E310" s="255"/>
    </row>
    <row r="311" spans="1:5">
      <c r="A311" s="50"/>
      <c r="B311" s="2"/>
      <c r="C311" s="2"/>
      <c r="D311" s="2"/>
      <c r="E311" s="255"/>
    </row>
    <row r="312" spans="1:5">
      <c r="A312" s="50"/>
      <c r="B312" s="2"/>
      <c r="C312" s="2"/>
      <c r="D312" s="2"/>
      <c r="E312" s="255"/>
    </row>
    <row r="313" spans="1:5">
      <c r="A313" s="50"/>
      <c r="B313" s="2"/>
      <c r="C313" s="2"/>
      <c r="D313" s="2"/>
      <c r="E313" s="255"/>
    </row>
    <row r="314" spans="1:5">
      <c r="A314" s="50"/>
      <c r="B314" s="2"/>
      <c r="C314" s="2"/>
      <c r="D314" s="2"/>
      <c r="E314" s="255"/>
    </row>
    <row r="315" spans="1:5">
      <c r="A315" s="50"/>
      <c r="B315" s="2"/>
      <c r="C315" s="2"/>
      <c r="D315" s="2"/>
      <c r="E315" s="255"/>
    </row>
    <row r="316" spans="1:5">
      <c r="A316" s="50"/>
      <c r="B316" s="2"/>
      <c r="C316" s="2"/>
      <c r="D316" s="2"/>
      <c r="E316" s="255"/>
    </row>
    <row r="317" spans="1:5">
      <c r="A317" s="50"/>
      <c r="B317" s="2"/>
      <c r="C317" s="2"/>
      <c r="D317" s="2"/>
      <c r="E317" s="255"/>
    </row>
    <row r="318" spans="1:5">
      <c r="A318" s="50"/>
      <c r="B318" s="2"/>
      <c r="C318" s="2"/>
      <c r="D318" s="2"/>
      <c r="E318" s="255"/>
    </row>
    <row r="319" spans="1:5">
      <c r="A319" s="50"/>
      <c r="B319" s="2"/>
      <c r="C319" s="2"/>
      <c r="D319" s="2"/>
      <c r="E319" s="255"/>
    </row>
    <row r="320" spans="1:5">
      <c r="A320" s="50"/>
      <c r="B320" s="2"/>
      <c r="C320" s="2"/>
      <c r="D320" s="2"/>
      <c r="E320" s="255"/>
    </row>
    <row r="321" spans="1:5">
      <c r="A321" s="50"/>
      <c r="B321" s="2"/>
      <c r="C321" s="2"/>
      <c r="D321" s="2"/>
      <c r="E321" s="255"/>
    </row>
    <row r="322" spans="1:5">
      <c r="A322" s="50"/>
      <c r="B322" s="2"/>
      <c r="C322" s="2"/>
      <c r="D322" s="2"/>
      <c r="E322" s="255"/>
    </row>
    <row r="323" spans="1:5">
      <c r="A323" s="50"/>
      <c r="B323" s="2"/>
      <c r="C323" s="2"/>
      <c r="D323" s="2"/>
      <c r="E323" s="255"/>
    </row>
    <row r="324" spans="1:5">
      <c r="A324" s="50"/>
      <c r="B324" s="2"/>
      <c r="C324" s="2"/>
      <c r="D324" s="2"/>
      <c r="E324" s="255"/>
    </row>
    <row r="325" spans="1:5">
      <c r="A325" s="50"/>
      <c r="B325" s="2"/>
      <c r="C325" s="2"/>
      <c r="D325" s="2"/>
      <c r="E325" s="255"/>
    </row>
    <row r="326" spans="1:5">
      <c r="A326" s="50"/>
      <c r="B326" s="2"/>
      <c r="C326" s="2"/>
      <c r="D326" s="2"/>
      <c r="E326" s="255"/>
    </row>
    <row r="327" spans="1:5">
      <c r="A327" s="50"/>
      <c r="B327" s="2"/>
      <c r="C327" s="2"/>
      <c r="D327" s="2"/>
      <c r="E327" s="255"/>
    </row>
    <row r="328" spans="1:5">
      <c r="A328" s="50"/>
      <c r="B328" s="2"/>
      <c r="C328" s="2"/>
      <c r="D328" s="2"/>
      <c r="E328" s="255"/>
    </row>
    <row r="329" spans="1:5">
      <c r="A329" s="50"/>
      <c r="B329" s="2"/>
      <c r="C329" s="2"/>
      <c r="D329" s="2"/>
      <c r="E329" s="255"/>
    </row>
    <row r="330" spans="1:5">
      <c r="A330" s="50"/>
      <c r="B330" s="2"/>
      <c r="C330" s="2"/>
      <c r="D330" s="2"/>
      <c r="E330" s="255"/>
    </row>
    <row r="331" spans="1:5">
      <c r="A331" s="50"/>
      <c r="B331" s="2"/>
      <c r="C331" s="2"/>
      <c r="D331" s="2"/>
      <c r="E331" s="255"/>
    </row>
    <row r="332" spans="1:5">
      <c r="A332" s="50"/>
      <c r="B332" s="2"/>
      <c r="C332" s="2"/>
      <c r="D332" s="2"/>
      <c r="E332" s="255"/>
    </row>
    <row r="333" spans="1:5">
      <c r="A333" s="50"/>
      <c r="B333" s="2"/>
      <c r="C333" s="2"/>
      <c r="D333" s="2"/>
      <c r="E333" s="255"/>
    </row>
    <row r="334" spans="1:5">
      <c r="A334" s="50"/>
      <c r="B334" s="2"/>
      <c r="C334" s="2"/>
      <c r="D334" s="2"/>
      <c r="E334" s="255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 topLeftCell="A88">
      <selection activeCell="F105" sqref="F10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6">
    <mergeCell ref="A1:J1"/>
    <mergeCell ref="C109:E109"/>
    <mergeCell ref="G109:I109"/>
    <mergeCell ref="J3:J4"/>
    <mergeCell ref="A6:J6"/>
    <mergeCell ref="A82:J82"/>
    <mergeCell ref="A88:J88"/>
    <mergeCell ref="B3:B4"/>
    <mergeCell ref="A3:A4"/>
    <mergeCell ref="C3:C4"/>
    <mergeCell ref="F3:I3"/>
    <mergeCell ref="A95:J95"/>
    <mergeCell ref="C108:E108"/>
    <mergeCell ref="G108:I108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2"/>
  <sheetViews>
    <sheetView view="pageBreakPreview" zoomScale="75" zoomScaleNormal="65" zoomScaleSheetLayoutView="50" workbookViewId="0">
      <pane ySplit="5" topLeftCell="A48" activePane="bottomLeft" state="frozen"/>
      <selection pane="bottomLeft" activeCell="C17" sqref="C17"/>
    </sheetView>
  </sheetViews>
  <sheetFormatPr defaultColWidth="77.85546875" defaultRowHeight="18.75" outlineLevelRow="1"/>
  <cols>
    <col min="1" max="1" width="61.28515625" style="45" customWidth="1"/>
    <col min="2" max="2" width="15.28515625" style="48" customWidth="1"/>
    <col min="3" max="3" width="13" style="48" customWidth="1"/>
    <col min="4" max="4" width="14.85546875" style="48" customWidth="1"/>
    <col min="5" max="5" width="13.42578125" style="48" customWidth="1"/>
    <col min="6" max="6" width="13.7109375" style="45" customWidth="1"/>
    <col min="7" max="7" width="13.28515625" style="45" customWidth="1"/>
    <col min="8" max="8" width="13" style="45" customWidth="1"/>
    <col min="9" max="9" width="11.7109375" style="45" customWidth="1"/>
    <col min="10" max="10" width="9.5703125" style="45" customWidth="1"/>
    <col min="11" max="253" width="9.140625" style="45" customWidth="1"/>
    <col min="254" max="16384" width="77.85546875" style="45"/>
  </cols>
  <sheetData>
    <row r="1" spans="1:9">
      <c r="A1" s="367" t="s">
        <v>368</v>
      </c>
      <c r="B1" s="367"/>
      <c r="C1" s="367"/>
      <c r="D1" s="367"/>
      <c r="E1" s="367"/>
      <c r="F1" s="367"/>
      <c r="G1" s="367"/>
      <c r="H1" s="367"/>
      <c r="I1" s="367"/>
    </row>
    <row r="2" spans="1:9" outlineLevel="1">
      <c r="A2" s="44"/>
      <c r="B2" s="53"/>
      <c r="C2" s="44"/>
      <c r="D2" s="44"/>
      <c r="E2" s="44"/>
      <c r="F2" s="44"/>
      <c r="G2" s="44"/>
      <c r="H2" s="44"/>
      <c r="I2" s="44"/>
    </row>
    <row r="3" spans="1:9" ht="38.25" customHeight="1">
      <c r="A3" s="355" t="s">
        <v>272</v>
      </c>
      <c r="B3" s="368" t="s">
        <v>18</v>
      </c>
      <c r="C3" s="369" t="s">
        <v>31</v>
      </c>
      <c r="D3" s="369" t="s">
        <v>39</v>
      </c>
      <c r="E3" s="370" t="s">
        <v>181</v>
      </c>
      <c r="F3" s="351" t="s">
        <v>364</v>
      </c>
      <c r="G3" s="351"/>
      <c r="H3" s="351"/>
      <c r="I3" s="351"/>
    </row>
    <row r="4" spans="1:9" ht="50.25" customHeight="1">
      <c r="A4" s="355"/>
      <c r="B4" s="368"/>
      <c r="C4" s="369"/>
      <c r="D4" s="369"/>
      <c r="E4" s="370"/>
      <c r="F4" s="13" t="s">
        <v>365</v>
      </c>
      <c r="G4" s="13" t="s">
        <v>366</v>
      </c>
      <c r="H4" s="13" t="s">
        <v>367</v>
      </c>
      <c r="I4" s="13" t="s">
        <v>86</v>
      </c>
    </row>
    <row r="5" spans="1:9" ht="18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62" t="s">
        <v>165</v>
      </c>
      <c r="B6" s="363"/>
      <c r="C6" s="363"/>
      <c r="D6" s="363"/>
      <c r="E6" s="363"/>
      <c r="F6" s="363"/>
      <c r="G6" s="363"/>
      <c r="H6" s="363"/>
      <c r="I6" s="364"/>
    </row>
    <row r="7" spans="1:9" ht="42.75" customHeight="1">
      <c r="A7" s="58" t="s">
        <v>62</v>
      </c>
      <c r="B7" s="7">
        <v>2000</v>
      </c>
      <c r="C7" s="168">
        <v>314</v>
      </c>
      <c r="D7" s="168">
        <v>332</v>
      </c>
      <c r="E7" s="169">
        <f>C17</f>
        <v>351</v>
      </c>
      <c r="F7" s="234">
        <f>$E$17</f>
        <v>366.74</v>
      </c>
      <c r="G7" s="234">
        <f t="shared" ref="G7:I7" si="0">$E$17</f>
        <v>366.74</v>
      </c>
      <c r="H7" s="234">
        <f t="shared" si="0"/>
        <v>366.74</v>
      </c>
      <c r="I7" s="234">
        <f t="shared" si="0"/>
        <v>366.74</v>
      </c>
    </row>
    <row r="8" spans="1:9" ht="37.5">
      <c r="A8" s="46" t="s">
        <v>222</v>
      </c>
      <c r="B8" s="7">
        <v>2010</v>
      </c>
      <c r="C8" s="169">
        <f>C9+C10</f>
        <v>21</v>
      </c>
      <c r="D8" s="169">
        <v>41</v>
      </c>
      <c r="E8" s="169">
        <f t="shared" ref="E8:I8" si="1">E9+E10</f>
        <v>31</v>
      </c>
      <c r="F8" s="169">
        <f t="shared" si="1"/>
        <v>282</v>
      </c>
      <c r="G8" s="169">
        <f t="shared" si="1"/>
        <v>500</v>
      </c>
      <c r="H8" s="169">
        <f t="shared" si="1"/>
        <v>500</v>
      </c>
      <c r="I8" s="169">
        <f t="shared" si="1"/>
        <v>500</v>
      </c>
    </row>
    <row r="9" spans="1:9" ht="42.75" customHeight="1">
      <c r="A9" s="8" t="s">
        <v>370</v>
      </c>
      <c r="B9" s="7">
        <v>2011</v>
      </c>
      <c r="C9" s="168">
        <f>ROUND('I. Фін результат'!C78*15%,0)</f>
        <v>5</v>
      </c>
      <c r="D9" s="168">
        <f>ROUND('I. Фін результат'!D78*15%,0)</f>
        <v>9</v>
      </c>
      <c r="E9" s="168">
        <f>ROUND('I. Фін результат'!E78*15%,0)</f>
        <v>7</v>
      </c>
      <c r="F9" s="168">
        <f>ROUND('I. Фін результат'!F78*15%,0)</f>
        <v>64</v>
      </c>
      <c r="G9" s="168">
        <f>ROUND('I. Фін результат'!G78*15%,0)</f>
        <v>114</v>
      </c>
      <c r="H9" s="310">
        <f>G9</f>
        <v>114</v>
      </c>
      <c r="I9" s="310">
        <f>H9</f>
        <v>114</v>
      </c>
    </row>
    <row r="10" spans="1:9" ht="93.75">
      <c r="A10" s="8" t="s">
        <v>371</v>
      </c>
      <c r="B10" s="7">
        <v>2012</v>
      </c>
      <c r="C10" s="168">
        <f>ROUND(('I. Фін результат'!C78-'ІІ. Розр. з бюджетом'!C9)*60%,0)</f>
        <v>16</v>
      </c>
      <c r="D10" s="168">
        <f>ROUND(('I. Фін результат'!D78-'ІІ. Розр. з бюджетом'!D9)*60%,0)</f>
        <v>32</v>
      </c>
      <c r="E10" s="168">
        <f>ROUND(('I. Фін результат'!E78-'ІІ. Розр. з бюджетом'!E9)*60%,0)</f>
        <v>24</v>
      </c>
      <c r="F10" s="168">
        <f>ROUND(('I. Фін результат'!F78-'ІІ. Розр. з бюджетом'!F9)*60%,0)</f>
        <v>218</v>
      </c>
      <c r="G10" s="168">
        <f>ROUND(('I. Фін результат'!G78-'ІІ. Розр. з бюджетом'!G9)*60%,0)</f>
        <v>386</v>
      </c>
      <c r="H10" s="310">
        <f>G10</f>
        <v>386</v>
      </c>
      <c r="I10" s="310">
        <f>H10</f>
        <v>386</v>
      </c>
    </row>
    <row r="11" spans="1:9" ht="20.100000000000001" customHeight="1">
      <c r="A11" s="8" t="s">
        <v>208</v>
      </c>
      <c r="B11" s="7">
        <v>2020</v>
      </c>
      <c r="C11" s="168"/>
      <c r="D11" s="168"/>
      <c r="E11" s="168"/>
      <c r="F11" s="168"/>
      <c r="G11" s="168"/>
      <c r="H11" s="168"/>
      <c r="I11" s="168"/>
    </row>
    <row r="12" spans="1:9" s="47" customFormat="1" ht="20.100000000000001" customHeight="1">
      <c r="A12" s="46" t="s">
        <v>75</v>
      </c>
      <c r="B12" s="7">
        <v>2030</v>
      </c>
      <c r="C12" s="168"/>
      <c r="D12" s="168"/>
      <c r="E12" s="168"/>
      <c r="F12" s="168"/>
      <c r="G12" s="168"/>
      <c r="H12" s="168"/>
      <c r="I12" s="168"/>
    </row>
    <row r="13" spans="1:9" ht="37.5">
      <c r="A13" s="46" t="s">
        <v>388</v>
      </c>
      <c r="B13" s="7">
        <v>2031</v>
      </c>
      <c r="C13" s="168"/>
      <c r="D13" s="168"/>
      <c r="E13" s="168"/>
      <c r="F13" s="168"/>
      <c r="G13" s="168"/>
      <c r="H13" s="168"/>
      <c r="I13" s="168"/>
    </row>
    <row r="14" spans="1:9" ht="20.100000000000001" customHeight="1">
      <c r="A14" s="46" t="s">
        <v>26</v>
      </c>
      <c r="B14" s="7">
        <v>2040</v>
      </c>
      <c r="C14" s="168"/>
      <c r="D14" s="168"/>
      <c r="E14" s="168"/>
      <c r="F14" s="168"/>
      <c r="G14" s="168"/>
      <c r="H14" s="168"/>
      <c r="I14" s="168"/>
    </row>
    <row r="15" spans="1:9" ht="20.100000000000001" customHeight="1">
      <c r="A15" s="163" t="s">
        <v>127</v>
      </c>
      <c r="B15" s="7">
        <v>2050</v>
      </c>
      <c r="C15" s="168"/>
      <c r="D15" s="168"/>
      <c r="E15" s="168"/>
      <c r="F15" s="168"/>
      <c r="G15" s="168"/>
      <c r="H15" s="168"/>
      <c r="I15" s="168"/>
    </row>
    <row r="16" spans="1:9" ht="20.100000000000001" customHeight="1">
      <c r="A16" s="163" t="s">
        <v>128</v>
      </c>
      <c r="B16" s="7">
        <v>2060</v>
      </c>
      <c r="C16" s="168"/>
      <c r="D16" s="168"/>
      <c r="E16" s="168"/>
      <c r="F16" s="168"/>
      <c r="G16" s="168"/>
      <c r="H16" s="168"/>
      <c r="I16" s="168"/>
    </row>
    <row r="17" spans="1:9" ht="42.75" customHeight="1">
      <c r="A17" s="58" t="s">
        <v>63</v>
      </c>
      <c r="B17" s="92">
        <v>2070</v>
      </c>
      <c r="C17" s="172">
        <v>351</v>
      </c>
      <c r="D17" s="170">
        <f>'I. Фін результат'!D78+'ІІ.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354.14</v>
      </c>
      <c r="E17" s="170">
        <f>'I. Фін результат'!E78+'ІІ.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366.74</v>
      </c>
      <c r="F17" s="170">
        <f>'I. Фін результат'!F78+'ІІ.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511.74</v>
      </c>
      <c r="G17" s="170">
        <f>'I. Фін результат'!G78+'ІІ.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623.74</v>
      </c>
      <c r="H17" s="170">
        <f>'I. Фін результат'!H78+'ІІ.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-20.759999999999991</v>
      </c>
      <c r="I17" s="170">
        <f>'I. Фін результат'!I78+'ІІ.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-72.259999999999991</v>
      </c>
    </row>
    <row r="18" spans="1:9" ht="39.75" customHeight="1">
      <c r="A18" s="362" t="s">
        <v>166</v>
      </c>
      <c r="B18" s="363"/>
      <c r="C18" s="363"/>
      <c r="D18" s="363"/>
      <c r="E18" s="363"/>
      <c r="F18" s="363"/>
      <c r="G18" s="363"/>
      <c r="H18" s="363"/>
      <c r="I18" s="364"/>
    </row>
    <row r="19" spans="1:9" ht="37.5">
      <c r="A19" s="163" t="s">
        <v>222</v>
      </c>
      <c r="B19" s="162">
        <v>2100</v>
      </c>
      <c r="C19" s="169">
        <f t="shared" ref="C19:I19" si="2">SUM(C20:C21)</f>
        <v>21</v>
      </c>
      <c r="D19" s="169">
        <f t="shared" si="2"/>
        <v>41</v>
      </c>
      <c r="E19" s="169">
        <f>SUM(E20:E21)</f>
        <v>31</v>
      </c>
      <c r="F19" s="169">
        <f t="shared" si="2"/>
        <v>282</v>
      </c>
      <c r="G19" s="169">
        <f t="shared" si="2"/>
        <v>500</v>
      </c>
      <c r="H19" s="169">
        <f t="shared" si="2"/>
        <v>500</v>
      </c>
      <c r="I19" s="169">
        <f t="shared" si="2"/>
        <v>500</v>
      </c>
    </row>
    <row r="20" spans="1:9" ht="42.75" customHeight="1">
      <c r="A20" s="232" t="s">
        <v>370</v>
      </c>
      <c r="B20" s="162">
        <v>2101</v>
      </c>
      <c r="C20" s="169">
        <f t="shared" ref="C20:I20" si="3">C9</f>
        <v>5</v>
      </c>
      <c r="D20" s="169">
        <v>9</v>
      </c>
      <c r="E20" s="169">
        <f>E9</f>
        <v>7</v>
      </c>
      <c r="F20" s="169">
        <f t="shared" si="3"/>
        <v>64</v>
      </c>
      <c r="G20" s="169">
        <f t="shared" si="3"/>
        <v>114</v>
      </c>
      <c r="H20" s="169">
        <f t="shared" si="3"/>
        <v>114</v>
      </c>
      <c r="I20" s="169">
        <f t="shared" si="3"/>
        <v>114</v>
      </c>
    </row>
    <row r="21" spans="1:9" ht="93.75">
      <c r="A21" s="232" t="s">
        <v>371</v>
      </c>
      <c r="B21" s="162">
        <v>2102</v>
      </c>
      <c r="C21" s="169">
        <f>C10</f>
        <v>16</v>
      </c>
      <c r="D21" s="169">
        <v>32</v>
      </c>
      <c r="E21" s="169">
        <f>E10</f>
        <v>24</v>
      </c>
      <c r="F21" s="169">
        <f t="shared" ref="F21:I21" si="4">F10</f>
        <v>218</v>
      </c>
      <c r="G21" s="169">
        <f t="shared" si="4"/>
        <v>386</v>
      </c>
      <c r="H21" s="169">
        <f t="shared" si="4"/>
        <v>386</v>
      </c>
      <c r="I21" s="169">
        <f t="shared" si="4"/>
        <v>386</v>
      </c>
    </row>
    <row r="22" spans="1:9" s="47" customFormat="1" ht="20.100000000000001" customHeight="1">
      <c r="A22" s="163" t="s">
        <v>168</v>
      </c>
      <c r="B22" s="164">
        <v>2110</v>
      </c>
      <c r="C22" s="169">
        <f>'I. Фін результат'!C76</f>
        <v>6.84</v>
      </c>
      <c r="D22" s="169">
        <v>14</v>
      </c>
      <c r="E22" s="169">
        <f>'I. Фін результат'!E76</f>
        <v>10.26</v>
      </c>
      <c r="F22" s="169">
        <f>'I. Фін результат'!F76</f>
        <v>0</v>
      </c>
      <c r="G22" s="169">
        <f>'I. Фін результат'!G76</f>
        <v>0</v>
      </c>
      <c r="H22" s="169">
        <f>'I. Фін результат'!H76</f>
        <v>0</v>
      </c>
      <c r="I22" s="169">
        <f>'I. Фін результат'!I76</f>
        <v>13</v>
      </c>
    </row>
    <row r="23" spans="1:9" ht="56.25">
      <c r="A23" s="163" t="s">
        <v>335</v>
      </c>
      <c r="B23" s="164">
        <v>2120</v>
      </c>
      <c r="C23" s="168">
        <v>45</v>
      </c>
      <c r="D23" s="168">
        <v>59</v>
      </c>
      <c r="E23" s="168">
        <v>68</v>
      </c>
      <c r="F23" s="226">
        <v>25.400000000000002</v>
      </c>
      <c r="G23" s="226">
        <v>45</v>
      </c>
      <c r="H23" s="226">
        <v>70</v>
      </c>
      <c r="I23" s="226">
        <v>89</v>
      </c>
    </row>
    <row r="24" spans="1:9" ht="56.25">
      <c r="A24" s="163" t="s">
        <v>336</v>
      </c>
      <c r="B24" s="164">
        <v>2130</v>
      </c>
      <c r="C24" s="168"/>
      <c r="D24" s="168"/>
      <c r="E24" s="168"/>
      <c r="F24" s="168"/>
      <c r="G24" s="168"/>
      <c r="H24" s="168"/>
      <c r="I24" s="168"/>
    </row>
    <row r="25" spans="1:9" s="49" customFormat="1" ht="56.25">
      <c r="A25" s="165" t="s">
        <v>259</v>
      </c>
      <c r="B25" s="166">
        <v>2140</v>
      </c>
      <c r="C25" s="170">
        <f t="shared" ref="C25:I25" si="5">SUM(C26:C30,C33,C35)</f>
        <v>179</v>
      </c>
      <c r="D25" s="170">
        <f t="shared" si="5"/>
        <v>753</v>
      </c>
      <c r="E25" s="170">
        <f>SUM(E26:E30,E33,E35)</f>
        <v>753</v>
      </c>
      <c r="F25" s="170">
        <f t="shared" si="5"/>
        <v>223</v>
      </c>
      <c r="G25" s="170">
        <f t="shared" si="5"/>
        <v>446</v>
      </c>
      <c r="H25" s="170">
        <f t="shared" si="5"/>
        <v>669</v>
      </c>
      <c r="I25" s="170">
        <f t="shared" si="5"/>
        <v>893</v>
      </c>
    </row>
    <row r="26" spans="1:9" ht="20.100000000000001" customHeight="1">
      <c r="A26" s="163" t="s">
        <v>91</v>
      </c>
      <c r="B26" s="164">
        <v>2141</v>
      </c>
      <c r="C26" s="168"/>
      <c r="D26" s="168"/>
      <c r="E26" s="168"/>
      <c r="F26" s="168"/>
      <c r="G26" s="168"/>
      <c r="H26" s="168"/>
      <c r="I26" s="168"/>
    </row>
    <row r="27" spans="1:9" ht="20.100000000000001" customHeight="1">
      <c r="A27" s="163" t="s">
        <v>118</v>
      </c>
      <c r="B27" s="164">
        <v>2142</v>
      </c>
      <c r="C27" s="168"/>
      <c r="D27" s="168"/>
      <c r="E27" s="168"/>
      <c r="F27" s="168"/>
      <c r="G27" s="168"/>
      <c r="H27" s="168"/>
      <c r="I27" s="168"/>
    </row>
    <row r="28" spans="1:9" ht="20.100000000000001" customHeight="1">
      <c r="A28" s="163" t="s">
        <v>109</v>
      </c>
      <c r="B28" s="164">
        <v>2143</v>
      </c>
      <c r="C28" s="168"/>
      <c r="D28" s="168"/>
      <c r="E28" s="168"/>
      <c r="F28" s="168"/>
      <c r="G28" s="168"/>
      <c r="H28" s="168"/>
      <c r="I28" s="168"/>
    </row>
    <row r="29" spans="1:9" ht="20.100000000000001" customHeight="1">
      <c r="A29" s="163" t="s">
        <v>89</v>
      </c>
      <c r="B29" s="164">
        <v>2144</v>
      </c>
      <c r="C29" s="168">
        <v>160</v>
      </c>
      <c r="D29" s="168">
        <v>690</v>
      </c>
      <c r="E29" s="228">
        <v>690</v>
      </c>
      <c r="F29" s="228">
        <f>ROUND('I. Фін результат'!F99*18%,0)</f>
        <v>205</v>
      </c>
      <c r="G29" s="228">
        <f>ROUND('I. Фін результат'!G99*18%,0)</f>
        <v>410</v>
      </c>
      <c r="H29" s="228">
        <f>ROUND('I. Фін результат'!H99*18%,0)</f>
        <v>614</v>
      </c>
      <c r="I29" s="228">
        <f>ROUND('I. Фін результат'!I99*18%,0)</f>
        <v>819</v>
      </c>
    </row>
    <row r="30" spans="1:9" s="47" customFormat="1" ht="20.100000000000001" customHeight="1">
      <c r="A30" s="163" t="s">
        <v>188</v>
      </c>
      <c r="B30" s="164">
        <v>2145</v>
      </c>
      <c r="C30" s="168"/>
      <c r="D30" s="171"/>
      <c r="E30" s="171"/>
      <c r="F30" s="168"/>
      <c r="G30" s="168"/>
      <c r="H30" s="168"/>
      <c r="I30" s="168"/>
    </row>
    <row r="31" spans="1:9" ht="56.25">
      <c r="A31" s="163" t="s">
        <v>268</v>
      </c>
      <c r="B31" s="164" t="s">
        <v>237</v>
      </c>
      <c r="C31" s="168"/>
      <c r="D31" s="171"/>
      <c r="E31" s="171"/>
      <c r="F31" s="168"/>
      <c r="G31" s="168"/>
      <c r="H31" s="168"/>
      <c r="I31" s="168"/>
    </row>
    <row r="32" spans="1:9" ht="20.100000000000001" customHeight="1">
      <c r="A32" s="163" t="s">
        <v>27</v>
      </c>
      <c r="B32" s="164" t="s">
        <v>238</v>
      </c>
      <c r="C32" s="168"/>
      <c r="D32" s="168"/>
      <c r="E32" s="168"/>
      <c r="F32" s="168"/>
      <c r="G32" s="168"/>
      <c r="H32" s="168"/>
      <c r="I32" s="168"/>
    </row>
    <row r="33" spans="1:10" s="47" customFormat="1" ht="20.100000000000001" customHeight="1">
      <c r="A33" s="163" t="s">
        <v>129</v>
      </c>
      <c r="B33" s="164">
        <v>2146</v>
      </c>
      <c r="C33" s="168">
        <v>2</v>
      </c>
      <c r="D33" s="168">
        <v>6</v>
      </c>
      <c r="E33" s="168">
        <v>6</v>
      </c>
      <c r="F33" s="168">
        <v>1</v>
      </c>
      <c r="G33" s="168">
        <v>2</v>
      </c>
      <c r="H33" s="168">
        <v>4</v>
      </c>
      <c r="I33" s="168">
        <v>6</v>
      </c>
    </row>
    <row r="34" spans="1:10" s="47" customFormat="1" ht="20.100000000000001" customHeight="1">
      <c r="A34" s="163" t="s">
        <v>413</v>
      </c>
      <c r="B34" s="164" t="s">
        <v>414</v>
      </c>
      <c r="C34" s="168">
        <v>2</v>
      </c>
      <c r="D34" s="168">
        <v>6</v>
      </c>
      <c r="E34" s="168">
        <v>6</v>
      </c>
      <c r="F34" s="168">
        <v>1</v>
      </c>
      <c r="G34" s="168">
        <v>2</v>
      </c>
      <c r="H34" s="168">
        <v>4</v>
      </c>
      <c r="I34" s="168">
        <v>6</v>
      </c>
    </row>
    <row r="35" spans="1:10" ht="20.100000000000001" customHeight="1">
      <c r="A35" s="163" t="s">
        <v>97</v>
      </c>
      <c r="B35" s="164">
        <v>2147</v>
      </c>
      <c r="C35" s="168">
        <f t="shared" ref="C35:I35" si="6">C36</f>
        <v>17</v>
      </c>
      <c r="D35" s="168">
        <v>57</v>
      </c>
      <c r="E35" s="168">
        <v>57</v>
      </c>
      <c r="F35" s="168">
        <f t="shared" si="6"/>
        <v>17</v>
      </c>
      <c r="G35" s="168">
        <f t="shared" si="6"/>
        <v>34</v>
      </c>
      <c r="H35" s="168">
        <f>H36</f>
        <v>51</v>
      </c>
      <c r="I35" s="168">
        <f t="shared" si="6"/>
        <v>68</v>
      </c>
    </row>
    <row r="36" spans="1:10" ht="20.100000000000001" customHeight="1">
      <c r="A36" s="163" t="s">
        <v>381</v>
      </c>
      <c r="B36" s="164" t="s">
        <v>389</v>
      </c>
      <c r="C36" s="168">
        <v>17</v>
      </c>
      <c r="D36" s="168">
        <v>57</v>
      </c>
      <c r="E36" s="167">
        <v>57</v>
      </c>
      <c r="F36" s="167">
        <f>ROUND('I. Фін результат'!F99*1.5%,0)</f>
        <v>17</v>
      </c>
      <c r="G36" s="167">
        <f>ROUND('I. Фін результат'!G99*1.5%,0)</f>
        <v>34</v>
      </c>
      <c r="H36" s="167">
        <f>ROUND('I. Фін результат'!H99*1.5%,0)</f>
        <v>51</v>
      </c>
      <c r="I36" s="167">
        <f>ROUND('I. Фін результат'!I99*1.5%,0)</f>
        <v>68</v>
      </c>
    </row>
    <row r="37" spans="1:10" s="47" customFormat="1" ht="37.5">
      <c r="A37" s="163" t="s">
        <v>90</v>
      </c>
      <c r="B37" s="164">
        <v>2150</v>
      </c>
      <c r="C37" s="168">
        <f>'I. Фін результат'!C100</f>
        <v>387</v>
      </c>
      <c r="D37" s="168">
        <v>834</v>
      </c>
      <c r="E37" s="168">
        <f>'I. Фін результат'!E100</f>
        <v>834</v>
      </c>
      <c r="F37" s="168">
        <f>'I. Фін результат'!F100</f>
        <v>238</v>
      </c>
      <c r="G37" s="168">
        <f>'I. Фін результат'!G100</f>
        <v>476</v>
      </c>
      <c r="H37" s="168">
        <f>'I. Фін результат'!H100</f>
        <v>714</v>
      </c>
      <c r="I37" s="168">
        <f>'I. Фін результат'!I100</f>
        <v>952</v>
      </c>
    </row>
    <row r="38" spans="1:10" s="47" customFormat="1" ht="20.100000000000001" customHeight="1">
      <c r="A38" s="165" t="s">
        <v>361</v>
      </c>
      <c r="B38" s="166">
        <v>2200</v>
      </c>
      <c r="C38" s="170">
        <f t="shared" ref="C38:I38" si="7">SUM(C19,C22:C24,C25,C37)</f>
        <v>638.84</v>
      </c>
      <c r="D38" s="170">
        <f t="shared" si="7"/>
        <v>1701</v>
      </c>
      <c r="E38" s="170">
        <f t="shared" si="7"/>
        <v>1696.26</v>
      </c>
      <c r="F38" s="170">
        <f t="shared" si="7"/>
        <v>768.4</v>
      </c>
      <c r="G38" s="170">
        <f t="shared" si="7"/>
        <v>1467</v>
      </c>
      <c r="H38" s="170">
        <f t="shared" si="7"/>
        <v>1953</v>
      </c>
      <c r="I38" s="170">
        <f t="shared" si="7"/>
        <v>2447</v>
      </c>
    </row>
    <row r="39" spans="1:10" s="47" customFormat="1" ht="20.100000000000001" customHeight="1">
      <c r="A39" s="143"/>
      <c r="B39" s="144"/>
      <c r="C39" s="145"/>
      <c r="D39" s="146"/>
      <c r="E39" s="146"/>
      <c r="F39" s="146"/>
      <c r="G39" s="146"/>
      <c r="H39" s="146"/>
      <c r="I39" s="146"/>
    </row>
    <row r="40" spans="1:10" s="47" customFormat="1" ht="20.100000000000001" customHeight="1">
      <c r="A40" s="143"/>
      <c r="B40" s="144"/>
      <c r="C40" s="145"/>
      <c r="D40" s="146"/>
      <c r="E40" s="146"/>
      <c r="F40" s="146"/>
      <c r="G40" s="146"/>
      <c r="H40" s="146"/>
      <c r="I40" s="146"/>
    </row>
    <row r="41" spans="1:10" s="2" customFormat="1" ht="20.100000000000001" customHeight="1">
      <c r="A41" s="174" t="s">
        <v>404</v>
      </c>
      <c r="B41" s="132"/>
      <c r="C41" s="365" t="s">
        <v>119</v>
      </c>
      <c r="D41" s="366"/>
      <c r="E41" s="366"/>
      <c r="F41" s="133"/>
      <c r="G41" s="359" t="s">
        <v>403</v>
      </c>
      <c r="H41" s="359"/>
      <c r="I41" s="359"/>
    </row>
    <row r="42" spans="1:10" s="1" customFormat="1" ht="20.100000000000001" customHeight="1">
      <c r="A42" s="95" t="s">
        <v>380</v>
      </c>
      <c r="B42" s="108"/>
      <c r="C42" s="349" t="s">
        <v>84</v>
      </c>
      <c r="D42" s="349"/>
      <c r="E42" s="349"/>
      <c r="F42" s="134"/>
      <c r="G42" s="350" t="s">
        <v>442</v>
      </c>
      <c r="H42" s="350"/>
      <c r="I42" s="350"/>
    </row>
    <row r="43" spans="1:10" s="48" customFormat="1">
      <c r="A43" s="61"/>
      <c r="F43" s="45"/>
      <c r="G43" s="45"/>
      <c r="H43" s="45"/>
      <c r="I43" s="45"/>
      <c r="J43" s="45"/>
    </row>
    <row r="44" spans="1:10" s="48" customFormat="1">
      <c r="A44" s="61"/>
      <c r="F44" s="45"/>
      <c r="G44" s="45"/>
      <c r="H44" s="45"/>
      <c r="I44" s="45"/>
      <c r="J44" s="45"/>
    </row>
    <row r="45" spans="1:10" s="48" customFormat="1">
      <c r="A45" s="61"/>
      <c r="E45" s="251"/>
      <c r="F45" s="218"/>
      <c r="G45" s="218"/>
      <c r="H45" s="218"/>
      <c r="I45" s="218"/>
      <c r="J45" s="45"/>
    </row>
    <row r="46" spans="1:10" s="48" customFormat="1">
      <c r="A46" s="61"/>
      <c r="E46" s="251"/>
      <c r="F46" s="220"/>
      <c r="G46" s="220"/>
      <c r="H46" s="220"/>
      <c r="I46" s="220"/>
      <c r="J46" s="45"/>
    </row>
    <row r="47" spans="1:10" s="48" customFormat="1">
      <c r="A47" s="61"/>
      <c r="E47" s="252"/>
      <c r="F47" s="219"/>
      <c r="G47" s="219"/>
      <c r="H47" s="219"/>
      <c r="I47" s="219"/>
      <c r="J47" s="45"/>
    </row>
    <row r="48" spans="1:10" s="48" customFormat="1">
      <c r="A48" s="61"/>
      <c r="E48" s="252"/>
      <c r="F48" s="219"/>
      <c r="G48" s="219"/>
      <c r="H48" s="219"/>
      <c r="I48" s="219"/>
      <c r="J48" s="45"/>
    </row>
    <row r="49" spans="1:10" s="48" customFormat="1">
      <c r="A49" s="61"/>
      <c r="F49" s="45"/>
      <c r="G49" s="45"/>
      <c r="H49" s="45"/>
      <c r="I49" s="45"/>
      <c r="J49" s="45"/>
    </row>
    <row r="50" spans="1:10" s="48" customFormat="1">
      <c r="A50" s="61"/>
      <c r="F50" s="45"/>
      <c r="G50" s="45"/>
      <c r="H50" s="45"/>
      <c r="I50" s="45"/>
      <c r="J50" s="45"/>
    </row>
    <row r="51" spans="1:10" s="48" customFormat="1">
      <c r="A51" s="61"/>
      <c r="F51" s="45"/>
      <c r="G51" s="45"/>
      <c r="H51" s="45"/>
      <c r="I51" s="45"/>
      <c r="J51" s="45"/>
    </row>
    <row r="52" spans="1:10" s="48" customFormat="1">
      <c r="A52" s="61"/>
      <c r="F52" s="45"/>
      <c r="G52" s="45"/>
      <c r="H52" s="45"/>
      <c r="I52" s="45"/>
      <c r="J52" s="45"/>
    </row>
    <row r="53" spans="1:10" s="48" customFormat="1">
      <c r="A53" s="61"/>
      <c r="F53" s="45"/>
      <c r="G53" s="45"/>
      <c r="H53" s="45"/>
      <c r="I53" s="45"/>
      <c r="J53" s="45"/>
    </row>
    <row r="54" spans="1:10" s="48" customFormat="1">
      <c r="A54" s="61"/>
      <c r="F54" s="45"/>
      <c r="G54" s="45"/>
      <c r="H54" s="45"/>
      <c r="I54" s="45"/>
      <c r="J54" s="45"/>
    </row>
    <row r="55" spans="1:10" s="48" customFormat="1">
      <c r="A55" s="61"/>
      <c r="F55" s="45"/>
      <c r="G55" s="45"/>
      <c r="H55" s="45"/>
      <c r="I55" s="45"/>
      <c r="J55" s="45"/>
    </row>
    <row r="56" spans="1:10" s="48" customFormat="1">
      <c r="A56" s="61"/>
      <c r="F56" s="45"/>
      <c r="G56" s="45"/>
      <c r="H56" s="45"/>
      <c r="I56" s="45"/>
      <c r="J56" s="45"/>
    </row>
    <row r="57" spans="1:10" s="48" customFormat="1">
      <c r="A57" s="61"/>
      <c r="F57" s="45"/>
      <c r="G57" s="45"/>
      <c r="H57" s="45"/>
      <c r="I57" s="45"/>
      <c r="J57" s="45"/>
    </row>
    <row r="58" spans="1:10" s="48" customFormat="1">
      <c r="A58" s="61"/>
      <c r="F58" s="45"/>
      <c r="G58" s="45"/>
      <c r="H58" s="45"/>
      <c r="I58" s="45"/>
      <c r="J58" s="45"/>
    </row>
    <row r="59" spans="1:10" s="48" customFormat="1">
      <c r="A59" s="61"/>
      <c r="F59" s="45"/>
      <c r="G59" s="45"/>
      <c r="H59" s="45"/>
      <c r="I59" s="45"/>
      <c r="J59" s="45"/>
    </row>
    <row r="60" spans="1:10" s="48" customFormat="1">
      <c r="A60" s="61"/>
      <c r="F60" s="45"/>
      <c r="G60" s="45"/>
      <c r="H60" s="45"/>
      <c r="I60" s="45"/>
      <c r="J60" s="45"/>
    </row>
    <row r="61" spans="1:10" s="48" customFormat="1">
      <c r="A61" s="61"/>
      <c r="F61" s="45"/>
      <c r="G61" s="45"/>
      <c r="H61" s="45"/>
      <c r="I61" s="45"/>
      <c r="J61" s="45"/>
    </row>
    <row r="62" spans="1:10" s="48" customFormat="1">
      <c r="A62" s="61"/>
      <c r="F62" s="45"/>
      <c r="G62" s="45"/>
      <c r="H62" s="45"/>
      <c r="I62" s="45"/>
      <c r="J62" s="45"/>
    </row>
    <row r="63" spans="1:10" s="48" customFormat="1">
      <c r="A63" s="61"/>
      <c r="F63" s="45"/>
      <c r="G63" s="45"/>
      <c r="H63" s="45"/>
      <c r="I63" s="45"/>
      <c r="J63" s="45"/>
    </row>
    <row r="64" spans="1:10" s="48" customFormat="1">
      <c r="A64" s="61"/>
      <c r="F64" s="45"/>
      <c r="G64" s="45"/>
      <c r="H64" s="45"/>
      <c r="I64" s="45"/>
      <c r="J64" s="45"/>
    </row>
    <row r="65" spans="1:10" s="48" customFormat="1">
      <c r="A65" s="61"/>
      <c r="F65" s="45"/>
      <c r="G65" s="45"/>
      <c r="H65" s="45"/>
      <c r="I65" s="45"/>
      <c r="J65" s="45"/>
    </row>
    <row r="66" spans="1:10" s="48" customFormat="1">
      <c r="A66" s="61"/>
      <c r="F66" s="45"/>
      <c r="G66" s="45"/>
      <c r="H66" s="45"/>
      <c r="I66" s="45"/>
      <c r="J66" s="45"/>
    </row>
    <row r="67" spans="1:10" s="48" customFormat="1">
      <c r="A67" s="61"/>
      <c r="F67" s="45"/>
      <c r="G67" s="45"/>
      <c r="H67" s="45"/>
      <c r="I67" s="45"/>
      <c r="J67" s="45"/>
    </row>
    <row r="68" spans="1:10" s="48" customFormat="1">
      <c r="A68" s="61"/>
      <c r="F68" s="45"/>
      <c r="G68" s="45"/>
      <c r="H68" s="45"/>
      <c r="I68" s="45"/>
      <c r="J68" s="45"/>
    </row>
    <row r="69" spans="1:10" s="48" customFormat="1">
      <c r="A69" s="61"/>
      <c r="F69" s="45"/>
      <c r="G69" s="45"/>
      <c r="H69" s="45"/>
      <c r="I69" s="45"/>
      <c r="J69" s="45"/>
    </row>
    <row r="70" spans="1:10" s="48" customFormat="1">
      <c r="A70" s="61"/>
      <c r="F70" s="45"/>
      <c r="G70" s="45"/>
      <c r="H70" s="45"/>
      <c r="I70" s="45"/>
      <c r="J70" s="45"/>
    </row>
    <row r="71" spans="1:10" s="48" customFormat="1">
      <c r="A71" s="61"/>
      <c r="F71" s="45"/>
      <c r="G71" s="45"/>
      <c r="H71" s="45"/>
      <c r="I71" s="45"/>
      <c r="J71" s="45"/>
    </row>
    <row r="72" spans="1:10" s="48" customFormat="1">
      <c r="A72" s="61"/>
      <c r="F72" s="45"/>
      <c r="G72" s="45"/>
      <c r="H72" s="45"/>
      <c r="I72" s="45"/>
      <c r="J72" s="45"/>
    </row>
    <row r="73" spans="1:10" s="48" customFormat="1">
      <c r="A73" s="61"/>
      <c r="F73" s="45"/>
      <c r="G73" s="45"/>
      <c r="H73" s="45"/>
      <c r="I73" s="45"/>
      <c r="J73" s="45"/>
    </row>
    <row r="74" spans="1:10" s="48" customFormat="1">
      <c r="A74" s="61"/>
      <c r="F74" s="45"/>
      <c r="G74" s="45"/>
      <c r="H74" s="45"/>
      <c r="I74" s="45"/>
      <c r="J74" s="45"/>
    </row>
    <row r="75" spans="1:10" s="48" customFormat="1">
      <c r="A75" s="61"/>
      <c r="F75" s="45"/>
      <c r="G75" s="45"/>
      <c r="H75" s="45"/>
      <c r="I75" s="45"/>
      <c r="J75" s="45"/>
    </row>
    <row r="76" spans="1:10" s="48" customFormat="1">
      <c r="A76" s="61"/>
      <c r="F76" s="45"/>
      <c r="G76" s="45"/>
      <c r="H76" s="45"/>
      <c r="I76" s="45"/>
      <c r="J76" s="45"/>
    </row>
    <row r="77" spans="1:10" s="48" customFormat="1">
      <c r="A77" s="61"/>
      <c r="F77" s="45"/>
      <c r="G77" s="45"/>
      <c r="H77" s="45"/>
      <c r="I77" s="45"/>
      <c r="J77" s="45"/>
    </row>
    <row r="78" spans="1:10" s="48" customFormat="1">
      <c r="A78" s="61"/>
      <c r="F78" s="45"/>
      <c r="G78" s="45"/>
      <c r="H78" s="45"/>
      <c r="I78" s="45"/>
      <c r="J78" s="45"/>
    </row>
    <row r="79" spans="1:10" s="48" customFormat="1">
      <c r="A79" s="61"/>
      <c r="F79" s="45"/>
      <c r="G79" s="45"/>
      <c r="H79" s="45"/>
      <c r="I79" s="45"/>
      <c r="J79" s="45"/>
    </row>
    <row r="80" spans="1:10" s="48" customFormat="1">
      <c r="A80" s="61"/>
      <c r="F80" s="45"/>
      <c r="G80" s="45"/>
      <c r="H80" s="45"/>
      <c r="I80" s="45"/>
      <c r="J80" s="45"/>
    </row>
    <row r="81" spans="1:10" s="48" customFormat="1">
      <c r="A81" s="61"/>
      <c r="F81" s="45"/>
      <c r="G81" s="45"/>
      <c r="H81" s="45"/>
      <c r="I81" s="45"/>
      <c r="J81" s="45"/>
    </row>
    <row r="82" spans="1:10" s="48" customFormat="1">
      <c r="A82" s="61"/>
      <c r="F82" s="45"/>
      <c r="G82" s="45"/>
      <c r="H82" s="45"/>
      <c r="I82" s="45"/>
      <c r="J82" s="45"/>
    </row>
    <row r="83" spans="1:10" s="48" customFormat="1">
      <c r="A83" s="61"/>
      <c r="F83" s="45"/>
      <c r="G83" s="45"/>
      <c r="H83" s="45"/>
      <c r="I83" s="45"/>
      <c r="J83" s="45"/>
    </row>
    <row r="84" spans="1:10" s="48" customFormat="1">
      <c r="A84" s="61"/>
      <c r="F84" s="45"/>
      <c r="G84" s="45"/>
      <c r="H84" s="45"/>
      <c r="I84" s="45"/>
      <c r="J84" s="45"/>
    </row>
    <row r="85" spans="1:10" s="48" customFormat="1">
      <c r="A85" s="61"/>
      <c r="F85" s="45"/>
      <c r="G85" s="45"/>
      <c r="H85" s="45"/>
      <c r="I85" s="45"/>
      <c r="J85" s="45"/>
    </row>
    <row r="86" spans="1:10" s="48" customFormat="1">
      <c r="A86" s="61"/>
      <c r="F86" s="45"/>
      <c r="G86" s="45"/>
      <c r="H86" s="45"/>
      <c r="I86" s="45"/>
      <c r="J86" s="45"/>
    </row>
    <row r="87" spans="1:10" s="48" customFormat="1">
      <c r="A87" s="61"/>
      <c r="F87" s="45"/>
      <c r="G87" s="45"/>
      <c r="H87" s="45"/>
      <c r="I87" s="45"/>
      <c r="J87" s="45"/>
    </row>
    <row r="88" spans="1:10" s="48" customFormat="1">
      <c r="A88" s="61"/>
      <c r="F88" s="45"/>
      <c r="G88" s="45"/>
      <c r="H88" s="45"/>
      <c r="I88" s="45"/>
      <c r="J88" s="45"/>
    </row>
    <row r="89" spans="1:10" s="48" customFormat="1">
      <c r="A89" s="61"/>
      <c r="F89" s="45"/>
      <c r="G89" s="45"/>
      <c r="H89" s="45"/>
      <c r="I89" s="45"/>
      <c r="J89" s="45"/>
    </row>
    <row r="90" spans="1:10" s="48" customFormat="1">
      <c r="A90" s="61"/>
      <c r="F90" s="45"/>
      <c r="G90" s="45"/>
      <c r="H90" s="45"/>
      <c r="I90" s="45"/>
      <c r="J90" s="45"/>
    </row>
    <row r="91" spans="1:10" s="48" customFormat="1">
      <c r="A91" s="61"/>
      <c r="F91" s="45"/>
      <c r="G91" s="45"/>
      <c r="H91" s="45"/>
      <c r="I91" s="45"/>
      <c r="J91" s="45"/>
    </row>
    <row r="92" spans="1:10" s="48" customFormat="1">
      <c r="A92" s="61"/>
      <c r="F92" s="45"/>
      <c r="G92" s="45"/>
      <c r="H92" s="45"/>
      <c r="I92" s="45"/>
      <c r="J92" s="45"/>
    </row>
    <row r="93" spans="1:10" s="48" customFormat="1">
      <c r="A93" s="61"/>
      <c r="F93" s="45"/>
      <c r="G93" s="45"/>
      <c r="H93" s="45"/>
      <c r="I93" s="45"/>
      <c r="J93" s="45"/>
    </row>
    <row r="94" spans="1:10" s="48" customFormat="1">
      <c r="A94" s="61"/>
      <c r="F94" s="45"/>
      <c r="G94" s="45"/>
      <c r="H94" s="45"/>
      <c r="I94" s="45"/>
      <c r="J94" s="45"/>
    </row>
    <row r="95" spans="1:10" s="48" customFormat="1">
      <c r="A95" s="61"/>
      <c r="F95" s="45"/>
      <c r="G95" s="45"/>
      <c r="H95" s="45"/>
      <c r="I95" s="45"/>
      <c r="J95" s="45"/>
    </row>
    <row r="96" spans="1:10" s="48" customFormat="1">
      <c r="A96" s="61"/>
      <c r="F96" s="45"/>
      <c r="G96" s="45"/>
      <c r="H96" s="45"/>
      <c r="I96" s="45"/>
      <c r="J96" s="45"/>
    </row>
    <row r="97" spans="1:10" s="48" customFormat="1">
      <c r="A97" s="61"/>
      <c r="F97" s="45"/>
      <c r="G97" s="45"/>
      <c r="H97" s="45"/>
      <c r="I97" s="45"/>
      <c r="J97" s="45"/>
    </row>
    <row r="98" spans="1:10" s="48" customFormat="1">
      <c r="A98" s="61"/>
      <c r="F98" s="45"/>
      <c r="G98" s="45"/>
      <c r="H98" s="45"/>
      <c r="I98" s="45"/>
      <c r="J98" s="45"/>
    </row>
    <row r="99" spans="1:10" s="48" customFormat="1">
      <c r="A99" s="61"/>
      <c r="F99" s="45"/>
      <c r="G99" s="45"/>
      <c r="H99" s="45"/>
      <c r="I99" s="45"/>
      <c r="J99" s="45"/>
    </row>
    <row r="100" spans="1:10" s="48" customFormat="1">
      <c r="A100" s="61"/>
      <c r="F100" s="45"/>
      <c r="G100" s="45"/>
      <c r="H100" s="45"/>
      <c r="I100" s="45"/>
      <c r="J100" s="45"/>
    </row>
    <row r="101" spans="1:10" s="48" customFormat="1">
      <c r="A101" s="61"/>
      <c r="F101" s="45"/>
      <c r="G101" s="45"/>
      <c r="H101" s="45"/>
      <c r="I101" s="45"/>
      <c r="J101" s="45"/>
    </row>
    <row r="102" spans="1:10" s="48" customFormat="1">
      <c r="A102" s="61"/>
      <c r="F102" s="45"/>
      <c r="G102" s="45"/>
      <c r="H102" s="45"/>
      <c r="I102" s="45"/>
      <c r="J102" s="45"/>
    </row>
    <row r="103" spans="1:10" s="48" customFormat="1">
      <c r="A103" s="61"/>
      <c r="F103" s="45"/>
      <c r="G103" s="45"/>
      <c r="H103" s="45"/>
      <c r="I103" s="45"/>
      <c r="J103" s="45"/>
    </row>
    <row r="104" spans="1:10" s="48" customFormat="1">
      <c r="A104" s="61"/>
      <c r="F104" s="45"/>
      <c r="G104" s="45"/>
      <c r="H104" s="45"/>
      <c r="I104" s="45"/>
      <c r="J104" s="45"/>
    </row>
    <row r="105" spans="1:10" s="48" customFormat="1">
      <c r="A105" s="61"/>
      <c r="F105" s="45"/>
      <c r="G105" s="45"/>
      <c r="H105" s="45"/>
      <c r="I105" s="45"/>
      <c r="J105" s="45"/>
    </row>
    <row r="106" spans="1:10" s="48" customFormat="1">
      <c r="A106" s="61"/>
      <c r="F106" s="45"/>
      <c r="G106" s="45"/>
      <c r="H106" s="45"/>
      <c r="I106" s="45"/>
      <c r="J106" s="45"/>
    </row>
    <row r="107" spans="1:10" s="48" customFormat="1">
      <c r="A107" s="61"/>
      <c r="F107" s="45"/>
      <c r="G107" s="45"/>
      <c r="H107" s="45"/>
      <c r="I107" s="45"/>
      <c r="J107" s="45"/>
    </row>
    <row r="108" spans="1:10" s="48" customFormat="1">
      <c r="A108" s="61"/>
      <c r="F108" s="45"/>
      <c r="G108" s="45"/>
      <c r="H108" s="45"/>
      <c r="I108" s="45"/>
      <c r="J108" s="45"/>
    </row>
    <row r="109" spans="1:10" s="48" customFormat="1">
      <c r="A109" s="61"/>
      <c r="F109" s="45"/>
      <c r="G109" s="45"/>
      <c r="H109" s="45"/>
      <c r="I109" s="45"/>
      <c r="J109" s="45"/>
    </row>
    <row r="110" spans="1:10" s="48" customFormat="1">
      <c r="A110" s="61"/>
      <c r="F110" s="45"/>
      <c r="G110" s="45"/>
      <c r="H110" s="45"/>
      <c r="I110" s="45"/>
      <c r="J110" s="45"/>
    </row>
    <row r="111" spans="1:10" s="48" customFormat="1">
      <c r="A111" s="61"/>
      <c r="F111" s="45"/>
      <c r="G111" s="45"/>
      <c r="H111" s="45"/>
      <c r="I111" s="45"/>
      <c r="J111" s="45"/>
    </row>
    <row r="112" spans="1:10" s="48" customFormat="1">
      <c r="A112" s="61"/>
      <c r="F112" s="45"/>
      <c r="G112" s="45"/>
      <c r="H112" s="45"/>
      <c r="I112" s="45"/>
      <c r="J112" s="45"/>
    </row>
    <row r="113" spans="1:10" s="48" customFormat="1">
      <c r="A113" s="61"/>
      <c r="F113" s="45"/>
      <c r="G113" s="45"/>
      <c r="H113" s="45"/>
      <c r="I113" s="45"/>
      <c r="J113" s="45"/>
    </row>
    <row r="114" spans="1:10" s="48" customFormat="1">
      <c r="A114" s="61"/>
      <c r="F114" s="45"/>
      <c r="G114" s="45"/>
      <c r="H114" s="45"/>
      <c r="I114" s="45"/>
      <c r="J114" s="45"/>
    </row>
    <row r="115" spans="1:10" s="48" customFormat="1">
      <c r="A115" s="61"/>
      <c r="F115" s="45"/>
      <c r="G115" s="45"/>
      <c r="H115" s="45"/>
      <c r="I115" s="45"/>
      <c r="J115" s="45"/>
    </row>
    <row r="116" spans="1:10" s="48" customFormat="1">
      <c r="A116" s="61"/>
      <c r="F116" s="45"/>
      <c r="G116" s="45"/>
      <c r="H116" s="45"/>
      <c r="I116" s="45"/>
      <c r="J116" s="45"/>
    </row>
    <row r="117" spans="1:10" s="48" customFormat="1">
      <c r="A117" s="61"/>
      <c r="F117" s="45"/>
      <c r="G117" s="45"/>
      <c r="H117" s="45"/>
      <c r="I117" s="45"/>
      <c r="J117" s="45"/>
    </row>
    <row r="118" spans="1:10" s="48" customFormat="1">
      <c r="A118" s="61"/>
      <c r="F118" s="45"/>
      <c r="G118" s="45"/>
      <c r="H118" s="45"/>
      <c r="I118" s="45"/>
      <c r="J118" s="45"/>
    </row>
    <row r="119" spans="1:10" s="48" customFormat="1">
      <c r="A119" s="61"/>
      <c r="F119" s="45"/>
      <c r="G119" s="45"/>
      <c r="H119" s="45"/>
      <c r="I119" s="45"/>
      <c r="J119" s="45"/>
    </row>
    <row r="120" spans="1:10" s="48" customFormat="1">
      <c r="A120" s="61"/>
      <c r="F120" s="45"/>
      <c r="G120" s="45"/>
      <c r="H120" s="45"/>
      <c r="I120" s="45"/>
      <c r="J120" s="45"/>
    </row>
    <row r="121" spans="1:10" s="48" customFormat="1">
      <c r="A121" s="61"/>
      <c r="F121" s="45"/>
      <c r="G121" s="45"/>
      <c r="H121" s="45"/>
      <c r="I121" s="45"/>
      <c r="J121" s="45"/>
    </row>
    <row r="122" spans="1:10" s="48" customFormat="1">
      <c r="A122" s="61"/>
      <c r="F122" s="45"/>
      <c r="G122" s="45"/>
      <c r="H122" s="45"/>
      <c r="I122" s="45"/>
      <c r="J122" s="45"/>
    </row>
    <row r="123" spans="1:10" s="48" customFormat="1">
      <c r="A123" s="61"/>
      <c r="F123" s="45"/>
      <c r="G123" s="45"/>
      <c r="H123" s="45"/>
      <c r="I123" s="45"/>
      <c r="J123" s="45"/>
    </row>
    <row r="124" spans="1:10" s="48" customFormat="1">
      <c r="A124" s="61"/>
      <c r="F124" s="45"/>
      <c r="G124" s="45"/>
      <c r="H124" s="45"/>
      <c r="I124" s="45"/>
      <c r="J124" s="45"/>
    </row>
    <row r="125" spans="1:10" s="48" customFormat="1">
      <c r="A125" s="61"/>
      <c r="F125" s="45"/>
      <c r="G125" s="45"/>
      <c r="H125" s="45"/>
      <c r="I125" s="45"/>
      <c r="J125" s="45"/>
    </row>
    <row r="126" spans="1:10" s="48" customFormat="1">
      <c r="A126" s="61"/>
      <c r="F126" s="45"/>
      <c r="G126" s="45"/>
      <c r="H126" s="45"/>
      <c r="I126" s="45"/>
      <c r="J126" s="45"/>
    </row>
    <row r="127" spans="1:10" s="48" customFormat="1">
      <c r="A127" s="61"/>
      <c r="F127" s="45"/>
      <c r="G127" s="45"/>
      <c r="H127" s="45"/>
      <c r="I127" s="45"/>
      <c r="J127" s="45"/>
    </row>
    <row r="128" spans="1:10" s="48" customFormat="1">
      <c r="A128" s="61"/>
      <c r="F128" s="45"/>
      <c r="G128" s="45"/>
      <c r="H128" s="45"/>
      <c r="I128" s="45"/>
      <c r="J128" s="45"/>
    </row>
    <row r="129" spans="1:10" s="48" customFormat="1">
      <c r="A129" s="61"/>
      <c r="F129" s="45"/>
      <c r="G129" s="45"/>
      <c r="H129" s="45"/>
      <c r="I129" s="45"/>
      <c r="J129" s="45"/>
    </row>
    <row r="130" spans="1:10" s="48" customFormat="1">
      <c r="A130" s="61"/>
      <c r="F130" s="45"/>
      <c r="G130" s="45"/>
      <c r="H130" s="45"/>
      <c r="I130" s="45"/>
      <c r="J130" s="45"/>
    </row>
    <row r="131" spans="1:10" s="48" customFormat="1">
      <c r="A131" s="61"/>
      <c r="F131" s="45"/>
      <c r="G131" s="45"/>
      <c r="H131" s="45"/>
      <c r="I131" s="45"/>
      <c r="J131" s="45"/>
    </row>
    <row r="132" spans="1:10" s="48" customFormat="1">
      <c r="A132" s="61"/>
      <c r="F132" s="45"/>
      <c r="G132" s="45"/>
      <c r="H132" s="45"/>
      <c r="I132" s="45"/>
      <c r="J132" s="45"/>
    </row>
    <row r="133" spans="1:10" s="48" customFormat="1">
      <c r="A133" s="61"/>
      <c r="F133" s="45"/>
      <c r="G133" s="45"/>
      <c r="H133" s="45"/>
      <c r="I133" s="45"/>
      <c r="J133" s="45"/>
    </row>
    <row r="134" spans="1:10" s="48" customFormat="1">
      <c r="A134" s="61"/>
      <c r="F134" s="45"/>
      <c r="G134" s="45"/>
      <c r="H134" s="45"/>
      <c r="I134" s="45"/>
      <c r="J134" s="45"/>
    </row>
    <row r="135" spans="1:10" s="48" customFormat="1">
      <c r="A135" s="61"/>
      <c r="F135" s="45"/>
      <c r="G135" s="45"/>
      <c r="H135" s="45"/>
      <c r="I135" s="45"/>
      <c r="J135" s="45"/>
    </row>
    <row r="136" spans="1:10" s="48" customFormat="1">
      <c r="A136" s="61"/>
      <c r="F136" s="45"/>
      <c r="G136" s="45"/>
      <c r="H136" s="45"/>
      <c r="I136" s="45"/>
      <c r="J136" s="45"/>
    </row>
    <row r="137" spans="1:10" s="48" customFormat="1">
      <c r="A137" s="61"/>
      <c r="F137" s="45"/>
      <c r="G137" s="45"/>
      <c r="H137" s="45"/>
      <c r="I137" s="45"/>
      <c r="J137" s="45"/>
    </row>
    <row r="138" spans="1:10" s="48" customFormat="1">
      <c r="A138" s="61"/>
      <c r="F138" s="45"/>
      <c r="G138" s="45"/>
      <c r="H138" s="45"/>
      <c r="I138" s="45"/>
      <c r="J138" s="45"/>
    </row>
    <row r="139" spans="1:10" s="48" customFormat="1">
      <c r="A139" s="61"/>
      <c r="F139" s="45"/>
      <c r="G139" s="45"/>
      <c r="H139" s="45"/>
      <c r="I139" s="45"/>
      <c r="J139" s="45"/>
    </row>
    <row r="140" spans="1:10" s="48" customFormat="1">
      <c r="A140" s="61"/>
      <c r="F140" s="45"/>
      <c r="G140" s="45"/>
      <c r="H140" s="45"/>
      <c r="I140" s="45"/>
      <c r="J140" s="45"/>
    </row>
    <row r="141" spans="1:10" s="48" customFormat="1">
      <c r="A141" s="61"/>
      <c r="F141" s="45"/>
      <c r="G141" s="45"/>
      <c r="H141" s="45"/>
      <c r="I141" s="45"/>
      <c r="J141" s="45"/>
    </row>
    <row r="142" spans="1:10" s="48" customFormat="1">
      <c r="A142" s="61"/>
      <c r="F142" s="45"/>
      <c r="G142" s="45"/>
      <c r="H142" s="45"/>
      <c r="I142" s="45"/>
      <c r="J142" s="45"/>
    </row>
    <row r="143" spans="1:10" s="48" customFormat="1">
      <c r="A143" s="61"/>
      <c r="F143" s="45"/>
      <c r="G143" s="45"/>
      <c r="H143" s="45"/>
      <c r="I143" s="45"/>
      <c r="J143" s="45"/>
    </row>
    <row r="144" spans="1:10" s="48" customFormat="1">
      <c r="A144" s="61"/>
      <c r="F144" s="45"/>
      <c r="G144" s="45"/>
      <c r="H144" s="45"/>
      <c r="I144" s="45"/>
      <c r="J144" s="45"/>
    </row>
    <row r="145" spans="1:10" s="48" customFormat="1">
      <c r="A145" s="61"/>
      <c r="F145" s="45"/>
      <c r="G145" s="45"/>
      <c r="H145" s="45"/>
      <c r="I145" s="45"/>
      <c r="J145" s="45"/>
    </row>
    <row r="146" spans="1:10" s="48" customFormat="1">
      <c r="A146" s="61"/>
      <c r="F146" s="45"/>
      <c r="G146" s="45"/>
      <c r="H146" s="45"/>
      <c r="I146" s="45"/>
      <c r="J146" s="45"/>
    </row>
    <row r="147" spans="1:10" s="48" customFormat="1">
      <c r="A147" s="61"/>
      <c r="F147" s="45"/>
      <c r="G147" s="45"/>
      <c r="H147" s="45"/>
      <c r="I147" s="45"/>
      <c r="J147" s="45"/>
    </row>
    <row r="148" spans="1:10" s="48" customFormat="1">
      <c r="A148" s="61"/>
      <c r="F148" s="45"/>
      <c r="G148" s="45"/>
      <c r="H148" s="45"/>
      <c r="I148" s="45"/>
      <c r="J148" s="45"/>
    </row>
    <row r="149" spans="1:10" s="48" customFormat="1">
      <c r="A149" s="61"/>
      <c r="F149" s="45"/>
      <c r="G149" s="45"/>
      <c r="H149" s="45"/>
      <c r="I149" s="45"/>
      <c r="J149" s="45"/>
    </row>
    <row r="150" spans="1:10" s="48" customFormat="1">
      <c r="A150" s="61"/>
      <c r="F150" s="45"/>
      <c r="G150" s="45"/>
      <c r="H150" s="45"/>
      <c r="I150" s="45"/>
      <c r="J150" s="45"/>
    </row>
    <row r="151" spans="1:10" s="48" customFormat="1">
      <c r="A151" s="61"/>
      <c r="F151" s="45"/>
      <c r="G151" s="45"/>
      <c r="H151" s="45"/>
      <c r="I151" s="45"/>
      <c r="J151" s="45"/>
    </row>
    <row r="152" spans="1:10" s="48" customFormat="1">
      <c r="A152" s="61"/>
      <c r="F152" s="45"/>
      <c r="G152" s="45"/>
      <c r="H152" s="45"/>
      <c r="I152" s="45"/>
      <c r="J152" s="45"/>
    </row>
    <row r="153" spans="1:10" s="48" customFormat="1">
      <c r="A153" s="61"/>
      <c r="F153" s="45"/>
      <c r="G153" s="45"/>
      <c r="H153" s="45"/>
      <c r="I153" s="45"/>
      <c r="J153" s="45"/>
    </row>
    <row r="154" spans="1:10" s="48" customFormat="1">
      <c r="A154" s="61"/>
      <c r="F154" s="45"/>
      <c r="G154" s="45"/>
      <c r="H154" s="45"/>
      <c r="I154" s="45"/>
      <c r="J154" s="45"/>
    </row>
    <row r="155" spans="1:10" s="48" customFormat="1">
      <c r="A155" s="61"/>
      <c r="F155" s="45"/>
      <c r="G155" s="45"/>
      <c r="H155" s="45"/>
      <c r="I155" s="45"/>
      <c r="J155" s="45"/>
    </row>
    <row r="156" spans="1:10" s="48" customFormat="1">
      <c r="A156" s="61"/>
      <c r="F156" s="45"/>
      <c r="G156" s="45"/>
      <c r="H156" s="45"/>
      <c r="I156" s="45"/>
      <c r="J156" s="45"/>
    </row>
    <row r="157" spans="1:10" s="48" customFormat="1">
      <c r="A157" s="61"/>
      <c r="F157" s="45"/>
      <c r="G157" s="45"/>
      <c r="H157" s="45"/>
      <c r="I157" s="45"/>
      <c r="J157" s="45"/>
    </row>
    <row r="158" spans="1:10" s="48" customFormat="1">
      <c r="A158" s="61"/>
      <c r="F158" s="45"/>
      <c r="G158" s="45"/>
      <c r="H158" s="45"/>
      <c r="I158" s="45"/>
      <c r="J158" s="45"/>
    </row>
    <row r="159" spans="1:10" s="48" customFormat="1">
      <c r="A159" s="61"/>
      <c r="F159" s="45"/>
      <c r="G159" s="45"/>
      <c r="H159" s="45"/>
      <c r="I159" s="45"/>
      <c r="J159" s="45"/>
    </row>
    <row r="160" spans="1:10" s="48" customFormat="1">
      <c r="A160" s="61"/>
      <c r="F160" s="45"/>
      <c r="G160" s="45"/>
      <c r="H160" s="45"/>
      <c r="I160" s="45"/>
      <c r="J160" s="45"/>
    </row>
    <row r="161" spans="1:10" s="48" customFormat="1">
      <c r="A161" s="61"/>
      <c r="F161" s="45"/>
      <c r="G161" s="45"/>
      <c r="H161" s="45"/>
      <c r="I161" s="45"/>
      <c r="J161" s="45"/>
    </row>
    <row r="162" spans="1:10" s="48" customFormat="1">
      <c r="A162" s="61"/>
      <c r="F162" s="45"/>
      <c r="G162" s="45"/>
      <c r="H162" s="45"/>
      <c r="I162" s="45"/>
      <c r="J162" s="45"/>
    </row>
    <row r="163" spans="1:10" s="48" customFormat="1">
      <c r="A163" s="61"/>
      <c r="F163" s="45"/>
      <c r="G163" s="45"/>
      <c r="H163" s="45"/>
      <c r="I163" s="45"/>
      <c r="J163" s="45"/>
    </row>
    <row r="164" spans="1:10" s="48" customFormat="1">
      <c r="A164" s="61"/>
      <c r="F164" s="45"/>
      <c r="G164" s="45"/>
      <c r="H164" s="45"/>
      <c r="I164" s="45"/>
      <c r="J164" s="45"/>
    </row>
    <row r="165" spans="1:10" s="48" customFormat="1">
      <c r="A165" s="61"/>
      <c r="F165" s="45"/>
      <c r="G165" s="45"/>
      <c r="H165" s="45"/>
      <c r="I165" s="45"/>
      <c r="J165" s="45"/>
    </row>
    <row r="166" spans="1:10" s="48" customFormat="1">
      <c r="A166" s="61"/>
      <c r="F166" s="45"/>
      <c r="G166" s="45"/>
      <c r="H166" s="45"/>
      <c r="I166" s="45"/>
      <c r="J166" s="45"/>
    </row>
    <row r="167" spans="1:10" s="48" customFormat="1">
      <c r="A167" s="61"/>
      <c r="F167" s="45"/>
      <c r="G167" s="45"/>
      <c r="H167" s="45"/>
      <c r="I167" s="45"/>
      <c r="J167" s="45"/>
    </row>
    <row r="168" spans="1:10" s="48" customFormat="1">
      <c r="A168" s="61"/>
      <c r="F168" s="45"/>
      <c r="G168" s="45"/>
      <c r="H168" s="45"/>
      <c r="I168" s="45"/>
      <c r="J168" s="45"/>
    </row>
    <row r="169" spans="1:10" s="48" customFormat="1">
      <c r="A169" s="61"/>
      <c r="F169" s="45"/>
      <c r="G169" s="45"/>
      <c r="H169" s="45"/>
      <c r="I169" s="45"/>
      <c r="J169" s="45"/>
    </row>
    <row r="170" spans="1:10" s="48" customFormat="1">
      <c r="A170" s="61"/>
      <c r="F170" s="45"/>
      <c r="G170" s="45"/>
      <c r="H170" s="45"/>
      <c r="I170" s="45"/>
      <c r="J170" s="45"/>
    </row>
    <row r="171" spans="1:10" s="48" customFormat="1">
      <c r="A171" s="61"/>
      <c r="F171" s="45"/>
      <c r="G171" s="45"/>
      <c r="H171" s="45"/>
      <c r="I171" s="45"/>
      <c r="J171" s="45"/>
    </row>
    <row r="172" spans="1:10" s="48" customFormat="1">
      <c r="A172" s="61"/>
      <c r="F172" s="45"/>
      <c r="G172" s="45"/>
      <c r="H172" s="45"/>
      <c r="I172" s="45"/>
      <c r="J172" s="45"/>
    </row>
    <row r="173" spans="1:10" s="48" customFormat="1">
      <c r="A173" s="61"/>
      <c r="F173" s="45"/>
      <c r="G173" s="45"/>
      <c r="H173" s="45"/>
      <c r="I173" s="45"/>
      <c r="J173" s="45"/>
    </row>
    <row r="174" spans="1:10" s="48" customFormat="1">
      <c r="A174" s="61"/>
      <c r="F174" s="45"/>
      <c r="G174" s="45"/>
      <c r="H174" s="45"/>
      <c r="I174" s="45"/>
      <c r="J174" s="45"/>
    </row>
    <row r="175" spans="1:10" s="48" customFormat="1">
      <c r="A175" s="61"/>
      <c r="F175" s="45"/>
      <c r="G175" s="45"/>
      <c r="H175" s="45"/>
      <c r="I175" s="45"/>
      <c r="J175" s="45"/>
    </row>
    <row r="176" spans="1:10" s="48" customFormat="1">
      <c r="A176" s="61"/>
      <c r="F176" s="45"/>
      <c r="G176" s="45"/>
      <c r="H176" s="45"/>
      <c r="I176" s="45"/>
      <c r="J176" s="45"/>
    </row>
    <row r="177" spans="1:10" s="48" customFormat="1">
      <c r="A177" s="61"/>
      <c r="F177" s="45"/>
      <c r="G177" s="45"/>
      <c r="H177" s="45"/>
      <c r="I177" s="45"/>
      <c r="J177" s="45"/>
    </row>
    <row r="178" spans="1:10" s="48" customFormat="1">
      <c r="A178" s="61"/>
      <c r="F178" s="45"/>
      <c r="G178" s="45"/>
      <c r="H178" s="45"/>
      <c r="I178" s="45"/>
      <c r="J178" s="45"/>
    </row>
    <row r="179" spans="1:10" s="48" customFormat="1">
      <c r="A179" s="61"/>
      <c r="F179" s="45"/>
      <c r="G179" s="45"/>
      <c r="H179" s="45"/>
      <c r="I179" s="45"/>
      <c r="J179" s="45"/>
    </row>
    <row r="180" spans="1:10" s="48" customFormat="1">
      <c r="A180" s="61"/>
      <c r="F180" s="45"/>
      <c r="G180" s="45"/>
      <c r="H180" s="45"/>
      <c r="I180" s="45"/>
      <c r="J180" s="45"/>
    </row>
    <row r="181" spans="1:10" s="48" customFormat="1">
      <c r="A181" s="61"/>
      <c r="F181" s="45"/>
      <c r="G181" s="45"/>
      <c r="H181" s="45"/>
      <c r="I181" s="45"/>
      <c r="J181" s="45"/>
    </row>
    <row r="182" spans="1:10" s="48" customFormat="1">
      <c r="A182" s="61"/>
      <c r="F182" s="45"/>
      <c r="G182" s="45"/>
      <c r="H182" s="45"/>
      <c r="I182" s="45"/>
      <c r="J182" s="45"/>
    </row>
    <row r="183" spans="1:10" s="48" customFormat="1">
      <c r="A183" s="61"/>
      <c r="F183" s="45"/>
      <c r="G183" s="45"/>
      <c r="H183" s="45"/>
      <c r="I183" s="45"/>
      <c r="J183" s="45"/>
    </row>
    <row r="184" spans="1:10" s="48" customFormat="1">
      <c r="A184" s="61"/>
      <c r="F184" s="45"/>
      <c r="G184" s="45"/>
      <c r="H184" s="45"/>
      <c r="I184" s="45"/>
      <c r="J184" s="45"/>
    </row>
    <row r="185" spans="1:10" s="48" customFormat="1">
      <c r="A185" s="61"/>
      <c r="F185" s="45"/>
      <c r="G185" s="45"/>
      <c r="H185" s="45"/>
      <c r="I185" s="45"/>
      <c r="J185" s="45"/>
    </row>
    <row r="186" spans="1:10" s="48" customFormat="1">
      <c r="A186" s="61"/>
      <c r="F186" s="45"/>
      <c r="G186" s="45"/>
      <c r="H186" s="45"/>
      <c r="I186" s="45"/>
      <c r="J186" s="45"/>
    </row>
    <row r="187" spans="1:10" s="48" customFormat="1">
      <c r="A187" s="61"/>
      <c r="F187" s="45"/>
      <c r="G187" s="45"/>
      <c r="H187" s="45"/>
      <c r="I187" s="45"/>
      <c r="J187" s="45"/>
    </row>
    <row r="188" spans="1:10" s="48" customFormat="1">
      <c r="A188" s="61"/>
      <c r="F188" s="45"/>
      <c r="G188" s="45"/>
      <c r="H188" s="45"/>
      <c r="I188" s="45"/>
      <c r="J188" s="45"/>
    </row>
    <row r="189" spans="1:10" s="48" customFormat="1">
      <c r="A189" s="61"/>
      <c r="F189" s="45"/>
      <c r="G189" s="45"/>
      <c r="H189" s="45"/>
      <c r="I189" s="45"/>
      <c r="J189" s="45"/>
    </row>
    <row r="190" spans="1:10" s="48" customFormat="1">
      <c r="A190" s="61"/>
      <c r="F190" s="45"/>
      <c r="G190" s="45"/>
      <c r="H190" s="45"/>
      <c r="I190" s="45"/>
      <c r="J190" s="45"/>
    </row>
    <row r="191" spans="1:10" s="48" customFormat="1">
      <c r="A191" s="61"/>
      <c r="F191" s="45"/>
      <c r="G191" s="45"/>
      <c r="H191" s="45"/>
      <c r="I191" s="45"/>
      <c r="J191" s="45"/>
    </row>
    <row r="192" spans="1:10" s="48" customFormat="1">
      <c r="A192" s="61"/>
      <c r="F192" s="45"/>
      <c r="G192" s="45"/>
      <c r="H192" s="45"/>
      <c r="I192" s="45"/>
      <c r="J192" s="45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J7" sqref="J7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13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  <mergeCell ref="G41:I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116"/>
  <sheetViews>
    <sheetView view="pageBreakPreview" topLeftCell="A82" zoomScale="75" zoomScaleNormal="75" zoomScaleSheetLayoutView="50" workbookViewId="0">
      <selection activeCell="I7" sqref="I7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371" t="s">
        <v>372</v>
      </c>
      <c r="B1" s="371"/>
      <c r="C1" s="371"/>
      <c r="D1" s="371"/>
      <c r="E1" s="371"/>
      <c r="F1" s="371"/>
      <c r="G1" s="371"/>
      <c r="H1" s="371"/>
      <c r="I1" s="371"/>
    </row>
    <row r="2" spans="1:9" outlineLevel="1">
      <c r="A2" s="21"/>
      <c r="B2" s="21"/>
      <c r="C2" s="21"/>
      <c r="D2" s="21"/>
      <c r="E2" s="21"/>
      <c r="F2" s="21"/>
      <c r="G2" s="21"/>
      <c r="H2" s="21"/>
      <c r="I2" s="21"/>
    </row>
    <row r="3" spans="1:9" ht="48" customHeight="1">
      <c r="A3" s="372" t="s">
        <v>272</v>
      </c>
      <c r="B3" s="370" t="s">
        <v>0</v>
      </c>
      <c r="C3" s="374" t="s">
        <v>31</v>
      </c>
      <c r="D3" s="374" t="s">
        <v>70</v>
      </c>
      <c r="E3" s="370" t="s">
        <v>181</v>
      </c>
      <c r="F3" s="351" t="s">
        <v>364</v>
      </c>
      <c r="G3" s="351"/>
      <c r="H3" s="351"/>
      <c r="I3" s="351"/>
    </row>
    <row r="4" spans="1:9" ht="38.25" customHeight="1">
      <c r="A4" s="373"/>
      <c r="B4" s="370"/>
      <c r="C4" s="374"/>
      <c r="D4" s="374"/>
      <c r="E4" s="370"/>
      <c r="F4" s="13" t="s">
        <v>373</v>
      </c>
      <c r="G4" s="13" t="s">
        <v>366</v>
      </c>
      <c r="H4" s="13" t="s">
        <v>367</v>
      </c>
      <c r="I4" s="13" t="s">
        <v>86</v>
      </c>
    </row>
    <row r="5" spans="1:9" ht="18" customHeight="1">
      <c r="A5" s="7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59" customFormat="1" ht="20.100000000000001" customHeight="1">
      <c r="A6" s="362" t="s">
        <v>171</v>
      </c>
      <c r="B6" s="363"/>
      <c r="C6" s="363"/>
      <c r="D6" s="363"/>
      <c r="E6" s="363"/>
      <c r="F6" s="363"/>
      <c r="G6" s="363"/>
      <c r="H6" s="363"/>
      <c r="I6" s="364"/>
    </row>
    <row r="7" spans="1:9" ht="37.5">
      <c r="A7" s="46" t="s">
        <v>191</v>
      </c>
      <c r="B7" s="9">
        <v>1170</v>
      </c>
      <c r="C7" s="169">
        <f>'I. Фін результат'!C75</f>
        <v>38</v>
      </c>
      <c r="D7" s="169">
        <f>'I. Фін результат'!D75</f>
        <v>77</v>
      </c>
      <c r="E7" s="169">
        <f>'I. Фін результат'!E75</f>
        <v>57</v>
      </c>
      <c r="F7" s="169">
        <f>'I. Фін результат'!F75</f>
        <v>427</v>
      </c>
      <c r="G7" s="169">
        <f>'I. Фін результат'!G75</f>
        <v>757</v>
      </c>
      <c r="H7" s="169">
        <f>'I. Фін результат'!H75</f>
        <v>112.5</v>
      </c>
      <c r="I7" s="169">
        <f>'I. Фін результат'!I75</f>
        <v>74</v>
      </c>
    </row>
    <row r="8" spans="1:9" ht="20.100000000000001" customHeight="1">
      <c r="A8" s="46" t="s">
        <v>192</v>
      </c>
      <c r="B8" s="14"/>
      <c r="C8" s="173"/>
      <c r="D8" s="173"/>
      <c r="E8" s="173"/>
      <c r="F8" s="173"/>
      <c r="G8" s="173"/>
      <c r="H8" s="173"/>
      <c r="I8" s="173"/>
    </row>
    <row r="9" spans="1:9" ht="20.100000000000001" customHeight="1">
      <c r="A9" s="46" t="s">
        <v>195</v>
      </c>
      <c r="B9" s="6">
        <v>3000</v>
      </c>
      <c r="C9" s="169">
        <f>'I. Фін результат'!C101</f>
        <v>260</v>
      </c>
      <c r="D9" s="169">
        <f>'I. Фін результат'!D101</f>
        <v>268</v>
      </c>
      <c r="E9" s="169">
        <f>'I. Фін результат'!E101</f>
        <v>268</v>
      </c>
      <c r="F9" s="169">
        <f>'I. Фін результат'!F101</f>
        <v>36</v>
      </c>
      <c r="G9" s="169">
        <f>'I. Фін результат'!G101</f>
        <v>175</v>
      </c>
      <c r="H9" s="169">
        <f>'I. Фін результат'!H101</f>
        <v>254</v>
      </c>
      <c r="I9" s="169">
        <f>'I. Фін результат'!I101</f>
        <v>293</v>
      </c>
    </row>
    <row r="10" spans="1:9" ht="20.100000000000001" customHeight="1">
      <c r="A10" s="46" t="s">
        <v>196</v>
      </c>
      <c r="B10" s="6">
        <v>3010</v>
      </c>
      <c r="C10" s="168"/>
      <c r="D10" s="168"/>
      <c r="E10" s="168"/>
      <c r="F10" s="168"/>
      <c r="G10" s="168"/>
      <c r="H10" s="168"/>
      <c r="I10" s="168"/>
    </row>
    <row r="11" spans="1:9" ht="37.5">
      <c r="A11" s="46" t="s">
        <v>197</v>
      </c>
      <c r="B11" s="6">
        <v>3020</v>
      </c>
      <c r="C11" s="168"/>
      <c r="D11" s="168"/>
      <c r="E11" s="168"/>
      <c r="F11" s="168"/>
      <c r="G11" s="168"/>
      <c r="H11" s="168"/>
      <c r="I11" s="168"/>
    </row>
    <row r="12" spans="1:9" ht="56.25">
      <c r="A12" s="46" t="s">
        <v>198</v>
      </c>
      <c r="B12" s="6">
        <v>3030</v>
      </c>
      <c r="C12" s="168">
        <f>C13+C14</f>
        <v>-207</v>
      </c>
      <c r="D12" s="168">
        <f t="shared" ref="D12:I12" si="0">D13+D14</f>
        <v>0</v>
      </c>
      <c r="E12" s="168">
        <f t="shared" si="0"/>
        <v>0</v>
      </c>
      <c r="F12" s="168">
        <f t="shared" si="0"/>
        <v>0</v>
      </c>
      <c r="G12" s="168">
        <f t="shared" si="0"/>
        <v>0</v>
      </c>
      <c r="H12" s="168">
        <f t="shared" si="0"/>
        <v>0</v>
      </c>
      <c r="I12" s="168">
        <f t="shared" si="0"/>
        <v>0</v>
      </c>
    </row>
    <row r="13" spans="1:9" ht="37.5">
      <c r="A13" s="46" t="s">
        <v>445</v>
      </c>
      <c r="B13" s="231" t="s">
        <v>446</v>
      </c>
      <c r="C13" s="168">
        <v>-235</v>
      </c>
      <c r="D13" s="168">
        <v>0</v>
      </c>
      <c r="E13" s="168"/>
      <c r="F13" s="168">
        <f>-'I. Фін результат'!F71</f>
        <v>0</v>
      </c>
      <c r="G13" s="168">
        <f>-'I. Фін результат'!G71</f>
        <v>0</v>
      </c>
      <c r="H13" s="168">
        <f>-'I. Фін результат'!H71</f>
        <v>0</v>
      </c>
      <c r="I13" s="168">
        <f>-'I. Фін результат'!I71</f>
        <v>0</v>
      </c>
    </row>
    <row r="14" spans="1:9" ht="23.25" customHeight="1">
      <c r="A14" s="46" t="s">
        <v>452</v>
      </c>
      <c r="B14" s="231" t="s">
        <v>453</v>
      </c>
      <c r="C14" s="168">
        <v>28</v>
      </c>
      <c r="D14" s="168">
        <v>0</v>
      </c>
      <c r="E14" s="168">
        <v>0</v>
      </c>
      <c r="F14" s="168"/>
      <c r="G14" s="168"/>
      <c r="H14" s="168"/>
      <c r="I14" s="168"/>
    </row>
    <row r="15" spans="1:9" ht="42.75" customHeight="1">
      <c r="A15" s="58" t="s">
        <v>258</v>
      </c>
      <c r="B15" s="91">
        <v>3040</v>
      </c>
      <c r="C15" s="170">
        <f t="shared" ref="C15:I15" si="1">SUM(C7:C12)</f>
        <v>91</v>
      </c>
      <c r="D15" s="170">
        <f>SUM(D7:D12)</f>
        <v>345</v>
      </c>
      <c r="E15" s="170">
        <f t="shared" si="1"/>
        <v>325</v>
      </c>
      <c r="F15" s="170">
        <f t="shared" si="1"/>
        <v>463</v>
      </c>
      <c r="G15" s="170">
        <f t="shared" si="1"/>
        <v>932</v>
      </c>
      <c r="H15" s="170">
        <f t="shared" si="1"/>
        <v>366.5</v>
      </c>
      <c r="I15" s="170">
        <f t="shared" si="1"/>
        <v>367</v>
      </c>
    </row>
    <row r="16" spans="1:9" ht="37.5">
      <c r="A16" s="46" t="s">
        <v>199</v>
      </c>
      <c r="B16" s="6">
        <v>3050</v>
      </c>
      <c r="C16" s="168">
        <f>SUM(C17:C20)</f>
        <v>-277</v>
      </c>
      <c r="D16" s="168"/>
      <c r="E16" s="168">
        <f>E17+E18+E19+E20</f>
        <v>79</v>
      </c>
      <c r="F16" s="168"/>
      <c r="G16" s="168"/>
      <c r="H16" s="168"/>
      <c r="I16" s="168"/>
    </row>
    <row r="17" spans="1:9">
      <c r="A17" s="46" t="s">
        <v>447</v>
      </c>
      <c r="B17" s="6" t="s">
        <v>422</v>
      </c>
      <c r="C17" s="168">
        <v>-257</v>
      </c>
      <c r="D17" s="168"/>
      <c r="E17" s="168">
        <v>79</v>
      </c>
      <c r="F17" s="168"/>
      <c r="G17" s="168"/>
      <c r="H17" s="168"/>
      <c r="I17" s="168"/>
    </row>
    <row r="18" spans="1:9">
      <c r="A18" s="46" t="s">
        <v>448</v>
      </c>
      <c r="B18" s="231" t="s">
        <v>423</v>
      </c>
      <c r="C18" s="168">
        <v>-90</v>
      </c>
      <c r="D18" s="168"/>
      <c r="E18" s="168"/>
      <c r="F18" s="168"/>
      <c r="G18" s="168"/>
      <c r="H18" s="168"/>
      <c r="I18" s="168"/>
    </row>
    <row r="19" spans="1:9">
      <c r="A19" s="46" t="s">
        <v>449</v>
      </c>
      <c r="B19" s="231" t="s">
        <v>450</v>
      </c>
      <c r="C19" s="168">
        <v>70</v>
      </c>
      <c r="D19" s="168"/>
      <c r="E19" s="168"/>
      <c r="F19" s="168"/>
      <c r="G19" s="168"/>
      <c r="H19" s="168"/>
      <c r="I19" s="168"/>
    </row>
    <row r="20" spans="1:9">
      <c r="A20" s="46" t="s">
        <v>421</v>
      </c>
      <c r="B20" s="231" t="s">
        <v>451</v>
      </c>
      <c r="C20" s="168"/>
      <c r="D20" s="168"/>
      <c r="E20" s="168"/>
      <c r="F20" s="168"/>
      <c r="G20" s="168"/>
      <c r="H20" s="168"/>
      <c r="I20" s="168"/>
    </row>
    <row r="21" spans="1:9" ht="37.5">
      <c r="A21" s="46" t="s">
        <v>200</v>
      </c>
      <c r="B21" s="6">
        <v>3060</v>
      </c>
      <c r="C21" s="168">
        <f t="shared" ref="C21" si="2">SUM(C22:C24)</f>
        <v>919</v>
      </c>
      <c r="D21" s="168"/>
      <c r="E21" s="168"/>
      <c r="F21" s="168"/>
      <c r="G21" s="168"/>
      <c r="H21" s="168"/>
      <c r="I21" s="168"/>
    </row>
    <row r="22" spans="1:9">
      <c r="A22" s="46" t="s">
        <v>454</v>
      </c>
      <c r="B22" s="6" t="s">
        <v>424</v>
      </c>
      <c r="C22" s="168">
        <v>-567</v>
      </c>
      <c r="D22" s="168"/>
      <c r="E22" s="168"/>
      <c r="F22" s="168"/>
      <c r="G22" s="168"/>
      <c r="H22" s="168"/>
      <c r="I22" s="168"/>
    </row>
    <row r="23" spans="1:9">
      <c r="A23" s="46" t="s">
        <v>455</v>
      </c>
      <c r="B23" s="6" t="s">
        <v>425</v>
      </c>
      <c r="C23" s="168">
        <v>1447</v>
      </c>
      <c r="D23" s="168"/>
      <c r="E23" s="168"/>
      <c r="F23" s="168"/>
      <c r="G23" s="168"/>
      <c r="H23" s="168"/>
      <c r="I23" s="168"/>
    </row>
    <row r="24" spans="1:9">
      <c r="A24" s="46" t="s">
        <v>456</v>
      </c>
      <c r="B24" s="231" t="s">
        <v>457</v>
      </c>
      <c r="C24" s="168">
        <v>39</v>
      </c>
      <c r="D24" s="168"/>
      <c r="E24" s="168"/>
      <c r="F24" s="168"/>
      <c r="G24" s="168"/>
      <c r="H24" s="168"/>
      <c r="I24" s="168"/>
    </row>
    <row r="25" spans="1:9" ht="20.100000000000001" customHeight="1">
      <c r="A25" s="58" t="s">
        <v>193</v>
      </c>
      <c r="B25" s="91">
        <v>3070</v>
      </c>
      <c r="C25" s="170">
        <f>C15+C16+C21</f>
        <v>733</v>
      </c>
      <c r="D25" s="170">
        <f t="shared" ref="D25:I25" si="3">D15+D16+D21</f>
        <v>345</v>
      </c>
      <c r="E25" s="170">
        <f t="shared" si="3"/>
        <v>404</v>
      </c>
      <c r="F25" s="170">
        <f t="shared" si="3"/>
        <v>463</v>
      </c>
      <c r="G25" s="170">
        <f t="shared" si="3"/>
        <v>932</v>
      </c>
      <c r="H25" s="170">
        <f t="shared" si="3"/>
        <v>366.5</v>
      </c>
      <c r="I25" s="170">
        <f t="shared" si="3"/>
        <v>367</v>
      </c>
    </row>
    <row r="26" spans="1:9" ht="20.100000000000001" customHeight="1">
      <c r="A26" s="46" t="s">
        <v>194</v>
      </c>
      <c r="B26" s="6">
        <v>3080</v>
      </c>
      <c r="C26" s="169">
        <f>'I. Фін результат'!C76</f>
        <v>6.84</v>
      </c>
      <c r="D26" s="169">
        <v>14</v>
      </c>
      <c r="E26" s="169">
        <f>'I. Фін результат'!E76</f>
        <v>10.26</v>
      </c>
      <c r="F26" s="169">
        <f>'I. Фін результат'!F76</f>
        <v>0</v>
      </c>
      <c r="G26" s="169">
        <f>'I. Фін результат'!G76</f>
        <v>0</v>
      </c>
      <c r="H26" s="169">
        <f>'I. Фін результат'!H76</f>
        <v>0</v>
      </c>
      <c r="I26" s="169">
        <f>'I. Фін результат'!I76</f>
        <v>13</v>
      </c>
    </row>
    <row r="27" spans="1:9" ht="37.5">
      <c r="A27" s="10" t="s">
        <v>170</v>
      </c>
      <c r="B27" s="91">
        <v>3090</v>
      </c>
      <c r="C27" s="170">
        <f>C25-C26</f>
        <v>726.16</v>
      </c>
      <c r="D27" s="170">
        <f t="shared" ref="D27:I27" si="4">D25-D26</f>
        <v>331</v>
      </c>
      <c r="E27" s="170">
        <f t="shared" si="4"/>
        <v>393.74</v>
      </c>
      <c r="F27" s="170">
        <f t="shared" si="4"/>
        <v>463</v>
      </c>
      <c r="G27" s="170">
        <f t="shared" si="4"/>
        <v>932</v>
      </c>
      <c r="H27" s="170">
        <f t="shared" si="4"/>
        <v>366.5</v>
      </c>
      <c r="I27" s="170">
        <f t="shared" si="4"/>
        <v>354</v>
      </c>
    </row>
    <row r="28" spans="1:9" ht="20.100000000000001" customHeight="1">
      <c r="A28" s="362" t="s">
        <v>172</v>
      </c>
      <c r="B28" s="363"/>
      <c r="C28" s="363"/>
      <c r="D28" s="363"/>
      <c r="E28" s="363"/>
      <c r="F28" s="363"/>
      <c r="G28" s="363"/>
      <c r="H28" s="363"/>
      <c r="I28" s="364"/>
    </row>
    <row r="29" spans="1:9" ht="20.100000000000001" customHeight="1">
      <c r="A29" s="58" t="s">
        <v>287</v>
      </c>
      <c r="B29" s="9"/>
      <c r="C29" s="168"/>
      <c r="D29" s="168"/>
      <c r="E29" s="168"/>
      <c r="F29" s="168"/>
      <c r="G29" s="168"/>
      <c r="H29" s="168"/>
      <c r="I29" s="168"/>
    </row>
    <row r="30" spans="1:9" ht="20.100000000000001" customHeight="1">
      <c r="A30" s="8" t="s">
        <v>32</v>
      </c>
      <c r="B30" s="9">
        <v>3200</v>
      </c>
      <c r="C30" s="168"/>
      <c r="D30" s="168"/>
      <c r="E30" s="168"/>
      <c r="F30" s="168"/>
      <c r="G30" s="168"/>
      <c r="H30" s="168"/>
      <c r="I30" s="168"/>
    </row>
    <row r="31" spans="1:9" ht="20.100000000000001" customHeight="1">
      <c r="A31" s="8" t="s">
        <v>33</v>
      </c>
      <c r="B31" s="9">
        <v>3210</v>
      </c>
      <c r="C31" s="168"/>
      <c r="D31" s="168"/>
      <c r="E31" s="168"/>
      <c r="F31" s="168"/>
      <c r="G31" s="168"/>
      <c r="H31" s="168"/>
      <c r="I31" s="168"/>
    </row>
    <row r="32" spans="1:9" ht="20.100000000000001" customHeight="1">
      <c r="A32" s="8" t="s">
        <v>56</v>
      </c>
      <c r="B32" s="9">
        <v>3220</v>
      </c>
      <c r="C32" s="168"/>
      <c r="D32" s="168"/>
      <c r="E32" s="168"/>
      <c r="F32" s="168"/>
      <c r="G32" s="168"/>
      <c r="H32" s="168"/>
      <c r="I32" s="168"/>
    </row>
    <row r="33" spans="1:9" ht="20.100000000000001" customHeight="1">
      <c r="A33" s="46" t="s">
        <v>176</v>
      </c>
      <c r="B33" s="9"/>
      <c r="C33" s="168"/>
      <c r="D33" s="168"/>
      <c r="E33" s="168"/>
      <c r="F33" s="168"/>
      <c r="G33" s="168"/>
      <c r="H33" s="168"/>
      <c r="I33" s="168"/>
    </row>
    <row r="34" spans="1:9" ht="20.100000000000001" customHeight="1">
      <c r="A34" s="8" t="s">
        <v>177</v>
      </c>
      <c r="B34" s="9">
        <v>3230</v>
      </c>
      <c r="C34" s="168"/>
      <c r="D34" s="168"/>
      <c r="E34" s="168"/>
      <c r="F34" s="168"/>
      <c r="G34" s="168"/>
      <c r="H34" s="168"/>
      <c r="I34" s="168"/>
    </row>
    <row r="35" spans="1:9" ht="20.100000000000001" customHeight="1">
      <c r="A35" s="8" t="s">
        <v>178</v>
      </c>
      <c r="B35" s="9">
        <v>3240</v>
      </c>
      <c r="C35" s="168"/>
      <c r="D35" s="168"/>
      <c r="E35" s="168"/>
      <c r="F35" s="168"/>
      <c r="G35" s="168"/>
      <c r="H35" s="168"/>
      <c r="I35" s="168"/>
    </row>
    <row r="36" spans="1:9" ht="20.100000000000001" customHeight="1">
      <c r="A36" s="46" t="s">
        <v>179</v>
      </c>
      <c r="B36" s="9">
        <v>3250</v>
      </c>
      <c r="C36" s="168"/>
      <c r="D36" s="168"/>
      <c r="E36" s="168"/>
      <c r="F36" s="168"/>
      <c r="G36" s="168"/>
      <c r="H36" s="168"/>
      <c r="I36" s="168"/>
    </row>
    <row r="37" spans="1:9" ht="20.100000000000001" customHeight="1">
      <c r="A37" s="8" t="s">
        <v>131</v>
      </c>
      <c r="B37" s="9">
        <v>3260</v>
      </c>
      <c r="C37" s="168"/>
      <c r="D37" s="168"/>
      <c r="E37" s="168"/>
      <c r="F37" s="168"/>
      <c r="G37" s="168"/>
      <c r="H37" s="168"/>
      <c r="I37" s="168"/>
    </row>
    <row r="38" spans="1:9" ht="20.100000000000001" customHeight="1">
      <c r="A38" s="58" t="s">
        <v>289</v>
      </c>
      <c r="B38" s="9"/>
      <c r="C38" s="168"/>
      <c r="D38" s="168"/>
      <c r="E38" s="168"/>
      <c r="F38" s="168"/>
      <c r="G38" s="168"/>
      <c r="H38" s="168"/>
      <c r="I38" s="168"/>
    </row>
    <row r="39" spans="1:9" ht="37.5">
      <c r="A39" s="8" t="s">
        <v>132</v>
      </c>
      <c r="B39" s="9">
        <v>3270</v>
      </c>
      <c r="C39" s="168">
        <f t="shared" ref="C39:I39" si="5">C40</f>
        <v>820</v>
      </c>
      <c r="D39" s="168">
        <f t="shared" si="5"/>
        <v>0</v>
      </c>
      <c r="E39" s="168">
        <f t="shared" si="5"/>
        <v>0</v>
      </c>
      <c r="F39" s="168">
        <f t="shared" si="5"/>
        <v>0</v>
      </c>
      <c r="G39" s="168">
        <f t="shared" si="5"/>
        <v>0</v>
      </c>
      <c r="H39" s="168">
        <f t="shared" si="5"/>
        <v>0</v>
      </c>
      <c r="I39" s="168">
        <f t="shared" si="5"/>
        <v>0</v>
      </c>
    </row>
    <row r="40" spans="1:9" ht="37.5">
      <c r="A40" s="8" t="s">
        <v>460</v>
      </c>
      <c r="B40" s="231" t="s">
        <v>458</v>
      </c>
      <c r="C40" s="168">
        <v>820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</row>
    <row r="41" spans="1:9">
      <c r="A41" s="8" t="s">
        <v>461</v>
      </c>
      <c r="B41" s="231" t="s">
        <v>459</v>
      </c>
      <c r="C41" s="168"/>
      <c r="D41" s="168"/>
      <c r="E41" s="168"/>
      <c r="F41" s="168"/>
      <c r="G41" s="168"/>
      <c r="H41" s="168"/>
      <c r="I41" s="168"/>
    </row>
    <row r="42" spans="1:9" ht="20.100000000000001" customHeight="1">
      <c r="A42" s="8" t="s">
        <v>133</v>
      </c>
      <c r="B42" s="9">
        <v>3280</v>
      </c>
      <c r="C42" s="168"/>
      <c r="D42" s="168"/>
      <c r="E42" s="168"/>
      <c r="F42" s="168"/>
      <c r="G42" s="168"/>
      <c r="H42" s="168"/>
      <c r="I42" s="168"/>
    </row>
    <row r="43" spans="1:9" ht="37.5">
      <c r="A43" s="8" t="s">
        <v>134</v>
      </c>
      <c r="B43" s="9">
        <v>3290</v>
      </c>
      <c r="C43" s="168"/>
      <c r="D43" s="168"/>
      <c r="E43" s="168"/>
      <c r="F43" s="168"/>
      <c r="G43" s="168"/>
      <c r="H43" s="168"/>
      <c r="I43" s="168"/>
    </row>
    <row r="44" spans="1:9" ht="20.100000000000001" customHeight="1">
      <c r="A44" s="8" t="s">
        <v>57</v>
      </c>
      <c r="B44" s="9">
        <v>3300</v>
      </c>
      <c r="C44" s="168"/>
      <c r="D44" s="168"/>
      <c r="E44" s="168"/>
      <c r="F44" s="168"/>
      <c r="G44" s="168"/>
      <c r="H44" s="168"/>
      <c r="I44" s="168"/>
    </row>
    <row r="45" spans="1:9" ht="20.100000000000001" customHeight="1">
      <c r="A45" s="8" t="s">
        <v>126</v>
      </c>
      <c r="B45" s="9">
        <v>3310</v>
      </c>
      <c r="C45" s="168">
        <v>7274</v>
      </c>
      <c r="D45" s="168">
        <f>D46</f>
        <v>7000</v>
      </c>
      <c r="E45" s="168">
        <v>12855</v>
      </c>
      <c r="F45" s="168">
        <f>F46</f>
        <v>2500</v>
      </c>
      <c r="G45" s="168">
        <f>G46</f>
        <v>2500</v>
      </c>
      <c r="H45" s="168">
        <f>H46</f>
        <v>2500</v>
      </c>
      <c r="I45" s="168">
        <f>I46</f>
        <v>2500</v>
      </c>
    </row>
    <row r="46" spans="1:9" ht="20.100000000000001" customHeight="1">
      <c r="A46" s="8" t="s">
        <v>415</v>
      </c>
      <c r="B46" s="6" t="s">
        <v>426</v>
      </c>
      <c r="C46" s="168">
        <v>7274</v>
      </c>
      <c r="D46" s="168">
        <v>7000</v>
      </c>
      <c r="E46" s="168">
        <v>12855</v>
      </c>
      <c r="F46" s="168">
        <v>2500</v>
      </c>
      <c r="G46" s="168">
        <v>2500</v>
      </c>
      <c r="H46" s="168">
        <v>2500</v>
      </c>
      <c r="I46" s="168">
        <v>2500</v>
      </c>
    </row>
    <row r="47" spans="1:9" ht="37.5">
      <c r="A47" s="58" t="s">
        <v>173</v>
      </c>
      <c r="B47" s="11">
        <v>3320</v>
      </c>
      <c r="C47" s="170">
        <f>(C30+C31+C32+C34+C35+C36+C37)-(C39+C42+C43+C44+C45)</f>
        <v>-8094</v>
      </c>
      <c r="D47" s="170">
        <f t="shared" ref="D47:I47" si="6">(D30+D31+D32+D34+D35+D36+D37)-(D39+D42+D43+D44+D45)</f>
        <v>-7000</v>
      </c>
      <c r="E47" s="170">
        <f t="shared" si="6"/>
        <v>-12855</v>
      </c>
      <c r="F47" s="170">
        <f t="shared" si="6"/>
        <v>-2500</v>
      </c>
      <c r="G47" s="170">
        <f t="shared" si="6"/>
        <v>-2500</v>
      </c>
      <c r="H47" s="170">
        <f t="shared" si="6"/>
        <v>-2500</v>
      </c>
      <c r="I47" s="170">
        <f t="shared" si="6"/>
        <v>-2500</v>
      </c>
    </row>
    <row r="48" spans="1:9" ht="20.100000000000001" customHeight="1">
      <c r="A48" s="362" t="s">
        <v>174</v>
      </c>
      <c r="B48" s="363"/>
      <c r="C48" s="363"/>
      <c r="D48" s="363"/>
      <c r="E48" s="363"/>
      <c r="F48" s="363"/>
      <c r="G48" s="363"/>
      <c r="H48" s="363"/>
      <c r="I48" s="364"/>
    </row>
    <row r="49" spans="1:9" ht="20.100000000000001" customHeight="1">
      <c r="A49" s="58" t="s">
        <v>288</v>
      </c>
      <c r="B49" s="9"/>
      <c r="C49" s="168"/>
      <c r="D49" s="168"/>
      <c r="E49" s="168"/>
      <c r="F49" s="168"/>
      <c r="G49" s="168"/>
      <c r="H49" s="168"/>
      <c r="I49" s="168"/>
    </row>
    <row r="50" spans="1:9" ht="20.100000000000001" customHeight="1">
      <c r="A50" s="46" t="s">
        <v>180</v>
      </c>
      <c r="B50" s="9">
        <v>3400</v>
      </c>
      <c r="C50" s="168"/>
      <c r="D50" s="168"/>
      <c r="E50" s="168"/>
      <c r="F50" s="168"/>
      <c r="G50" s="168"/>
      <c r="H50" s="168"/>
      <c r="I50" s="168"/>
    </row>
    <row r="51" spans="1:9" ht="37.5">
      <c r="A51" s="8" t="s">
        <v>100</v>
      </c>
      <c r="C51" s="168"/>
      <c r="D51" s="168"/>
      <c r="E51" s="168"/>
      <c r="F51" s="168"/>
      <c r="G51" s="168"/>
      <c r="H51" s="168"/>
      <c r="I51" s="168"/>
    </row>
    <row r="52" spans="1:9" ht="20.100000000000001" customHeight="1">
      <c r="A52" s="8" t="s">
        <v>99</v>
      </c>
      <c r="B52" s="9">
        <v>3410</v>
      </c>
      <c r="C52" s="168"/>
      <c r="D52" s="168"/>
      <c r="E52" s="168"/>
      <c r="F52" s="168"/>
      <c r="G52" s="168"/>
      <c r="H52" s="168"/>
      <c r="I52" s="168"/>
    </row>
    <row r="53" spans="1:9" ht="20.100000000000001" customHeight="1">
      <c r="A53" s="8" t="s">
        <v>104</v>
      </c>
      <c r="B53" s="6">
        <v>3420</v>
      </c>
      <c r="C53" s="168"/>
      <c r="D53" s="168"/>
      <c r="E53" s="168"/>
      <c r="F53" s="168"/>
      <c r="G53" s="168"/>
      <c r="H53" s="168"/>
      <c r="I53" s="168"/>
    </row>
    <row r="54" spans="1:9" ht="20.100000000000001" customHeight="1">
      <c r="A54" s="8" t="s">
        <v>135</v>
      </c>
      <c r="B54" s="9">
        <v>3430</v>
      </c>
      <c r="C54" s="168"/>
      <c r="D54" s="168"/>
      <c r="E54" s="168"/>
      <c r="F54" s="168"/>
      <c r="G54" s="168"/>
      <c r="H54" s="168"/>
      <c r="I54" s="168"/>
    </row>
    <row r="55" spans="1:9" ht="37.5">
      <c r="A55" s="8" t="s">
        <v>102</v>
      </c>
      <c r="B55" s="9"/>
      <c r="C55" s="168"/>
      <c r="D55" s="168"/>
      <c r="E55" s="168"/>
      <c r="F55" s="168"/>
      <c r="G55" s="168"/>
      <c r="H55" s="168"/>
      <c r="I55" s="168"/>
    </row>
    <row r="56" spans="1:9" ht="20.100000000000001" customHeight="1">
      <c r="A56" s="8" t="s">
        <v>99</v>
      </c>
      <c r="B56" s="6">
        <v>3440</v>
      </c>
      <c r="C56" s="168"/>
      <c r="D56" s="168"/>
      <c r="E56" s="168"/>
      <c r="F56" s="168"/>
      <c r="G56" s="168"/>
      <c r="H56" s="168"/>
      <c r="I56" s="168"/>
    </row>
    <row r="57" spans="1:9" ht="20.100000000000001" customHeight="1">
      <c r="A57" s="8" t="s">
        <v>104</v>
      </c>
      <c r="B57" s="6">
        <v>3450</v>
      </c>
      <c r="C57" s="168"/>
      <c r="D57" s="168"/>
      <c r="E57" s="168"/>
      <c r="F57" s="168"/>
      <c r="G57" s="168"/>
      <c r="H57" s="168"/>
      <c r="I57" s="168"/>
    </row>
    <row r="58" spans="1:9" ht="20.100000000000001" customHeight="1">
      <c r="A58" s="8" t="s">
        <v>135</v>
      </c>
      <c r="B58" s="6">
        <v>3460</v>
      </c>
      <c r="C58" s="168"/>
      <c r="D58" s="168"/>
      <c r="E58" s="168"/>
      <c r="F58" s="168"/>
      <c r="G58" s="168"/>
      <c r="H58" s="168"/>
      <c r="I58" s="168"/>
    </row>
    <row r="59" spans="1:9" ht="20.100000000000001" customHeight="1">
      <c r="A59" s="8" t="s">
        <v>130</v>
      </c>
      <c r="B59" s="6">
        <v>3470</v>
      </c>
      <c r="C59" s="168">
        <v>7274</v>
      </c>
      <c r="D59" s="168">
        <f>D60</f>
        <v>7000</v>
      </c>
      <c r="E59" s="168">
        <v>12855</v>
      </c>
      <c r="F59" s="168">
        <f>F60</f>
        <v>2500</v>
      </c>
      <c r="G59" s="168">
        <f t="shared" ref="G59:I59" si="7">G60</f>
        <v>2500</v>
      </c>
      <c r="H59" s="168">
        <f t="shared" si="7"/>
        <v>2500</v>
      </c>
      <c r="I59" s="168">
        <f t="shared" si="7"/>
        <v>2500</v>
      </c>
    </row>
    <row r="60" spans="1:9" ht="20.100000000000001" customHeight="1">
      <c r="A60" s="8" t="s">
        <v>429</v>
      </c>
      <c r="B60" s="6" t="s">
        <v>428</v>
      </c>
      <c r="C60" s="168">
        <v>7274</v>
      </c>
      <c r="D60" s="168">
        <v>7000</v>
      </c>
      <c r="E60" s="168">
        <v>12855</v>
      </c>
      <c r="F60" s="168">
        <v>2500</v>
      </c>
      <c r="G60" s="168">
        <v>2500</v>
      </c>
      <c r="H60" s="168">
        <v>2500</v>
      </c>
      <c r="I60" s="168">
        <v>2500</v>
      </c>
    </row>
    <row r="61" spans="1:9" ht="20.100000000000001" customHeight="1">
      <c r="A61" s="8" t="s">
        <v>131</v>
      </c>
      <c r="B61" s="6">
        <v>3480</v>
      </c>
      <c r="C61" s="168"/>
      <c r="D61" s="168"/>
      <c r="E61" s="168"/>
      <c r="F61" s="168"/>
      <c r="G61" s="168"/>
      <c r="H61" s="168"/>
      <c r="I61" s="168"/>
    </row>
    <row r="62" spans="1:9" ht="20.100000000000001" customHeight="1">
      <c r="A62" s="8" t="s">
        <v>419</v>
      </c>
      <c r="B62" s="6" t="s">
        <v>420</v>
      </c>
      <c r="C62" s="168"/>
      <c r="D62" s="168"/>
      <c r="E62" s="168"/>
      <c r="F62" s="168"/>
      <c r="G62" s="168"/>
      <c r="H62" s="168"/>
      <c r="I62" s="168"/>
    </row>
    <row r="63" spans="1:9" ht="20.100000000000001" customHeight="1">
      <c r="A63" s="58" t="s">
        <v>289</v>
      </c>
      <c r="B63" s="9"/>
      <c r="C63" s="168"/>
      <c r="D63" s="168"/>
      <c r="E63" s="168"/>
      <c r="F63" s="168"/>
      <c r="G63" s="168"/>
      <c r="H63" s="168"/>
      <c r="I63" s="168"/>
    </row>
    <row r="64" spans="1:9" ht="37.5">
      <c r="A64" s="8" t="s">
        <v>370</v>
      </c>
      <c r="B64" s="9">
        <v>3490</v>
      </c>
      <c r="C64" s="169">
        <f>'ІІ. Розр. з бюджетом'!C9</f>
        <v>5</v>
      </c>
      <c r="D64" s="169">
        <f>'ІІ. Розр. з бюджетом'!D9</f>
        <v>9</v>
      </c>
      <c r="E64" s="169">
        <f>'ІІ. Розр. з бюджетом'!E9</f>
        <v>7</v>
      </c>
      <c r="F64" s="169">
        <f>'ІІ. Розр. з бюджетом'!F9</f>
        <v>64</v>
      </c>
      <c r="G64" s="169">
        <f>'ІІ. Розр. з бюджетом'!G9</f>
        <v>114</v>
      </c>
      <c r="H64" s="169">
        <f>'ІІ. Розр. з бюджетом'!H9</f>
        <v>114</v>
      </c>
      <c r="I64" s="169">
        <f>'ІІ. Розр. з бюджетом'!I9</f>
        <v>114</v>
      </c>
    </row>
    <row r="65" spans="1:9" ht="112.5">
      <c r="A65" s="8" t="s">
        <v>371</v>
      </c>
      <c r="B65" s="9">
        <v>3500</v>
      </c>
      <c r="C65" s="169">
        <f>'ІІ. Розр. з бюджетом'!C10</f>
        <v>16</v>
      </c>
      <c r="D65" s="169">
        <f>'ІІ. Розр. з бюджетом'!D10</f>
        <v>32</v>
      </c>
      <c r="E65" s="169">
        <f>'ІІ. Розр. з бюджетом'!E10</f>
        <v>24</v>
      </c>
      <c r="F65" s="169">
        <f>'ІІ. Розр. з бюджетом'!F10</f>
        <v>218</v>
      </c>
      <c r="G65" s="169">
        <f>'ІІ. Розр. з бюджетом'!G10</f>
        <v>386</v>
      </c>
      <c r="H65" s="169">
        <f>'ІІ. Розр. з бюджетом'!H10</f>
        <v>386</v>
      </c>
      <c r="I65" s="169">
        <f>'ІІ. Розр. з бюджетом'!I10</f>
        <v>386</v>
      </c>
    </row>
    <row r="66" spans="1:9" ht="37.5">
      <c r="A66" s="8" t="s">
        <v>103</v>
      </c>
      <c r="B66" s="9"/>
      <c r="C66" s="168"/>
      <c r="D66" s="168"/>
      <c r="E66" s="168"/>
      <c r="F66" s="168"/>
      <c r="G66" s="168"/>
      <c r="H66" s="168"/>
      <c r="I66" s="168"/>
    </row>
    <row r="67" spans="1:9" ht="20.100000000000001" customHeight="1">
      <c r="A67" s="8" t="s">
        <v>99</v>
      </c>
      <c r="B67" s="6">
        <v>3510</v>
      </c>
      <c r="C67" s="168"/>
      <c r="D67" s="168"/>
      <c r="E67" s="168"/>
      <c r="F67" s="168"/>
      <c r="G67" s="168"/>
      <c r="H67" s="168"/>
      <c r="I67" s="168"/>
    </row>
    <row r="68" spans="1:9" ht="20.100000000000001" customHeight="1">
      <c r="A68" s="8" t="s">
        <v>104</v>
      </c>
      <c r="B68" s="6">
        <v>3520</v>
      </c>
      <c r="C68" s="168"/>
      <c r="D68" s="168"/>
      <c r="E68" s="168"/>
      <c r="F68" s="168"/>
      <c r="G68" s="168"/>
      <c r="H68" s="168"/>
      <c r="I68" s="168"/>
    </row>
    <row r="69" spans="1:9" ht="20.100000000000001" customHeight="1">
      <c r="A69" s="8" t="s">
        <v>135</v>
      </c>
      <c r="B69" s="6">
        <v>3530</v>
      </c>
      <c r="C69" s="168"/>
      <c r="D69" s="168"/>
      <c r="E69" s="168"/>
      <c r="F69" s="168"/>
      <c r="G69" s="168"/>
      <c r="H69" s="168"/>
      <c r="I69" s="168"/>
    </row>
    <row r="70" spans="1:9" ht="37.5">
      <c r="A70" s="8" t="s">
        <v>101</v>
      </c>
      <c r="B70" s="9"/>
      <c r="C70" s="168"/>
      <c r="D70" s="168"/>
      <c r="E70" s="168"/>
      <c r="F70" s="168"/>
      <c r="G70" s="168"/>
      <c r="H70" s="168"/>
      <c r="I70" s="168"/>
    </row>
    <row r="71" spans="1:9" ht="20.100000000000001" customHeight="1">
      <c r="A71" s="8" t="s">
        <v>99</v>
      </c>
      <c r="B71" s="6">
        <v>3540</v>
      </c>
      <c r="C71" s="168"/>
      <c r="D71" s="168"/>
      <c r="E71" s="168"/>
      <c r="F71" s="168"/>
      <c r="G71" s="168"/>
      <c r="H71" s="168"/>
      <c r="I71" s="168"/>
    </row>
    <row r="72" spans="1:9" ht="20.100000000000001" customHeight="1">
      <c r="A72" s="8" t="s">
        <v>104</v>
      </c>
      <c r="B72" s="6">
        <v>3550</v>
      </c>
      <c r="C72" s="168"/>
      <c r="D72" s="168"/>
      <c r="E72" s="168"/>
      <c r="F72" s="168"/>
      <c r="G72" s="168"/>
      <c r="H72" s="168"/>
      <c r="I72" s="168"/>
    </row>
    <row r="73" spans="1:9" ht="20.100000000000001" customHeight="1">
      <c r="A73" s="8" t="s">
        <v>135</v>
      </c>
      <c r="B73" s="6">
        <v>3560</v>
      </c>
      <c r="C73" s="168"/>
      <c r="D73" s="168"/>
      <c r="E73" s="168"/>
      <c r="F73" s="168"/>
      <c r="G73" s="168"/>
      <c r="H73" s="168"/>
      <c r="I73" s="168"/>
    </row>
    <row r="74" spans="1:9" ht="20.100000000000001" customHeight="1">
      <c r="A74" s="8" t="s">
        <v>126</v>
      </c>
      <c r="B74" s="6">
        <v>3570</v>
      </c>
      <c r="C74" s="168"/>
      <c r="D74" s="168"/>
      <c r="E74" s="168"/>
      <c r="F74" s="168"/>
      <c r="G74" s="168"/>
      <c r="H74" s="168"/>
      <c r="I74" s="168"/>
    </row>
    <row r="75" spans="1:9" ht="37.5">
      <c r="A75" s="58" t="s">
        <v>175</v>
      </c>
      <c r="B75" s="91">
        <v>3580</v>
      </c>
      <c r="C75" s="170">
        <f t="shared" ref="C75:I75" si="8">(C50+C52+C53+C54+C56+C57+C58+C59+C61)-(C64+C65+C67+C68+C69+C71+C72+C73+C74)</f>
        <v>7253</v>
      </c>
      <c r="D75" s="170">
        <f t="shared" si="8"/>
        <v>6959</v>
      </c>
      <c r="E75" s="170">
        <f t="shared" si="8"/>
        <v>12824</v>
      </c>
      <c r="F75" s="170">
        <f t="shared" si="8"/>
        <v>2218</v>
      </c>
      <c r="G75" s="170">
        <f t="shared" si="8"/>
        <v>2000</v>
      </c>
      <c r="H75" s="170">
        <f t="shared" si="8"/>
        <v>2000</v>
      </c>
      <c r="I75" s="170">
        <f t="shared" si="8"/>
        <v>2000</v>
      </c>
    </row>
    <row r="76" spans="1:9" s="15" customFormat="1" ht="20.100000000000001" customHeight="1">
      <c r="A76" s="8" t="s">
        <v>34</v>
      </c>
      <c r="B76" s="6"/>
      <c r="C76" s="173"/>
      <c r="D76" s="173"/>
      <c r="E76" s="173"/>
      <c r="F76" s="173"/>
      <c r="G76" s="173"/>
      <c r="H76" s="173"/>
      <c r="I76" s="173"/>
    </row>
    <row r="77" spans="1:9" s="15" customFormat="1" ht="20.100000000000001" customHeight="1">
      <c r="A77" s="10" t="s">
        <v>35</v>
      </c>
      <c r="B77" s="6">
        <v>3600</v>
      </c>
      <c r="C77" s="168">
        <v>499</v>
      </c>
      <c r="D77" s="168">
        <v>442</v>
      </c>
      <c r="E77" s="169">
        <v>384</v>
      </c>
      <c r="F77" s="169">
        <f>E79</f>
        <v>746.73999999999978</v>
      </c>
      <c r="G77" s="169">
        <f>E79</f>
        <v>746.73999999999978</v>
      </c>
      <c r="H77" s="169">
        <f>E79</f>
        <v>746.73999999999978</v>
      </c>
      <c r="I77" s="169">
        <f>E79</f>
        <v>746.73999999999978</v>
      </c>
    </row>
    <row r="78" spans="1:9" s="15" customFormat="1" ht="37.5">
      <c r="A78" s="72" t="s">
        <v>184</v>
      </c>
      <c r="B78" s="6">
        <v>3610</v>
      </c>
      <c r="C78" s="168"/>
      <c r="D78" s="168"/>
      <c r="E78" s="168"/>
      <c r="F78" s="168"/>
      <c r="G78" s="168"/>
      <c r="H78" s="168"/>
      <c r="I78" s="168"/>
    </row>
    <row r="79" spans="1:9" s="15" customFormat="1" ht="20.100000000000001" customHeight="1">
      <c r="A79" s="10" t="s">
        <v>58</v>
      </c>
      <c r="B79" s="6">
        <v>3620</v>
      </c>
      <c r="C79" s="170">
        <f t="shared" ref="C79:I79" si="9">C77+C27+C47+C75</f>
        <v>384.15999999999985</v>
      </c>
      <c r="D79" s="170">
        <f t="shared" si="9"/>
        <v>732</v>
      </c>
      <c r="E79" s="170">
        <f t="shared" si="9"/>
        <v>746.73999999999978</v>
      </c>
      <c r="F79" s="170">
        <f t="shared" si="9"/>
        <v>927.73999999999978</v>
      </c>
      <c r="G79" s="170">
        <f t="shared" si="9"/>
        <v>1178.7399999999998</v>
      </c>
      <c r="H79" s="170">
        <f t="shared" si="9"/>
        <v>613.23999999999978</v>
      </c>
      <c r="I79" s="170">
        <f t="shared" si="9"/>
        <v>600.73999999999978</v>
      </c>
    </row>
    <row r="80" spans="1:9" s="15" customFormat="1" ht="20.100000000000001" customHeight="1">
      <c r="A80" s="10" t="s">
        <v>36</v>
      </c>
      <c r="B80" s="6">
        <v>3630</v>
      </c>
      <c r="C80" s="170">
        <f>C79-C77</f>
        <v>-114.84000000000015</v>
      </c>
      <c r="D80" s="170">
        <f t="shared" ref="D80:I80" si="10">D79-D77</f>
        <v>290</v>
      </c>
      <c r="E80" s="170">
        <f t="shared" si="10"/>
        <v>362.73999999999978</v>
      </c>
      <c r="F80" s="170">
        <f t="shared" si="10"/>
        <v>181</v>
      </c>
      <c r="G80" s="170">
        <f t="shared" si="10"/>
        <v>432</v>
      </c>
      <c r="H80" s="170">
        <f t="shared" si="10"/>
        <v>-133.5</v>
      </c>
      <c r="I80" s="170">
        <f t="shared" si="10"/>
        <v>-146</v>
      </c>
    </row>
    <row r="81" spans="1:9" s="15" customFormat="1" ht="20.100000000000001" customHeight="1">
      <c r="A81" s="139"/>
      <c r="B81" s="147"/>
      <c r="H81" s="149"/>
      <c r="I81" s="149"/>
    </row>
    <row r="82" spans="1:9" s="15" customFormat="1" ht="20.100000000000001" customHeight="1">
      <c r="A82" s="139"/>
      <c r="B82" s="147"/>
      <c r="H82" s="149"/>
      <c r="I82" s="149"/>
    </row>
    <row r="83" spans="1:9" s="15" customFormat="1" ht="20.100000000000001" customHeight="1">
      <c r="A83" s="139"/>
      <c r="B83" s="147"/>
      <c r="C83" s="148"/>
      <c r="D83" s="149"/>
      <c r="E83" s="149"/>
      <c r="F83" s="149"/>
      <c r="G83" s="149"/>
      <c r="H83" s="149"/>
      <c r="I83" s="149"/>
    </row>
    <row r="84" spans="1:9" s="2" customFormat="1">
      <c r="A84" s="174" t="s">
        <v>404</v>
      </c>
      <c r="B84" s="132"/>
      <c r="C84" s="365" t="s">
        <v>119</v>
      </c>
      <c r="D84" s="366"/>
      <c r="E84" s="366"/>
      <c r="F84" s="133"/>
      <c r="G84" s="359" t="s">
        <v>403</v>
      </c>
      <c r="H84" s="359"/>
      <c r="I84" s="359"/>
    </row>
    <row r="85" spans="1:9" ht="20.100000000000001" customHeight="1">
      <c r="A85" s="95" t="s">
        <v>380</v>
      </c>
      <c r="B85" s="108"/>
      <c r="C85" s="349" t="s">
        <v>84</v>
      </c>
      <c r="D85" s="349"/>
      <c r="E85" s="349"/>
      <c r="F85" s="134"/>
      <c r="G85" s="350" t="s">
        <v>480</v>
      </c>
      <c r="H85" s="350"/>
      <c r="I85" s="350"/>
    </row>
    <row r="86" spans="1:9">
      <c r="C86" s="4"/>
    </row>
    <row r="87" spans="1:9">
      <c r="C87" s="148"/>
      <c r="D87" s="149"/>
      <c r="E87" s="149"/>
      <c r="F87" s="149"/>
      <c r="G87" s="149"/>
    </row>
    <row r="88" spans="1:9">
      <c r="C88" s="148"/>
      <c r="D88" s="149"/>
      <c r="E88" s="149"/>
      <c r="F88" s="149"/>
      <c r="G88" s="149"/>
    </row>
    <row r="89" spans="1:9">
      <c r="C89" s="4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52">
      <selection activeCell="K53" sqref="K53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4">
    <mergeCell ref="A1:I1"/>
    <mergeCell ref="A3:A4"/>
    <mergeCell ref="B3:B4"/>
    <mergeCell ref="C3:C4"/>
    <mergeCell ref="D3:D4"/>
    <mergeCell ref="E3:E4"/>
    <mergeCell ref="F3:I3"/>
    <mergeCell ref="C85:E85"/>
    <mergeCell ref="G85:I85"/>
    <mergeCell ref="A28:I28"/>
    <mergeCell ref="A6:I6"/>
    <mergeCell ref="A48:I48"/>
    <mergeCell ref="C84:E84"/>
    <mergeCell ref="G84:I84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2"/>
  <sheetViews>
    <sheetView view="pageBreakPreview" topLeftCell="A28" zoomScale="80" zoomScaleNormal="75" zoomScaleSheetLayoutView="80" workbookViewId="0">
      <selection activeCell="F19" sqref="F19:J30"/>
    </sheetView>
  </sheetViews>
  <sheetFormatPr defaultRowHeight="18.75"/>
  <cols>
    <col min="1" max="1" width="45" style="2" customWidth="1"/>
    <col min="2" max="2" width="11.7109375" style="25" customWidth="1"/>
    <col min="3" max="4" width="16" style="25" customWidth="1"/>
    <col min="5" max="5" width="15.28515625" style="25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371" t="s">
        <v>229</v>
      </c>
      <c r="B1" s="371"/>
      <c r="C1" s="371"/>
      <c r="D1" s="371"/>
      <c r="E1" s="371"/>
      <c r="F1" s="371"/>
      <c r="G1" s="371"/>
      <c r="H1" s="371"/>
      <c r="I1" s="371"/>
    </row>
    <row r="2" spans="1:16">
      <c r="A2" s="375"/>
      <c r="B2" s="375"/>
      <c r="C2" s="375"/>
      <c r="D2" s="375"/>
      <c r="E2" s="375"/>
      <c r="F2" s="375"/>
      <c r="G2" s="375"/>
      <c r="H2" s="375"/>
      <c r="I2" s="375"/>
    </row>
    <row r="3" spans="1:16" ht="43.5" customHeight="1">
      <c r="A3" s="355" t="s">
        <v>272</v>
      </c>
      <c r="B3" s="351" t="s">
        <v>18</v>
      </c>
      <c r="C3" s="356" t="s">
        <v>31</v>
      </c>
      <c r="D3" s="356" t="s">
        <v>39</v>
      </c>
      <c r="E3" s="370" t="s">
        <v>181</v>
      </c>
      <c r="F3" s="351" t="s">
        <v>364</v>
      </c>
      <c r="G3" s="351"/>
      <c r="H3" s="351"/>
      <c r="I3" s="351"/>
    </row>
    <row r="4" spans="1:16" ht="56.25" customHeight="1">
      <c r="A4" s="355"/>
      <c r="B4" s="351"/>
      <c r="C4" s="356"/>
      <c r="D4" s="356"/>
      <c r="E4" s="370"/>
      <c r="F4" s="13" t="s">
        <v>373</v>
      </c>
      <c r="G4" s="13" t="s">
        <v>366</v>
      </c>
      <c r="H4" s="13" t="s">
        <v>367</v>
      </c>
      <c r="I4" s="13" t="s">
        <v>86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88</v>
      </c>
      <c r="B6" s="75">
        <v>4000</v>
      </c>
      <c r="C6" s="93">
        <f t="shared" ref="C6:I6" si="0">SUM(C7:C11)</f>
        <v>7274</v>
      </c>
      <c r="D6" s="93">
        <f t="shared" si="0"/>
        <v>5833</v>
      </c>
      <c r="E6" s="93">
        <f t="shared" si="0"/>
        <v>10713</v>
      </c>
      <c r="F6" s="169">
        <f t="shared" si="0"/>
        <v>2083</v>
      </c>
      <c r="G6" s="169">
        <f t="shared" si="0"/>
        <v>2083</v>
      </c>
      <c r="H6" s="169">
        <f t="shared" si="0"/>
        <v>2083</v>
      </c>
      <c r="I6" s="169">
        <f t="shared" si="0"/>
        <v>2083</v>
      </c>
    </row>
    <row r="7" spans="1:16" ht="20.100000000000001" customHeight="1">
      <c r="A7" s="8" t="s">
        <v>1</v>
      </c>
      <c r="B7" s="76" t="s">
        <v>239</v>
      </c>
      <c r="C7" s="107"/>
      <c r="D7" s="107"/>
      <c r="E7" s="107"/>
      <c r="F7" s="168"/>
      <c r="G7" s="168"/>
      <c r="H7" s="168"/>
      <c r="I7" s="168"/>
    </row>
    <row r="8" spans="1:16" ht="37.5">
      <c r="A8" s="8" t="s">
        <v>2</v>
      </c>
      <c r="B8" s="75">
        <v>4020</v>
      </c>
      <c r="C8" s="107">
        <v>820</v>
      </c>
      <c r="D8" s="107"/>
      <c r="E8" s="261"/>
      <c r="F8" s="168"/>
      <c r="G8" s="168"/>
      <c r="H8" s="168"/>
      <c r="I8" s="168"/>
      <c r="P8" s="21"/>
    </row>
    <row r="9" spans="1:16" ht="37.5">
      <c r="A9" s="8" t="s">
        <v>30</v>
      </c>
      <c r="B9" s="76">
        <v>4030</v>
      </c>
      <c r="C9" s="107"/>
      <c r="D9" s="107"/>
      <c r="E9" s="261"/>
      <c r="F9" s="168"/>
      <c r="G9" s="168"/>
      <c r="H9" s="168"/>
      <c r="I9" s="168"/>
      <c r="O9" s="21"/>
    </row>
    <row r="10" spans="1:16" ht="37.5">
      <c r="A10" s="8" t="s">
        <v>3</v>
      </c>
      <c r="B10" s="75">
        <v>4040</v>
      </c>
      <c r="C10" s="107"/>
      <c r="D10" s="107"/>
      <c r="E10" s="261"/>
      <c r="F10" s="168"/>
      <c r="G10" s="168"/>
      <c r="H10" s="168"/>
      <c r="I10" s="168"/>
    </row>
    <row r="11" spans="1:16" ht="56.25">
      <c r="A11" s="8" t="s">
        <v>74</v>
      </c>
      <c r="B11" s="76">
        <v>4050</v>
      </c>
      <c r="C11" s="107">
        <v>6454</v>
      </c>
      <c r="D11" s="226">
        <v>5833</v>
      </c>
      <c r="E11" s="226">
        <v>10713</v>
      </c>
      <c r="F11" s="226">
        <v>2083</v>
      </c>
      <c r="G11" s="226">
        <v>2083</v>
      </c>
      <c r="H11" s="226">
        <v>2083</v>
      </c>
      <c r="I11" s="226">
        <v>2083</v>
      </c>
      <c r="J11" s="224" t="s">
        <v>444</v>
      </c>
    </row>
    <row r="12" spans="1:16" ht="20.100000000000001" customHeight="1">
      <c r="A12" s="108"/>
      <c r="B12" s="108"/>
      <c r="C12" s="108"/>
      <c r="D12" s="108"/>
      <c r="E12" s="108"/>
      <c r="F12" s="150"/>
      <c r="G12" s="150"/>
      <c r="H12" s="150"/>
      <c r="I12" s="150"/>
    </row>
    <row r="13" spans="1:16" ht="20.100000000000001" customHeight="1">
      <c r="A13" s="108"/>
      <c r="B13" s="108"/>
      <c r="C13" s="108"/>
      <c r="D13" s="108"/>
      <c r="E13" s="108"/>
      <c r="F13" s="150"/>
      <c r="G13" s="150"/>
      <c r="H13" s="150"/>
      <c r="I13" s="150"/>
    </row>
    <row r="14" spans="1:16" s="1" customFormat="1">
      <c r="A14" s="128"/>
      <c r="B14" s="139"/>
      <c r="C14" s="108"/>
      <c r="D14" s="108"/>
      <c r="E14" s="108"/>
      <c r="F14" s="108"/>
      <c r="G14" s="108"/>
      <c r="H14" s="108"/>
      <c r="I14" s="108"/>
      <c r="J14" s="2"/>
    </row>
    <row r="15" spans="1:16" s="5" customFormat="1" ht="19.5">
      <c r="A15" s="174" t="s">
        <v>406</v>
      </c>
      <c r="B15" s="147"/>
      <c r="C15" s="357" t="s">
        <v>119</v>
      </c>
      <c r="D15" s="358"/>
      <c r="E15" s="358"/>
      <c r="F15" s="179"/>
      <c r="G15" s="359" t="s">
        <v>403</v>
      </c>
      <c r="H15" s="359"/>
      <c r="I15" s="359"/>
    </row>
    <row r="16" spans="1:16" s="1" customFormat="1" ht="20.100000000000001" customHeight="1">
      <c r="A16" s="109" t="s">
        <v>83</v>
      </c>
      <c r="B16" s="108"/>
      <c r="C16" s="349" t="s">
        <v>84</v>
      </c>
      <c r="D16" s="349"/>
      <c r="E16" s="349"/>
      <c r="F16" s="134"/>
      <c r="G16" s="350" t="s">
        <v>443</v>
      </c>
      <c r="H16" s="350"/>
      <c r="I16" s="350"/>
    </row>
    <row r="17" spans="1:9">
      <c r="A17" s="151"/>
      <c r="B17" s="109"/>
      <c r="C17" s="109"/>
      <c r="D17" s="109"/>
      <c r="E17" s="109"/>
      <c r="F17" s="108"/>
      <c r="G17" s="108"/>
      <c r="H17" s="108"/>
      <c r="I17" s="108"/>
    </row>
    <row r="18" spans="1:9">
      <c r="A18" s="151"/>
      <c r="B18" s="109"/>
      <c r="C18" s="109"/>
      <c r="D18" s="109"/>
      <c r="E18" s="109"/>
      <c r="F18" s="108"/>
      <c r="G18" s="108"/>
      <c r="H18" s="108"/>
      <c r="I18" s="108"/>
    </row>
    <row r="19" spans="1:9">
      <c r="A19" s="50"/>
      <c r="G19" s="265"/>
      <c r="H19" s="265"/>
      <c r="I19" s="268"/>
    </row>
    <row r="20" spans="1:9">
      <c r="A20" s="50"/>
      <c r="G20" s="265"/>
      <c r="H20" s="268"/>
      <c r="I20" s="265"/>
    </row>
    <row r="21" spans="1:9">
      <c r="A21" s="50"/>
    </row>
    <row r="22" spans="1:9">
      <c r="A22" s="50"/>
      <c r="G22" s="265"/>
      <c r="H22" s="268"/>
      <c r="I22" s="268"/>
    </row>
    <row r="23" spans="1:9">
      <c r="A23" s="50"/>
    </row>
    <row r="24" spans="1:9">
      <c r="A24" s="50"/>
    </row>
    <row r="25" spans="1:9">
      <c r="A25" s="50"/>
    </row>
    <row r="26" spans="1:9">
      <c r="A26" s="50"/>
    </row>
    <row r="27" spans="1:9">
      <c r="A27" s="50"/>
    </row>
    <row r="28" spans="1:9">
      <c r="A28" s="50"/>
    </row>
    <row r="29" spans="1:9">
      <c r="A29" s="50"/>
    </row>
    <row r="30" spans="1:9">
      <c r="A30" s="50"/>
    </row>
    <row r="31" spans="1:9">
      <c r="A31" s="50"/>
    </row>
    <row r="32" spans="1:9">
      <c r="A32" s="50"/>
    </row>
    <row r="33" spans="1:1">
      <c r="A33" s="50"/>
    </row>
    <row r="34" spans="1:1">
      <c r="A34" s="50"/>
    </row>
    <row r="35" spans="1: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50"/>
    </row>
    <row r="40" spans="1:1">
      <c r="A40" s="50"/>
    </row>
    <row r="41" spans="1:1">
      <c r="A41" s="50"/>
    </row>
    <row r="42" spans="1:1">
      <c r="A42" s="50"/>
    </row>
    <row r="43" spans="1:1">
      <c r="A43" s="50"/>
    </row>
    <row r="44" spans="1:1">
      <c r="A44" s="50"/>
    </row>
    <row r="45" spans="1:1">
      <c r="A45" s="50"/>
    </row>
    <row r="46" spans="1:1">
      <c r="A46" s="50"/>
    </row>
    <row r="47" spans="1:1">
      <c r="A47" s="50"/>
    </row>
    <row r="48" spans="1:1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12">
    <mergeCell ref="C15:E15"/>
    <mergeCell ref="G15:I15"/>
    <mergeCell ref="C16:E16"/>
    <mergeCell ref="G16:I16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5" zoomScaleNormal="75" zoomScaleSheetLayoutView="75" workbookViewId="0">
      <pane ySplit="5" topLeftCell="A36" activePane="bottomLeft" state="frozen"/>
      <selection pane="bottomLeft" activeCell="E15" sqref="E15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4" width="18.28515625" style="31" customWidth="1"/>
    <col min="5" max="5" width="19.7109375" style="31" customWidth="1"/>
    <col min="6" max="6" width="18.5703125" style="31" customWidth="1"/>
    <col min="7" max="7" width="18.85546875" style="31" customWidth="1"/>
    <col min="8" max="8" width="37.42578125" style="31" customWidth="1"/>
    <col min="9" max="9" width="9.5703125" style="31" customWidth="1"/>
    <col min="10" max="16384" width="9.140625" style="31"/>
  </cols>
  <sheetData>
    <row r="1" spans="1:8" ht="25.5" customHeight="1">
      <c r="A1" s="376" t="s">
        <v>231</v>
      </c>
      <c r="B1" s="376"/>
      <c r="C1" s="376"/>
      <c r="D1" s="376"/>
      <c r="E1" s="376"/>
      <c r="F1" s="376"/>
      <c r="G1" s="376"/>
      <c r="H1" s="376"/>
    </row>
    <row r="2" spans="1:8" ht="16.5" customHeight="1"/>
    <row r="3" spans="1:8" ht="45" customHeight="1">
      <c r="A3" s="377" t="s">
        <v>272</v>
      </c>
      <c r="B3" s="377" t="s">
        <v>0</v>
      </c>
      <c r="C3" s="377" t="s">
        <v>110</v>
      </c>
      <c r="D3" s="377" t="s">
        <v>31</v>
      </c>
      <c r="E3" s="377" t="s">
        <v>111</v>
      </c>
      <c r="F3" s="381" t="s">
        <v>181</v>
      </c>
      <c r="G3" s="377" t="s">
        <v>112</v>
      </c>
      <c r="H3" s="377" t="s">
        <v>113</v>
      </c>
    </row>
    <row r="4" spans="1:8" ht="52.5" customHeight="1">
      <c r="A4" s="378"/>
      <c r="B4" s="378"/>
      <c r="C4" s="378"/>
      <c r="D4" s="378"/>
      <c r="E4" s="378"/>
      <c r="F4" s="382"/>
      <c r="G4" s="378"/>
      <c r="H4" s="378"/>
    </row>
    <row r="5" spans="1:8" s="63" customFormat="1" ht="18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s="63" customFormat="1" ht="20.100000000000001" customHeight="1">
      <c r="A6" s="77" t="s">
        <v>203</v>
      </c>
      <c r="B6" s="62"/>
      <c r="C6" s="40"/>
      <c r="D6" s="40"/>
      <c r="E6" s="40"/>
      <c r="F6" s="40"/>
      <c r="G6" s="40"/>
      <c r="H6" s="40"/>
    </row>
    <row r="7" spans="1:8" ht="75">
      <c r="A7" s="8" t="s">
        <v>349</v>
      </c>
      <c r="B7" s="7">
        <v>5000</v>
      </c>
      <c r="C7" s="79" t="s">
        <v>337</v>
      </c>
      <c r="D7" s="94">
        <f>'Осн. фін. пок.'!C40*100/'Осн. фін. пок.'!C38</f>
        <v>-27.078189300411523</v>
      </c>
      <c r="E7" s="152">
        <v>100</v>
      </c>
      <c r="F7" s="94">
        <f>'Осн. фін. пок.'!F40*100/'Осн. фін. пок.'!F38</f>
        <v>-176.74169346195069</v>
      </c>
      <c r="G7" s="94">
        <f>'Осн. фін. пок.'!E40*100/'Осн. фін. пок.'!E38</f>
        <v>-223.86920980926431</v>
      </c>
      <c r="H7" s="87"/>
    </row>
    <row r="8" spans="1:8" ht="63.95" customHeight="1">
      <c r="A8" s="8" t="s">
        <v>350</v>
      </c>
      <c r="B8" s="7">
        <v>5010</v>
      </c>
      <c r="C8" s="79" t="s">
        <v>337</v>
      </c>
      <c r="D8" s="94">
        <f>'Осн. фін. пок.'!C45*100/'Осн. фін. пок.'!C38</f>
        <v>-86.008230452674894</v>
      </c>
      <c r="E8" s="152">
        <v>29.28</v>
      </c>
      <c r="F8" s="94">
        <f>'Осн. фін. пок.'!F45*100/'Осн. фін. пок.'!F38</f>
        <v>-58.09217577706324</v>
      </c>
      <c r="G8" s="94">
        <f>'Осн. фін. пок.'!E45*100/'Осн. фін. пок.'!E38</f>
        <v>20</v>
      </c>
      <c r="H8" s="87"/>
    </row>
    <row r="9" spans="1:8" ht="56.25">
      <c r="A9" s="89" t="s">
        <v>356</v>
      </c>
      <c r="B9" s="7">
        <v>5020</v>
      </c>
      <c r="C9" s="79" t="s">
        <v>337</v>
      </c>
      <c r="D9" s="183">
        <f>'Осн. фін. пок.'!C51/'Осн. фін. пок.'!C77</f>
        <v>1.3202270993983561E-3</v>
      </c>
      <c r="E9" s="260">
        <v>3.0000000000000001E-3</v>
      </c>
      <c r="F9" s="183">
        <f>'Осн. фін. пок.'!F51/'Осн. фін. пок.'!F77</f>
        <v>2.8472222222222223E-3</v>
      </c>
      <c r="G9" s="183">
        <f>'Осн. фін. пок.'!E51/'Осн. фін. пок.'!E77</f>
        <v>3.2882324402997141E-3</v>
      </c>
      <c r="H9" s="87" t="s">
        <v>338</v>
      </c>
    </row>
    <row r="10" spans="1:8" ht="56.25">
      <c r="A10" s="89" t="s">
        <v>357</v>
      </c>
      <c r="B10" s="7">
        <v>5030</v>
      </c>
      <c r="C10" s="79" t="s">
        <v>337</v>
      </c>
      <c r="D10" s="182">
        <f>'Осн. фін. пок.'!C51/'Осн. фін. пок.'!C83</f>
        <v>5.5742397137745973E-2</v>
      </c>
      <c r="E10" s="259">
        <v>8.6999999999999994E-2</v>
      </c>
      <c r="F10" s="182">
        <f>'Осн. фін. пок.'!F51/'Осн. фін. пок.'!F83</f>
        <v>8.9540229885057471E-2</v>
      </c>
      <c r="G10" s="182">
        <f>'Осн. фін. пок.'!E51/'Осн. фін. пок.'!E83</f>
        <v>2.3615950445218737E-2</v>
      </c>
      <c r="H10" s="87"/>
    </row>
    <row r="11" spans="1:8" ht="75">
      <c r="A11" s="89" t="s">
        <v>358</v>
      </c>
      <c r="B11" s="7">
        <v>5040</v>
      </c>
      <c r="C11" s="79" t="s">
        <v>114</v>
      </c>
      <c r="D11" s="182">
        <f>'Осн. фін. пок.'!C51/'Осн. фін. пок.'!C38</f>
        <v>2.5646090534979425E-2</v>
      </c>
      <c r="E11" s="259">
        <v>0.05</v>
      </c>
      <c r="F11" s="182">
        <f>'Осн. фін. пок.'!F51/'Осн. фін. пок.'!F38</f>
        <v>2.5048231511254019E-2</v>
      </c>
      <c r="G11" s="182">
        <f>'Осн. фін. пок.'!E51/'Осн. фін. пок.'!E38</f>
        <v>3.3242506811989099E-2</v>
      </c>
      <c r="H11" s="87" t="s">
        <v>339</v>
      </c>
    </row>
    <row r="12" spans="1:8" ht="20.100000000000001" customHeight="1">
      <c r="A12" s="77" t="s">
        <v>205</v>
      </c>
      <c r="B12" s="7"/>
      <c r="C12" s="80"/>
      <c r="D12" s="88"/>
      <c r="E12" s="152"/>
      <c r="F12" s="88"/>
      <c r="G12" s="88"/>
      <c r="H12" s="87"/>
    </row>
    <row r="13" spans="1:8" ht="63.95" customHeight="1">
      <c r="A13" s="78" t="s">
        <v>308</v>
      </c>
      <c r="B13" s="7">
        <v>5100</v>
      </c>
      <c r="C13" s="79"/>
      <c r="D13" s="182">
        <f>('Осн. фін. пок.'!C78+'Осн. фін. пок.'!C79)/'Осн. фін. пок.'!C45</f>
        <v>-22.050717703349282</v>
      </c>
      <c r="E13" s="259">
        <v>12.6</v>
      </c>
      <c r="F13" s="182">
        <f>('Осн. фін. пок.'!F78+'Осн. фін. пок.'!F79)/'Осн. фін. пок.'!F45</f>
        <v>-14.662361623616237</v>
      </c>
      <c r="G13" s="182">
        <f>('Осн. фін. пок.'!E78+'Осн. фін. пок.'!E79)/'Осн. фін. пок.'!E45</f>
        <v>43.509536784741144</v>
      </c>
      <c r="H13" s="87"/>
    </row>
    <row r="14" spans="1:8" s="63" customFormat="1" ht="75">
      <c r="A14" s="78" t="s">
        <v>309</v>
      </c>
      <c r="B14" s="7">
        <v>5110</v>
      </c>
      <c r="C14" s="79" t="s">
        <v>190</v>
      </c>
      <c r="D14" s="182">
        <f>'Осн. фін. пок.'!C83/('Осн. фін. пок.'!C78+'Осн. фін. пок.'!C79)</f>
        <v>2.4258994054593586E-2</v>
      </c>
      <c r="E14" s="259">
        <v>0.16</v>
      </c>
      <c r="F14" s="182">
        <f>'Осн. фін. пок.'!F83/('Осн. фін. пок.'!F78+'Осн. фін. пок.'!F79)</f>
        <v>3.2842582106455263E-2</v>
      </c>
      <c r="G14" s="182">
        <f>'Осн. фін. пок.'!E83/('Осн. фін. пок.'!E78+'Осн. фін. пок.'!E79)</f>
        <v>0.16176102204408818</v>
      </c>
      <c r="H14" s="87" t="s">
        <v>340</v>
      </c>
    </row>
    <row r="15" spans="1:8" s="63" customFormat="1" ht="112.5">
      <c r="A15" s="78" t="s">
        <v>310</v>
      </c>
      <c r="B15" s="7">
        <v>5120</v>
      </c>
      <c r="C15" s="79" t="s">
        <v>190</v>
      </c>
      <c r="D15" s="182">
        <f>'Осн. фін. пок.'!C75/'Осн. фін. пок.'!C79</f>
        <v>0.13656153764468515</v>
      </c>
      <c r="E15" s="259">
        <v>0.23</v>
      </c>
      <c r="F15" s="182">
        <f>'Осн. фін. пок.'!F75/'Осн. фін. пок.'!F79</f>
        <v>0.25135002454590083</v>
      </c>
      <c r="G15" s="182">
        <f>'Осн. фін. пок.'!E75/'Осн. фін. пок.'!E79</f>
        <v>0.33003857280617166</v>
      </c>
      <c r="H15" s="87" t="s">
        <v>342</v>
      </c>
    </row>
    <row r="16" spans="1:8" ht="20.100000000000001" customHeight="1">
      <c r="A16" s="77" t="s">
        <v>204</v>
      </c>
      <c r="B16" s="7"/>
      <c r="C16" s="79"/>
      <c r="D16" s="88"/>
      <c r="E16" s="152"/>
      <c r="F16" s="88"/>
      <c r="G16" s="88"/>
      <c r="H16" s="87"/>
    </row>
    <row r="17" spans="1:10" ht="56.25">
      <c r="A17" s="78" t="s">
        <v>311</v>
      </c>
      <c r="B17" s="7">
        <v>5200</v>
      </c>
      <c r="C17" s="79"/>
      <c r="D17" s="182">
        <f>'Осн. фін. пок.'!C68/'I. Фін результат'!C101</f>
        <v>27.976923076923075</v>
      </c>
      <c r="E17" s="259">
        <v>0.21</v>
      </c>
      <c r="F17" s="182">
        <f>'Осн. фін. пок.'!F68/'I. Фін результат'!E101</f>
        <v>39.973880597014926</v>
      </c>
      <c r="G17" s="182">
        <f>'Осн. фін. пок.'!E68/'I. Фін результат'!I101</f>
        <v>7.1092150170648463</v>
      </c>
      <c r="H17" s="87"/>
    </row>
    <row r="18" spans="1:10" ht="75">
      <c r="A18" s="78" t="s">
        <v>312</v>
      </c>
      <c r="B18" s="7">
        <v>5210</v>
      </c>
      <c r="C18" s="79"/>
      <c r="D18" s="182">
        <f>'Осн. фін. пок.'!C68/'Осн. фін. пок.'!C38</f>
        <v>5.9868312757201645</v>
      </c>
      <c r="E18" s="259">
        <v>4.9000000000000002E-2</v>
      </c>
      <c r="F18" s="182">
        <f>'Осн. фін. пок.'!F68/'Осн. фін. пок.'!F38</f>
        <v>5.7411575562700961</v>
      </c>
      <c r="G18" s="182">
        <f>'Осн. фін. пок.'!E68/'Осн. фін. пок.'!E38</f>
        <v>1.135149863760218</v>
      </c>
      <c r="H18" s="87"/>
    </row>
    <row r="19" spans="1:10" ht="63.95" customHeight="1">
      <c r="A19" s="78" t="s">
        <v>351</v>
      </c>
      <c r="B19" s="7">
        <v>5220</v>
      </c>
      <c r="C19" s="79" t="s">
        <v>337</v>
      </c>
      <c r="D19" s="259">
        <f>2471.2/5594.4</f>
        <v>0.44172744172744172</v>
      </c>
      <c r="E19" s="259">
        <v>0.43</v>
      </c>
      <c r="F19" s="259">
        <f>(2471.2+'I. Фін результат'!E101)/(5594.4+'IV. Кап. інвестиції'!E6)</f>
        <v>0.16797282215435935</v>
      </c>
      <c r="G19" s="259">
        <f>(2471.2+'I. Фін результат'!E101+'I. Фін результат'!I101)/((5594.4+'IV. Кап. інвестиції'!E6)+'IV. Кап. інвестиції'!I6)</f>
        <v>0.16487950234905166</v>
      </c>
      <c r="H19" s="87" t="s">
        <v>341</v>
      </c>
    </row>
    <row r="20" spans="1:10" ht="20.100000000000001" customHeight="1">
      <c r="A20" s="62" t="s">
        <v>290</v>
      </c>
      <c r="B20" s="7"/>
      <c r="C20" s="79"/>
      <c r="D20" s="88"/>
      <c r="E20" s="152"/>
      <c r="F20" s="88"/>
      <c r="G20" s="88"/>
      <c r="H20" s="87"/>
    </row>
    <row r="21" spans="1:10" ht="112.5">
      <c r="A21" s="89" t="s">
        <v>352</v>
      </c>
      <c r="B21" s="7">
        <v>5300</v>
      </c>
      <c r="C21" s="79"/>
      <c r="D21" s="152"/>
      <c r="E21" s="152"/>
      <c r="F21" s="152"/>
      <c r="G21" s="152"/>
      <c r="H21" s="153"/>
    </row>
    <row r="22" spans="1:10" ht="20.100000000000001" customHeight="1">
      <c r="A22" s="154"/>
      <c r="B22" s="154"/>
      <c r="C22" s="154"/>
      <c r="D22" s="154"/>
      <c r="E22" s="154"/>
      <c r="F22" s="154"/>
      <c r="G22" s="154"/>
      <c r="H22" s="154"/>
    </row>
    <row r="23" spans="1:10" ht="20.100000000000001" customHeight="1">
      <c r="A23" s="154"/>
      <c r="B23" s="154"/>
      <c r="C23" s="154"/>
      <c r="D23" s="154"/>
      <c r="E23" s="154"/>
      <c r="F23" s="154"/>
      <c r="G23" s="154"/>
      <c r="H23" s="154"/>
    </row>
    <row r="24" spans="1:10" ht="20.100000000000001" customHeight="1">
      <c r="A24" s="154"/>
      <c r="B24" s="154"/>
      <c r="C24" s="154"/>
      <c r="D24" s="154"/>
      <c r="E24" s="154"/>
      <c r="F24" s="154"/>
      <c r="G24" s="154"/>
      <c r="H24" s="154"/>
    </row>
    <row r="25" spans="1:10" s="186" customFormat="1" ht="24.75" customHeight="1">
      <c r="A25" s="184" t="s">
        <v>439</v>
      </c>
      <c r="B25" s="184"/>
      <c r="C25" s="185"/>
      <c r="D25" s="379" t="s">
        <v>119</v>
      </c>
      <c r="E25" s="380"/>
      <c r="F25" s="380"/>
      <c r="G25" s="380"/>
      <c r="H25" s="180" t="s">
        <v>403</v>
      </c>
    </row>
    <row r="26" spans="1:10" s="1" customFormat="1" ht="20.100000000000001" customHeight="1">
      <c r="A26" s="109" t="s">
        <v>418</v>
      </c>
      <c r="B26" s="155"/>
      <c r="C26" s="108"/>
      <c r="D26" s="349" t="s">
        <v>84</v>
      </c>
      <c r="E26" s="349"/>
      <c r="F26" s="349"/>
      <c r="G26" s="349"/>
      <c r="H26" s="139" t="s">
        <v>269</v>
      </c>
      <c r="I26" s="60"/>
      <c r="J26" s="60"/>
    </row>
    <row r="27" spans="1:10">
      <c r="A27" s="154"/>
      <c r="B27" s="154"/>
      <c r="C27" s="154"/>
      <c r="D27" s="154"/>
      <c r="E27" s="154"/>
      <c r="F27" s="154"/>
      <c r="G27" s="154"/>
      <c r="H27" s="154"/>
    </row>
    <row r="28" spans="1:10">
      <c r="A28" s="154"/>
      <c r="B28" s="154"/>
      <c r="C28" s="154"/>
      <c r="D28" s="154"/>
      <c r="E28" s="154"/>
      <c r="F28" s="154"/>
      <c r="G28" s="154"/>
      <c r="H28" s="154"/>
    </row>
    <row r="29" spans="1:10">
      <c r="A29" s="154"/>
      <c r="B29" s="154"/>
      <c r="C29" s="154"/>
      <c r="D29" s="154"/>
      <c r="E29" s="154"/>
      <c r="F29" s="154"/>
      <c r="G29" s="154"/>
      <c r="H29" s="154"/>
    </row>
    <row r="30" spans="1:10">
      <c r="A30" s="154"/>
      <c r="B30" s="154"/>
      <c r="C30" s="154"/>
      <c r="D30" s="154"/>
      <c r="E30" s="154"/>
      <c r="F30" s="154"/>
      <c r="G30" s="154"/>
      <c r="H30" s="154"/>
    </row>
    <row r="31" spans="1:10">
      <c r="A31" s="154"/>
      <c r="B31" s="154"/>
      <c r="C31" s="154"/>
      <c r="D31" s="154"/>
      <c r="E31" s="154"/>
      <c r="F31" s="154"/>
      <c r="G31" s="154"/>
      <c r="H31" s="15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topLeftCell="A70" zoomScale="60" zoomScaleNormal="60" workbookViewId="0">
      <selection activeCell="J19" sqref="J19:K21"/>
    </sheetView>
  </sheetViews>
  <sheetFormatPr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" width="48.5703125" style="1" customWidth="1"/>
    <col min="17" max="16384" width="9.140625" style="1"/>
  </cols>
  <sheetData>
    <row r="1" spans="1:15">
      <c r="A1" s="429" t="s">
        <v>136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1:15">
      <c r="A2" s="430" t="s">
        <v>478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22.5">
      <c r="A3" s="431" t="s">
        <v>398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15" ht="20.100000000000001" customHeight="1">
      <c r="A4" s="433" t="s">
        <v>146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ht="21.95" customHeight="1">
      <c r="A5" s="428" t="s">
        <v>98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43.5" customHeight="1">
      <c r="A7" s="434" t="s">
        <v>416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319" t="s">
        <v>272</v>
      </c>
      <c r="B9" s="319"/>
      <c r="C9" s="319"/>
      <c r="D9" s="320" t="s">
        <v>148</v>
      </c>
      <c r="E9" s="320"/>
      <c r="F9" s="320" t="s">
        <v>31</v>
      </c>
      <c r="G9" s="320"/>
      <c r="H9" s="320" t="s">
        <v>70</v>
      </c>
      <c r="I9" s="320"/>
      <c r="J9" s="320" t="s">
        <v>149</v>
      </c>
      <c r="K9" s="320"/>
      <c r="L9" s="320" t="s">
        <v>293</v>
      </c>
      <c r="M9" s="320"/>
      <c r="N9" s="320" t="s">
        <v>294</v>
      </c>
      <c r="O9" s="320"/>
    </row>
    <row r="10" spans="1:15" s="2" customFormat="1" ht="18" customHeight="1">
      <c r="A10" s="319">
        <v>1</v>
      </c>
      <c r="B10" s="319"/>
      <c r="C10" s="319"/>
      <c r="D10" s="320">
        <v>2</v>
      </c>
      <c r="E10" s="320"/>
      <c r="F10" s="320">
        <v>3</v>
      </c>
      <c r="G10" s="320"/>
      <c r="H10" s="320">
        <v>4</v>
      </c>
      <c r="I10" s="320"/>
      <c r="J10" s="320">
        <v>5</v>
      </c>
      <c r="K10" s="320"/>
      <c r="L10" s="320">
        <v>6</v>
      </c>
      <c r="M10" s="320"/>
      <c r="N10" s="320">
        <v>7</v>
      </c>
      <c r="O10" s="320"/>
    </row>
    <row r="11" spans="1:15" s="2" customFormat="1" ht="20.100000000000001" customHeight="1">
      <c r="A11" s="425" t="s">
        <v>147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7"/>
      <c r="L11" s="435"/>
      <c r="M11" s="436"/>
      <c r="N11" s="435"/>
      <c r="O11" s="436"/>
    </row>
    <row r="12" spans="1:15" s="2" customFormat="1" ht="20.100000000000001" customHeight="1">
      <c r="A12" s="385" t="s">
        <v>313</v>
      </c>
      <c r="B12" s="385"/>
      <c r="C12" s="385"/>
      <c r="D12" s="394"/>
      <c r="E12" s="395"/>
      <c r="F12" s="394">
        <v>6</v>
      </c>
      <c r="G12" s="395"/>
      <c r="H12" s="394">
        <v>5</v>
      </c>
      <c r="I12" s="395"/>
      <c r="J12" s="394">
        <v>5</v>
      </c>
      <c r="K12" s="395"/>
      <c r="L12" s="383">
        <f>J12/H12*100%</f>
        <v>1</v>
      </c>
      <c r="M12" s="384"/>
      <c r="N12" s="383">
        <f>J12/F12*100%</f>
        <v>0.83333333333333337</v>
      </c>
      <c r="O12" s="384"/>
    </row>
    <row r="13" spans="1:15" s="2" customFormat="1" ht="20.100000000000001" customHeight="1">
      <c r="A13" s="385" t="s">
        <v>314</v>
      </c>
      <c r="B13" s="385"/>
      <c r="C13" s="385"/>
      <c r="D13" s="394"/>
      <c r="E13" s="395"/>
      <c r="F13" s="394">
        <v>2</v>
      </c>
      <c r="G13" s="395"/>
      <c r="H13" s="394">
        <v>11</v>
      </c>
      <c r="I13" s="395"/>
      <c r="J13" s="394">
        <v>16</v>
      </c>
      <c r="K13" s="395"/>
      <c r="L13" s="383">
        <f t="shared" ref="L13:L33" si="0">J13/H13*100%</f>
        <v>1.4545454545454546</v>
      </c>
      <c r="M13" s="384"/>
      <c r="N13" s="383">
        <f t="shared" ref="N13:N33" si="1">J13/F13*100%</f>
        <v>8</v>
      </c>
      <c r="O13" s="384"/>
    </row>
    <row r="14" spans="1:15" s="2" customFormat="1" ht="20.100000000000001" customHeight="1">
      <c r="A14" s="385" t="s">
        <v>315</v>
      </c>
      <c r="B14" s="385"/>
      <c r="C14" s="385"/>
      <c r="D14" s="394"/>
      <c r="E14" s="395"/>
      <c r="F14" s="394"/>
      <c r="G14" s="395"/>
      <c r="H14" s="394"/>
      <c r="I14" s="395"/>
      <c r="J14" s="394"/>
      <c r="K14" s="395"/>
      <c r="L14" s="383"/>
      <c r="M14" s="384"/>
      <c r="N14" s="383"/>
      <c r="O14" s="384"/>
    </row>
    <row r="15" spans="1:15" s="2" customFormat="1" ht="20.100000000000001" customHeight="1">
      <c r="A15" s="385" t="s">
        <v>316</v>
      </c>
      <c r="B15" s="385"/>
      <c r="C15" s="385"/>
      <c r="D15" s="394"/>
      <c r="E15" s="395"/>
      <c r="F15" s="394">
        <v>1</v>
      </c>
      <c r="G15" s="395"/>
      <c r="H15" s="394"/>
      <c r="I15" s="395"/>
      <c r="J15" s="394"/>
      <c r="K15" s="395"/>
      <c r="L15" s="383"/>
      <c r="M15" s="384"/>
      <c r="N15" s="383">
        <f t="shared" si="1"/>
        <v>0</v>
      </c>
      <c r="O15" s="384"/>
    </row>
    <row r="16" spans="1:15" s="2" customFormat="1" ht="20.100000000000001" customHeight="1">
      <c r="A16" s="385" t="s">
        <v>317</v>
      </c>
      <c r="B16" s="385"/>
      <c r="C16" s="385"/>
      <c r="D16" s="394"/>
      <c r="E16" s="395"/>
      <c r="F16" s="394">
        <v>32</v>
      </c>
      <c r="G16" s="395"/>
      <c r="H16" s="394">
        <v>25</v>
      </c>
      <c r="I16" s="395"/>
      <c r="J16" s="394">
        <v>20</v>
      </c>
      <c r="K16" s="395"/>
      <c r="L16" s="383">
        <f t="shared" si="0"/>
        <v>0.8</v>
      </c>
      <c r="M16" s="384"/>
      <c r="N16" s="383">
        <f t="shared" si="1"/>
        <v>0.625</v>
      </c>
      <c r="O16" s="384"/>
    </row>
    <row r="17" spans="1:16" s="2" customFormat="1" ht="20.100000000000001" customHeight="1">
      <c r="A17" s="385" t="s">
        <v>318</v>
      </c>
      <c r="B17" s="385"/>
      <c r="C17" s="385"/>
      <c r="D17" s="394"/>
      <c r="E17" s="395"/>
      <c r="F17" s="394"/>
      <c r="G17" s="395"/>
      <c r="H17" s="394"/>
      <c r="I17" s="395"/>
      <c r="J17" s="394"/>
      <c r="K17" s="395"/>
      <c r="L17" s="383"/>
      <c r="M17" s="384"/>
      <c r="N17" s="383"/>
      <c r="O17" s="384"/>
    </row>
    <row r="18" spans="1:16" s="2" customFormat="1" ht="20.100000000000001" customHeight="1">
      <c r="A18" s="425" t="s">
        <v>291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7"/>
      <c r="L18" s="383"/>
      <c r="M18" s="384"/>
      <c r="N18" s="383"/>
      <c r="O18" s="384"/>
    </row>
    <row r="19" spans="1:16" s="2" customFormat="1" ht="20.100000000000001" customHeight="1">
      <c r="A19" s="385" t="s">
        <v>270</v>
      </c>
      <c r="B19" s="385"/>
      <c r="C19" s="385"/>
      <c r="D19" s="240"/>
      <c r="E19" s="241"/>
      <c r="F19" s="269">
        <v>115</v>
      </c>
      <c r="G19" s="241"/>
      <c r="H19" s="386">
        <v>208</v>
      </c>
      <c r="I19" s="387"/>
      <c r="J19" s="388">
        <f>штатка!V55/1000</f>
        <v>0</v>
      </c>
      <c r="K19" s="389"/>
      <c r="L19" s="383">
        <f t="shared" si="0"/>
        <v>0</v>
      </c>
      <c r="M19" s="384"/>
      <c r="N19" s="383">
        <f t="shared" si="1"/>
        <v>0</v>
      </c>
      <c r="O19" s="384"/>
    </row>
    <row r="20" spans="1:16" s="2" customFormat="1" ht="20.100000000000001" customHeight="1">
      <c r="A20" s="385" t="s">
        <v>295</v>
      </c>
      <c r="B20" s="385"/>
      <c r="C20" s="385"/>
      <c r="D20" s="237"/>
      <c r="E20" s="238"/>
      <c r="F20" s="269">
        <v>185</v>
      </c>
      <c r="G20" s="241"/>
      <c r="H20" s="386">
        <v>1958</v>
      </c>
      <c r="I20" s="387"/>
      <c r="J20" s="388">
        <f>штатка!V56/1000</f>
        <v>0</v>
      </c>
      <c r="K20" s="389"/>
      <c r="L20" s="383">
        <f t="shared" si="0"/>
        <v>0</v>
      </c>
      <c r="M20" s="384"/>
      <c r="N20" s="383">
        <f t="shared" si="1"/>
        <v>0</v>
      </c>
      <c r="O20" s="384"/>
    </row>
    <row r="21" spans="1:16" s="2" customFormat="1" ht="20.100000000000001" customHeight="1">
      <c r="A21" s="385" t="s">
        <v>271</v>
      </c>
      <c r="B21" s="385"/>
      <c r="C21" s="385"/>
      <c r="D21" s="237"/>
      <c r="E21" s="238"/>
      <c r="F21" s="269">
        <v>804</v>
      </c>
      <c r="G21" s="241"/>
      <c r="H21" s="386">
        <v>1666</v>
      </c>
      <c r="I21" s="387"/>
      <c r="J21" s="388">
        <f>штатка!V57/1000</f>
        <v>0</v>
      </c>
      <c r="K21" s="389"/>
      <c r="L21" s="383">
        <f t="shared" si="0"/>
        <v>0</v>
      </c>
      <c r="M21" s="384"/>
      <c r="N21" s="383">
        <f t="shared" si="1"/>
        <v>0</v>
      </c>
      <c r="O21" s="384"/>
    </row>
    <row r="22" spans="1:16" s="2" customFormat="1" ht="20.100000000000001" customHeight="1">
      <c r="A22" s="425" t="s">
        <v>292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7"/>
      <c r="L22" s="383"/>
      <c r="M22" s="384"/>
      <c r="N22" s="383"/>
      <c r="O22" s="384"/>
    </row>
    <row r="23" spans="1:16" s="2" customFormat="1" ht="20.100000000000001" customHeight="1">
      <c r="A23" s="385" t="s">
        <v>270</v>
      </c>
      <c r="B23" s="385"/>
      <c r="C23" s="385"/>
      <c r="D23" s="237"/>
      <c r="E23" s="238"/>
      <c r="F23" s="237">
        <f t="shared" ref="F23" si="2">F19</f>
        <v>115</v>
      </c>
      <c r="G23" s="238"/>
      <c r="H23" s="386">
        <f t="shared" ref="H23" si="3">H19</f>
        <v>208</v>
      </c>
      <c r="I23" s="387"/>
      <c r="J23" s="388">
        <f>штатка!V60/1000</f>
        <v>0</v>
      </c>
      <c r="K23" s="389"/>
      <c r="L23" s="383">
        <f t="shared" si="0"/>
        <v>0</v>
      </c>
      <c r="M23" s="384"/>
      <c r="N23" s="383">
        <f t="shared" si="1"/>
        <v>0</v>
      </c>
      <c r="O23" s="384"/>
    </row>
    <row r="24" spans="1:16" s="2" customFormat="1" ht="20.100000000000001" customHeight="1">
      <c r="A24" s="385" t="s">
        <v>295</v>
      </c>
      <c r="B24" s="385"/>
      <c r="C24" s="385"/>
      <c r="D24" s="237"/>
      <c r="E24" s="238"/>
      <c r="F24" s="237">
        <f t="shared" ref="F24" si="4">F20</f>
        <v>185</v>
      </c>
      <c r="G24" s="238"/>
      <c r="H24" s="386">
        <f t="shared" ref="H24" si="5">H20</f>
        <v>1958</v>
      </c>
      <c r="I24" s="387"/>
      <c r="J24" s="388">
        <f>штатка!V61/1000</f>
        <v>0</v>
      </c>
      <c r="K24" s="389"/>
      <c r="L24" s="383">
        <f t="shared" si="0"/>
        <v>0</v>
      </c>
      <c r="M24" s="384"/>
      <c r="N24" s="383">
        <f t="shared" si="1"/>
        <v>0</v>
      </c>
      <c r="O24" s="384"/>
    </row>
    <row r="25" spans="1:16" s="2" customFormat="1" ht="20.100000000000001" customHeight="1">
      <c r="A25" s="385" t="s">
        <v>271</v>
      </c>
      <c r="B25" s="385"/>
      <c r="C25" s="385"/>
      <c r="D25" s="237"/>
      <c r="E25" s="238"/>
      <c r="F25" s="237">
        <f t="shared" ref="F25" si="6">F21</f>
        <v>804</v>
      </c>
      <c r="G25" s="238"/>
      <c r="H25" s="386">
        <f t="shared" ref="H25" si="7">H21</f>
        <v>1666</v>
      </c>
      <c r="I25" s="387"/>
      <c r="J25" s="388">
        <f>штатка!V62/1000</f>
        <v>0</v>
      </c>
      <c r="K25" s="389"/>
      <c r="L25" s="383">
        <f t="shared" si="0"/>
        <v>0</v>
      </c>
      <c r="M25" s="384"/>
      <c r="N25" s="383">
        <f t="shared" si="1"/>
        <v>0</v>
      </c>
      <c r="O25" s="384"/>
    </row>
    <row r="26" spans="1:16" s="2" customFormat="1" ht="38.25" customHeight="1">
      <c r="A26" s="425" t="s">
        <v>319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7"/>
      <c r="L26" s="383"/>
      <c r="M26" s="384"/>
      <c r="N26" s="383"/>
      <c r="O26" s="384"/>
    </row>
    <row r="27" spans="1:16" s="2" customFormat="1" ht="22.5">
      <c r="A27" s="385" t="s">
        <v>270</v>
      </c>
      <c r="B27" s="385"/>
      <c r="C27" s="385"/>
      <c r="D27" s="237"/>
      <c r="E27" s="238"/>
      <c r="F27" s="237">
        <f t="shared" ref="F27" si="8">F19/12*1000</f>
        <v>9583.3333333333339</v>
      </c>
      <c r="G27" s="238"/>
      <c r="H27" s="386">
        <f t="shared" ref="H27" si="9">H19/12*1000</f>
        <v>17333.333333333332</v>
      </c>
      <c r="I27" s="387"/>
      <c r="J27" s="388">
        <f>штатка!V65</f>
        <v>15895</v>
      </c>
      <c r="K27" s="389"/>
      <c r="L27" s="383">
        <f t="shared" si="0"/>
        <v>0.91701923076923086</v>
      </c>
      <c r="M27" s="384"/>
      <c r="N27" s="383">
        <f t="shared" si="1"/>
        <v>1.6586086956521737</v>
      </c>
      <c r="O27" s="384"/>
      <c r="P27" s="275"/>
    </row>
    <row r="28" spans="1:16" s="2" customFormat="1" ht="20.100000000000001" customHeight="1">
      <c r="A28" s="385" t="s">
        <v>295</v>
      </c>
      <c r="B28" s="385"/>
      <c r="C28" s="385"/>
      <c r="D28" s="237"/>
      <c r="E28" s="238"/>
      <c r="F28" s="237">
        <f>F20/12/7*1000</f>
        <v>2202.3809523809523</v>
      </c>
      <c r="G28" s="238"/>
      <c r="H28" s="386">
        <f>H20/12/15*1000</f>
        <v>10877.777777777776</v>
      </c>
      <c r="I28" s="387"/>
      <c r="J28" s="388">
        <f>штатка!V66</f>
        <v>13908.125</v>
      </c>
      <c r="K28" s="389"/>
      <c r="L28" s="383">
        <f t="shared" si="0"/>
        <v>1.2785814606741575</v>
      </c>
      <c r="M28" s="384"/>
      <c r="N28" s="383">
        <f t="shared" si="1"/>
        <v>6.315040540540541</v>
      </c>
      <c r="O28" s="384"/>
    </row>
    <row r="29" spans="1:16" s="2" customFormat="1" ht="20.100000000000001" customHeight="1">
      <c r="A29" s="385" t="s">
        <v>271</v>
      </c>
      <c r="B29" s="385"/>
      <c r="C29" s="385"/>
      <c r="D29" s="237"/>
      <c r="E29" s="238"/>
      <c r="F29" s="237">
        <f>F21/12/33*1000</f>
        <v>2030.3030303030303</v>
      </c>
      <c r="G29" s="238"/>
      <c r="H29" s="386">
        <f>H21/12/25*1000</f>
        <v>5553.3333333333339</v>
      </c>
      <c r="I29" s="387"/>
      <c r="J29" s="388">
        <f>штатка!V67</f>
        <v>2433.1666666666665</v>
      </c>
      <c r="K29" s="389"/>
      <c r="L29" s="383">
        <f t="shared" si="0"/>
        <v>0.43814525810324123</v>
      </c>
      <c r="M29" s="384"/>
      <c r="N29" s="383">
        <f t="shared" si="1"/>
        <v>1.1984253731343284</v>
      </c>
      <c r="O29" s="384"/>
    </row>
    <row r="30" spans="1:16" s="2" customFormat="1" ht="20.100000000000001" customHeight="1">
      <c r="A30" s="425" t="s">
        <v>320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7"/>
      <c r="L30" s="383"/>
      <c r="M30" s="384"/>
      <c r="N30" s="383"/>
      <c r="O30" s="384"/>
    </row>
    <row r="31" spans="1:16" s="2" customFormat="1" ht="20.100000000000001" customHeight="1">
      <c r="A31" s="385" t="s">
        <v>270</v>
      </c>
      <c r="B31" s="385"/>
      <c r="C31" s="385"/>
      <c r="D31" s="237"/>
      <c r="E31" s="238"/>
      <c r="F31" s="237">
        <f t="shared" ref="F31" si="10">F27</f>
        <v>9583.3333333333339</v>
      </c>
      <c r="G31" s="238"/>
      <c r="H31" s="386">
        <f t="shared" ref="H31" si="11">H27</f>
        <v>17333.333333333332</v>
      </c>
      <c r="I31" s="387"/>
      <c r="J31" s="388">
        <f>штатка!V70</f>
        <v>0</v>
      </c>
      <c r="K31" s="389"/>
      <c r="L31" s="383">
        <f t="shared" si="0"/>
        <v>0</v>
      </c>
      <c r="M31" s="384"/>
      <c r="N31" s="383">
        <f t="shared" si="1"/>
        <v>0</v>
      </c>
      <c r="O31" s="384"/>
    </row>
    <row r="32" spans="1:16" s="2" customFormat="1" ht="20.100000000000001" customHeight="1">
      <c r="A32" s="385" t="s">
        <v>295</v>
      </c>
      <c r="B32" s="385"/>
      <c r="C32" s="385"/>
      <c r="D32" s="237"/>
      <c r="E32" s="238"/>
      <c r="F32" s="237">
        <f t="shared" ref="F32" si="12">F28</f>
        <v>2202.3809523809523</v>
      </c>
      <c r="G32" s="238"/>
      <c r="H32" s="386">
        <f t="shared" ref="H32" si="13">H28</f>
        <v>10877.777777777776</v>
      </c>
      <c r="I32" s="387"/>
      <c r="J32" s="388">
        <f>штатка!V71</f>
        <v>0</v>
      </c>
      <c r="K32" s="389"/>
      <c r="L32" s="383">
        <f t="shared" si="0"/>
        <v>0</v>
      </c>
      <c r="M32" s="384"/>
      <c r="N32" s="383">
        <f t="shared" si="1"/>
        <v>0</v>
      </c>
      <c r="O32" s="384"/>
    </row>
    <row r="33" spans="1:15" s="2" customFormat="1" ht="20.100000000000001" customHeight="1">
      <c r="A33" s="385" t="s">
        <v>271</v>
      </c>
      <c r="B33" s="385"/>
      <c r="C33" s="385"/>
      <c r="D33" s="237"/>
      <c r="E33" s="238"/>
      <c r="F33" s="237">
        <f t="shared" ref="F33" si="14">F29</f>
        <v>2030.3030303030303</v>
      </c>
      <c r="G33" s="238"/>
      <c r="H33" s="386">
        <f t="shared" ref="H33" si="15">H29</f>
        <v>5553.3333333333339</v>
      </c>
      <c r="I33" s="387"/>
      <c r="J33" s="388">
        <f>штатка!V72</f>
        <v>0</v>
      </c>
      <c r="K33" s="389"/>
      <c r="L33" s="383">
        <f t="shared" si="0"/>
        <v>0</v>
      </c>
      <c r="M33" s="384"/>
      <c r="N33" s="383">
        <f t="shared" si="1"/>
        <v>0</v>
      </c>
      <c r="O33" s="384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24" t="s">
        <v>321</v>
      </c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407" t="s">
        <v>322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</row>
    <row r="38" spans="1:15" ht="10.5" customHeight="1"/>
    <row r="39" spans="1:15" ht="60" customHeight="1">
      <c r="A39" s="38" t="s">
        <v>150</v>
      </c>
      <c r="B39" s="413" t="s">
        <v>323</v>
      </c>
      <c r="C39" s="414"/>
      <c r="D39" s="414"/>
      <c r="E39" s="414"/>
      <c r="F39" s="355" t="s">
        <v>92</v>
      </c>
      <c r="G39" s="355"/>
      <c r="H39" s="355"/>
      <c r="I39" s="355"/>
      <c r="J39" s="355"/>
      <c r="K39" s="355"/>
      <c r="L39" s="355"/>
      <c r="M39" s="355"/>
      <c r="N39" s="355"/>
      <c r="O39" s="355"/>
    </row>
    <row r="40" spans="1:15" ht="18" customHeight="1">
      <c r="A40" s="38">
        <v>1</v>
      </c>
      <c r="B40" s="413">
        <v>2</v>
      </c>
      <c r="C40" s="414"/>
      <c r="D40" s="414"/>
      <c r="E40" s="414"/>
      <c r="F40" s="355">
        <v>3</v>
      </c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5" ht="20.100000000000001" customHeight="1">
      <c r="A41" s="156"/>
      <c r="B41" s="417"/>
      <c r="C41" s="418"/>
      <c r="D41" s="418"/>
      <c r="E41" s="418"/>
      <c r="F41" s="423"/>
      <c r="G41" s="423"/>
      <c r="H41" s="423"/>
      <c r="I41" s="423"/>
      <c r="J41" s="423"/>
      <c r="K41" s="423"/>
      <c r="L41" s="423"/>
      <c r="M41" s="423"/>
      <c r="N41" s="423"/>
      <c r="O41" s="423"/>
    </row>
    <row r="42" spans="1:15" ht="20.100000000000001" customHeight="1">
      <c r="A42" s="156"/>
      <c r="B42" s="417"/>
      <c r="C42" s="418"/>
      <c r="D42" s="418"/>
      <c r="E42" s="418"/>
      <c r="F42" s="423"/>
      <c r="G42" s="423"/>
      <c r="H42" s="423"/>
      <c r="I42" s="423"/>
      <c r="J42" s="423"/>
      <c r="K42" s="423"/>
      <c r="L42" s="423"/>
      <c r="M42" s="423"/>
      <c r="N42" s="423"/>
      <c r="O42" s="423"/>
    </row>
    <row r="43" spans="1:15" ht="20.100000000000001" customHeight="1">
      <c r="A43" s="156"/>
      <c r="B43" s="417"/>
      <c r="C43" s="418"/>
      <c r="D43" s="418"/>
      <c r="E43" s="418"/>
      <c r="F43" s="423"/>
      <c r="G43" s="423"/>
      <c r="H43" s="423"/>
      <c r="I43" s="423"/>
      <c r="J43" s="423"/>
      <c r="K43" s="423"/>
      <c r="L43" s="423"/>
      <c r="M43" s="423"/>
      <c r="N43" s="423"/>
      <c r="O43" s="423"/>
    </row>
    <row r="44" spans="1:15" ht="20.100000000000001" customHeight="1">
      <c r="A44" s="156"/>
      <c r="B44" s="417"/>
      <c r="C44" s="418"/>
      <c r="D44" s="418"/>
      <c r="E44" s="418"/>
      <c r="F44" s="423"/>
      <c r="G44" s="423"/>
      <c r="H44" s="423"/>
      <c r="I44" s="423"/>
      <c r="J44" s="423"/>
      <c r="K44" s="423"/>
      <c r="L44" s="423"/>
      <c r="M44" s="423"/>
      <c r="N44" s="423"/>
      <c r="O44" s="423"/>
    </row>
    <row r="45" spans="1:15" ht="20.100000000000001" customHeight="1">
      <c r="A45" s="156"/>
      <c r="B45" s="417"/>
      <c r="C45" s="418"/>
      <c r="D45" s="418"/>
      <c r="E45" s="418"/>
      <c r="F45" s="423"/>
      <c r="G45" s="423"/>
      <c r="H45" s="423"/>
      <c r="I45" s="423"/>
      <c r="J45" s="423"/>
      <c r="K45" s="423"/>
      <c r="L45" s="423"/>
      <c r="M45" s="423"/>
      <c r="N45" s="423"/>
      <c r="O45" s="423"/>
    </row>
    <row r="46" spans="1:15" ht="20.100000000000001" customHeight="1">
      <c r="A46" s="156"/>
      <c r="B46" s="417"/>
      <c r="C46" s="418"/>
      <c r="D46" s="418"/>
      <c r="E46" s="418"/>
      <c r="F46" s="423"/>
      <c r="G46" s="423"/>
      <c r="H46" s="423"/>
      <c r="I46" s="423"/>
      <c r="J46" s="423"/>
      <c r="K46" s="423"/>
      <c r="L46" s="423"/>
      <c r="M46" s="423"/>
      <c r="N46" s="423"/>
      <c r="O46" s="423"/>
    </row>
    <row r="47" spans="1:15" ht="20.100000000000001" customHeight="1">
      <c r="A47" s="156"/>
      <c r="B47" s="417"/>
      <c r="C47" s="418"/>
      <c r="D47" s="418"/>
      <c r="E47" s="418"/>
      <c r="F47" s="423"/>
      <c r="G47" s="423"/>
      <c r="H47" s="423"/>
      <c r="I47" s="423"/>
      <c r="J47" s="423"/>
      <c r="K47" s="423"/>
      <c r="L47" s="423"/>
      <c r="M47" s="423"/>
      <c r="N47" s="423"/>
      <c r="O47" s="423"/>
    </row>
    <row r="48" spans="1:15" ht="20.100000000000001" customHeight="1">
      <c r="A48" s="156"/>
      <c r="B48" s="417"/>
      <c r="C48" s="418"/>
      <c r="D48" s="418"/>
      <c r="E48" s="418"/>
      <c r="F48" s="417"/>
      <c r="G48" s="418"/>
      <c r="H48" s="418"/>
      <c r="I48" s="418"/>
      <c r="J48" s="418"/>
      <c r="K48" s="418"/>
      <c r="L48" s="418"/>
      <c r="M48" s="418"/>
      <c r="N48" s="418"/>
      <c r="O48" s="419"/>
    </row>
    <row r="49" spans="1:15" ht="20.100000000000001" customHeight="1">
      <c r="A49" s="156"/>
      <c r="B49" s="417"/>
      <c r="C49" s="418"/>
      <c r="D49" s="418"/>
      <c r="E49" s="419"/>
      <c r="F49" s="417"/>
      <c r="G49" s="418"/>
      <c r="H49" s="418"/>
      <c r="I49" s="418"/>
      <c r="J49" s="418"/>
      <c r="K49" s="418"/>
      <c r="L49" s="418"/>
      <c r="M49" s="418"/>
      <c r="N49" s="418"/>
      <c r="O49" s="419"/>
    </row>
    <row r="50" spans="1:15" ht="20.100000000000001" customHeight="1">
      <c r="A50" s="7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416" t="s">
        <v>253</v>
      </c>
      <c r="B51" s="416"/>
      <c r="C51" s="416"/>
      <c r="D51" s="416"/>
      <c r="E51" s="416"/>
      <c r="F51" s="416"/>
      <c r="G51" s="416"/>
      <c r="H51" s="416"/>
      <c r="I51" s="416"/>
      <c r="J51" s="416"/>
    </row>
    <row r="52" spans="1:15" ht="20.100000000000001" customHeight="1">
      <c r="A52" s="19"/>
    </row>
    <row r="53" spans="1:15" ht="63.95" customHeight="1">
      <c r="A53" s="351" t="s">
        <v>272</v>
      </c>
      <c r="B53" s="351" t="s">
        <v>324</v>
      </c>
      <c r="C53" s="351"/>
      <c r="D53" s="406" t="s">
        <v>477</v>
      </c>
      <c r="E53" s="406"/>
      <c r="F53" s="406"/>
      <c r="G53" s="406" t="s">
        <v>476</v>
      </c>
      <c r="H53" s="406"/>
      <c r="I53" s="406"/>
      <c r="J53" s="420" t="s">
        <v>475</v>
      </c>
      <c r="K53" s="421"/>
      <c r="L53" s="422"/>
      <c r="M53" s="406" t="s">
        <v>474</v>
      </c>
      <c r="N53" s="406"/>
      <c r="O53" s="406"/>
    </row>
    <row r="54" spans="1:15" ht="168.75">
      <c r="A54" s="351"/>
      <c r="B54" s="7" t="s">
        <v>78</v>
      </c>
      <c r="C54" s="7" t="s">
        <v>79</v>
      </c>
      <c r="D54" s="7" t="s">
        <v>325</v>
      </c>
      <c r="E54" s="7" t="s">
        <v>326</v>
      </c>
      <c r="F54" s="7" t="s">
        <v>327</v>
      </c>
      <c r="G54" s="7" t="s">
        <v>325</v>
      </c>
      <c r="H54" s="7" t="s">
        <v>326</v>
      </c>
      <c r="I54" s="7" t="s">
        <v>327</v>
      </c>
      <c r="J54" s="7" t="s">
        <v>325</v>
      </c>
      <c r="K54" s="7" t="s">
        <v>326</v>
      </c>
      <c r="L54" s="7" t="s">
        <v>327</v>
      </c>
      <c r="M54" s="7" t="s">
        <v>325</v>
      </c>
      <c r="N54" s="7" t="s">
        <v>326</v>
      </c>
      <c r="O54" s="7" t="s">
        <v>327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57" t="s">
        <v>417</v>
      </c>
      <c r="B56" s="107">
        <v>100</v>
      </c>
      <c r="C56" s="107">
        <v>100</v>
      </c>
      <c r="D56" s="261">
        <v>1215</v>
      </c>
      <c r="E56" s="261">
        <v>135</v>
      </c>
      <c r="F56" s="226">
        <f>D56/E56*1000</f>
        <v>9000</v>
      </c>
      <c r="G56" s="261">
        <v>1024</v>
      </c>
      <c r="H56" s="261">
        <v>109</v>
      </c>
      <c r="I56" s="226">
        <v>9394</v>
      </c>
      <c r="J56" s="261">
        <v>1866</v>
      </c>
      <c r="K56" s="261">
        <v>156</v>
      </c>
      <c r="L56" s="226">
        <f>J56/K56*1000</f>
        <v>11961.538461538461</v>
      </c>
      <c r="M56" s="261">
        <v>1835</v>
      </c>
      <c r="N56" s="261">
        <v>135</v>
      </c>
      <c r="O56" s="226">
        <f>M56/N56*1000</f>
        <v>13592.592592592593</v>
      </c>
    </row>
    <row r="57" spans="1:15" ht="20.100000000000001" customHeight="1">
      <c r="A57" s="158" t="s">
        <v>60</v>
      </c>
      <c r="B57" s="76">
        <v>100</v>
      </c>
      <c r="C57" s="76">
        <v>100</v>
      </c>
      <c r="D57" s="93">
        <v>1215</v>
      </c>
      <c r="E57" s="107"/>
      <c r="F57" s="142"/>
      <c r="G57" s="93">
        <f>SUM(G56:G56)</f>
        <v>1024</v>
      </c>
      <c r="H57" s="142"/>
      <c r="I57" s="142"/>
      <c r="J57" s="93">
        <f>SUM(J56:J56)</f>
        <v>1866</v>
      </c>
      <c r="K57" s="142"/>
      <c r="L57" s="142"/>
      <c r="M57" s="262">
        <f>SUM(M56:M56)</f>
        <v>1835</v>
      </c>
      <c r="N57" s="142"/>
      <c r="O57" s="142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407" t="s">
        <v>80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</row>
    <row r="60" spans="1:15" ht="20.100000000000001" customHeight="1">
      <c r="A60" s="19"/>
    </row>
    <row r="61" spans="1:15" ht="63.95" customHeight="1">
      <c r="A61" s="7" t="s">
        <v>140</v>
      </c>
      <c r="B61" s="351" t="s">
        <v>77</v>
      </c>
      <c r="C61" s="351"/>
      <c r="D61" s="351" t="s">
        <v>72</v>
      </c>
      <c r="E61" s="351"/>
      <c r="F61" s="351" t="s">
        <v>73</v>
      </c>
      <c r="G61" s="351"/>
      <c r="H61" s="351" t="s">
        <v>328</v>
      </c>
      <c r="I61" s="351"/>
      <c r="J61" s="351"/>
      <c r="K61" s="410" t="s">
        <v>93</v>
      </c>
      <c r="L61" s="412"/>
      <c r="M61" s="410" t="s">
        <v>37</v>
      </c>
      <c r="N61" s="411"/>
      <c r="O61" s="412"/>
    </row>
    <row r="62" spans="1:15" ht="18" customHeight="1">
      <c r="A62" s="6">
        <v>1</v>
      </c>
      <c r="B62" s="355">
        <v>2</v>
      </c>
      <c r="C62" s="355"/>
      <c r="D62" s="355">
        <v>3</v>
      </c>
      <c r="E62" s="355"/>
      <c r="F62" s="409">
        <v>4</v>
      </c>
      <c r="G62" s="409"/>
      <c r="H62" s="355">
        <v>5</v>
      </c>
      <c r="I62" s="355"/>
      <c r="J62" s="355"/>
      <c r="K62" s="355">
        <v>6</v>
      </c>
      <c r="L62" s="355"/>
      <c r="M62" s="413">
        <v>7</v>
      </c>
      <c r="N62" s="414"/>
      <c r="O62" s="415"/>
    </row>
    <row r="63" spans="1:15" ht="20.100000000000001" customHeight="1">
      <c r="A63" s="157"/>
      <c r="B63" s="403"/>
      <c r="C63" s="403"/>
      <c r="D63" s="403"/>
      <c r="E63" s="403"/>
      <c r="F63" s="403"/>
      <c r="G63" s="403"/>
      <c r="H63" s="403"/>
      <c r="I63" s="403"/>
      <c r="J63" s="403"/>
      <c r="K63" s="399"/>
      <c r="L63" s="401"/>
      <c r="M63" s="403"/>
      <c r="N63" s="403"/>
      <c r="O63" s="403"/>
    </row>
    <row r="64" spans="1:15" ht="20.100000000000001" customHeight="1">
      <c r="A64" s="157"/>
      <c r="B64" s="399"/>
      <c r="C64" s="401"/>
      <c r="D64" s="399"/>
      <c r="E64" s="401"/>
      <c r="F64" s="399"/>
      <c r="G64" s="401"/>
      <c r="H64" s="399"/>
      <c r="I64" s="400"/>
      <c r="J64" s="401"/>
      <c r="K64" s="399"/>
      <c r="L64" s="401"/>
      <c r="M64" s="399"/>
      <c r="N64" s="400"/>
      <c r="O64" s="401"/>
    </row>
    <row r="65" spans="1:15" ht="20.100000000000001" customHeight="1">
      <c r="A65" s="157"/>
      <c r="B65" s="403"/>
      <c r="C65" s="403"/>
      <c r="D65" s="403"/>
      <c r="E65" s="403"/>
      <c r="F65" s="403"/>
      <c r="G65" s="403"/>
      <c r="H65" s="403"/>
      <c r="I65" s="403"/>
      <c r="J65" s="403"/>
      <c r="K65" s="399"/>
      <c r="L65" s="401"/>
      <c r="M65" s="403"/>
      <c r="N65" s="403"/>
      <c r="O65" s="403"/>
    </row>
    <row r="66" spans="1:15" ht="20.100000000000001" customHeight="1">
      <c r="A66" s="158" t="s">
        <v>60</v>
      </c>
      <c r="B66" s="408" t="s">
        <v>38</v>
      </c>
      <c r="C66" s="408"/>
      <c r="D66" s="408" t="s">
        <v>38</v>
      </c>
      <c r="E66" s="408"/>
      <c r="F66" s="408" t="s">
        <v>38</v>
      </c>
      <c r="G66" s="408"/>
      <c r="H66" s="403"/>
      <c r="I66" s="403"/>
      <c r="J66" s="403"/>
      <c r="K66" s="404">
        <f>SUM(K63:L65)</f>
        <v>0</v>
      </c>
      <c r="L66" s="405"/>
      <c r="M66" s="403"/>
      <c r="N66" s="403"/>
      <c r="O66" s="403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407" t="s">
        <v>81</v>
      </c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406" t="s">
        <v>71</v>
      </c>
      <c r="B70" s="406"/>
      <c r="C70" s="406"/>
      <c r="D70" s="406" t="s">
        <v>94</v>
      </c>
      <c r="E70" s="406"/>
      <c r="F70" s="406"/>
      <c r="G70" s="406" t="s">
        <v>353</v>
      </c>
      <c r="H70" s="406"/>
      <c r="I70" s="406"/>
      <c r="J70" s="406" t="s">
        <v>347</v>
      </c>
      <c r="K70" s="406"/>
      <c r="L70" s="406"/>
      <c r="M70" s="406" t="s">
        <v>95</v>
      </c>
      <c r="N70" s="406"/>
      <c r="O70" s="406"/>
    </row>
    <row r="71" spans="1:15" ht="18" customHeight="1">
      <c r="A71" s="406">
        <v>1</v>
      </c>
      <c r="B71" s="406"/>
      <c r="C71" s="406"/>
      <c r="D71" s="406">
        <v>2</v>
      </c>
      <c r="E71" s="406"/>
      <c r="F71" s="406"/>
      <c r="G71" s="406">
        <v>3</v>
      </c>
      <c r="H71" s="406"/>
      <c r="I71" s="406"/>
      <c r="J71" s="402">
        <v>4</v>
      </c>
      <c r="K71" s="402"/>
      <c r="L71" s="402"/>
      <c r="M71" s="402">
        <v>5</v>
      </c>
      <c r="N71" s="402"/>
      <c r="O71" s="402"/>
    </row>
    <row r="72" spans="1:15" ht="20.100000000000001" customHeight="1">
      <c r="A72" s="393" t="s">
        <v>329</v>
      </c>
      <c r="B72" s="393"/>
      <c r="C72" s="393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</row>
    <row r="73" spans="1:15" ht="20.100000000000001" customHeight="1">
      <c r="A73" s="393" t="s">
        <v>116</v>
      </c>
      <c r="B73" s="393"/>
      <c r="C73" s="393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</row>
    <row r="74" spans="1:15" ht="20.100000000000001" customHeight="1">
      <c r="A74" s="393"/>
      <c r="B74" s="393"/>
      <c r="C74" s="393"/>
      <c r="D74" s="396"/>
      <c r="E74" s="397"/>
      <c r="F74" s="398"/>
      <c r="G74" s="396"/>
      <c r="H74" s="397"/>
      <c r="I74" s="398"/>
      <c r="J74" s="396"/>
      <c r="K74" s="397"/>
      <c r="L74" s="398"/>
      <c r="M74" s="396"/>
      <c r="N74" s="397"/>
      <c r="O74" s="398"/>
    </row>
    <row r="75" spans="1:15" ht="20.100000000000001" customHeight="1">
      <c r="A75" s="393" t="s">
        <v>330</v>
      </c>
      <c r="B75" s="393"/>
      <c r="C75" s="393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</row>
    <row r="76" spans="1:15" ht="20.100000000000001" customHeight="1">
      <c r="A76" s="393" t="s">
        <v>117</v>
      </c>
      <c r="B76" s="393"/>
      <c r="C76" s="393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</row>
    <row r="77" spans="1:15" ht="20.100000000000001" customHeight="1">
      <c r="A77" s="393"/>
      <c r="B77" s="393"/>
      <c r="C77" s="393"/>
      <c r="D77" s="396"/>
      <c r="E77" s="397"/>
      <c r="F77" s="398"/>
      <c r="G77" s="396"/>
      <c r="H77" s="397"/>
      <c r="I77" s="398"/>
      <c r="J77" s="396"/>
      <c r="K77" s="397"/>
      <c r="L77" s="398"/>
      <c r="M77" s="396"/>
      <c r="N77" s="397"/>
      <c r="O77" s="398"/>
    </row>
    <row r="78" spans="1:15" ht="20.100000000000001" customHeight="1">
      <c r="A78" s="393" t="s">
        <v>331</v>
      </c>
      <c r="B78" s="393"/>
      <c r="C78" s="393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</row>
    <row r="79" spans="1:15" ht="20.100000000000001" customHeight="1">
      <c r="A79" s="393" t="s">
        <v>116</v>
      </c>
      <c r="B79" s="393"/>
      <c r="C79" s="393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</row>
    <row r="80" spans="1:15" ht="20.100000000000001" customHeight="1">
      <c r="A80" s="345"/>
      <c r="B80" s="332"/>
      <c r="C80" s="390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</row>
    <row r="81" spans="1:15" ht="20.100000000000001" customHeight="1">
      <c r="A81" s="345" t="s">
        <v>60</v>
      </c>
      <c r="B81" s="332"/>
      <c r="C81" s="390"/>
      <c r="D81" s="391"/>
      <c r="E81" s="391"/>
      <c r="F81" s="391"/>
      <c r="G81" s="391"/>
      <c r="H81" s="391"/>
      <c r="I81" s="391"/>
      <c r="J81" s="392"/>
      <c r="K81" s="392"/>
      <c r="L81" s="392"/>
      <c r="M81" s="392"/>
      <c r="N81" s="392"/>
      <c r="O81" s="392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 topLeftCell="A37">
      <selection activeCell="J53" sqref="J53:L53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66">
    <mergeCell ref="A22:K22"/>
    <mergeCell ref="A26:K26"/>
    <mergeCell ref="A30:K30"/>
    <mergeCell ref="D12:E12"/>
    <mergeCell ref="D13:E13"/>
    <mergeCell ref="D14:E14"/>
    <mergeCell ref="D15:E15"/>
    <mergeCell ref="D16:E16"/>
    <mergeCell ref="D17:E17"/>
    <mergeCell ref="A12:C12"/>
    <mergeCell ref="N12:O12"/>
    <mergeCell ref="H10:I10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F12:G12"/>
    <mergeCell ref="F13:G13"/>
    <mergeCell ref="F14:G14"/>
    <mergeCell ref="A11:K11"/>
    <mergeCell ref="L14:M14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L9:M9"/>
    <mergeCell ref="N9:O9"/>
    <mergeCell ref="L10:M10"/>
    <mergeCell ref="L12:M12"/>
    <mergeCell ref="L16:M16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B53:C53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verticalDpi="1200" r:id="rId3"/>
  <headerFooter alignWithMargins="0"/>
  <rowBreaks count="1" manualBreakCount="1">
    <brk id="49" max="14" man="1"/>
  </rowBreaks>
  <ignoredErrors>
    <ignoredError sqref="E57:M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3:AD72"/>
  <sheetViews>
    <sheetView topLeftCell="L1" workbookViewId="0">
      <selection activeCell="V9" sqref="V9:AG35"/>
    </sheetView>
  </sheetViews>
  <sheetFormatPr defaultRowHeight="12.75"/>
  <cols>
    <col min="1" max="1" width="4" customWidth="1"/>
    <col min="2" max="2" width="21.28515625" customWidth="1"/>
    <col min="5" max="20" width="9.140625" customWidth="1"/>
    <col min="21" max="21" width="17.42578125" customWidth="1"/>
    <col min="22" max="22" width="12.42578125" customWidth="1"/>
    <col min="23" max="23" width="11.85546875" customWidth="1"/>
    <col min="24" max="24" width="12.5703125" customWidth="1"/>
    <col min="25" max="25" width="12.28515625" customWidth="1"/>
  </cols>
  <sheetData>
    <row r="3" spans="1:20" ht="22.5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277" t="s">
        <v>483</v>
      </c>
      <c r="L3" s="278"/>
      <c r="M3" s="278"/>
      <c r="N3" s="278"/>
      <c r="O3" s="279"/>
      <c r="P3" s="279"/>
      <c r="Q3" s="279"/>
      <c r="R3" s="279"/>
      <c r="S3" s="280"/>
      <c r="T3" s="281">
        <v>4550394.5999999996</v>
      </c>
    </row>
    <row r="4" spans="1:20" ht="15.75">
      <c r="A4" s="439" t="s">
        <v>484</v>
      </c>
      <c r="B4" s="439"/>
      <c r="C4" s="439"/>
      <c r="D4" s="439"/>
      <c r="E4" s="439"/>
      <c r="F4" s="439"/>
      <c r="G4" s="439"/>
      <c r="H4" s="439"/>
      <c r="I4" s="439"/>
      <c r="J4" s="439"/>
      <c r="K4" s="282" t="s">
        <v>485</v>
      </c>
      <c r="L4" s="282"/>
      <c r="M4" s="282"/>
      <c r="N4" s="282"/>
      <c r="O4" s="282"/>
      <c r="P4" s="282"/>
      <c r="Q4" s="282"/>
      <c r="R4" s="282"/>
      <c r="S4" s="283"/>
      <c r="T4" s="284">
        <v>1016125.8</v>
      </c>
    </row>
    <row r="5" spans="1:20" ht="15.75">
      <c r="A5" s="439" t="s">
        <v>486</v>
      </c>
      <c r="B5" s="439"/>
      <c r="C5" s="439"/>
      <c r="D5" s="439"/>
      <c r="E5" s="439"/>
      <c r="F5" s="439"/>
      <c r="G5" s="439"/>
      <c r="H5" s="439"/>
      <c r="I5" s="439"/>
      <c r="J5" s="439"/>
      <c r="K5" s="279" t="s">
        <v>487</v>
      </c>
      <c r="L5" s="279"/>
      <c r="M5" s="302" t="s">
        <v>529</v>
      </c>
      <c r="N5" s="279"/>
      <c r="O5" s="279"/>
      <c r="P5" s="302" t="s">
        <v>529</v>
      </c>
      <c r="Q5" s="279"/>
      <c r="R5" s="302" t="s">
        <v>529</v>
      </c>
      <c r="S5" s="280"/>
      <c r="T5" s="281">
        <v>3534268.8</v>
      </c>
    </row>
    <row r="6" spans="1:20">
      <c r="A6" s="440" t="s">
        <v>488</v>
      </c>
      <c r="B6" s="437" t="s">
        <v>489</v>
      </c>
      <c r="C6" s="437" t="s">
        <v>490</v>
      </c>
      <c r="D6" s="437" t="s">
        <v>491</v>
      </c>
      <c r="E6" s="441" t="s">
        <v>492</v>
      </c>
      <c r="F6" s="437" t="s">
        <v>493</v>
      </c>
      <c r="G6" s="437" t="s">
        <v>494</v>
      </c>
      <c r="H6" s="437" t="s">
        <v>495</v>
      </c>
      <c r="I6" s="437" t="s">
        <v>496</v>
      </c>
      <c r="J6" s="437" t="s">
        <v>497</v>
      </c>
      <c r="K6" s="437" t="s">
        <v>498</v>
      </c>
      <c r="L6" s="437" t="s">
        <v>499</v>
      </c>
      <c r="M6" s="437" t="s">
        <v>499</v>
      </c>
      <c r="N6" s="437" t="s">
        <v>500</v>
      </c>
      <c r="O6" s="437" t="s">
        <v>501</v>
      </c>
      <c r="P6" s="437" t="s">
        <v>501</v>
      </c>
      <c r="Q6" s="437" t="s">
        <v>502</v>
      </c>
      <c r="R6" s="437" t="s">
        <v>502</v>
      </c>
      <c r="S6" s="437" t="s">
        <v>503</v>
      </c>
      <c r="T6" s="437" t="s">
        <v>504</v>
      </c>
    </row>
    <row r="7" spans="1:20">
      <c r="A7" s="440"/>
      <c r="B7" s="437"/>
      <c r="C7" s="437"/>
      <c r="D7" s="437"/>
      <c r="E7" s="442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8"/>
    </row>
    <row r="8" spans="1:20">
      <c r="A8" s="440"/>
      <c r="B8" s="437"/>
      <c r="C8" s="437"/>
      <c r="D8" s="437"/>
      <c r="E8" s="443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8"/>
    </row>
    <row r="9" spans="1:20" ht="27.75" customHeight="1">
      <c r="A9" s="440"/>
      <c r="B9" s="437"/>
      <c r="C9" s="437"/>
      <c r="D9" s="437"/>
      <c r="E9" s="444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8"/>
    </row>
    <row r="10" spans="1:20" ht="15">
      <c r="A10" s="285">
        <v>1</v>
      </c>
      <c r="B10" s="286" t="s">
        <v>505</v>
      </c>
      <c r="C10" s="285">
        <v>1</v>
      </c>
      <c r="D10" s="293">
        <v>15895</v>
      </c>
      <c r="E10" s="293">
        <v>15895</v>
      </c>
      <c r="F10" s="293"/>
      <c r="G10" s="293"/>
      <c r="H10" s="293">
        <v>3179</v>
      </c>
      <c r="I10" s="293"/>
      <c r="J10" s="293">
        <v>19074</v>
      </c>
      <c r="K10" s="293">
        <v>228888</v>
      </c>
      <c r="L10" s="293">
        <v>6000</v>
      </c>
      <c r="M10" s="303">
        <f>L10/12</f>
        <v>500</v>
      </c>
      <c r="N10" s="293">
        <v>234888</v>
      </c>
      <c r="O10" s="293"/>
      <c r="P10" s="303"/>
      <c r="Q10" s="293">
        <v>15895</v>
      </c>
      <c r="R10" s="303">
        <f>Q10/12</f>
        <v>1324.5833333333333</v>
      </c>
      <c r="S10" s="293">
        <v>15895</v>
      </c>
      <c r="T10" s="294">
        <v>250783</v>
      </c>
    </row>
    <row r="11" spans="1:20" ht="45">
      <c r="A11" s="285">
        <v>2</v>
      </c>
      <c r="B11" s="287" t="s">
        <v>506</v>
      </c>
      <c r="C11" s="285">
        <v>1</v>
      </c>
      <c r="D11" s="293">
        <v>15100.25</v>
      </c>
      <c r="E11" s="293">
        <v>15100.25</v>
      </c>
      <c r="F11" s="293"/>
      <c r="G11" s="293"/>
      <c r="H11" s="293">
        <v>1510.0250000000001</v>
      </c>
      <c r="I11" s="293"/>
      <c r="J11" s="293">
        <v>16610.275000000001</v>
      </c>
      <c r="K11" s="293">
        <v>199323.30000000002</v>
      </c>
      <c r="L11" s="293">
        <v>6000</v>
      </c>
      <c r="M11" s="303">
        <f t="shared" ref="M11:M33" si="0">L11/12</f>
        <v>500</v>
      </c>
      <c r="N11" s="293">
        <v>205323.30000000002</v>
      </c>
      <c r="O11" s="293"/>
      <c r="P11" s="303"/>
      <c r="Q11" s="293">
        <v>15100.25</v>
      </c>
      <c r="R11" s="303">
        <f t="shared" ref="R11:R33" si="1">Q11/12</f>
        <v>1258.3541666666667</v>
      </c>
      <c r="S11" s="293">
        <v>15100.25</v>
      </c>
      <c r="T11" s="294">
        <v>220423.55000000002</v>
      </c>
    </row>
    <row r="12" spans="1:20" ht="33.75">
      <c r="A12" s="285">
        <v>3</v>
      </c>
      <c r="B12" s="286" t="s">
        <v>507</v>
      </c>
      <c r="C12" s="285">
        <v>1</v>
      </c>
      <c r="D12" s="293">
        <v>15100.25</v>
      </c>
      <c r="E12" s="293">
        <v>15100.25</v>
      </c>
      <c r="F12" s="293"/>
      <c r="G12" s="293"/>
      <c r="H12" s="293"/>
      <c r="I12" s="293"/>
      <c r="J12" s="293">
        <v>15100.25</v>
      </c>
      <c r="K12" s="293">
        <v>181203</v>
      </c>
      <c r="L12" s="293">
        <v>6000</v>
      </c>
      <c r="M12" s="303">
        <f t="shared" si="0"/>
        <v>500</v>
      </c>
      <c r="N12" s="293">
        <v>187203</v>
      </c>
      <c r="O12" s="293"/>
      <c r="P12" s="303"/>
      <c r="Q12" s="293">
        <v>15100.25</v>
      </c>
      <c r="R12" s="303">
        <f t="shared" si="1"/>
        <v>1258.3541666666667</v>
      </c>
      <c r="S12" s="293">
        <v>15100.25</v>
      </c>
      <c r="T12" s="294">
        <v>202303.25</v>
      </c>
    </row>
    <row r="13" spans="1:20" ht="15">
      <c r="A13" s="285">
        <v>4</v>
      </c>
      <c r="B13" s="288" t="s">
        <v>508</v>
      </c>
      <c r="C13" s="285">
        <v>1</v>
      </c>
      <c r="D13" s="293">
        <v>14305.5</v>
      </c>
      <c r="E13" s="293">
        <v>14305.5</v>
      </c>
      <c r="F13" s="293"/>
      <c r="G13" s="293"/>
      <c r="H13" s="293"/>
      <c r="I13" s="293"/>
      <c r="J13" s="293">
        <v>14305.5</v>
      </c>
      <c r="K13" s="293">
        <v>171666</v>
      </c>
      <c r="L13" s="293">
        <v>6000</v>
      </c>
      <c r="M13" s="303">
        <f t="shared" si="0"/>
        <v>500</v>
      </c>
      <c r="N13" s="293">
        <v>177666</v>
      </c>
      <c r="O13" s="293"/>
      <c r="P13" s="303"/>
      <c r="Q13" s="293">
        <v>14305.5</v>
      </c>
      <c r="R13" s="303">
        <f t="shared" si="1"/>
        <v>1192.125</v>
      </c>
      <c r="S13" s="293">
        <v>14305.5</v>
      </c>
      <c r="T13" s="294">
        <v>191971.5</v>
      </c>
    </row>
    <row r="14" spans="1:20" ht="45">
      <c r="A14" s="305">
        <v>5</v>
      </c>
      <c r="B14" s="288" t="s">
        <v>509</v>
      </c>
      <c r="C14" s="285">
        <v>1</v>
      </c>
      <c r="D14" s="293">
        <v>11126.5</v>
      </c>
      <c r="E14" s="293">
        <v>11126.5</v>
      </c>
      <c r="F14" s="293"/>
      <c r="G14" s="293"/>
      <c r="H14" s="293"/>
      <c r="I14" s="293"/>
      <c r="J14" s="293">
        <v>11126.5</v>
      </c>
      <c r="K14" s="293">
        <v>133518</v>
      </c>
      <c r="L14" s="293">
        <v>6000</v>
      </c>
      <c r="M14" s="303">
        <f t="shared" si="0"/>
        <v>500</v>
      </c>
      <c r="N14" s="293">
        <v>139518</v>
      </c>
      <c r="O14" s="293"/>
      <c r="P14" s="303"/>
      <c r="Q14" s="293">
        <v>11126.5</v>
      </c>
      <c r="R14" s="303">
        <f t="shared" si="1"/>
        <v>927.20833333333337</v>
      </c>
      <c r="S14" s="293">
        <v>11126.5</v>
      </c>
      <c r="T14" s="294">
        <v>150644.5</v>
      </c>
    </row>
    <row r="15" spans="1:20" ht="33.75">
      <c r="A15" s="289">
        <v>6</v>
      </c>
      <c r="B15" s="290" t="s">
        <v>510</v>
      </c>
      <c r="C15" s="289">
        <v>1</v>
      </c>
      <c r="D15" s="295">
        <v>3207</v>
      </c>
      <c r="E15" s="295">
        <v>3207</v>
      </c>
      <c r="F15" s="295"/>
      <c r="G15" s="295">
        <v>1603.5</v>
      </c>
      <c r="H15" s="295">
        <v>641.40000000000009</v>
      </c>
      <c r="I15" s="295"/>
      <c r="J15" s="295">
        <v>5451.9</v>
      </c>
      <c r="K15" s="295">
        <v>65422.799999999996</v>
      </c>
      <c r="L15" s="295">
        <v>7200.1</v>
      </c>
      <c r="M15" s="303">
        <f t="shared" si="0"/>
        <v>600.00833333333333</v>
      </c>
      <c r="N15" s="295">
        <v>72622.899999999994</v>
      </c>
      <c r="O15" s="295">
        <v>7200.1</v>
      </c>
      <c r="P15" s="303">
        <f>O15/12</f>
        <v>600.00833333333333</v>
      </c>
      <c r="Q15" s="295">
        <v>3207.5</v>
      </c>
      <c r="R15" s="303">
        <f t="shared" si="1"/>
        <v>267.29166666666669</v>
      </c>
      <c r="S15" s="296">
        <v>10407.6</v>
      </c>
      <c r="T15" s="294">
        <v>83030.5</v>
      </c>
    </row>
    <row r="16" spans="1:20" ht="15">
      <c r="A16" s="289">
        <v>7</v>
      </c>
      <c r="B16" s="290" t="s">
        <v>511</v>
      </c>
      <c r="C16" s="289">
        <v>1</v>
      </c>
      <c r="D16" s="295">
        <v>3207</v>
      </c>
      <c r="E16" s="295">
        <v>3207</v>
      </c>
      <c r="F16" s="295"/>
      <c r="G16" s="295">
        <v>1603.5</v>
      </c>
      <c r="H16" s="295"/>
      <c r="I16" s="295"/>
      <c r="J16" s="295">
        <v>4810.5</v>
      </c>
      <c r="K16" s="295">
        <v>57726</v>
      </c>
      <c r="L16" s="297">
        <v>7200</v>
      </c>
      <c r="M16" s="303">
        <f t="shared" si="0"/>
        <v>600</v>
      </c>
      <c r="N16" s="295">
        <v>64926</v>
      </c>
      <c r="O16" s="295">
        <v>7200</v>
      </c>
      <c r="P16" s="303">
        <f t="shared" ref="P16:P33" si="2">O16/12</f>
        <v>600</v>
      </c>
      <c r="Q16" s="295">
        <v>3207.5</v>
      </c>
      <c r="R16" s="303">
        <f t="shared" si="1"/>
        <v>267.29166666666669</v>
      </c>
      <c r="S16" s="296">
        <v>10407.5</v>
      </c>
      <c r="T16" s="294">
        <v>75333.5</v>
      </c>
    </row>
    <row r="17" spans="1:20" ht="15">
      <c r="A17" s="289">
        <v>8</v>
      </c>
      <c r="B17" s="290" t="s">
        <v>512</v>
      </c>
      <c r="C17" s="289">
        <v>1</v>
      </c>
      <c r="D17" s="295">
        <v>3207</v>
      </c>
      <c r="E17" s="295">
        <v>3207</v>
      </c>
      <c r="F17" s="295"/>
      <c r="G17" s="295">
        <v>1603.5</v>
      </c>
      <c r="H17" s="295"/>
      <c r="I17" s="295"/>
      <c r="J17" s="295">
        <v>4810.5</v>
      </c>
      <c r="K17" s="295">
        <v>57726</v>
      </c>
      <c r="L17" s="295">
        <v>7200</v>
      </c>
      <c r="M17" s="303">
        <f t="shared" si="0"/>
        <v>600</v>
      </c>
      <c r="N17" s="295">
        <v>64926</v>
      </c>
      <c r="O17" s="295">
        <v>7200</v>
      </c>
      <c r="P17" s="303">
        <f t="shared" si="2"/>
        <v>600</v>
      </c>
      <c r="Q17" s="295">
        <v>3207.5</v>
      </c>
      <c r="R17" s="303">
        <f t="shared" si="1"/>
        <v>267.29166666666669</v>
      </c>
      <c r="S17" s="296">
        <v>10407.5</v>
      </c>
      <c r="T17" s="294">
        <v>75333.5</v>
      </c>
    </row>
    <row r="18" spans="1:20" ht="15">
      <c r="A18" s="289">
        <v>9</v>
      </c>
      <c r="B18" s="290" t="s">
        <v>513</v>
      </c>
      <c r="C18" s="289">
        <v>1</v>
      </c>
      <c r="D18" s="295">
        <v>3207</v>
      </c>
      <c r="E18" s="295">
        <v>3207</v>
      </c>
      <c r="F18" s="295"/>
      <c r="G18" s="295">
        <v>1603.5</v>
      </c>
      <c r="H18" s="295"/>
      <c r="I18" s="295"/>
      <c r="J18" s="295">
        <v>4810.5</v>
      </c>
      <c r="K18" s="295">
        <v>57726</v>
      </c>
      <c r="L18" s="295">
        <v>7200</v>
      </c>
      <c r="M18" s="303">
        <f t="shared" si="0"/>
        <v>600</v>
      </c>
      <c r="N18" s="295">
        <v>64926</v>
      </c>
      <c r="O18" s="295">
        <v>7200</v>
      </c>
      <c r="P18" s="303">
        <f t="shared" si="2"/>
        <v>600</v>
      </c>
      <c r="Q18" s="295">
        <v>3207.5</v>
      </c>
      <c r="R18" s="303">
        <f t="shared" si="1"/>
        <v>267.29166666666669</v>
      </c>
      <c r="S18" s="296">
        <v>10407.5</v>
      </c>
      <c r="T18" s="294">
        <v>75333.5</v>
      </c>
    </row>
    <row r="19" spans="1:20" ht="15">
      <c r="A19" s="289">
        <v>10</v>
      </c>
      <c r="B19" s="290" t="s">
        <v>514</v>
      </c>
      <c r="C19" s="289">
        <v>1</v>
      </c>
      <c r="D19" s="295">
        <v>3207</v>
      </c>
      <c r="E19" s="295">
        <v>3207</v>
      </c>
      <c r="F19" s="295"/>
      <c r="G19" s="295">
        <v>1603.5</v>
      </c>
      <c r="H19" s="295"/>
      <c r="I19" s="295"/>
      <c r="J19" s="295">
        <v>4810.5</v>
      </c>
      <c r="K19" s="295">
        <v>57726</v>
      </c>
      <c r="L19" s="295">
        <v>7200</v>
      </c>
      <c r="M19" s="303">
        <f t="shared" si="0"/>
        <v>600</v>
      </c>
      <c r="N19" s="295">
        <v>64926</v>
      </c>
      <c r="O19" s="295">
        <v>7200</v>
      </c>
      <c r="P19" s="303">
        <f t="shared" si="2"/>
        <v>600</v>
      </c>
      <c r="Q19" s="295">
        <v>3207.5</v>
      </c>
      <c r="R19" s="303">
        <f t="shared" si="1"/>
        <v>267.29166666666669</v>
      </c>
      <c r="S19" s="296">
        <v>10407.5</v>
      </c>
      <c r="T19" s="294">
        <v>75333.5</v>
      </c>
    </row>
    <row r="20" spans="1:20" ht="15">
      <c r="A20" s="289">
        <v>11</v>
      </c>
      <c r="B20" s="290" t="s">
        <v>515</v>
      </c>
      <c r="C20" s="289">
        <v>1</v>
      </c>
      <c r="D20" s="295">
        <v>3207</v>
      </c>
      <c r="E20" s="295">
        <v>3207</v>
      </c>
      <c r="F20" s="295"/>
      <c r="G20" s="295">
        <v>1603.5</v>
      </c>
      <c r="H20" s="295"/>
      <c r="I20" s="295"/>
      <c r="J20" s="295">
        <v>4810.5</v>
      </c>
      <c r="K20" s="295">
        <v>57726</v>
      </c>
      <c r="L20" s="295">
        <v>7200</v>
      </c>
      <c r="M20" s="303">
        <f t="shared" si="0"/>
        <v>600</v>
      </c>
      <c r="N20" s="295">
        <v>64926</v>
      </c>
      <c r="O20" s="295">
        <v>7200</v>
      </c>
      <c r="P20" s="303">
        <f t="shared" si="2"/>
        <v>600</v>
      </c>
      <c r="Q20" s="295">
        <v>3207.5</v>
      </c>
      <c r="R20" s="303">
        <f t="shared" si="1"/>
        <v>267.29166666666669</v>
      </c>
      <c r="S20" s="296">
        <v>10407.5</v>
      </c>
      <c r="T20" s="294">
        <v>75333.5</v>
      </c>
    </row>
    <row r="21" spans="1:20" ht="15">
      <c r="A21" s="305">
        <v>12</v>
      </c>
      <c r="B21" s="290" t="s">
        <v>516</v>
      </c>
      <c r="C21" s="289">
        <v>2</v>
      </c>
      <c r="D21" s="295">
        <v>3048</v>
      </c>
      <c r="E21" s="295">
        <v>6096</v>
      </c>
      <c r="F21" s="295"/>
      <c r="G21" s="295">
        <v>3048</v>
      </c>
      <c r="H21" s="295"/>
      <c r="I21" s="295"/>
      <c r="J21" s="295">
        <v>9144</v>
      </c>
      <c r="K21" s="295">
        <v>109728</v>
      </c>
      <c r="L21" s="295">
        <v>14400</v>
      </c>
      <c r="M21" s="303">
        <f t="shared" si="0"/>
        <v>1200</v>
      </c>
      <c r="N21" s="295">
        <v>124128</v>
      </c>
      <c r="O21" s="295">
        <v>14400</v>
      </c>
      <c r="P21" s="303">
        <f t="shared" si="2"/>
        <v>1200</v>
      </c>
      <c r="Q21" s="295">
        <v>6096</v>
      </c>
      <c r="R21" s="303">
        <f t="shared" si="1"/>
        <v>508</v>
      </c>
      <c r="S21" s="296">
        <v>20496</v>
      </c>
      <c r="T21" s="294">
        <v>144624</v>
      </c>
    </row>
    <row r="22" spans="1:20" ht="45">
      <c r="A22" s="305">
        <v>13</v>
      </c>
      <c r="B22" s="290" t="s">
        <v>517</v>
      </c>
      <c r="C22" s="289">
        <v>1</v>
      </c>
      <c r="D22" s="295">
        <v>3048</v>
      </c>
      <c r="E22" s="295">
        <v>3048</v>
      </c>
      <c r="F22" s="295"/>
      <c r="G22" s="295">
        <v>1524</v>
      </c>
      <c r="H22" s="295"/>
      <c r="I22" s="295"/>
      <c r="J22" s="295">
        <v>4572</v>
      </c>
      <c r="K22" s="295">
        <v>54864</v>
      </c>
      <c r="L22" s="295">
        <v>7200</v>
      </c>
      <c r="M22" s="303">
        <f t="shared" si="0"/>
        <v>600</v>
      </c>
      <c r="N22" s="295">
        <v>62064</v>
      </c>
      <c r="O22" s="295">
        <v>7200</v>
      </c>
      <c r="P22" s="303">
        <f t="shared" si="2"/>
        <v>600</v>
      </c>
      <c r="Q22" s="295">
        <v>3048</v>
      </c>
      <c r="R22" s="303">
        <f t="shared" si="1"/>
        <v>254</v>
      </c>
      <c r="S22" s="296">
        <v>10248</v>
      </c>
      <c r="T22" s="294">
        <v>72312</v>
      </c>
    </row>
    <row r="23" spans="1:20" ht="15">
      <c r="A23" s="289">
        <v>14</v>
      </c>
      <c r="B23" s="290" t="s">
        <v>518</v>
      </c>
      <c r="C23" s="289">
        <v>3</v>
      </c>
      <c r="D23" s="295">
        <v>2890</v>
      </c>
      <c r="E23" s="295">
        <v>8670</v>
      </c>
      <c r="F23" s="295"/>
      <c r="G23" s="295">
        <v>4335</v>
      </c>
      <c r="H23" s="295"/>
      <c r="I23" s="295"/>
      <c r="J23" s="295">
        <v>13005</v>
      </c>
      <c r="K23" s="295">
        <v>156060</v>
      </c>
      <c r="L23" s="295">
        <v>21600</v>
      </c>
      <c r="M23" s="303">
        <f t="shared" si="0"/>
        <v>1800</v>
      </c>
      <c r="N23" s="295">
        <v>177660</v>
      </c>
      <c r="O23" s="295">
        <v>21600</v>
      </c>
      <c r="P23" s="303">
        <f t="shared" si="2"/>
        <v>1800</v>
      </c>
      <c r="Q23" s="295">
        <v>8670</v>
      </c>
      <c r="R23" s="303">
        <f t="shared" si="1"/>
        <v>722.5</v>
      </c>
      <c r="S23" s="296">
        <v>30270</v>
      </c>
      <c r="T23" s="294">
        <v>207930</v>
      </c>
    </row>
    <row r="24" spans="1:20" ht="15">
      <c r="A24" s="289">
        <v>15</v>
      </c>
      <c r="B24" s="290" t="s">
        <v>519</v>
      </c>
      <c r="C24" s="289">
        <v>1</v>
      </c>
      <c r="D24" s="295">
        <v>2713</v>
      </c>
      <c r="E24" s="295">
        <v>2713</v>
      </c>
      <c r="F24" s="295"/>
      <c r="G24" s="295">
        <v>1356.5</v>
      </c>
      <c r="H24" s="295"/>
      <c r="I24" s="295"/>
      <c r="J24" s="295">
        <v>4069.5</v>
      </c>
      <c r="K24" s="295">
        <v>48834</v>
      </c>
      <c r="L24" s="295">
        <v>7200</v>
      </c>
      <c r="M24" s="303">
        <f t="shared" si="0"/>
        <v>600</v>
      </c>
      <c r="N24" s="295">
        <v>56034</v>
      </c>
      <c r="O24" s="295">
        <v>7200</v>
      </c>
      <c r="P24" s="303">
        <f t="shared" si="2"/>
        <v>600</v>
      </c>
      <c r="Q24" s="295">
        <v>2713</v>
      </c>
      <c r="R24" s="303">
        <f t="shared" si="1"/>
        <v>226.08333333333334</v>
      </c>
      <c r="S24" s="296">
        <v>9913</v>
      </c>
      <c r="T24" s="294">
        <v>65947</v>
      </c>
    </row>
    <row r="25" spans="1:20" ht="15">
      <c r="A25" s="305">
        <v>16</v>
      </c>
      <c r="B25" s="290" t="s">
        <v>520</v>
      </c>
      <c r="C25" s="289">
        <v>1</v>
      </c>
      <c r="D25" s="295">
        <v>2713</v>
      </c>
      <c r="E25" s="295">
        <v>2713</v>
      </c>
      <c r="F25" s="295"/>
      <c r="G25" s="295">
        <v>1356.5</v>
      </c>
      <c r="H25" s="295"/>
      <c r="I25" s="295"/>
      <c r="J25" s="295">
        <v>4069.5</v>
      </c>
      <c r="K25" s="295">
        <v>48834</v>
      </c>
      <c r="L25" s="295">
        <v>7200</v>
      </c>
      <c r="M25" s="303">
        <f t="shared" si="0"/>
        <v>600</v>
      </c>
      <c r="N25" s="295">
        <v>56034</v>
      </c>
      <c r="O25" s="295">
        <v>7200</v>
      </c>
      <c r="P25" s="303">
        <f t="shared" si="2"/>
        <v>600</v>
      </c>
      <c r="Q25" s="295">
        <v>2713</v>
      </c>
      <c r="R25" s="303">
        <f t="shared" si="1"/>
        <v>226.08333333333334</v>
      </c>
      <c r="S25" s="296">
        <v>9913</v>
      </c>
      <c r="T25" s="294">
        <v>65947</v>
      </c>
    </row>
    <row r="26" spans="1:20" ht="15">
      <c r="A26" s="289">
        <v>17</v>
      </c>
      <c r="B26" s="290" t="s">
        <v>521</v>
      </c>
      <c r="C26" s="289">
        <v>1</v>
      </c>
      <c r="D26" s="295">
        <v>2713</v>
      </c>
      <c r="E26" s="295">
        <v>2713</v>
      </c>
      <c r="F26" s="295"/>
      <c r="G26" s="295">
        <v>1356.5</v>
      </c>
      <c r="H26" s="295"/>
      <c r="I26" s="295"/>
      <c r="J26" s="295">
        <v>4069.5</v>
      </c>
      <c r="K26" s="295">
        <v>48834</v>
      </c>
      <c r="L26" s="295">
        <v>7200</v>
      </c>
      <c r="M26" s="303">
        <f t="shared" si="0"/>
        <v>600</v>
      </c>
      <c r="N26" s="295">
        <v>56034</v>
      </c>
      <c r="O26" s="295">
        <v>7200</v>
      </c>
      <c r="P26" s="303">
        <f t="shared" si="2"/>
        <v>600</v>
      </c>
      <c r="Q26" s="295">
        <v>2713</v>
      </c>
      <c r="R26" s="303">
        <f t="shared" si="1"/>
        <v>226.08333333333334</v>
      </c>
      <c r="S26" s="296">
        <v>9913</v>
      </c>
      <c r="T26" s="294">
        <v>65947</v>
      </c>
    </row>
    <row r="27" spans="1:20" ht="45">
      <c r="A27" s="289">
        <v>18</v>
      </c>
      <c r="B27" s="290" t="s">
        <v>522</v>
      </c>
      <c r="C27" s="289">
        <v>1</v>
      </c>
      <c r="D27" s="295">
        <v>2713</v>
      </c>
      <c r="E27" s="295">
        <v>2713</v>
      </c>
      <c r="F27" s="295"/>
      <c r="G27" s="295">
        <v>1356.5</v>
      </c>
      <c r="H27" s="295"/>
      <c r="I27" s="295"/>
      <c r="J27" s="295">
        <v>4069.5</v>
      </c>
      <c r="K27" s="295">
        <v>48834</v>
      </c>
      <c r="L27" s="295">
        <v>7200</v>
      </c>
      <c r="M27" s="303">
        <f t="shared" si="0"/>
        <v>600</v>
      </c>
      <c r="N27" s="295">
        <v>56034</v>
      </c>
      <c r="O27" s="295">
        <v>7200</v>
      </c>
      <c r="P27" s="303">
        <f t="shared" si="2"/>
        <v>600</v>
      </c>
      <c r="Q27" s="295">
        <v>2713</v>
      </c>
      <c r="R27" s="303">
        <f t="shared" si="1"/>
        <v>226.08333333333334</v>
      </c>
      <c r="S27" s="296">
        <v>9913</v>
      </c>
      <c r="T27" s="294">
        <v>65947</v>
      </c>
    </row>
    <row r="28" spans="1:20" ht="15">
      <c r="A28" s="289">
        <v>19</v>
      </c>
      <c r="B28" s="290" t="s">
        <v>523</v>
      </c>
      <c r="C28" s="289">
        <v>2</v>
      </c>
      <c r="D28" s="295">
        <v>2396</v>
      </c>
      <c r="E28" s="295">
        <v>4792</v>
      </c>
      <c r="F28" s="295"/>
      <c r="G28" s="295">
        <v>2396</v>
      </c>
      <c r="H28" s="295"/>
      <c r="I28" s="295"/>
      <c r="J28" s="295">
        <v>7188</v>
      </c>
      <c r="K28" s="295">
        <v>86256</v>
      </c>
      <c r="L28" s="295">
        <v>17495</v>
      </c>
      <c r="M28" s="303">
        <f t="shared" si="0"/>
        <v>1457.9166666666667</v>
      </c>
      <c r="N28" s="295">
        <v>103751</v>
      </c>
      <c r="O28" s="295">
        <v>17496</v>
      </c>
      <c r="P28" s="303">
        <f t="shared" si="2"/>
        <v>1458</v>
      </c>
      <c r="Q28" s="295">
        <v>4792</v>
      </c>
      <c r="R28" s="303">
        <f t="shared" si="1"/>
        <v>399.33333333333331</v>
      </c>
      <c r="S28" s="296">
        <v>22288</v>
      </c>
      <c r="T28" s="294">
        <v>126039</v>
      </c>
    </row>
    <row r="29" spans="1:20" ht="15">
      <c r="A29" s="289">
        <v>20</v>
      </c>
      <c r="B29" s="290" t="s">
        <v>524</v>
      </c>
      <c r="C29" s="289">
        <v>2</v>
      </c>
      <c r="D29" s="295">
        <v>2238</v>
      </c>
      <c r="E29" s="295">
        <v>4476</v>
      </c>
      <c r="F29" s="295"/>
      <c r="G29" s="295">
        <v>2238</v>
      </c>
      <c r="H29" s="295"/>
      <c r="I29" s="295"/>
      <c r="J29" s="295">
        <v>6714</v>
      </c>
      <c r="K29" s="295">
        <v>80568</v>
      </c>
      <c r="L29" s="295">
        <v>23184</v>
      </c>
      <c r="M29" s="303">
        <f t="shared" si="0"/>
        <v>1932</v>
      </c>
      <c r="N29" s="295">
        <v>103752</v>
      </c>
      <c r="O29" s="295">
        <v>23184</v>
      </c>
      <c r="P29" s="303">
        <f t="shared" si="2"/>
        <v>1932</v>
      </c>
      <c r="Q29" s="295">
        <v>4476</v>
      </c>
      <c r="R29" s="303">
        <f t="shared" si="1"/>
        <v>373</v>
      </c>
      <c r="S29" s="296">
        <v>27660</v>
      </c>
      <c r="T29" s="294">
        <v>131412</v>
      </c>
    </row>
    <row r="30" spans="1:20" ht="15">
      <c r="A30" s="289">
        <v>21</v>
      </c>
      <c r="B30" s="290" t="s">
        <v>525</v>
      </c>
      <c r="C30" s="289">
        <v>1</v>
      </c>
      <c r="D30" s="295">
        <v>1921</v>
      </c>
      <c r="E30" s="295">
        <v>1921</v>
      </c>
      <c r="F30" s="295"/>
      <c r="G30" s="295"/>
      <c r="H30" s="295"/>
      <c r="I30" s="295">
        <v>192.10000000000002</v>
      </c>
      <c r="J30" s="295">
        <v>2113.1</v>
      </c>
      <c r="K30" s="295">
        <v>25357.199999999997</v>
      </c>
      <c r="L30" s="295">
        <v>25193</v>
      </c>
      <c r="M30" s="303">
        <f t="shared" si="0"/>
        <v>2099.4166666666665</v>
      </c>
      <c r="N30" s="295">
        <v>50550.2</v>
      </c>
      <c r="O30" s="295">
        <v>25199.8</v>
      </c>
      <c r="P30" s="303">
        <f t="shared" si="2"/>
        <v>2099.9833333333331</v>
      </c>
      <c r="Q30" s="295">
        <v>1921</v>
      </c>
      <c r="R30" s="303">
        <f t="shared" si="1"/>
        <v>160.08333333333334</v>
      </c>
      <c r="S30" s="296">
        <v>27120.799999999999</v>
      </c>
      <c r="T30" s="294">
        <v>77671</v>
      </c>
    </row>
    <row r="31" spans="1:20" ht="15">
      <c r="A31" s="289">
        <v>22</v>
      </c>
      <c r="B31" s="290" t="s">
        <v>526</v>
      </c>
      <c r="C31" s="289">
        <v>1</v>
      </c>
      <c r="D31" s="295">
        <v>1921</v>
      </c>
      <c r="E31" s="295">
        <v>1921</v>
      </c>
      <c r="F31" s="295"/>
      <c r="G31" s="295"/>
      <c r="H31" s="295"/>
      <c r="I31" s="295"/>
      <c r="J31" s="295">
        <v>1921</v>
      </c>
      <c r="K31" s="295">
        <v>23052</v>
      </c>
      <c r="L31" s="295">
        <v>28824</v>
      </c>
      <c r="M31" s="303">
        <f t="shared" si="0"/>
        <v>2402</v>
      </c>
      <c r="N31" s="295">
        <v>51876</v>
      </c>
      <c r="O31" s="295">
        <v>28824</v>
      </c>
      <c r="P31" s="303">
        <f t="shared" si="2"/>
        <v>2402</v>
      </c>
      <c r="Q31" s="295">
        <v>1921</v>
      </c>
      <c r="R31" s="303">
        <f t="shared" si="1"/>
        <v>160.08333333333334</v>
      </c>
      <c r="S31" s="296">
        <v>30745</v>
      </c>
      <c r="T31" s="294">
        <v>82621</v>
      </c>
    </row>
    <row r="32" spans="1:20" ht="15">
      <c r="A32" s="289">
        <v>23</v>
      </c>
      <c r="B32" s="290" t="s">
        <v>527</v>
      </c>
      <c r="C32" s="289">
        <v>12</v>
      </c>
      <c r="D32" s="295">
        <v>1921</v>
      </c>
      <c r="E32" s="295">
        <v>23052</v>
      </c>
      <c r="F32" s="296">
        <v>3600</v>
      </c>
      <c r="G32" s="295"/>
      <c r="H32" s="295"/>
      <c r="I32" s="295"/>
      <c r="J32" s="295">
        <v>26652</v>
      </c>
      <c r="K32" s="295">
        <v>319824</v>
      </c>
      <c r="L32" s="295">
        <v>721546</v>
      </c>
      <c r="M32" s="303">
        <f t="shared" si="0"/>
        <v>60128.833333333336</v>
      </c>
      <c r="N32" s="295">
        <v>1041370</v>
      </c>
      <c r="O32" s="295">
        <v>751592</v>
      </c>
      <c r="P32" s="303">
        <f t="shared" si="2"/>
        <v>62632.666666666664</v>
      </c>
      <c r="Q32" s="295">
        <v>1921</v>
      </c>
      <c r="R32" s="303">
        <f t="shared" si="1"/>
        <v>160.08333333333334</v>
      </c>
      <c r="S32" s="296">
        <v>753513</v>
      </c>
      <c r="T32" s="294">
        <v>1794883</v>
      </c>
    </row>
    <row r="33" spans="1:30" ht="15">
      <c r="A33" s="289">
        <v>24</v>
      </c>
      <c r="B33" s="290" t="s">
        <v>528</v>
      </c>
      <c r="C33" s="289">
        <v>2</v>
      </c>
      <c r="D33" s="295">
        <v>1762</v>
      </c>
      <c r="E33" s="295">
        <v>3524</v>
      </c>
      <c r="F33" s="295"/>
      <c r="G33" s="295"/>
      <c r="H33" s="295"/>
      <c r="I33" s="295">
        <v>352.40000000000003</v>
      </c>
      <c r="J33" s="295">
        <v>3876.4</v>
      </c>
      <c r="K33" s="295">
        <v>46516.800000000003</v>
      </c>
      <c r="L33" s="295">
        <v>61493</v>
      </c>
      <c r="M33" s="303">
        <f t="shared" si="0"/>
        <v>5124.416666666667</v>
      </c>
      <c r="N33" s="295">
        <v>108009.8</v>
      </c>
      <c r="O33" s="295">
        <v>61439</v>
      </c>
      <c r="P33" s="303">
        <f t="shared" si="2"/>
        <v>5119.916666666667</v>
      </c>
      <c r="Q33" s="295">
        <v>3842</v>
      </c>
      <c r="R33" s="303">
        <f t="shared" si="1"/>
        <v>320.16666666666669</v>
      </c>
      <c r="S33" s="296">
        <v>65281</v>
      </c>
      <c r="T33" s="294">
        <v>173290.8</v>
      </c>
    </row>
    <row r="34" spans="1:30" ht="15">
      <c r="A34" s="289"/>
      <c r="B34" s="291" t="s">
        <v>483</v>
      </c>
      <c r="C34" s="292">
        <v>41</v>
      </c>
      <c r="D34" s="298"/>
      <c r="E34" s="299">
        <v>159121.5</v>
      </c>
      <c r="F34" s="299">
        <v>3600</v>
      </c>
      <c r="G34" s="299">
        <v>28588</v>
      </c>
      <c r="H34" s="299">
        <v>5330.4249999999993</v>
      </c>
      <c r="I34" s="299">
        <v>544.5</v>
      </c>
      <c r="J34" s="299">
        <v>197184.42499999999</v>
      </c>
      <c r="K34" s="299">
        <v>2366213.0999999996</v>
      </c>
      <c r="L34" s="299">
        <v>1022935.1</v>
      </c>
      <c r="M34" s="299"/>
      <c r="N34" s="300">
        <v>3389148.1999999997</v>
      </c>
      <c r="O34" s="299">
        <v>1022934.9</v>
      </c>
      <c r="P34" s="299"/>
      <c r="Q34" s="299">
        <v>138311.5</v>
      </c>
      <c r="R34" s="299"/>
      <c r="S34" s="301">
        <v>1161246.3999999999</v>
      </c>
      <c r="T34" s="294">
        <v>4550394.5999999996</v>
      </c>
      <c r="V34" s="304"/>
      <c r="W34" s="304"/>
      <c r="X34" s="304"/>
      <c r="Y34" s="304"/>
      <c r="Z34" s="304"/>
      <c r="AA34" s="304"/>
      <c r="AB34" s="304"/>
      <c r="AC34" s="304"/>
      <c r="AD34" s="304"/>
    </row>
    <row r="39" spans="1:30">
      <c r="V39" t="s">
        <v>374</v>
      </c>
      <c r="W39" t="s">
        <v>366</v>
      </c>
      <c r="X39" t="s">
        <v>367</v>
      </c>
      <c r="Y39" t="s">
        <v>86</v>
      </c>
    </row>
    <row r="40" spans="1:30">
      <c r="U40" t="s">
        <v>530</v>
      </c>
      <c r="V40" s="306">
        <f>SUM(V15:W33)</f>
        <v>0</v>
      </c>
      <c r="W40" s="306">
        <f>SUM(X15:Y33)</f>
        <v>0</v>
      </c>
      <c r="X40" s="306">
        <f>SUM(Z15:AA33)</f>
        <v>0</v>
      </c>
      <c r="Y40" s="306">
        <f>SUM(AB15:AC33)</f>
        <v>0</v>
      </c>
    </row>
    <row r="41" spans="1:30">
      <c r="U41" t="s">
        <v>441</v>
      </c>
      <c r="V41" s="306">
        <f>(V40-V46)*22%+V46*8.41%</f>
        <v>0</v>
      </c>
      <c r="W41" s="306">
        <f t="shared" ref="W41:Y41" si="3">(W40-W46)*22%+W46*8.41%</f>
        <v>0</v>
      </c>
      <c r="X41" s="306">
        <f t="shared" si="3"/>
        <v>0</v>
      </c>
      <c r="Y41" s="306">
        <f t="shared" si="3"/>
        <v>0</v>
      </c>
    </row>
    <row r="42" spans="1:30">
      <c r="V42" s="306"/>
      <c r="W42" s="306"/>
      <c r="X42" s="306"/>
      <c r="Y42" s="306"/>
    </row>
    <row r="43" spans="1:30">
      <c r="U43" t="s">
        <v>531</v>
      </c>
      <c r="V43" s="306">
        <f>SUM(V10:W14)</f>
        <v>0</v>
      </c>
      <c r="W43" s="306">
        <f>SUM(X10:Y14)</f>
        <v>0</v>
      </c>
      <c r="X43" s="306">
        <f>SUM(Z10:AA14)</f>
        <v>0</v>
      </c>
      <c r="Y43" s="306">
        <f>SUM(AB10:AC14)</f>
        <v>0</v>
      </c>
    </row>
    <row r="44" spans="1:30">
      <c r="U44" t="s">
        <v>441</v>
      </c>
      <c r="V44" s="306">
        <f>(V43-V47)*22%+V47*8.41%</f>
        <v>0</v>
      </c>
      <c r="W44" s="306">
        <f t="shared" ref="W44:Y44" si="4">(W43-W47)*22%+W47*8.41%</f>
        <v>0</v>
      </c>
      <c r="X44" s="306">
        <f t="shared" si="4"/>
        <v>0</v>
      </c>
      <c r="Y44" s="306">
        <f t="shared" si="4"/>
        <v>0</v>
      </c>
    </row>
    <row r="45" spans="1:30">
      <c r="V45" s="306"/>
      <c r="W45" s="306"/>
      <c r="X45" s="306"/>
      <c r="Y45" s="306"/>
    </row>
    <row r="46" spans="1:30">
      <c r="U46" t="s">
        <v>534</v>
      </c>
      <c r="V46" s="306">
        <f>(V22+W22+V25+W25+(V21+W21)/2)</f>
        <v>0</v>
      </c>
      <c r="W46" s="306">
        <f>(X22+Y22+X25+Y25+(X21+Y21)/2)</f>
        <v>0</v>
      </c>
      <c r="X46" s="306">
        <f>(Z22+AA22+Z25+AA25+(Z21+AA21)/2)</f>
        <v>0</v>
      </c>
      <c r="Y46" s="306">
        <f>(AB22+AC22+AB25+AC25+(AB21+AC21)/2)</f>
        <v>0</v>
      </c>
    </row>
    <row r="47" spans="1:30">
      <c r="U47" t="s">
        <v>535</v>
      </c>
      <c r="V47" s="306">
        <f>V14+W14</f>
        <v>0</v>
      </c>
      <c r="W47" s="306">
        <f>X14+Y14</f>
        <v>0</v>
      </c>
      <c r="X47" s="306">
        <f>Z14+AA14</f>
        <v>0</v>
      </c>
      <c r="Y47" s="306">
        <f>AB14+AC14</f>
        <v>0</v>
      </c>
    </row>
    <row r="48" spans="1:30">
      <c r="V48" s="306"/>
      <c r="W48" s="306"/>
      <c r="X48" s="306"/>
      <c r="Y48" s="306"/>
    </row>
    <row r="49" spans="21:25">
      <c r="U49" t="s">
        <v>532</v>
      </c>
      <c r="V49" s="306">
        <f>V40+V43</f>
        <v>0</v>
      </c>
      <c r="W49" s="306">
        <f t="shared" ref="W49:Y49" si="5">W40+W43</f>
        <v>0</v>
      </c>
      <c r="X49" s="306">
        <f t="shared" si="5"/>
        <v>0</v>
      </c>
      <c r="Y49" s="306">
        <f t="shared" si="5"/>
        <v>0</v>
      </c>
    </row>
    <row r="50" spans="21:25">
      <c r="U50" t="s">
        <v>533</v>
      </c>
      <c r="V50" s="306">
        <f>V41+V44</f>
        <v>0</v>
      </c>
      <c r="W50" s="306">
        <f t="shared" ref="W50:Y50" si="6">W41+W44</f>
        <v>0</v>
      </c>
      <c r="X50" s="306">
        <f t="shared" si="6"/>
        <v>0</v>
      </c>
      <c r="Y50" s="306">
        <f t="shared" si="6"/>
        <v>0</v>
      </c>
    </row>
    <row r="52" spans="21:25">
      <c r="U52" t="s">
        <v>536</v>
      </c>
    </row>
    <row r="54" spans="21:25">
      <c r="U54" t="s">
        <v>537</v>
      </c>
    </row>
    <row r="55" spans="21:25">
      <c r="U55" t="s">
        <v>270</v>
      </c>
      <c r="V55" s="306">
        <f>AD10</f>
        <v>0</v>
      </c>
      <c r="X55" s="311">
        <f>V55/4*3</f>
        <v>0</v>
      </c>
    </row>
    <row r="56" spans="21:25">
      <c r="U56" t="s">
        <v>538</v>
      </c>
      <c r="V56" s="306">
        <f>Y43-V55</f>
        <v>0</v>
      </c>
      <c r="X56" s="311">
        <f t="shared" ref="X56:X57" si="7">V56/4*3</f>
        <v>0</v>
      </c>
    </row>
    <row r="57" spans="21:25">
      <c r="U57" t="s">
        <v>271</v>
      </c>
      <c r="V57" s="306">
        <f>Y40</f>
        <v>0</v>
      </c>
      <c r="X57" s="311">
        <f t="shared" si="7"/>
        <v>0</v>
      </c>
    </row>
    <row r="58" spans="21:25">
      <c r="V58" s="306"/>
    </row>
    <row r="59" spans="21:25">
      <c r="U59" t="s">
        <v>539</v>
      </c>
      <c r="V59" s="306"/>
    </row>
    <row r="60" spans="21:25">
      <c r="U60" t="s">
        <v>270</v>
      </c>
      <c r="V60" s="306">
        <f>V55*1.22</f>
        <v>0</v>
      </c>
      <c r="X60" s="311">
        <f>V60/4*3</f>
        <v>0</v>
      </c>
    </row>
    <row r="61" spans="21:25">
      <c r="U61" t="s">
        <v>538</v>
      </c>
      <c r="V61" s="306">
        <f>Y43+Y44-V60</f>
        <v>0</v>
      </c>
      <c r="X61" s="311">
        <f t="shared" ref="X61:X62" si="8">V61/4*3</f>
        <v>0</v>
      </c>
    </row>
    <row r="62" spans="21:25">
      <c r="U62" t="s">
        <v>271</v>
      </c>
      <c r="V62" s="306">
        <f>Y40+Y41</f>
        <v>0</v>
      </c>
      <c r="X62" s="311">
        <f t="shared" si="8"/>
        <v>0</v>
      </c>
    </row>
    <row r="63" spans="21:25">
      <c r="V63" s="306"/>
    </row>
    <row r="64" spans="21:25">
      <c r="U64" t="s">
        <v>540</v>
      </c>
      <c r="V64" s="306"/>
    </row>
    <row r="65" spans="21:24">
      <c r="U65" t="s">
        <v>270</v>
      </c>
      <c r="V65" s="306">
        <f>D10</f>
        <v>15895</v>
      </c>
      <c r="X65" s="311">
        <f>V65/4*3</f>
        <v>11921.25</v>
      </c>
    </row>
    <row r="66" spans="21:24">
      <c r="U66" t="s">
        <v>538</v>
      </c>
      <c r="V66" s="306">
        <f>(D11+D12+D13+D14)/4</f>
        <v>13908.125</v>
      </c>
      <c r="X66" s="311">
        <f t="shared" ref="X66:X67" si="9">V66/4*3</f>
        <v>10431.09375</v>
      </c>
    </row>
    <row r="67" spans="21:24">
      <c r="U67" t="s">
        <v>271</v>
      </c>
      <c r="V67" s="306">
        <f>SUM(E15:E33)/36</f>
        <v>2433.1666666666665</v>
      </c>
      <c r="X67" s="311">
        <f t="shared" si="9"/>
        <v>1824.875</v>
      </c>
    </row>
    <row r="68" spans="21:24">
      <c r="V68" s="306"/>
    </row>
    <row r="69" spans="21:24">
      <c r="U69" t="s">
        <v>541</v>
      </c>
      <c r="V69" s="306"/>
    </row>
    <row r="70" spans="21:24">
      <c r="U70" t="s">
        <v>270</v>
      </c>
      <c r="V70" s="306">
        <f>AD10/12</f>
        <v>0</v>
      </c>
      <c r="X70" s="311">
        <f>V70/4*3</f>
        <v>0</v>
      </c>
    </row>
    <row r="71" spans="21:24">
      <c r="U71" t="s">
        <v>538</v>
      </c>
      <c r="V71" s="306">
        <f>(AD11+AD12+AD13+AD14)/12/4</f>
        <v>0</v>
      </c>
      <c r="X71" s="311">
        <f t="shared" ref="X71:X72" si="10">V71/4*3</f>
        <v>0</v>
      </c>
    </row>
    <row r="72" spans="21:24">
      <c r="U72" t="s">
        <v>271</v>
      </c>
      <c r="V72" s="306">
        <f>SUM(AD15:AD33)/12/36</f>
        <v>0</v>
      </c>
      <c r="X72" s="311">
        <f t="shared" si="10"/>
        <v>0</v>
      </c>
    </row>
  </sheetData>
  <mergeCells count="23">
    <mergeCell ref="A3:J3"/>
    <mergeCell ref="A4:J4"/>
    <mergeCell ref="A5:J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S6:S9"/>
    <mergeCell ref="T6:T9"/>
    <mergeCell ref="M6:M9"/>
    <mergeCell ref="P6:P9"/>
    <mergeCell ref="R6:R9"/>
    <mergeCell ref="L6:L9"/>
    <mergeCell ref="N6:N9"/>
    <mergeCell ref="O6:O9"/>
    <mergeCell ref="Q6:Q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5"/>
  <sheetViews>
    <sheetView tabSelected="1" view="pageBreakPreview" zoomScale="70" zoomScaleNormal="60" zoomScaleSheetLayoutView="70" workbookViewId="0">
      <selection activeCell="E33" sqref="E33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97"/>
      <c r="AC1" s="498"/>
      <c r="AD1" s="498"/>
      <c r="AE1" s="498"/>
    </row>
    <row r="2" spans="1:31" ht="18.75" customHeight="1">
      <c r="B2" s="39" t="s">
        <v>254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.75" customHeight="1">
      <c r="A4" s="381" t="s">
        <v>55</v>
      </c>
      <c r="B4" s="381" t="s">
        <v>209</v>
      </c>
      <c r="C4" s="467" t="s">
        <v>210</v>
      </c>
      <c r="D4" s="468"/>
      <c r="E4" s="468"/>
      <c r="F4" s="469"/>
      <c r="G4" s="467" t="s">
        <v>343</v>
      </c>
      <c r="H4" s="468"/>
      <c r="I4" s="468"/>
      <c r="J4" s="468"/>
      <c r="K4" s="468"/>
      <c r="L4" s="469"/>
      <c r="M4" s="467" t="s">
        <v>211</v>
      </c>
      <c r="N4" s="468"/>
      <c r="O4" s="468"/>
      <c r="P4" s="469"/>
      <c r="Q4" s="413" t="s">
        <v>301</v>
      </c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5"/>
    </row>
    <row r="5" spans="1:31" ht="48.75" customHeight="1">
      <c r="A5" s="382"/>
      <c r="B5" s="382"/>
      <c r="C5" s="470"/>
      <c r="D5" s="471"/>
      <c r="E5" s="471"/>
      <c r="F5" s="472"/>
      <c r="G5" s="470"/>
      <c r="H5" s="471"/>
      <c r="I5" s="471"/>
      <c r="J5" s="471"/>
      <c r="K5" s="471"/>
      <c r="L5" s="472"/>
      <c r="M5" s="470"/>
      <c r="N5" s="471"/>
      <c r="O5" s="471"/>
      <c r="P5" s="472"/>
      <c r="Q5" s="410" t="s">
        <v>212</v>
      </c>
      <c r="R5" s="411"/>
      <c r="S5" s="412"/>
      <c r="T5" s="410" t="s">
        <v>213</v>
      </c>
      <c r="U5" s="411"/>
      <c r="V5" s="412"/>
      <c r="W5" s="410" t="s">
        <v>43</v>
      </c>
      <c r="X5" s="411"/>
      <c r="Y5" s="412"/>
      <c r="Z5" s="413" t="s">
        <v>214</v>
      </c>
      <c r="AA5" s="414"/>
      <c r="AB5" s="415"/>
      <c r="AC5" s="413" t="s">
        <v>215</v>
      </c>
      <c r="AD5" s="414"/>
      <c r="AE5" s="415"/>
    </row>
    <row r="6" spans="1:31" ht="18" customHeight="1">
      <c r="A6" s="64">
        <v>1</v>
      </c>
      <c r="B6" s="65">
        <v>2</v>
      </c>
      <c r="C6" s="464">
        <v>3</v>
      </c>
      <c r="D6" s="465"/>
      <c r="E6" s="465"/>
      <c r="F6" s="466"/>
      <c r="G6" s="464">
        <v>4</v>
      </c>
      <c r="H6" s="465"/>
      <c r="I6" s="465"/>
      <c r="J6" s="465"/>
      <c r="K6" s="465"/>
      <c r="L6" s="466"/>
      <c r="M6" s="464">
        <v>5</v>
      </c>
      <c r="N6" s="465"/>
      <c r="O6" s="465"/>
      <c r="P6" s="466"/>
      <c r="Q6" s="464">
        <v>6</v>
      </c>
      <c r="R6" s="465"/>
      <c r="S6" s="466"/>
      <c r="T6" s="464">
        <v>7</v>
      </c>
      <c r="U6" s="465"/>
      <c r="V6" s="466"/>
      <c r="W6" s="461">
        <v>8</v>
      </c>
      <c r="X6" s="462"/>
      <c r="Y6" s="463"/>
      <c r="Z6" s="461">
        <v>9</v>
      </c>
      <c r="AA6" s="462"/>
      <c r="AB6" s="463"/>
      <c r="AC6" s="461">
        <v>10</v>
      </c>
      <c r="AD6" s="462"/>
      <c r="AE6" s="463"/>
    </row>
    <row r="7" spans="1:31" ht="41.25" customHeight="1">
      <c r="A7" s="236">
        <v>1</v>
      </c>
      <c r="B7" s="239" t="s">
        <v>399</v>
      </c>
      <c r="C7" s="410">
        <v>2006</v>
      </c>
      <c r="D7" s="411"/>
      <c r="E7" s="411"/>
      <c r="F7" s="412"/>
      <c r="G7" s="473" t="s">
        <v>402</v>
      </c>
      <c r="H7" s="474"/>
      <c r="I7" s="474"/>
      <c r="J7" s="474"/>
      <c r="K7" s="474"/>
      <c r="L7" s="475"/>
      <c r="M7" s="476">
        <v>59</v>
      </c>
      <c r="N7" s="477"/>
      <c r="O7" s="477"/>
      <c r="P7" s="478"/>
      <c r="Q7" s="458">
        <v>49</v>
      </c>
      <c r="R7" s="459"/>
      <c r="S7" s="460"/>
      <c r="T7" s="452"/>
      <c r="U7" s="453"/>
      <c r="V7" s="454"/>
      <c r="W7" s="452"/>
      <c r="X7" s="453"/>
      <c r="Y7" s="454"/>
      <c r="Z7" s="458">
        <v>6</v>
      </c>
      <c r="AA7" s="459"/>
      <c r="AB7" s="460"/>
      <c r="AC7" s="452"/>
      <c r="AD7" s="453"/>
      <c r="AE7" s="454"/>
    </row>
    <row r="8" spans="1:31" ht="41.25" customHeight="1">
      <c r="A8" s="236">
        <v>2</v>
      </c>
      <c r="B8" s="239" t="s">
        <v>400</v>
      </c>
      <c r="C8" s="410">
        <v>1996</v>
      </c>
      <c r="D8" s="411"/>
      <c r="E8" s="411"/>
      <c r="F8" s="412"/>
      <c r="G8" s="473" t="s">
        <v>402</v>
      </c>
      <c r="H8" s="474"/>
      <c r="I8" s="474"/>
      <c r="J8" s="474"/>
      <c r="K8" s="474"/>
      <c r="L8" s="475"/>
      <c r="M8" s="476">
        <v>28</v>
      </c>
      <c r="N8" s="477"/>
      <c r="O8" s="477"/>
      <c r="P8" s="478"/>
      <c r="Q8" s="458">
        <v>21</v>
      </c>
      <c r="R8" s="459"/>
      <c r="S8" s="460"/>
      <c r="T8" s="452"/>
      <c r="U8" s="453"/>
      <c r="V8" s="454"/>
      <c r="W8" s="452"/>
      <c r="X8" s="453"/>
      <c r="Y8" s="454"/>
      <c r="Z8" s="458">
        <v>2</v>
      </c>
      <c r="AA8" s="459"/>
      <c r="AB8" s="460"/>
      <c r="AC8" s="452"/>
      <c r="AD8" s="453"/>
      <c r="AE8" s="454"/>
    </row>
    <row r="9" spans="1:31" ht="41.25" customHeight="1">
      <c r="A9" s="236">
        <v>3</v>
      </c>
      <c r="B9" s="239" t="s">
        <v>401</v>
      </c>
      <c r="C9" s="410">
        <v>2011</v>
      </c>
      <c r="D9" s="411"/>
      <c r="E9" s="411"/>
      <c r="F9" s="412"/>
      <c r="G9" s="473" t="s">
        <v>402</v>
      </c>
      <c r="H9" s="474"/>
      <c r="I9" s="474"/>
      <c r="J9" s="474"/>
      <c r="K9" s="474"/>
      <c r="L9" s="475"/>
      <c r="M9" s="476">
        <v>65</v>
      </c>
      <c r="N9" s="477"/>
      <c r="O9" s="477"/>
      <c r="P9" s="478"/>
      <c r="Q9" s="458">
        <v>54</v>
      </c>
      <c r="R9" s="459"/>
      <c r="S9" s="460"/>
      <c r="T9" s="452"/>
      <c r="U9" s="453"/>
      <c r="V9" s="454"/>
      <c r="W9" s="452"/>
      <c r="X9" s="453"/>
      <c r="Y9" s="454"/>
      <c r="Z9" s="458">
        <v>8</v>
      </c>
      <c r="AA9" s="459"/>
      <c r="AB9" s="460"/>
      <c r="AC9" s="452"/>
      <c r="AD9" s="453"/>
      <c r="AE9" s="454"/>
    </row>
    <row r="10" spans="1:31" ht="42" customHeight="1">
      <c r="A10" s="236">
        <v>4</v>
      </c>
      <c r="B10" s="239" t="s">
        <v>466</v>
      </c>
      <c r="C10" s="410">
        <v>2016</v>
      </c>
      <c r="D10" s="411"/>
      <c r="E10" s="411"/>
      <c r="F10" s="412"/>
      <c r="G10" s="473" t="s">
        <v>402</v>
      </c>
      <c r="H10" s="474"/>
      <c r="I10" s="474"/>
      <c r="J10" s="474"/>
      <c r="K10" s="474"/>
      <c r="L10" s="475"/>
      <c r="M10" s="476">
        <v>32</v>
      </c>
      <c r="N10" s="477"/>
      <c r="O10" s="477"/>
      <c r="P10" s="478"/>
      <c r="Q10" s="458">
        <v>35</v>
      </c>
      <c r="R10" s="459"/>
      <c r="S10" s="460"/>
      <c r="T10" s="452"/>
      <c r="U10" s="453"/>
      <c r="V10" s="454"/>
      <c r="W10" s="452"/>
      <c r="X10" s="453"/>
      <c r="Y10" s="454"/>
      <c r="Z10" s="458">
        <v>9</v>
      </c>
      <c r="AA10" s="459"/>
      <c r="AB10" s="460"/>
      <c r="AC10" s="452"/>
      <c r="AD10" s="453"/>
      <c r="AE10" s="454"/>
    </row>
    <row r="11" spans="1:31" ht="20.100000000000001" customHeight="1">
      <c r="A11" s="479" t="s">
        <v>60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1"/>
      <c r="M11" s="455">
        <f>SUM(M7:P10)</f>
        <v>184</v>
      </c>
      <c r="N11" s="456"/>
      <c r="O11" s="456"/>
      <c r="P11" s="457"/>
      <c r="Q11" s="455">
        <f>SUM(Q7:S10)</f>
        <v>159</v>
      </c>
      <c r="R11" s="456"/>
      <c r="S11" s="457"/>
      <c r="T11" s="455">
        <f>SUM(T7:V10)</f>
        <v>0</v>
      </c>
      <c r="U11" s="456"/>
      <c r="V11" s="457"/>
      <c r="W11" s="455">
        <f>SUM(W7:Y10)</f>
        <v>0</v>
      </c>
      <c r="X11" s="456"/>
      <c r="Y11" s="457"/>
      <c r="Z11" s="455">
        <f>SUM(Z7:AB10)</f>
        <v>25</v>
      </c>
      <c r="AA11" s="456"/>
      <c r="AB11" s="457"/>
      <c r="AC11" s="455">
        <f>SUM(AC7:AE10)</f>
        <v>0</v>
      </c>
      <c r="AD11" s="456"/>
      <c r="AE11" s="457"/>
    </row>
    <row r="12" spans="1:31" ht="18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55"/>
      <c r="R12" s="55"/>
      <c r="S12" s="55"/>
      <c r="T12" s="55"/>
      <c r="U12" s="55"/>
      <c r="V12" s="55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39" customFormat="1" ht="18.75" customHeight="1">
      <c r="B13" s="39" t="s">
        <v>255</v>
      </c>
    </row>
    <row r="14" spans="1:31" s="39" customFormat="1" ht="18.75" customHeight="1"/>
    <row r="15" spans="1:31" ht="18.75" customHeight="1">
      <c r="A15" s="370" t="s">
        <v>55</v>
      </c>
      <c r="B15" s="370" t="s">
        <v>216</v>
      </c>
      <c r="C15" s="351" t="s">
        <v>209</v>
      </c>
      <c r="D15" s="351"/>
      <c r="E15" s="351"/>
      <c r="F15" s="351"/>
      <c r="G15" s="351" t="s">
        <v>343</v>
      </c>
      <c r="H15" s="351"/>
      <c r="I15" s="351"/>
      <c r="J15" s="351"/>
      <c r="K15" s="351"/>
      <c r="L15" s="351"/>
      <c r="M15" s="351"/>
      <c r="N15" s="351"/>
      <c r="O15" s="351"/>
      <c r="P15" s="351"/>
      <c r="Q15" s="351" t="s">
        <v>217</v>
      </c>
      <c r="R15" s="351"/>
      <c r="S15" s="351"/>
      <c r="T15" s="351"/>
      <c r="U15" s="351"/>
      <c r="V15" s="355" t="s">
        <v>218</v>
      </c>
      <c r="W15" s="355"/>
      <c r="X15" s="355"/>
      <c r="Y15" s="355"/>
      <c r="Z15" s="355"/>
      <c r="AA15" s="355"/>
      <c r="AB15" s="355"/>
      <c r="AC15" s="355"/>
      <c r="AD15" s="355"/>
      <c r="AE15" s="355"/>
    </row>
    <row r="16" spans="1:31" ht="18.75" customHeight="1">
      <c r="A16" s="370"/>
      <c r="B16" s="370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5" t="s">
        <v>219</v>
      </c>
      <c r="W16" s="355"/>
      <c r="X16" s="355" t="s">
        <v>105</v>
      </c>
      <c r="Y16" s="355"/>
      <c r="Z16" s="355"/>
      <c r="AA16" s="355"/>
      <c r="AB16" s="355"/>
      <c r="AC16" s="355"/>
      <c r="AD16" s="355"/>
      <c r="AE16" s="355"/>
    </row>
    <row r="17" spans="1:31" ht="18.75" customHeight="1">
      <c r="A17" s="370"/>
      <c r="B17" s="370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5"/>
      <c r="W17" s="355"/>
      <c r="X17" s="355" t="s">
        <v>374</v>
      </c>
      <c r="Y17" s="355"/>
      <c r="Z17" s="355" t="s">
        <v>366</v>
      </c>
      <c r="AA17" s="355"/>
      <c r="AB17" s="355" t="s">
        <v>367</v>
      </c>
      <c r="AC17" s="355"/>
      <c r="AD17" s="355" t="s">
        <v>86</v>
      </c>
      <c r="AE17" s="355"/>
    </row>
    <row r="18" spans="1:31" ht="18" customHeight="1">
      <c r="A18" s="64">
        <v>1</v>
      </c>
      <c r="B18" s="64">
        <v>2</v>
      </c>
      <c r="C18" s="451">
        <v>3</v>
      </c>
      <c r="D18" s="451"/>
      <c r="E18" s="451"/>
      <c r="F18" s="451"/>
      <c r="G18" s="451">
        <v>4</v>
      </c>
      <c r="H18" s="451"/>
      <c r="I18" s="451"/>
      <c r="J18" s="451"/>
      <c r="K18" s="451"/>
      <c r="L18" s="451"/>
      <c r="M18" s="451"/>
      <c r="N18" s="451"/>
      <c r="O18" s="451"/>
      <c r="P18" s="451"/>
      <c r="Q18" s="451">
        <v>5</v>
      </c>
      <c r="R18" s="451"/>
      <c r="S18" s="451"/>
      <c r="T18" s="451"/>
      <c r="U18" s="451"/>
      <c r="V18" s="451">
        <v>6</v>
      </c>
      <c r="W18" s="451"/>
      <c r="X18" s="482">
        <v>7</v>
      </c>
      <c r="Y18" s="482"/>
      <c r="Z18" s="482">
        <v>8</v>
      </c>
      <c r="AA18" s="482"/>
      <c r="AB18" s="482">
        <v>9</v>
      </c>
      <c r="AC18" s="482"/>
      <c r="AD18" s="482">
        <v>10</v>
      </c>
      <c r="AE18" s="482"/>
    </row>
    <row r="19" spans="1:31" ht="20.100000000000001" customHeight="1">
      <c r="A19" s="86"/>
      <c r="B19" s="81"/>
      <c r="C19" s="484"/>
      <c r="D19" s="484"/>
      <c r="E19" s="484"/>
      <c r="F19" s="484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6"/>
      <c r="R19" s="486"/>
      <c r="S19" s="486"/>
      <c r="T19" s="486"/>
      <c r="U19" s="486"/>
      <c r="V19" s="487">
        <f>SUM(X19,Z19,AB19,AD19)</f>
        <v>0</v>
      </c>
      <c r="W19" s="487"/>
      <c r="X19" s="483"/>
      <c r="Y19" s="483"/>
      <c r="Z19" s="483"/>
      <c r="AA19" s="483"/>
      <c r="AB19" s="483"/>
      <c r="AC19" s="483"/>
      <c r="AD19" s="483"/>
      <c r="AE19" s="483"/>
    </row>
    <row r="20" spans="1:31" ht="20.100000000000001" customHeight="1">
      <c r="A20" s="86"/>
      <c r="B20" s="81"/>
      <c r="C20" s="484"/>
      <c r="D20" s="484"/>
      <c r="E20" s="484"/>
      <c r="F20" s="484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6"/>
      <c r="R20" s="486"/>
      <c r="S20" s="486"/>
      <c r="T20" s="486"/>
      <c r="U20" s="486"/>
      <c r="V20" s="487">
        <f>SUM(X20,Z20,AB20,AD20)</f>
        <v>0</v>
      </c>
      <c r="W20" s="487"/>
      <c r="X20" s="483"/>
      <c r="Y20" s="483"/>
      <c r="Z20" s="483"/>
      <c r="AA20" s="483"/>
      <c r="AB20" s="483"/>
      <c r="AC20" s="483"/>
      <c r="AD20" s="483"/>
      <c r="AE20" s="483"/>
    </row>
    <row r="21" spans="1:31" ht="20.100000000000001" customHeight="1">
      <c r="A21" s="370" t="s">
        <v>60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448">
        <f>SUM(V19:W20)</f>
        <v>0</v>
      </c>
      <c r="W21" s="448"/>
      <c r="X21" s="448">
        <f>SUM(X19:Y20)</f>
        <v>0</v>
      </c>
      <c r="Y21" s="448"/>
      <c r="Z21" s="448">
        <f>SUM(Z19:AA20)</f>
        <v>0</v>
      </c>
      <c r="AA21" s="448"/>
      <c r="AB21" s="448">
        <f>SUM(AB19:AC20)</f>
        <v>0</v>
      </c>
      <c r="AC21" s="448"/>
      <c r="AD21" s="448">
        <f>SUM(AD19:AE20)</f>
        <v>0</v>
      </c>
      <c r="AE21" s="448"/>
    </row>
    <row r="22" spans="1:3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Q22" s="29"/>
      <c r="R22" s="29"/>
      <c r="S22" s="29"/>
      <c r="T22" s="29"/>
      <c r="U22" s="29"/>
      <c r="AE22" s="29"/>
    </row>
    <row r="23" spans="1:31" s="39" customFormat="1" ht="18.75" customHeight="1">
      <c r="B23" s="39" t="s">
        <v>232</v>
      </c>
    </row>
    <row r="24" spans="1:31" ht="26.25">
      <c r="A24" s="26"/>
      <c r="B24" s="26"/>
      <c r="C24" s="26"/>
      <c r="D24" s="26"/>
      <c r="E24" s="26"/>
      <c r="F24" s="26"/>
      <c r="G24" s="26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26"/>
      <c r="AD24" s="175" t="s">
        <v>252</v>
      </c>
    </row>
    <row r="25" spans="1:31" ht="30" customHeight="1">
      <c r="A25" s="351" t="s">
        <v>55</v>
      </c>
      <c r="B25" s="351" t="s">
        <v>256</v>
      </c>
      <c r="C25" s="351"/>
      <c r="D25" s="351"/>
      <c r="E25" s="351"/>
      <c r="F25" s="351"/>
      <c r="G25" s="410" t="s">
        <v>59</v>
      </c>
      <c r="H25" s="411"/>
      <c r="I25" s="411"/>
      <c r="J25" s="412"/>
      <c r="K25" s="410" t="s">
        <v>96</v>
      </c>
      <c r="L25" s="411"/>
      <c r="M25" s="411"/>
      <c r="N25" s="412"/>
      <c r="O25" s="410" t="s">
        <v>303</v>
      </c>
      <c r="P25" s="411"/>
      <c r="Q25" s="411"/>
      <c r="R25" s="412"/>
      <c r="S25" s="410" t="s">
        <v>141</v>
      </c>
      <c r="T25" s="411"/>
      <c r="U25" s="411"/>
      <c r="V25" s="412"/>
      <c r="W25" s="410" t="s">
        <v>60</v>
      </c>
      <c r="X25" s="411"/>
      <c r="Y25" s="411"/>
      <c r="Z25" s="412"/>
    </row>
    <row r="26" spans="1:31" ht="30" customHeight="1">
      <c r="A26" s="351"/>
      <c r="B26" s="351"/>
      <c r="C26" s="351"/>
      <c r="D26" s="351"/>
      <c r="E26" s="351"/>
      <c r="F26" s="351"/>
      <c r="G26" s="410" t="s">
        <v>105</v>
      </c>
      <c r="H26" s="411"/>
      <c r="I26" s="411"/>
      <c r="J26" s="412"/>
      <c r="K26" s="410" t="s">
        <v>105</v>
      </c>
      <c r="L26" s="411"/>
      <c r="M26" s="411"/>
      <c r="N26" s="412"/>
      <c r="O26" s="410" t="s">
        <v>105</v>
      </c>
      <c r="P26" s="411"/>
      <c r="Q26" s="411"/>
      <c r="R26" s="412"/>
      <c r="S26" s="410" t="s">
        <v>105</v>
      </c>
      <c r="T26" s="411"/>
      <c r="U26" s="411"/>
      <c r="V26" s="412"/>
      <c r="W26" s="410" t="s">
        <v>105</v>
      </c>
      <c r="X26" s="411"/>
      <c r="Y26" s="411"/>
      <c r="Z26" s="412"/>
    </row>
    <row r="27" spans="1:31" ht="39.950000000000003" customHeight="1">
      <c r="A27" s="351"/>
      <c r="B27" s="351"/>
      <c r="C27" s="351"/>
      <c r="D27" s="351"/>
      <c r="E27" s="351"/>
      <c r="F27" s="351"/>
      <c r="G27" s="7" t="s">
        <v>375</v>
      </c>
      <c r="H27" s="7" t="s">
        <v>366</v>
      </c>
      <c r="I27" s="7" t="s">
        <v>367</v>
      </c>
      <c r="J27" s="7" t="s">
        <v>86</v>
      </c>
      <c r="K27" s="7" t="s">
        <v>375</v>
      </c>
      <c r="L27" s="7" t="s">
        <v>366</v>
      </c>
      <c r="M27" s="7" t="s">
        <v>367</v>
      </c>
      <c r="N27" s="7" t="s">
        <v>86</v>
      </c>
      <c r="O27" s="7" t="s">
        <v>375</v>
      </c>
      <c r="P27" s="7" t="s">
        <v>366</v>
      </c>
      <c r="Q27" s="7" t="s">
        <v>367</v>
      </c>
      <c r="R27" s="7" t="s">
        <v>86</v>
      </c>
      <c r="S27" s="7" t="s">
        <v>375</v>
      </c>
      <c r="T27" s="7" t="s">
        <v>366</v>
      </c>
      <c r="U27" s="7" t="s">
        <v>367</v>
      </c>
      <c r="V27" s="7" t="s">
        <v>86</v>
      </c>
      <c r="W27" s="7" t="s">
        <v>375</v>
      </c>
      <c r="X27" s="7" t="s">
        <v>366</v>
      </c>
      <c r="Y27" s="7" t="s">
        <v>367</v>
      </c>
      <c r="Z27" s="7" t="s">
        <v>86</v>
      </c>
    </row>
    <row r="28" spans="1:31" ht="18" customHeight="1">
      <c r="A28" s="7"/>
      <c r="B28" s="351">
        <v>2</v>
      </c>
      <c r="C28" s="351"/>
      <c r="D28" s="351"/>
      <c r="E28" s="351"/>
      <c r="F28" s="351"/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6">
        <v>22</v>
      </c>
    </row>
    <row r="29" spans="1:31" ht="39" customHeight="1">
      <c r="A29" s="264">
        <v>1</v>
      </c>
      <c r="B29" s="494" t="s">
        <v>482</v>
      </c>
      <c r="C29" s="495"/>
      <c r="D29" s="495"/>
      <c r="E29" s="495"/>
      <c r="F29" s="496"/>
      <c r="G29" s="274"/>
      <c r="H29" s="274"/>
      <c r="I29" s="274"/>
      <c r="J29" s="274"/>
      <c r="K29" s="173">
        <f>'IV. Кап. інвестиції'!F8</f>
        <v>0</v>
      </c>
      <c r="L29" s="173">
        <f>'IV. Кап. інвестиції'!G8</f>
        <v>0</v>
      </c>
      <c r="M29" s="173">
        <f>'IV. Кап. інвестиції'!H8</f>
        <v>0</v>
      </c>
      <c r="N29" s="173">
        <f>'IV. Кап. інвестиції'!I8</f>
        <v>0</v>
      </c>
      <c r="O29" s="264"/>
      <c r="P29" s="264"/>
      <c r="Q29" s="264"/>
      <c r="R29" s="264"/>
      <c r="S29" s="264"/>
      <c r="T29" s="264"/>
      <c r="U29" s="264"/>
      <c r="V29" s="264"/>
      <c r="W29" s="234">
        <f t="shared" ref="W29:W30" si="0">SUM(G29,K29,O29,S29)</f>
        <v>0</v>
      </c>
      <c r="X29" s="234">
        <f t="shared" ref="X29" si="1">SUM(H29,L29,P29,T29)</f>
        <v>0</v>
      </c>
      <c r="Y29" s="234">
        <f t="shared" ref="Y29" si="2">SUM(I29,M29,Q29,U29)</f>
        <v>0</v>
      </c>
      <c r="Z29" s="234">
        <f t="shared" ref="Z29" si="3">SUM(J29,N29,R29,V29)</f>
        <v>0</v>
      </c>
    </row>
    <row r="30" spans="1:31" ht="21.75" customHeight="1">
      <c r="A30" s="84">
        <v>2</v>
      </c>
      <c r="B30" s="491" t="s">
        <v>479</v>
      </c>
      <c r="C30" s="492"/>
      <c r="D30" s="492"/>
      <c r="E30" s="492"/>
      <c r="F30" s="493"/>
      <c r="G30" s="235"/>
      <c r="H30" s="235"/>
      <c r="I30" s="235"/>
      <c r="J30" s="235"/>
      <c r="K30" s="234">
        <f>'IV. Кап. інвестиції'!F11</f>
        <v>2083</v>
      </c>
      <c r="L30" s="234">
        <f>'IV. Кап. інвестиції'!G11</f>
        <v>2083</v>
      </c>
      <c r="M30" s="234">
        <f>'IV. Кап. інвестиції'!H11</f>
        <v>2083</v>
      </c>
      <c r="N30" s="234">
        <f>'IV. Кап. інвестиції'!I11</f>
        <v>2083</v>
      </c>
      <c r="O30" s="76"/>
      <c r="P30" s="76"/>
      <c r="Q30" s="76"/>
      <c r="R30" s="76"/>
      <c r="S30" s="76"/>
      <c r="T30" s="76"/>
      <c r="U30" s="76"/>
      <c r="V30" s="76"/>
      <c r="W30" s="234">
        <f t="shared" si="0"/>
        <v>2083</v>
      </c>
      <c r="X30" s="234">
        <f t="shared" ref="X30" si="4">SUM(H30,L30,P30,T30)</f>
        <v>2083</v>
      </c>
      <c r="Y30" s="234">
        <f t="shared" ref="Y30" si="5">SUM(I30,M30,Q30,U30)</f>
        <v>2083</v>
      </c>
      <c r="Z30" s="234">
        <f t="shared" ref="Z30" si="6">SUM(J30,N30,R30,V30)</f>
        <v>2083</v>
      </c>
    </row>
    <row r="31" spans="1:31" ht="20.100000000000001" customHeight="1">
      <c r="A31" s="488" t="s">
        <v>60</v>
      </c>
      <c r="B31" s="489"/>
      <c r="C31" s="489"/>
      <c r="D31" s="489"/>
      <c r="E31" s="489"/>
      <c r="F31" s="490"/>
      <c r="G31" s="93">
        <f t="shared" ref="G31:V31" si="7">SUM(G30:G30)</f>
        <v>0</v>
      </c>
      <c r="H31" s="93">
        <f t="shared" si="7"/>
        <v>0</v>
      </c>
      <c r="I31" s="93">
        <f t="shared" si="7"/>
        <v>0</v>
      </c>
      <c r="J31" s="93">
        <f t="shared" si="7"/>
        <v>0</v>
      </c>
      <c r="K31" s="169">
        <f>SUM(K29:K30)</f>
        <v>2083</v>
      </c>
      <c r="L31" s="169">
        <f t="shared" ref="L31:N31" si="8">SUM(L29:L30)</f>
        <v>2083</v>
      </c>
      <c r="M31" s="169">
        <f t="shared" si="8"/>
        <v>2083</v>
      </c>
      <c r="N31" s="169">
        <f t="shared" si="8"/>
        <v>2083</v>
      </c>
      <c r="O31" s="93">
        <f t="shared" si="7"/>
        <v>0</v>
      </c>
      <c r="P31" s="93">
        <f t="shared" si="7"/>
        <v>0</v>
      </c>
      <c r="Q31" s="93">
        <f t="shared" si="7"/>
        <v>0</v>
      </c>
      <c r="R31" s="93">
        <f t="shared" si="7"/>
        <v>0</v>
      </c>
      <c r="S31" s="93">
        <f t="shared" si="7"/>
        <v>0</v>
      </c>
      <c r="T31" s="93">
        <f t="shared" si="7"/>
        <v>0</v>
      </c>
      <c r="U31" s="93">
        <f t="shared" si="7"/>
        <v>0</v>
      </c>
      <c r="V31" s="93">
        <f t="shared" si="7"/>
        <v>0</v>
      </c>
      <c r="W31" s="169">
        <f>SUM(W29:W30)</f>
        <v>2083</v>
      </c>
      <c r="X31" s="169">
        <f t="shared" ref="X31:Z31" si="9">SUM(X29:X30)</f>
        <v>2083</v>
      </c>
      <c r="Y31" s="169">
        <f t="shared" si="9"/>
        <v>2083</v>
      </c>
      <c r="Z31" s="169">
        <f t="shared" si="9"/>
        <v>2083</v>
      </c>
    </row>
    <row r="32" spans="1:31" ht="20.100000000000001" customHeight="1">
      <c r="A32" s="494" t="s">
        <v>61</v>
      </c>
      <c r="B32" s="495"/>
      <c r="C32" s="495"/>
      <c r="D32" s="495"/>
      <c r="E32" s="495"/>
      <c r="F32" s="496"/>
      <c r="G32" s="76"/>
      <c r="H32" s="76"/>
      <c r="I32" s="76"/>
      <c r="J32" s="76"/>
      <c r="K32" s="173">
        <v>100</v>
      </c>
      <c r="L32" s="173">
        <v>100</v>
      </c>
      <c r="M32" s="173">
        <v>100</v>
      </c>
      <c r="N32" s="173">
        <v>100</v>
      </c>
      <c r="O32" s="173">
        <v>100</v>
      </c>
      <c r="P32" s="173">
        <v>100</v>
      </c>
      <c r="Q32" s="173">
        <v>100</v>
      </c>
      <c r="R32" s="173">
        <v>100</v>
      </c>
      <c r="S32" s="76"/>
      <c r="T32" s="76"/>
      <c r="U32" s="76"/>
      <c r="V32" s="76"/>
      <c r="W32" s="76">
        <v>100</v>
      </c>
      <c r="X32" s="76">
        <v>100</v>
      </c>
      <c r="Y32" s="76">
        <v>100</v>
      </c>
      <c r="Z32" s="76">
        <v>100</v>
      </c>
    </row>
    <row r="33" spans="1:31" ht="20.100000000000001" customHeight="1">
      <c r="A33" s="16"/>
      <c r="B33" s="1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31" s="39" customFormat="1" ht="20.100000000000001" customHeight="1">
      <c r="B34" s="39" t="s">
        <v>257</v>
      </c>
    </row>
    <row r="35" spans="1:31" s="67" customFormat="1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AD35" s="175" t="s">
        <v>252</v>
      </c>
    </row>
    <row r="36" spans="1:31" s="68" customFormat="1" ht="34.5" customHeight="1">
      <c r="A36" s="355" t="s">
        <v>224</v>
      </c>
      <c r="B36" s="351" t="s">
        <v>302</v>
      </c>
      <c r="C36" s="351" t="s">
        <v>333</v>
      </c>
      <c r="D36" s="351"/>
      <c r="E36" s="351" t="s">
        <v>225</v>
      </c>
      <c r="F36" s="351"/>
      <c r="G36" s="351" t="s">
        <v>226</v>
      </c>
      <c r="H36" s="351"/>
      <c r="I36" s="351" t="s">
        <v>296</v>
      </c>
      <c r="J36" s="351"/>
      <c r="K36" s="351" t="s">
        <v>149</v>
      </c>
      <c r="L36" s="351"/>
      <c r="M36" s="351"/>
      <c r="N36" s="351"/>
      <c r="O36" s="351"/>
      <c r="P36" s="351"/>
      <c r="Q36" s="351"/>
      <c r="R36" s="351"/>
      <c r="S36" s="351"/>
      <c r="T36" s="351"/>
      <c r="U36" s="351" t="s">
        <v>334</v>
      </c>
      <c r="V36" s="351"/>
      <c r="W36" s="351"/>
      <c r="X36" s="351"/>
      <c r="Y36" s="351"/>
      <c r="Z36" s="351" t="s">
        <v>300</v>
      </c>
      <c r="AA36" s="351"/>
      <c r="AB36" s="351"/>
      <c r="AC36" s="351"/>
      <c r="AD36" s="351"/>
      <c r="AE36" s="351"/>
    </row>
    <row r="37" spans="1:31" s="68" customFormat="1" ht="52.5" customHeight="1">
      <c r="A37" s="355"/>
      <c r="B37" s="351"/>
      <c r="C37" s="351"/>
      <c r="D37" s="351"/>
      <c r="E37" s="351"/>
      <c r="F37" s="351"/>
      <c r="G37" s="351"/>
      <c r="H37" s="351"/>
      <c r="I37" s="351"/>
      <c r="J37" s="351"/>
      <c r="K37" s="351" t="s">
        <v>344</v>
      </c>
      <c r="L37" s="351"/>
      <c r="M37" s="351" t="s">
        <v>345</v>
      </c>
      <c r="N37" s="351"/>
      <c r="O37" s="351" t="s">
        <v>332</v>
      </c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</row>
    <row r="38" spans="1:31" s="69" customFormat="1" ht="82.5" customHeight="1">
      <c r="A38" s="355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 t="s">
        <v>297</v>
      </c>
      <c r="P38" s="351"/>
      <c r="Q38" s="351" t="s">
        <v>298</v>
      </c>
      <c r="R38" s="351"/>
      <c r="S38" s="351" t="s">
        <v>299</v>
      </c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</row>
    <row r="39" spans="1:31" s="68" customFormat="1" ht="18" customHeight="1">
      <c r="A39" s="6">
        <v>1</v>
      </c>
      <c r="B39" s="7">
        <v>2</v>
      </c>
      <c r="C39" s="351">
        <v>3</v>
      </c>
      <c r="D39" s="351"/>
      <c r="E39" s="351">
        <v>4</v>
      </c>
      <c r="F39" s="351"/>
      <c r="G39" s="351">
        <v>5</v>
      </c>
      <c r="H39" s="351"/>
      <c r="I39" s="351">
        <v>6</v>
      </c>
      <c r="J39" s="351"/>
      <c r="K39" s="410">
        <v>7</v>
      </c>
      <c r="L39" s="412"/>
      <c r="M39" s="410">
        <v>8</v>
      </c>
      <c r="N39" s="412"/>
      <c r="O39" s="351">
        <v>9</v>
      </c>
      <c r="P39" s="351"/>
      <c r="Q39" s="355">
        <v>10</v>
      </c>
      <c r="R39" s="355"/>
      <c r="S39" s="351">
        <v>11</v>
      </c>
      <c r="T39" s="351"/>
      <c r="U39" s="351">
        <v>12</v>
      </c>
      <c r="V39" s="351"/>
      <c r="W39" s="351"/>
      <c r="X39" s="351"/>
      <c r="Y39" s="351"/>
      <c r="Z39" s="351">
        <v>13</v>
      </c>
      <c r="AA39" s="351"/>
      <c r="AB39" s="351"/>
      <c r="AC39" s="351"/>
      <c r="AD39" s="351"/>
      <c r="AE39" s="351"/>
    </row>
    <row r="40" spans="1:31" s="68" customFormat="1" ht="20.100000000000001" customHeight="1">
      <c r="A40" s="84"/>
      <c r="B40" s="85"/>
      <c r="C40" s="445"/>
      <c r="D40" s="445"/>
      <c r="E40" s="408"/>
      <c r="F40" s="408"/>
      <c r="G40" s="408"/>
      <c r="H40" s="408"/>
      <c r="I40" s="408"/>
      <c r="J40" s="408"/>
      <c r="K40" s="446"/>
      <c r="L40" s="447"/>
      <c r="M40" s="404">
        <f t="shared" ref="M40:M46" si="10">SUM(O40,Q40,S40)</f>
        <v>0</v>
      </c>
      <c r="N40" s="405"/>
      <c r="O40" s="408"/>
      <c r="P40" s="408"/>
      <c r="Q40" s="408"/>
      <c r="R40" s="408"/>
      <c r="S40" s="408"/>
      <c r="T40" s="408"/>
      <c r="U40" s="450"/>
      <c r="V40" s="450"/>
      <c r="W40" s="450"/>
      <c r="X40" s="450"/>
      <c r="Y40" s="450"/>
      <c r="Z40" s="449"/>
      <c r="AA40" s="449"/>
      <c r="AB40" s="449"/>
      <c r="AC40" s="449"/>
      <c r="AD40" s="449"/>
      <c r="AE40" s="449"/>
    </row>
    <row r="41" spans="1:31" s="68" customFormat="1" ht="20.100000000000001" customHeight="1">
      <c r="A41" s="84"/>
      <c r="B41" s="85"/>
      <c r="C41" s="445"/>
      <c r="D41" s="445"/>
      <c r="E41" s="408"/>
      <c r="F41" s="408"/>
      <c r="G41" s="408"/>
      <c r="H41" s="408"/>
      <c r="I41" s="408"/>
      <c r="J41" s="408"/>
      <c r="K41" s="446"/>
      <c r="L41" s="447"/>
      <c r="M41" s="404">
        <f t="shared" si="10"/>
        <v>0</v>
      </c>
      <c r="N41" s="405"/>
      <c r="O41" s="408"/>
      <c r="P41" s="408"/>
      <c r="Q41" s="408"/>
      <c r="R41" s="408"/>
      <c r="S41" s="408"/>
      <c r="T41" s="408"/>
      <c r="U41" s="450"/>
      <c r="V41" s="450"/>
      <c r="W41" s="450"/>
      <c r="X41" s="450"/>
      <c r="Y41" s="450"/>
      <c r="Z41" s="449"/>
      <c r="AA41" s="449"/>
      <c r="AB41" s="449"/>
      <c r="AC41" s="449"/>
      <c r="AD41" s="449"/>
      <c r="AE41" s="449"/>
    </row>
    <row r="42" spans="1:31" s="68" customFormat="1" ht="20.100000000000001" customHeight="1">
      <c r="A42" s="84"/>
      <c r="B42" s="85"/>
      <c r="C42" s="445"/>
      <c r="D42" s="445"/>
      <c r="E42" s="408"/>
      <c r="F42" s="408"/>
      <c r="G42" s="408"/>
      <c r="H42" s="408"/>
      <c r="I42" s="408"/>
      <c r="J42" s="408"/>
      <c r="K42" s="446"/>
      <c r="L42" s="447"/>
      <c r="M42" s="404">
        <f t="shared" si="10"/>
        <v>0</v>
      </c>
      <c r="N42" s="405"/>
      <c r="O42" s="408"/>
      <c r="P42" s="408"/>
      <c r="Q42" s="408"/>
      <c r="R42" s="408"/>
      <c r="S42" s="408"/>
      <c r="T42" s="408"/>
      <c r="U42" s="450"/>
      <c r="V42" s="450"/>
      <c r="W42" s="450"/>
      <c r="X42" s="450"/>
      <c r="Y42" s="450"/>
      <c r="Z42" s="449"/>
      <c r="AA42" s="449"/>
      <c r="AB42" s="449"/>
      <c r="AC42" s="449"/>
      <c r="AD42" s="449"/>
      <c r="AE42" s="449"/>
    </row>
    <row r="43" spans="1:31" s="68" customFormat="1" ht="20.100000000000001" customHeight="1">
      <c r="A43" s="84"/>
      <c r="B43" s="85"/>
      <c r="C43" s="445"/>
      <c r="D43" s="445"/>
      <c r="E43" s="408"/>
      <c r="F43" s="408"/>
      <c r="G43" s="408"/>
      <c r="H43" s="408"/>
      <c r="I43" s="408"/>
      <c r="J43" s="408"/>
      <c r="K43" s="446"/>
      <c r="L43" s="447"/>
      <c r="M43" s="404">
        <f>SUM(O43,Q43,S43)</f>
        <v>0</v>
      </c>
      <c r="N43" s="405"/>
      <c r="O43" s="408"/>
      <c r="P43" s="408"/>
      <c r="Q43" s="408"/>
      <c r="R43" s="408"/>
      <c r="S43" s="408"/>
      <c r="T43" s="408"/>
      <c r="U43" s="450"/>
      <c r="V43" s="450"/>
      <c r="W43" s="450"/>
      <c r="X43" s="450"/>
      <c r="Y43" s="450"/>
      <c r="Z43" s="449"/>
      <c r="AA43" s="449"/>
      <c r="AB43" s="449"/>
      <c r="AC43" s="449"/>
      <c r="AD43" s="449"/>
      <c r="AE43" s="449"/>
    </row>
    <row r="44" spans="1:31" s="68" customFormat="1" ht="20.100000000000001" customHeight="1">
      <c r="A44" s="84"/>
      <c r="B44" s="85"/>
      <c r="C44" s="445"/>
      <c r="D44" s="445"/>
      <c r="E44" s="408"/>
      <c r="F44" s="408"/>
      <c r="G44" s="408"/>
      <c r="H44" s="408"/>
      <c r="I44" s="408"/>
      <c r="J44" s="408"/>
      <c r="K44" s="446"/>
      <c r="L44" s="447"/>
      <c r="M44" s="404">
        <f t="shared" si="10"/>
        <v>0</v>
      </c>
      <c r="N44" s="405"/>
      <c r="O44" s="408"/>
      <c r="P44" s="408"/>
      <c r="Q44" s="408"/>
      <c r="R44" s="408"/>
      <c r="S44" s="408"/>
      <c r="T44" s="408"/>
      <c r="U44" s="450"/>
      <c r="V44" s="450"/>
      <c r="W44" s="450"/>
      <c r="X44" s="450"/>
      <c r="Y44" s="450"/>
      <c r="Z44" s="449"/>
      <c r="AA44" s="449"/>
      <c r="AB44" s="449"/>
      <c r="AC44" s="449"/>
      <c r="AD44" s="449"/>
      <c r="AE44" s="449"/>
    </row>
    <row r="45" spans="1:31" s="68" customFormat="1" ht="20.100000000000001" customHeight="1">
      <c r="A45" s="84"/>
      <c r="B45" s="85"/>
      <c r="C45" s="445"/>
      <c r="D45" s="445"/>
      <c r="E45" s="408"/>
      <c r="F45" s="408"/>
      <c r="G45" s="408"/>
      <c r="H45" s="408"/>
      <c r="I45" s="408"/>
      <c r="J45" s="408"/>
      <c r="K45" s="446"/>
      <c r="L45" s="447"/>
      <c r="M45" s="404">
        <f t="shared" si="10"/>
        <v>0</v>
      </c>
      <c r="N45" s="405"/>
      <c r="O45" s="408"/>
      <c r="P45" s="408"/>
      <c r="Q45" s="408"/>
      <c r="R45" s="408"/>
      <c r="S45" s="408"/>
      <c r="T45" s="408"/>
      <c r="U45" s="450"/>
      <c r="V45" s="450"/>
      <c r="W45" s="450"/>
      <c r="X45" s="450"/>
      <c r="Y45" s="450"/>
      <c r="Z45" s="449"/>
      <c r="AA45" s="449"/>
      <c r="AB45" s="449"/>
      <c r="AC45" s="449"/>
      <c r="AD45" s="449"/>
      <c r="AE45" s="449"/>
    </row>
    <row r="46" spans="1:31" s="68" customFormat="1" ht="20.100000000000001" customHeight="1">
      <c r="A46" s="84"/>
      <c r="B46" s="85"/>
      <c r="C46" s="445"/>
      <c r="D46" s="445"/>
      <c r="E46" s="408"/>
      <c r="F46" s="408"/>
      <c r="G46" s="408"/>
      <c r="H46" s="408"/>
      <c r="I46" s="408"/>
      <c r="J46" s="408"/>
      <c r="K46" s="446"/>
      <c r="L46" s="447"/>
      <c r="M46" s="404">
        <f t="shared" si="10"/>
        <v>0</v>
      </c>
      <c r="N46" s="405"/>
      <c r="O46" s="408"/>
      <c r="P46" s="408"/>
      <c r="Q46" s="408"/>
      <c r="R46" s="408"/>
      <c r="S46" s="408"/>
      <c r="T46" s="408"/>
      <c r="U46" s="450"/>
      <c r="V46" s="450"/>
      <c r="W46" s="450"/>
      <c r="X46" s="450"/>
      <c r="Y46" s="450"/>
      <c r="Z46" s="449"/>
      <c r="AA46" s="449"/>
      <c r="AB46" s="449"/>
      <c r="AC46" s="449"/>
      <c r="AD46" s="449"/>
      <c r="AE46" s="449"/>
    </row>
    <row r="47" spans="1:31" s="68" customFormat="1" ht="20.100000000000001" customHeight="1">
      <c r="A47" s="494" t="s">
        <v>60</v>
      </c>
      <c r="B47" s="495"/>
      <c r="C47" s="495"/>
      <c r="D47" s="496"/>
      <c r="E47" s="448">
        <f>SUM(E40:F46)</f>
        <v>0</v>
      </c>
      <c r="F47" s="448"/>
      <c r="G47" s="448">
        <f>SUM(G40:H46)</f>
        <v>0</v>
      </c>
      <c r="H47" s="448"/>
      <c r="I47" s="448">
        <f>SUM(I40:J46)</f>
        <v>0</v>
      </c>
      <c r="J47" s="448"/>
      <c r="K47" s="448">
        <f>SUM(K40:L46)</f>
        <v>0</v>
      </c>
      <c r="L47" s="448"/>
      <c r="M47" s="448">
        <f>SUM(M40:N46)</f>
        <v>0</v>
      </c>
      <c r="N47" s="448"/>
      <c r="O47" s="448">
        <f>SUM(O40:P46)</f>
        <v>0</v>
      </c>
      <c r="P47" s="448"/>
      <c r="Q47" s="448">
        <f>SUM(Q40:R46)</f>
        <v>0</v>
      </c>
      <c r="R47" s="448"/>
      <c r="S47" s="448">
        <f>SUM(S40:T46)</f>
        <v>0</v>
      </c>
      <c r="T47" s="448"/>
      <c r="U47" s="450"/>
      <c r="V47" s="450"/>
      <c r="W47" s="450"/>
      <c r="X47" s="450"/>
      <c r="Y47" s="450"/>
      <c r="Z47" s="449"/>
      <c r="AA47" s="449"/>
      <c r="AB47" s="449"/>
      <c r="AC47" s="449"/>
      <c r="AD47" s="449"/>
      <c r="AE47" s="449"/>
    </row>
    <row r="48" spans="1:31" ht="20.100000000000001" customHeight="1">
      <c r="A48" s="16"/>
      <c r="B48" s="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s="4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</row>
    <row r="51" spans="1:28" s="176" customFormat="1" ht="36" customHeight="1">
      <c r="B51" s="500" t="s">
        <v>407</v>
      </c>
      <c r="C51" s="501"/>
      <c r="D51" s="501"/>
      <c r="E51" s="501"/>
      <c r="F51" s="501"/>
      <c r="G51" s="177"/>
      <c r="H51" s="177"/>
      <c r="I51" s="177"/>
      <c r="J51" s="177"/>
      <c r="K51" s="177"/>
      <c r="L51" s="502" t="s">
        <v>260</v>
      </c>
      <c r="M51" s="502"/>
      <c r="N51" s="502"/>
      <c r="O51" s="502"/>
      <c r="P51" s="502"/>
      <c r="Q51" s="178"/>
      <c r="R51" s="178"/>
      <c r="S51" s="178"/>
      <c r="T51" s="178"/>
      <c r="U51" s="178"/>
      <c r="V51" s="503" t="s">
        <v>403</v>
      </c>
      <c r="W51" s="504"/>
      <c r="X51" s="504"/>
      <c r="Y51" s="504"/>
      <c r="Z51" s="504"/>
    </row>
    <row r="52" spans="1:28" s="4" customFormat="1" ht="19.5" customHeight="1">
      <c r="B52" s="3"/>
      <c r="C52" s="4" t="s">
        <v>83</v>
      </c>
      <c r="E52" s="43"/>
      <c r="F52" s="43"/>
      <c r="G52" s="43"/>
      <c r="H52" s="43"/>
      <c r="I52" s="43"/>
      <c r="J52" s="43"/>
      <c r="K52" s="43"/>
      <c r="M52" s="3"/>
      <c r="N52" s="25" t="s">
        <v>84</v>
      </c>
      <c r="O52" s="3"/>
      <c r="Q52" s="43"/>
      <c r="R52" s="43"/>
      <c r="S52" s="43"/>
      <c r="V52" s="499" t="s">
        <v>142</v>
      </c>
      <c r="W52" s="499"/>
      <c r="X52" s="499"/>
      <c r="Y52" s="499"/>
      <c r="Z52" s="499"/>
    </row>
    <row r="53" spans="1:28" ht="20.100000000000001" customHeight="1">
      <c r="B53" s="35"/>
      <c r="C53" s="35"/>
      <c r="D53" s="35"/>
      <c r="E53" s="35"/>
      <c r="F53" s="35"/>
      <c r="G53" s="35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35"/>
      <c r="U53" s="35"/>
      <c r="AB53" s="1">
        <v>1</v>
      </c>
    </row>
    <row r="54" spans="1:28" ht="20.100000000000001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8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8">
      <c r="B56" s="36"/>
    </row>
    <row r="59" spans="1:28" ht="19.5">
      <c r="B59" s="37"/>
    </row>
    <row r="60" spans="1:28" ht="19.5">
      <c r="B60" s="37"/>
    </row>
    <row r="61" spans="1:28" ht="19.5">
      <c r="B61" s="37"/>
    </row>
    <row r="62" spans="1:28" ht="19.5">
      <c r="B62" s="37"/>
    </row>
    <row r="63" spans="1:28" ht="19.5">
      <c r="B63" s="37"/>
    </row>
    <row r="64" spans="1:28" ht="19.5">
      <c r="B64" s="37"/>
    </row>
    <row r="65" spans="2:2" ht="19.5">
      <c r="B65" s="37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49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36">
    <mergeCell ref="V52:Z52"/>
    <mergeCell ref="B51:F51"/>
    <mergeCell ref="L51:P51"/>
    <mergeCell ref="V51:Z51"/>
    <mergeCell ref="S26:V26"/>
    <mergeCell ref="W25:Z25"/>
    <mergeCell ref="O26:R26"/>
    <mergeCell ref="K26:N26"/>
    <mergeCell ref="K25:N25"/>
    <mergeCell ref="O25:R25"/>
    <mergeCell ref="Z47:AE47"/>
    <mergeCell ref="A47:D47"/>
    <mergeCell ref="C46:D46"/>
    <mergeCell ref="E46:F46"/>
    <mergeCell ref="M46:N46"/>
    <mergeCell ref="Z46:AE46"/>
    <mergeCell ref="Q47:R47"/>
    <mergeCell ref="K47:L47"/>
    <mergeCell ref="S47:T47"/>
    <mergeCell ref="U47:Y47"/>
    <mergeCell ref="O40:P40"/>
    <mergeCell ref="O41:P41"/>
    <mergeCell ref="G42:H42"/>
    <mergeCell ref="I42:J42"/>
    <mergeCell ref="AB1:AE1"/>
    <mergeCell ref="Q46:R46"/>
    <mergeCell ref="S42:T42"/>
    <mergeCell ref="U42:Y42"/>
    <mergeCell ref="S44:T44"/>
    <mergeCell ref="U44:Y44"/>
    <mergeCell ref="S40:T40"/>
    <mergeCell ref="A21:U21"/>
    <mergeCell ref="O46:P46"/>
    <mergeCell ref="S46:T46"/>
    <mergeCell ref="U46:Y46"/>
    <mergeCell ref="Z43:AE43"/>
    <mergeCell ref="S43:T43"/>
    <mergeCell ref="U43:Y43"/>
    <mergeCell ref="S45:T45"/>
    <mergeCell ref="U45:Y45"/>
    <mergeCell ref="Z44:AE44"/>
    <mergeCell ref="M41:N41"/>
    <mergeCell ref="M40:N40"/>
    <mergeCell ref="M37:N38"/>
    <mergeCell ref="S38:T38"/>
    <mergeCell ref="M39:N39"/>
    <mergeCell ref="Q41:R41"/>
    <mergeCell ref="Q40:R40"/>
    <mergeCell ref="U36:Y38"/>
    <mergeCell ref="K36:T36"/>
    <mergeCell ref="W26:Z26"/>
    <mergeCell ref="S25:V25"/>
    <mergeCell ref="B25:F27"/>
    <mergeCell ref="A31:F31"/>
    <mergeCell ref="A25:A27"/>
    <mergeCell ref="B28:F28"/>
    <mergeCell ref="B36:B38"/>
    <mergeCell ref="C36:D38"/>
    <mergeCell ref="E36:F38"/>
    <mergeCell ref="B30:F30"/>
    <mergeCell ref="A32:F32"/>
    <mergeCell ref="A36:A38"/>
    <mergeCell ref="O37:T37"/>
    <mergeCell ref="Q38:R38"/>
    <mergeCell ref="B29:F29"/>
    <mergeCell ref="G25:J25"/>
    <mergeCell ref="Z36:AE38"/>
    <mergeCell ref="AB20:AC20"/>
    <mergeCell ref="AD20:AE20"/>
    <mergeCell ref="Z20:AA20"/>
    <mergeCell ref="AB21:AC21"/>
    <mergeCell ref="AD21:AE21"/>
    <mergeCell ref="C19:F19"/>
    <mergeCell ref="G19:P19"/>
    <mergeCell ref="Q19:U19"/>
    <mergeCell ref="V19:W19"/>
    <mergeCell ref="X19:Y19"/>
    <mergeCell ref="V20:W20"/>
    <mergeCell ref="X21:Y21"/>
    <mergeCell ref="V21:W21"/>
    <mergeCell ref="Z21:AA21"/>
    <mergeCell ref="C20:F20"/>
    <mergeCell ref="G20:P20"/>
    <mergeCell ref="Q20:U20"/>
    <mergeCell ref="X20:Y20"/>
    <mergeCell ref="AB18:AC18"/>
    <mergeCell ref="AD18:AE18"/>
    <mergeCell ref="X18:Y18"/>
    <mergeCell ref="V18:W18"/>
    <mergeCell ref="Q18:U18"/>
    <mergeCell ref="C18:F18"/>
    <mergeCell ref="Z18:AA18"/>
    <mergeCell ref="AB19:AC19"/>
    <mergeCell ref="AD19:AE19"/>
    <mergeCell ref="Z19:AA19"/>
    <mergeCell ref="AC6:AE6"/>
    <mergeCell ref="Q6:S6"/>
    <mergeCell ref="AC10:AE10"/>
    <mergeCell ref="AC11:AE11"/>
    <mergeCell ref="AD17:AE17"/>
    <mergeCell ref="X16:AE16"/>
    <mergeCell ref="A11:L11"/>
    <mergeCell ref="M11:P11"/>
    <mergeCell ref="Q11:S11"/>
    <mergeCell ref="C9:F9"/>
    <mergeCell ref="G9:L9"/>
    <mergeCell ref="M9:P9"/>
    <mergeCell ref="Q9:S9"/>
    <mergeCell ref="C10:F10"/>
    <mergeCell ref="G10:L10"/>
    <mergeCell ref="M10:P10"/>
    <mergeCell ref="A15:A17"/>
    <mergeCell ref="B15:B17"/>
    <mergeCell ref="C15:F17"/>
    <mergeCell ref="G15:P17"/>
    <mergeCell ref="V15:AE15"/>
    <mergeCell ref="V16:W17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Q5:S5"/>
    <mergeCell ref="AC5:AE5"/>
    <mergeCell ref="AC9:AE9"/>
    <mergeCell ref="T9:V9"/>
    <mergeCell ref="W9:Y9"/>
    <mergeCell ref="Z17:AA17"/>
    <mergeCell ref="AB17:AC17"/>
    <mergeCell ref="Z11:AB11"/>
    <mergeCell ref="Z10:AB10"/>
    <mergeCell ref="Z9:AB9"/>
    <mergeCell ref="X17:Y17"/>
    <mergeCell ref="W8:Y8"/>
    <mergeCell ref="T8:V8"/>
    <mergeCell ref="T11:V11"/>
    <mergeCell ref="Q7:S7"/>
    <mergeCell ref="W10:Y10"/>
    <mergeCell ref="W11:Y11"/>
    <mergeCell ref="Q10:S10"/>
    <mergeCell ref="Q8:S8"/>
    <mergeCell ref="Q15:U17"/>
    <mergeCell ref="T10:V10"/>
    <mergeCell ref="Z6:AB6"/>
    <mergeCell ref="W6:Y6"/>
    <mergeCell ref="T6:V6"/>
    <mergeCell ref="K41:L41"/>
    <mergeCell ref="G39:H39"/>
    <mergeCell ref="G26:J26"/>
    <mergeCell ref="I41:J41"/>
    <mergeCell ref="I40:J40"/>
    <mergeCell ref="O38:P38"/>
    <mergeCell ref="I36:J38"/>
    <mergeCell ref="K37:L38"/>
    <mergeCell ref="G18:P18"/>
    <mergeCell ref="G36:H38"/>
    <mergeCell ref="C45:D45"/>
    <mergeCell ref="G45:H45"/>
    <mergeCell ref="Q44:R44"/>
    <mergeCell ref="K45:L45"/>
    <mergeCell ref="K44:L44"/>
    <mergeCell ref="M45:N45"/>
    <mergeCell ref="O45:P45"/>
    <mergeCell ref="Q45:R45"/>
    <mergeCell ref="C44:D44"/>
    <mergeCell ref="M44:N44"/>
    <mergeCell ref="E44:F44"/>
    <mergeCell ref="G44:H44"/>
    <mergeCell ref="I44:J44"/>
    <mergeCell ref="E47:F47"/>
    <mergeCell ref="G47:H47"/>
    <mergeCell ref="I46:J46"/>
    <mergeCell ref="E45:F45"/>
    <mergeCell ref="Z41:AE41"/>
    <mergeCell ref="U39:Y39"/>
    <mergeCell ref="U40:Y40"/>
    <mergeCell ref="U41:Y41"/>
    <mergeCell ref="M47:N47"/>
    <mergeCell ref="G46:H46"/>
    <mergeCell ref="K46:L46"/>
    <mergeCell ref="O47:P47"/>
    <mergeCell ref="I47:J47"/>
    <mergeCell ref="S39:T39"/>
    <mergeCell ref="Q43:R43"/>
    <mergeCell ref="Z42:AE42"/>
    <mergeCell ref="I45:J45"/>
    <mergeCell ref="K43:L43"/>
    <mergeCell ref="K42:L42"/>
    <mergeCell ref="O44:P44"/>
    <mergeCell ref="Q42:R42"/>
    <mergeCell ref="Z45:AE45"/>
    <mergeCell ref="Z39:AE39"/>
    <mergeCell ref="Z40:AE40"/>
    <mergeCell ref="G43:H43"/>
    <mergeCell ref="I43:J43"/>
    <mergeCell ref="Q39:R39"/>
    <mergeCell ref="S41:T41"/>
    <mergeCell ref="M43:N43"/>
    <mergeCell ref="O43:P43"/>
    <mergeCell ref="M42:N42"/>
    <mergeCell ref="C43:D43"/>
    <mergeCell ref="E43:F43"/>
    <mergeCell ref="E41:F41"/>
    <mergeCell ref="C39:D39"/>
    <mergeCell ref="E39:F39"/>
    <mergeCell ref="C41:D41"/>
    <mergeCell ref="C40:D40"/>
    <mergeCell ref="E40:F40"/>
    <mergeCell ref="C42:D42"/>
    <mergeCell ref="E42:F42"/>
    <mergeCell ref="O39:P39"/>
    <mergeCell ref="G40:H40"/>
    <mergeCell ref="I39:J39"/>
    <mergeCell ref="K39:L39"/>
    <mergeCell ref="K40:L40"/>
    <mergeCell ref="G41:H41"/>
    <mergeCell ref="O42:P42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2018-04-24T08:35:41Z</cp:lastPrinted>
  <dcterms:created xsi:type="dcterms:W3CDTF">2003-03-13T16:00:22Z</dcterms:created>
  <dcterms:modified xsi:type="dcterms:W3CDTF">2019-02-14T08:46:59Z</dcterms:modified>
</cp:coreProperties>
</file>