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Лист1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Коефіцієнти'!$A$1:$G$26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інфо_2'!$A$1:$AE$53</definedName>
    <definedName name="Z_1E3D5FB9_014E_4051_8AD5_DB0A17D05797_.wvu.PrintArea" localSheetId="1" hidden="1">'I. Фін результат'!$A$1:$H$110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коштів'!$A$1:$G$86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Коефіцієнти'!$A$1:$G$26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інфо_2'!$A$1:$AE$53</definedName>
    <definedName name="Z_43DCEB14_ADF8_4168_9283_6542A71D3CF7_.wvu.PrintArea" localSheetId="1" hidden="1">'I. Фін результат'!$A$1:$H$110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коштів'!$A$1:$G$86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Коефіцієнти'!$A$1:$G$26</definedName>
    <definedName name="_xlnm.Print_Area" localSheetId="6">'6.1. Інша інфо_1'!$A$1:$O$81</definedName>
    <definedName name="_xlnm.Print_Area" localSheetId="7">'6.2. Інша інфо_2'!$A$1:$AE$53</definedName>
    <definedName name="_xlnm.Print_Area" localSheetId="1">'I. Фін результат'!$A$1:$H$110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коштів'!$A$1:$G$86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  <customWorkbookViews>
    <customWorkbookView name="1235 - Личное представление" guid="{1E3D5FB9-014E-4051-8AD5-DB0A17D05797}" mergeInterval="0" personalView="1" maximized="1" xWindow="1" yWindow="1" windowWidth="1276" windowHeight="794" tabRatio="837" activeSheetId="2"/>
    <customWorkbookView name="UserNEW - Личное представление" guid="{43DCEB14-ADF8-4168-9283-6542A71D3CF7}" mergeInterval="0" personalView="1" maximized="1" xWindow="1" yWindow="1" windowWidth="1600" windowHeight="670" tabRatio="837" activeSheetId="2"/>
  </customWorkbookViews>
</workbook>
</file>

<file path=xl/calcChain.xml><?xml version="1.0" encoding="utf-8"?>
<calcChain xmlns="http://schemas.openxmlformats.org/spreadsheetml/2006/main">
  <c r="E61" i="4"/>
  <c r="E123" i="2"/>
  <c r="F123"/>
  <c r="G123"/>
  <c r="E122"/>
  <c r="F122"/>
  <c r="G122"/>
  <c r="E121"/>
  <c r="F121"/>
  <c r="G121"/>
  <c r="Y64" i="9"/>
  <c r="W64"/>
  <c r="N33"/>
  <c r="J33"/>
  <c r="H33"/>
  <c r="C33"/>
  <c r="T32"/>
  <c r="S32"/>
  <c r="Q32"/>
  <c r="M32"/>
  <c r="I32"/>
  <c r="AD32" s="1"/>
  <c r="E32"/>
  <c r="AC32" s="1"/>
  <c r="AF32" s="1"/>
  <c r="T31"/>
  <c r="S31"/>
  <c r="Q31"/>
  <c r="M31"/>
  <c r="F31"/>
  <c r="F33" s="1"/>
  <c r="E31"/>
  <c r="AC31" s="1"/>
  <c r="T30"/>
  <c r="S30"/>
  <c r="Q30"/>
  <c r="M30"/>
  <c r="E30"/>
  <c r="I30" s="1"/>
  <c r="T29"/>
  <c r="S29"/>
  <c r="Q29"/>
  <c r="M29"/>
  <c r="E29"/>
  <c r="G29" s="1"/>
  <c r="T28"/>
  <c r="S28"/>
  <c r="Q28"/>
  <c r="M28"/>
  <c r="E28"/>
  <c r="G28" s="1"/>
  <c r="T27"/>
  <c r="S27"/>
  <c r="Q27"/>
  <c r="M27"/>
  <c r="E27"/>
  <c r="G27" s="1"/>
  <c r="T26"/>
  <c r="S26"/>
  <c r="Q26"/>
  <c r="M26"/>
  <c r="E26"/>
  <c r="G26" s="1"/>
  <c r="T25"/>
  <c r="S25"/>
  <c r="Q25"/>
  <c r="M25"/>
  <c r="E25"/>
  <c r="G25" s="1"/>
  <c r="T24"/>
  <c r="S24"/>
  <c r="Q24"/>
  <c r="M24"/>
  <c r="E24"/>
  <c r="G24" s="1"/>
  <c r="T23"/>
  <c r="S23"/>
  <c r="Q23"/>
  <c r="M23"/>
  <c r="E23"/>
  <c r="G23" s="1"/>
  <c r="T22"/>
  <c r="S22"/>
  <c r="Q22"/>
  <c r="M22"/>
  <c r="E22"/>
  <c r="G22" s="1"/>
  <c r="T21"/>
  <c r="S21"/>
  <c r="Q21"/>
  <c r="M21"/>
  <c r="E21"/>
  <c r="G21" s="1"/>
  <c r="T20"/>
  <c r="S20"/>
  <c r="Q20"/>
  <c r="M20"/>
  <c r="E20"/>
  <c r="G20" s="1"/>
  <c r="T19"/>
  <c r="S19"/>
  <c r="Q19"/>
  <c r="M19"/>
  <c r="E19"/>
  <c r="G19" s="1"/>
  <c r="AC18"/>
  <c r="AA18"/>
  <c r="Y18"/>
  <c r="W18"/>
  <c r="T18"/>
  <c r="S18"/>
  <c r="Q18"/>
  <c r="M18"/>
  <c r="K18"/>
  <c r="L18" s="1"/>
  <c r="O18" s="1"/>
  <c r="U18" s="1"/>
  <c r="G18"/>
  <c r="AD18" s="1"/>
  <c r="AE18" s="1"/>
  <c r="AC17"/>
  <c r="AA17"/>
  <c r="Y17"/>
  <c r="W17"/>
  <c r="T17"/>
  <c r="S17"/>
  <c r="Q17"/>
  <c r="M17"/>
  <c r="G17"/>
  <c r="K17" s="1"/>
  <c r="L17" s="1"/>
  <c r="O17" s="1"/>
  <c r="U17" s="1"/>
  <c r="AC16"/>
  <c r="AF16" s="1"/>
  <c r="AA16"/>
  <c r="Y16"/>
  <c r="W16"/>
  <c r="T16"/>
  <c r="S16"/>
  <c r="Q16"/>
  <c r="M16"/>
  <c r="K16"/>
  <c r="L16" s="1"/>
  <c r="O16" s="1"/>
  <c r="U16" s="1"/>
  <c r="G16"/>
  <c r="AD16" s="1"/>
  <c r="AE16" s="1"/>
  <c r="AC15"/>
  <c r="AA15"/>
  <c r="Y15"/>
  <c r="W15"/>
  <c r="T15"/>
  <c r="S15"/>
  <c r="Q15"/>
  <c r="M15"/>
  <c r="G15"/>
  <c r="K15" s="1"/>
  <c r="L15" s="1"/>
  <c r="O15" s="1"/>
  <c r="U15" s="1"/>
  <c r="T14"/>
  <c r="S14"/>
  <c r="AD14" s="1"/>
  <c r="M14"/>
  <c r="E14"/>
  <c r="K14" s="1"/>
  <c r="L14" s="1"/>
  <c r="O14" s="1"/>
  <c r="U14" s="1"/>
  <c r="R13"/>
  <c r="S13" s="1"/>
  <c r="M13"/>
  <c r="D13"/>
  <c r="E13" s="1"/>
  <c r="T12"/>
  <c r="R12"/>
  <c r="S12" s="1"/>
  <c r="M12"/>
  <c r="D12"/>
  <c r="E12" s="1"/>
  <c r="R11"/>
  <c r="R33" s="1"/>
  <c r="M11"/>
  <c r="D11"/>
  <c r="D33" s="1"/>
  <c r="T10"/>
  <c r="S10"/>
  <c r="AD10" s="1"/>
  <c r="M10"/>
  <c r="M33" s="1"/>
  <c r="E10"/>
  <c r="K10" l="1"/>
  <c r="AD19"/>
  <c r="AB19"/>
  <c r="Z19"/>
  <c r="X19"/>
  <c r="AD21"/>
  <c r="AB21"/>
  <c r="Z21"/>
  <c r="X21"/>
  <c r="AD23"/>
  <c r="AB23"/>
  <c r="Z23"/>
  <c r="X23"/>
  <c r="AD25"/>
  <c r="AB25"/>
  <c r="Z25"/>
  <c r="X25"/>
  <c r="AD27"/>
  <c r="AB27"/>
  <c r="Z27"/>
  <c r="X27"/>
  <c r="AD29"/>
  <c r="AB29"/>
  <c r="Z29"/>
  <c r="X29"/>
  <c r="AC12"/>
  <c r="AA12"/>
  <c r="Y12"/>
  <c r="W12"/>
  <c r="K12"/>
  <c r="L12" s="1"/>
  <c r="O12" s="1"/>
  <c r="U12" s="1"/>
  <c r="AD12"/>
  <c r="AE12" s="1"/>
  <c r="AB12"/>
  <c r="Z12"/>
  <c r="X12"/>
  <c r="AC13"/>
  <c r="AF13" s="1"/>
  <c r="Y13"/>
  <c r="K13"/>
  <c r="L13" s="1"/>
  <c r="O13" s="1"/>
  <c r="AA13"/>
  <c r="W13"/>
  <c r="AD13"/>
  <c r="AB13"/>
  <c r="Z13"/>
  <c r="X13"/>
  <c r="AD20"/>
  <c r="AB20"/>
  <c r="Z20"/>
  <c r="X20"/>
  <c r="AD22"/>
  <c r="AB22"/>
  <c r="Z22"/>
  <c r="X22"/>
  <c r="AD24"/>
  <c r="AB24"/>
  <c r="Z24"/>
  <c r="X24"/>
  <c r="AD26"/>
  <c r="AB26"/>
  <c r="Z26"/>
  <c r="X26"/>
  <c r="AD28"/>
  <c r="AB28"/>
  <c r="Z28"/>
  <c r="X28"/>
  <c r="AD30"/>
  <c r="AB30"/>
  <c r="Z30"/>
  <c r="X30"/>
  <c r="I33"/>
  <c r="W10"/>
  <c r="AA10"/>
  <c r="Y10"/>
  <c r="AC10"/>
  <c r="AF18"/>
  <c r="AE32"/>
  <c r="Y14"/>
  <c r="Z15"/>
  <c r="Z17"/>
  <c r="AD17"/>
  <c r="K19"/>
  <c r="L19" s="1"/>
  <c r="O19" s="1"/>
  <c r="U19" s="1"/>
  <c r="W19"/>
  <c r="Y19"/>
  <c r="AA19"/>
  <c r="AC19"/>
  <c r="AF19" s="1"/>
  <c r="K20"/>
  <c r="L20" s="1"/>
  <c r="O20" s="1"/>
  <c r="U20" s="1"/>
  <c r="W20"/>
  <c r="Y20"/>
  <c r="AA20"/>
  <c r="AC20"/>
  <c r="K21"/>
  <c r="L21" s="1"/>
  <c r="O21" s="1"/>
  <c r="U21" s="1"/>
  <c r="W21"/>
  <c r="W45" s="1"/>
  <c r="Y21"/>
  <c r="X45" s="1"/>
  <c r="AA21"/>
  <c r="Y45" s="1"/>
  <c r="AC21"/>
  <c r="K22"/>
  <c r="L22" s="1"/>
  <c r="O22" s="1"/>
  <c r="U22" s="1"/>
  <c r="W22"/>
  <c r="Y22"/>
  <c r="AA22"/>
  <c r="AC22"/>
  <c r="AF22" s="1"/>
  <c r="K23"/>
  <c r="L23" s="1"/>
  <c r="O23" s="1"/>
  <c r="U23" s="1"/>
  <c r="W23"/>
  <c r="Y23"/>
  <c r="AA23"/>
  <c r="AC23"/>
  <c r="AF23" s="1"/>
  <c r="K24"/>
  <c r="L24" s="1"/>
  <c r="O24" s="1"/>
  <c r="U24" s="1"/>
  <c r="W24"/>
  <c r="Y24"/>
  <c r="AA24"/>
  <c r="AC24"/>
  <c r="K25"/>
  <c r="L25" s="1"/>
  <c r="O25" s="1"/>
  <c r="U25" s="1"/>
  <c r="W25"/>
  <c r="Y25"/>
  <c r="AA25"/>
  <c r="AC25"/>
  <c r="AF25" s="1"/>
  <c r="K26"/>
  <c r="L26" s="1"/>
  <c r="O26" s="1"/>
  <c r="U26" s="1"/>
  <c r="W26"/>
  <c r="Y26"/>
  <c r="AA26"/>
  <c r="AC26"/>
  <c r="AF26" s="1"/>
  <c r="K27"/>
  <c r="L27" s="1"/>
  <c r="O27" s="1"/>
  <c r="U27" s="1"/>
  <c r="W27"/>
  <c r="Y27"/>
  <c r="AA27"/>
  <c r="AC27"/>
  <c r="AF27" s="1"/>
  <c r="K28"/>
  <c r="L28" s="1"/>
  <c r="O28" s="1"/>
  <c r="U28" s="1"/>
  <c r="W28"/>
  <c r="Y28"/>
  <c r="AA28"/>
  <c r="AC28"/>
  <c r="AF28" s="1"/>
  <c r="K29"/>
  <c r="L29" s="1"/>
  <c r="O29" s="1"/>
  <c r="U29" s="1"/>
  <c r="W29"/>
  <c r="Y29"/>
  <c r="AA29"/>
  <c r="AC29"/>
  <c r="AF29" s="1"/>
  <c r="K30"/>
  <c r="L30" s="1"/>
  <c r="O30" s="1"/>
  <c r="U30" s="1"/>
  <c r="W30"/>
  <c r="Y30"/>
  <c r="AA30"/>
  <c r="AC30"/>
  <c r="AF30" s="1"/>
  <c r="K31"/>
  <c r="L31" s="1"/>
  <c r="O31" s="1"/>
  <c r="U31" s="1"/>
  <c r="W31"/>
  <c r="Y31"/>
  <c r="AA31"/>
  <c r="K32"/>
  <c r="W32"/>
  <c r="Y32"/>
  <c r="AA32"/>
  <c r="G33"/>
  <c r="T11"/>
  <c r="T33" s="1"/>
  <c r="T13"/>
  <c r="W14"/>
  <c r="AA14"/>
  <c r="AC14"/>
  <c r="AF14" s="1"/>
  <c r="X15"/>
  <c r="AB15"/>
  <c r="AD15"/>
  <c r="X17"/>
  <c r="AB17"/>
  <c r="X10"/>
  <c r="Z10"/>
  <c r="AB10"/>
  <c r="E11"/>
  <c r="S11"/>
  <c r="X14"/>
  <c r="Z14"/>
  <c r="AB14"/>
  <c r="X16"/>
  <c r="Z16"/>
  <c r="AB16"/>
  <c r="X18"/>
  <c r="Z18"/>
  <c r="AB18"/>
  <c r="X31"/>
  <c r="Z31"/>
  <c r="AB31"/>
  <c r="AD31"/>
  <c r="AE31" s="1"/>
  <c r="X32"/>
  <c r="Z32"/>
  <c r="AB32"/>
  <c r="AD11" l="1"/>
  <c r="AB11"/>
  <c r="Z11"/>
  <c r="X11"/>
  <c r="AF24"/>
  <c r="Z46"/>
  <c r="AC11"/>
  <c r="AA11"/>
  <c r="AA33" s="1"/>
  <c r="Y11"/>
  <c r="W11"/>
  <c r="K11"/>
  <c r="L11" s="1"/>
  <c r="O11" s="1"/>
  <c r="U11" s="1"/>
  <c r="AE15"/>
  <c r="AF15"/>
  <c r="K34"/>
  <c r="L32"/>
  <c r="O32" s="1"/>
  <c r="U32" s="1"/>
  <c r="AF21"/>
  <c r="Z45"/>
  <c r="X42"/>
  <c r="X43" s="1"/>
  <c r="Y33"/>
  <c r="Y42"/>
  <c r="K33"/>
  <c r="L10"/>
  <c r="X33"/>
  <c r="Z33"/>
  <c r="Y46"/>
  <c r="W46"/>
  <c r="Y39"/>
  <c r="W39"/>
  <c r="AF31"/>
  <c r="AE30"/>
  <c r="AE28"/>
  <c r="AE26"/>
  <c r="AE24"/>
  <c r="AE22"/>
  <c r="AE20"/>
  <c r="AE13"/>
  <c r="AF12"/>
  <c r="AE29"/>
  <c r="AE27"/>
  <c r="AE25"/>
  <c r="AE23"/>
  <c r="AE21"/>
  <c r="AE19"/>
  <c r="W71"/>
  <c r="Y71" s="1"/>
  <c r="W66"/>
  <c r="Y66" s="1"/>
  <c r="AF20"/>
  <c r="Z39"/>
  <c r="AE17"/>
  <c r="AF17"/>
  <c r="AF10"/>
  <c r="Z42"/>
  <c r="AC33"/>
  <c r="W42"/>
  <c r="W43" s="1"/>
  <c r="W33"/>
  <c r="AB33"/>
  <c r="X46"/>
  <c r="X39"/>
  <c r="AE14"/>
  <c r="U13"/>
  <c r="AE10"/>
  <c r="E33"/>
  <c r="X48" l="1"/>
  <c r="X40"/>
  <c r="X49" s="1"/>
  <c r="W55"/>
  <c r="Y55" s="1"/>
  <c r="Z43"/>
  <c r="Y48"/>
  <c r="Y40"/>
  <c r="W69"/>
  <c r="Y69" s="1"/>
  <c r="W54"/>
  <c r="AE33"/>
  <c r="W48"/>
  <c r="W40"/>
  <c r="W49" s="1"/>
  <c r="L33"/>
  <c r="M35" s="1"/>
  <c r="O10"/>
  <c r="W70"/>
  <c r="Y70" s="1"/>
  <c r="W65"/>
  <c r="Y65" s="1"/>
  <c r="AF11"/>
  <c r="AE11"/>
  <c r="AD33"/>
  <c r="Y43"/>
  <c r="W56"/>
  <c r="Y56" s="1"/>
  <c r="Z48"/>
  <c r="Z40"/>
  <c r="Z49" s="1"/>
  <c r="U10" l="1"/>
  <c r="U33" s="1"/>
  <c r="O33"/>
  <c r="W59"/>
  <c r="Y59" s="1"/>
  <c r="Y54"/>
  <c r="W61"/>
  <c r="Y61" s="1"/>
  <c r="Y49"/>
  <c r="W60" l="1"/>
  <c r="Y60" s="1"/>
  <c r="E9" i="2" l="1"/>
  <c r="D9"/>
  <c r="Q12" i="8"/>
  <c r="Q11"/>
  <c r="Q10"/>
  <c r="Q9"/>
  <c r="Q8"/>
  <c r="Q7"/>
  <c r="X30"/>
  <c r="X29"/>
  <c r="N30"/>
  <c r="M30"/>
  <c r="W30" l="1"/>
  <c r="Z30" s="1"/>
  <c r="Y30" l="1"/>
  <c r="L31"/>
  <c r="K31"/>
  <c r="Z13"/>
  <c r="Q13"/>
  <c r="E12" i="7"/>
  <c r="E13"/>
  <c r="E14"/>
  <c r="E15"/>
  <c r="E16"/>
  <c r="C76" i="2"/>
  <c r="D71" i="1"/>
  <c r="D68"/>
  <c r="I56" i="7"/>
  <c r="E40" i="4"/>
  <c r="C8" i="3"/>
  <c r="F19" i="6" l="1"/>
  <c r="J27" i="7"/>
  <c r="E66" i="4"/>
  <c r="E65"/>
  <c r="H32" i="7"/>
  <c r="J32" s="1"/>
  <c r="H33"/>
  <c r="J33" s="1"/>
  <c r="H31"/>
  <c r="J31" s="1"/>
  <c r="H28"/>
  <c r="J28" s="1"/>
  <c r="H29"/>
  <c r="J29" s="1"/>
  <c r="H27"/>
  <c r="G85" i="2" l="1"/>
  <c r="G71"/>
  <c r="F71"/>
  <c r="D70"/>
  <c r="W29" i="8"/>
  <c r="Y29" s="1"/>
  <c r="Y31" s="1"/>
  <c r="E116" i="2"/>
  <c r="N29" i="8"/>
  <c r="Q29"/>
  <c r="R29"/>
  <c r="Z29"/>
  <c r="Z31" s="1"/>
  <c r="M29"/>
  <c r="M13"/>
  <c r="D6" i="5"/>
  <c r="D60" i="4"/>
  <c r="D40"/>
  <c r="D37" i="1"/>
  <c r="D43"/>
  <c r="D63"/>
  <c r="D62"/>
  <c r="D61"/>
  <c r="E60" i="4"/>
  <c r="E32" i="7" l="1"/>
  <c r="E33"/>
  <c r="E31"/>
  <c r="E28"/>
  <c r="E29"/>
  <c r="E27"/>
  <c r="E24"/>
  <c r="E25"/>
  <c r="E23"/>
  <c r="E20"/>
  <c r="E21"/>
  <c r="E19"/>
  <c r="E22" i="4" l="1"/>
  <c r="E61" i="2"/>
  <c r="F15"/>
  <c r="G15"/>
  <c r="F42" i="4"/>
  <c r="E70" i="2"/>
  <c r="G70" l="1"/>
  <c r="F70"/>
  <c r="C22" i="4"/>
  <c r="C17"/>
  <c r="C46" i="2"/>
  <c r="E68" i="1"/>
  <c r="G8" i="5"/>
  <c r="E17" i="4"/>
  <c r="F56" i="7"/>
  <c r="L12"/>
  <c r="E8" i="3"/>
  <c r="E46" i="2"/>
  <c r="D46"/>
  <c r="F48"/>
  <c r="F8" i="5"/>
  <c r="F41" i="4"/>
  <c r="F40" l="1"/>
  <c r="E37" i="3"/>
  <c r="D61" i="2"/>
  <c r="E7"/>
  <c r="D52" i="1" l="1"/>
  <c r="C52"/>
  <c r="D47"/>
  <c r="E47"/>
  <c r="E49"/>
  <c r="C49"/>
  <c r="C47"/>
  <c r="C46"/>
  <c r="D38"/>
  <c r="E38"/>
  <c r="D39"/>
  <c r="E39"/>
  <c r="D41"/>
  <c r="E41"/>
  <c r="E43"/>
  <c r="C41"/>
  <c r="C39"/>
  <c r="E71"/>
  <c r="J56" i="7" l="1"/>
  <c r="L56"/>
  <c r="F16" i="2"/>
  <c r="E29" i="1"/>
  <c r="F9" i="3"/>
  <c r="F10"/>
  <c r="N13" i="7"/>
  <c r="N16"/>
  <c r="N19"/>
  <c r="N20"/>
  <c r="N21"/>
  <c r="N23"/>
  <c r="N24"/>
  <c r="N25"/>
  <c r="N12"/>
  <c r="L13"/>
  <c r="L16"/>
  <c r="L19"/>
  <c r="L20"/>
  <c r="L21"/>
  <c r="L23"/>
  <c r="L24"/>
  <c r="L25"/>
  <c r="G47" i="1"/>
  <c r="F47"/>
  <c r="F41"/>
  <c r="C38"/>
  <c r="C71"/>
  <c r="F61" i="4"/>
  <c r="F60"/>
  <c r="F47"/>
  <c r="F46"/>
  <c r="D30"/>
  <c r="G23" i="3"/>
  <c r="G29"/>
  <c r="G35"/>
  <c r="G36"/>
  <c r="F23"/>
  <c r="F29"/>
  <c r="F33"/>
  <c r="F34"/>
  <c r="F35"/>
  <c r="F36"/>
  <c r="G7"/>
  <c r="F7"/>
  <c r="G99" i="2"/>
  <c r="G100"/>
  <c r="G101"/>
  <c r="G102"/>
  <c r="G103"/>
  <c r="G63"/>
  <c r="G38"/>
  <c r="G39"/>
  <c r="G42"/>
  <c r="G30"/>
  <c r="G31"/>
  <c r="G32"/>
  <c r="G33"/>
  <c r="G16"/>
  <c r="G17"/>
  <c r="G18"/>
  <c r="G20"/>
  <c r="G22"/>
  <c r="G25"/>
  <c r="G116" s="1"/>
  <c r="G8"/>
  <c r="G11"/>
  <c r="G12"/>
  <c r="G13"/>
  <c r="G14"/>
  <c r="F99"/>
  <c r="F100"/>
  <c r="F101"/>
  <c r="F102"/>
  <c r="F103"/>
  <c r="F63"/>
  <c r="F46"/>
  <c r="F47"/>
  <c r="F38"/>
  <c r="F39"/>
  <c r="F42"/>
  <c r="F25"/>
  <c r="F116" s="1"/>
  <c r="F30"/>
  <c r="F31"/>
  <c r="F32"/>
  <c r="F33"/>
  <c r="F20"/>
  <c r="F21"/>
  <c r="F22"/>
  <c r="F23"/>
  <c r="F8"/>
  <c r="F11"/>
  <c r="F12"/>
  <c r="F13"/>
  <c r="F14"/>
  <c r="F17"/>
  <c r="F18"/>
  <c r="E56"/>
  <c r="E35" i="1" s="1"/>
  <c r="F61" i="2" l="1"/>
  <c r="G61"/>
  <c r="E34" i="1"/>
  <c r="C68"/>
  <c r="C61" i="2"/>
  <c r="F11" i="5" l="1"/>
  <c r="G11" s="1"/>
  <c r="E6"/>
  <c r="E59" i="1" s="1"/>
  <c r="D59"/>
  <c r="G59" l="1"/>
  <c r="F59"/>
  <c r="F6" i="5"/>
  <c r="G6"/>
  <c r="M56" i="7"/>
  <c r="D56" i="2" l="1"/>
  <c r="D34" i="1" l="1"/>
  <c r="D35"/>
  <c r="N56" i="7"/>
  <c r="K56"/>
  <c r="G56" i="2"/>
  <c r="F56"/>
  <c r="C7"/>
  <c r="C29" i="1" s="1"/>
  <c r="F34" l="1"/>
  <c r="G34"/>
  <c r="F35"/>
  <c r="G35"/>
  <c r="L29" i="7"/>
  <c r="N29"/>
  <c r="N28"/>
  <c r="L28" l="1"/>
  <c r="O56"/>
  <c r="D116" i="2"/>
  <c r="E115"/>
  <c r="F115"/>
  <c r="G115"/>
  <c r="D115"/>
  <c r="D37" i="3" l="1"/>
  <c r="D49" i="1" l="1"/>
  <c r="F49" s="1"/>
  <c r="N33" i="7"/>
  <c r="L33"/>
  <c r="N32"/>
  <c r="L32"/>
  <c r="N27"/>
  <c r="L27"/>
  <c r="G37" i="3"/>
  <c r="F37"/>
  <c r="T13" i="8"/>
  <c r="W13"/>
  <c r="AC13"/>
  <c r="X22"/>
  <c r="Z22"/>
  <c r="AB22"/>
  <c r="AD22"/>
  <c r="G31"/>
  <c r="H31"/>
  <c r="I31"/>
  <c r="J31"/>
  <c r="M31"/>
  <c r="N31"/>
  <c r="O31"/>
  <c r="W31" s="1"/>
  <c r="P31"/>
  <c r="X31" s="1"/>
  <c r="Q31"/>
  <c r="R31"/>
  <c r="S31"/>
  <c r="T31"/>
  <c r="U31"/>
  <c r="V31"/>
  <c r="E47"/>
  <c r="G47"/>
  <c r="I47"/>
  <c r="K47"/>
  <c r="O47"/>
  <c r="Q47"/>
  <c r="S47"/>
  <c r="G57" i="7"/>
  <c r="K66"/>
  <c r="C6" i="5"/>
  <c r="C59" i="1" s="1"/>
  <c r="D27" i="4"/>
  <c r="E27"/>
  <c r="C48"/>
  <c r="C54" i="1" s="1"/>
  <c r="D48" i="4"/>
  <c r="D54" i="1" s="1"/>
  <c r="E48" i="4"/>
  <c r="E54" i="1" s="1"/>
  <c r="D46"/>
  <c r="E46"/>
  <c r="C25" i="3"/>
  <c r="C48" i="1" s="1"/>
  <c r="D25" i="3"/>
  <c r="D48" i="1" s="1"/>
  <c r="E25" i="3"/>
  <c r="E48" i="1" s="1"/>
  <c r="D7" i="2"/>
  <c r="D29" i="1" s="1"/>
  <c r="E87" i="2"/>
  <c r="D30" i="1"/>
  <c r="C9" i="2"/>
  <c r="C30" i="1" s="1"/>
  <c r="C24" i="2"/>
  <c r="C32" i="1" s="1"/>
  <c r="C49" i="2"/>
  <c r="C33" i="1" s="1"/>
  <c r="D49" i="2"/>
  <c r="E49"/>
  <c r="E33" i="1" s="1"/>
  <c r="C56" i="2"/>
  <c r="C85"/>
  <c r="D85"/>
  <c r="E85"/>
  <c r="F85"/>
  <c r="C86"/>
  <c r="D86"/>
  <c r="E86"/>
  <c r="F86"/>
  <c r="C87"/>
  <c r="D92"/>
  <c r="E92"/>
  <c r="C93"/>
  <c r="D93"/>
  <c r="E93"/>
  <c r="C98"/>
  <c r="F98"/>
  <c r="D9" i="4"/>
  <c r="B29" i="1"/>
  <c r="B30"/>
  <c r="B31"/>
  <c r="B32"/>
  <c r="B33"/>
  <c r="B34"/>
  <c r="B35"/>
  <c r="B36"/>
  <c r="B37"/>
  <c r="B38"/>
  <c r="B39"/>
  <c r="B40"/>
  <c r="B41"/>
  <c r="B42"/>
  <c r="B43"/>
  <c r="B45"/>
  <c r="B46"/>
  <c r="B48"/>
  <c r="B49"/>
  <c r="B50"/>
  <c r="B52"/>
  <c r="B53"/>
  <c r="B54"/>
  <c r="B55"/>
  <c r="B56"/>
  <c r="B57"/>
  <c r="B59"/>
  <c r="B61"/>
  <c r="B62"/>
  <c r="B63"/>
  <c r="G49" l="1"/>
  <c r="G86" i="2"/>
  <c r="D87"/>
  <c r="F92"/>
  <c r="G54" i="1"/>
  <c r="F54"/>
  <c r="G48"/>
  <c r="F48"/>
  <c r="G29"/>
  <c r="F29"/>
  <c r="F49" i="2"/>
  <c r="D33" i="1"/>
  <c r="C34"/>
  <c r="C35"/>
  <c r="G97" i="2"/>
  <c r="F93"/>
  <c r="F56" i="1"/>
  <c r="F38"/>
  <c r="F39"/>
  <c r="F33"/>
  <c r="F27" i="4"/>
  <c r="F22" i="3"/>
  <c r="L31" i="7"/>
  <c r="N31"/>
  <c r="G48" i="4"/>
  <c r="F48"/>
  <c r="G25" i="3"/>
  <c r="F25"/>
  <c r="G87" i="2"/>
  <c r="F7"/>
  <c r="F87" s="1"/>
  <c r="G7"/>
  <c r="M57" i="7"/>
  <c r="J57"/>
  <c r="E91" i="2"/>
  <c r="E9" i="4"/>
  <c r="F17" i="6"/>
  <c r="D19" i="2"/>
  <c r="D31" i="1" s="1"/>
  <c r="M47" i="8"/>
  <c r="V22"/>
  <c r="D84" i="2"/>
  <c r="D91"/>
  <c r="C19"/>
  <c r="C65" s="1"/>
  <c r="E84"/>
  <c r="C84"/>
  <c r="C104"/>
  <c r="C9" i="4"/>
  <c r="F97" i="2" l="1"/>
  <c r="E19"/>
  <c r="E30" i="1"/>
  <c r="C40"/>
  <c r="C31"/>
  <c r="F7" i="6" s="1"/>
  <c r="G9" i="4"/>
  <c r="F9"/>
  <c r="G91" i="2"/>
  <c r="F91"/>
  <c r="G84"/>
  <c r="F84"/>
  <c r="F9"/>
  <c r="G9"/>
  <c r="F18" i="6"/>
  <c r="E31" i="1" l="1"/>
  <c r="G31" s="1"/>
  <c r="G19" i="2"/>
  <c r="F19"/>
  <c r="G30" i="1"/>
  <c r="F30"/>
  <c r="C95" i="2"/>
  <c r="C36" i="1" s="1"/>
  <c r="C7" i="4"/>
  <c r="C16" s="1"/>
  <c r="C26" s="1"/>
  <c r="C79" i="2"/>
  <c r="C42" i="1" s="1"/>
  <c r="F31" l="1"/>
  <c r="C17" i="3"/>
  <c r="C81" i="2"/>
  <c r="C27" i="4"/>
  <c r="C28" s="1"/>
  <c r="C53" i="1" s="1"/>
  <c r="C88" i="2"/>
  <c r="C76" i="4" l="1"/>
  <c r="C19" i="3"/>
  <c r="C45" i="1" s="1"/>
  <c r="C80" i="4" l="1"/>
  <c r="C57" i="1" s="1"/>
  <c r="C55"/>
  <c r="C38" i="3"/>
  <c r="C50" i="1" s="1"/>
  <c r="C81" i="4" l="1"/>
  <c r="G78" l="1"/>
  <c r="E52" i="1"/>
  <c r="F78" i="4"/>
  <c r="E24" i="2"/>
  <c r="E65" s="1"/>
  <c r="D24"/>
  <c r="D32" i="1" s="1"/>
  <c r="E76" i="2" l="1"/>
  <c r="E79" s="1"/>
  <c r="E17" i="3" s="1"/>
  <c r="E88" i="2"/>
  <c r="E32" i="1"/>
  <c r="G32" s="1"/>
  <c r="G52"/>
  <c r="F52"/>
  <c r="G24" i="2"/>
  <c r="F24"/>
  <c r="E104"/>
  <c r="D88"/>
  <c r="D65"/>
  <c r="F32" i="1" l="1"/>
  <c r="G88" i="2"/>
  <c r="G65"/>
  <c r="F65"/>
  <c r="D123"/>
  <c r="D104"/>
  <c r="D121"/>
  <c r="D122"/>
  <c r="F88"/>
  <c r="E90"/>
  <c r="E95" s="1"/>
  <c r="E36" i="1" s="1"/>
  <c r="D90" i="2"/>
  <c r="D76"/>
  <c r="D40" i="1" s="1"/>
  <c r="E7" i="4" l="1"/>
  <c r="E40" i="1"/>
  <c r="G40" s="1"/>
  <c r="G104" i="2"/>
  <c r="F104"/>
  <c r="G76"/>
  <c r="F76"/>
  <c r="D95"/>
  <c r="D36" i="1" s="1"/>
  <c r="F36" s="1"/>
  <c r="G90" i="2"/>
  <c r="F90"/>
  <c r="D79"/>
  <c r="D7" i="4"/>
  <c r="F13" i="6"/>
  <c r="F8"/>
  <c r="E37" i="1" s="1"/>
  <c r="E16" i="4" l="1"/>
  <c r="E26" s="1"/>
  <c r="E28" s="1"/>
  <c r="E53" i="1" s="1"/>
  <c r="D42"/>
  <c r="E42"/>
  <c r="G36"/>
  <c r="F40"/>
  <c r="G79" i="2"/>
  <c r="F79"/>
  <c r="G95"/>
  <c r="F95"/>
  <c r="D16" i="4"/>
  <c r="G7"/>
  <c r="F7"/>
  <c r="C37" i="1"/>
  <c r="E81" i="2"/>
  <c r="E80"/>
  <c r="D81"/>
  <c r="D80"/>
  <c r="F81" l="1"/>
  <c r="D26" i="4"/>
  <c r="F16"/>
  <c r="G16"/>
  <c r="G80" i="2"/>
  <c r="F80"/>
  <c r="F46" i="1"/>
  <c r="D21" i="3"/>
  <c r="F66" i="4"/>
  <c r="D8" i="3"/>
  <c r="D17" s="1"/>
  <c r="D20"/>
  <c r="G65" i="4"/>
  <c r="E76"/>
  <c r="E55" i="1" s="1"/>
  <c r="F11" i="6"/>
  <c r="F65" i="4" l="1"/>
  <c r="G66"/>
  <c r="F20" i="3"/>
  <c r="F37" i="1"/>
  <c r="D28" i="4"/>
  <c r="D53" i="1" s="1"/>
  <c r="F26" i="4"/>
  <c r="G26"/>
  <c r="F8" i="3"/>
  <c r="E80" i="4"/>
  <c r="E57" i="1" s="1"/>
  <c r="G42"/>
  <c r="F42"/>
  <c r="D76" i="4"/>
  <c r="D55" i="1" s="1"/>
  <c r="D19" i="3"/>
  <c r="D38" s="1"/>
  <c r="G55" i="1" l="1"/>
  <c r="F55"/>
  <c r="D50"/>
  <c r="D45"/>
  <c r="G53"/>
  <c r="F53"/>
  <c r="D80" i="4"/>
  <c r="F28"/>
  <c r="G28"/>
  <c r="G76"/>
  <c r="F76"/>
  <c r="E19" i="3"/>
  <c r="F21"/>
  <c r="E81" i="4"/>
  <c r="G17" i="3"/>
  <c r="F17"/>
  <c r="F14" i="6"/>
  <c r="F10"/>
  <c r="F15"/>
  <c r="F9"/>
  <c r="C63" i="1" l="1"/>
  <c r="E63"/>
  <c r="C62"/>
  <c r="E62"/>
  <c r="C61"/>
  <c r="E61"/>
  <c r="E45"/>
  <c r="F45" s="1"/>
  <c r="E38" i="3"/>
  <c r="E50" i="1" s="1"/>
  <c r="G50" s="1"/>
  <c r="F19" i="3"/>
  <c r="D81" i="4"/>
  <c r="F81" s="1"/>
  <c r="D57" i="1"/>
  <c r="G80" i="4"/>
  <c r="F80"/>
  <c r="G38" i="3" l="1"/>
  <c r="F50" i="1"/>
  <c r="F38" i="3"/>
  <c r="G81" i="4"/>
  <c r="F57" i="1"/>
  <c r="G57"/>
</calcChain>
</file>

<file path=xl/comments1.xml><?xml version="1.0" encoding="utf-8"?>
<comments xmlns="http://schemas.openxmlformats.org/spreadsheetml/2006/main">
  <authors>
    <author>1235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1235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согласно контракта 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<sst xmlns="http://schemas.openxmlformats.org/spreadsheetml/2006/main" count="746" uniqueCount="540">
  <si>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</si>
  <si>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</si>
  <si>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</si>
  <si>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</si>
  <si>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</si>
  <si>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</si>
  <si>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</si>
  <si>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</si>
  <si>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</si>
  <si>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</si>
  <si>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</si>
  <si>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</si>
  <si>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</si>
  <si>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</si>
  <si>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</si>
  <si>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</si>
  <si>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</si>
  <si>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</si>
  <si>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</si>
  <si>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</si>
  <si>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</si>
  <si>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</si>
  <si>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</si>
  <si>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</si>
  <si>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</si>
  <si>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</si>
  <si>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</si>
  <si>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</si>
  <si>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</si>
  <si>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</si>
  <si>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</si>
  <si>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</si>
  <si>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</si>
  <si>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</si>
  <si>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</si>
  <si>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</si>
  <si>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</si>
  <si>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</si>
  <si>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</si>
  <si>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</si>
  <si>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</si>
  <si>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</si>
  <si>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</si>
  <si>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</si>
  <si>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</si>
  <si>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</si>
  <si>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</si>
  <si>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</si>
  <si>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</si>
  <si>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</si>
  <si>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</si>
  <si>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</si>
  <si>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</si>
  <si>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</si>
  <si>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</si>
  <si>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</si>
  <si>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</si>
  <si>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</si>
  <si>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</si>
  <si>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</si>
  <si>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</si>
  <si>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</si>
  <si>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</si>
  <si>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</si>
  <si>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</si>
  <si>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</si>
  <si>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</si>
  <si>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</si>
  <si>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</si>
  <si>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</si>
  <si>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</si>
  <si>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</si>
  <si>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</si>
  <si>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</si>
  <si>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</si>
  <si>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</si>
  <si>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</si>
  <si>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</si>
  <si>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</si>
  <si>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</si>
  <si>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</si>
  <si>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</si>
  <si>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</si>
  <si>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</si>
  <si>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</si>
  <si>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</si>
  <si>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</si>
  <si>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</si>
  <si>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</si>
  <si>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</si>
  <si>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</si>
  <si>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</si>
  <si>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</si>
  <si>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</si>
  <si>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</si>
  <si>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</si>
  <si>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</si>
  <si>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</si>
  <si>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</si>
  <si>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</si>
  <si>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</si>
  <si>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</si>
  <si>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</si>
  <si>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</si>
  <si>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</si>
  <si>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</si>
  <si>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</si>
  <si>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</si>
  <si>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</si>
  <si>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</si>
  <si>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</si>
  <si>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</si>
  <si>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</si>
  <si>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</si>
  <si>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</si>
  <si>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</si>
  <si>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</si>
  <si>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</si>
  <si>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</si>
  <si>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</si>
  <si>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</si>
  <si>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</si>
  <si>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</si>
  <si>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</si>
  <si>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</si>
  <si>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</si>
  <si>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</si>
  <si>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</si>
  <si>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</si>
  <si>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</si>
  <si>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</si>
  <si>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</si>
  <si>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</si>
  <si>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</si>
  <si>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</si>
  <si>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</si>
  <si>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</si>
  <si>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</si>
  <si>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</si>
  <si>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</si>
  <si>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</si>
  <si>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</si>
  <si>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</si>
  <si>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</si>
  <si>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</si>
  <si>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</si>
  <si>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</si>
  <si>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</si>
  <si>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</si>
  <si>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</si>
  <si>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</si>
  <si>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</si>
  <si>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</si>
  <si>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</si>
  <si>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</si>
  <si>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</si>
  <si>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</si>
  <si>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</si>
  <si>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</si>
  <si>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</si>
  <si>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</si>
  <si>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</si>
  <si>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</si>
  <si>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</si>
  <si>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</si>
  <si>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</si>
  <si>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</si>
  <si>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</si>
  <si>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</si>
  <si>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</si>
  <si>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</si>
  <si>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</si>
  <si>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</si>
  <si>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</si>
  <si>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</si>
  <si>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</si>
  <si>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</si>
  <si>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</si>
  <si>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</si>
  <si>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</si>
  <si>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</si>
  <si>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</si>
  <si>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</si>
  <si>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</si>
  <si>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</si>
  <si>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</si>
  <si>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</si>
  <si>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</si>
  <si>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</si>
  <si>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</si>
  <si>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</si>
  <si>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</si>
  <si>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</si>
  <si>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</si>
  <si>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</si>
  <si>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</si>
  <si>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</si>
  <si>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</si>
  <si>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</si>
  <si>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</si>
  <si>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</si>
  <si>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</si>
  <si>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</si>
  <si>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</si>
  <si>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</si>
  <si>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</si>
  <si>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</si>
  <si>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</si>
  <si>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</si>
  <si>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</si>
  <si>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</si>
  <si>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</si>
  <si>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</si>
  <si>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</si>
  <si>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</si>
  <si>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</si>
  <si>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</si>
  <si>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</si>
  <si>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</si>
  <si>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</si>
  <si>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</si>
  <si>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</si>
  <si>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</si>
  <si>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</si>
  <si>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</si>
  <si>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</si>
  <si>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</si>
  <si>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</si>
  <si>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</si>
  <si>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</si>
  <si>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</si>
  <si>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</si>
  <si>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</si>
  <si>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</si>
  <si>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</si>
  <si>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</si>
  <si>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</si>
  <si>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</si>
  <si>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</si>
  <si>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</si>
  <si>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</si>
  <si>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</si>
  <si>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</si>
  <si>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</si>
  <si>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</si>
  <si>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</si>
  <si>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</si>
  <si>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</si>
  <si>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</si>
  <si>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</si>
  <si>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</si>
  <si>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</si>
  <si>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</si>
  <si>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</si>
  <si>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</si>
  <si>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</si>
  <si>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</si>
  <si>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</si>
  <si>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</si>
  <si>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</si>
  <si>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</si>
  <si>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</si>
  <si>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</si>
  <si>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</si>
  <si>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</si>
  <si>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</si>
  <si>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</si>
  <si>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</si>
  <si>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</si>
  <si>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</si>
  <si>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</si>
  <si>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</si>
  <si>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</si>
  <si>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</si>
  <si>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</si>
  <si>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</si>
  <si>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</si>
  <si>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</si>
  <si>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</si>
  <si>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</si>
  <si>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</si>
  <si>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</si>
  <si>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</si>
  <si>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</si>
  <si>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</si>
  <si>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</si>
  <si>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</si>
  <si>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</si>
  <si>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</si>
  <si>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</si>
  <si>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</si>
  <si>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</si>
  <si>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</si>
  <si>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</si>
  <si>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</si>
  <si>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</si>
  <si>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</si>
  <si>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</si>
  <si>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</si>
  <si>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</si>
  <si>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</si>
  <si>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</si>
  <si>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</si>
  <si>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</si>
  <si>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</si>
  <si>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</si>
  <si>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</si>
  <si>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</si>
  <si>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</si>
  <si>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</si>
  <si>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</si>
  <si>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</si>
  <si>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</si>
  <si>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</si>
  <si>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</si>
  <si>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</si>
  <si>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</si>
  <si>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</si>
  <si>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</si>
  <si>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</si>
  <si>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</si>
  <si>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</si>
  <si>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</si>
  <si>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</si>
  <si>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</si>
  <si>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</si>
  <si>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</si>
  <si>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</si>
  <si>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</si>
  <si>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</si>
  <si>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</si>
  <si>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</si>
  <si>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</si>
  <si>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</si>
  <si>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</si>
  <si>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</si>
  <si>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</si>
  <si>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</si>
  <si>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</si>
  <si>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</si>
  <si>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</si>
  <si>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</si>
  <si>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</si>
  <si>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</si>
  <si>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</si>
  <si>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</si>
  <si>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</si>
  <si>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</si>
  <si>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</si>
  <si>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</si>
  <si>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</si>
  <si>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</si>
  <si>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</si>
  <si>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</si>
  <si>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</si>
  <si>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</si>
  <si>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</si>
  <si>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</si>
  <si>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</si>
  <si>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</si>
  <si>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</si>
  <si>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</si>
  <si>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</si>
  <si>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</si>
  <si>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</si>
  <si>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</si>
  <si>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</si>
  <si>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</si>
  <si>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</si>
  <si>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</si>
  <si>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</si>
  <si>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</si>
  <si>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</si>
  <si>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</si>
  <si>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</si>
  <si>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</si>
  <si>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</si>
  <si>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</si>
  <si>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</si>
  <si>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</si>
  <si>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</si>
  <si>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</si>
  <si>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</si>
  <si>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</si>
  <si>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</si>
  <si>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</si>
  <si>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</si>
  <si>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</si>
  <si>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</si>
  <si>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</si>
  <si>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</si>
  <si>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</si>
  <si>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</si>
  <si>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</si>
  <si>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</si>
  <si>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</si>
  <si>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</si>
  <si>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</si>
  <si>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</si>
  <si>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</si>
  <si>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</si>
  <si>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</si>
  <si>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</si>
  <si>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</si>
  <si>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</si>
  <si>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</si>
  <si>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</si>
  <si>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</si>
  <si>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</si>
  <si>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</si>
  <si>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</si>
  <si>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</si>
  <si>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</si>
  <si>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</si>
  <si>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</si>
  <si>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</si>
  <si>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</si>
  <si>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</si>
  <si>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</si>
  <si>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</si>
  <si>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</si>
  <si>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</si>
  <si>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</si>
  <si>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</si>
  <si>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</si>
  <si>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</si>
  <si>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</si>
  <si>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</si>
  <si>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</si>
  <si>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</si>
  <si>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</si>
  <si>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</si>
  <si>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</si>
  <si>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</si>
  <si>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</si>
  <si>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</si>
  <si>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</si>
  <si>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</si>
  <si>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</si>
  <si>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</si>
  <si>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</si>
  <si>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</si>
  <si>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Факт звітного періоду</t>
  </si>
  <si>
    <t>План звітного періоду</t>
  </si>
  <si>
    <t>Плановий рік,усього</t>
  </si>
  <si>
    <t>Факт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</si>
  <si>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</si>
  <si>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</si>
  <si>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</si>
  <si>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</si>
  <si>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     громади міста Дніпра</t>
  </si>
  <si>
    <t>066-538-76-81,    067-650-72-71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</si>
  <si>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</si>
  <si>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</si>
  <si>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</si>
  <si>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Рік 2020</t>
  </si>
  <si>
    <t>HYUNDAI  ELANTRA</t>
  </si>
  <si>
    <t>План минулого року</t>
  </si>
  <si>
    <t>3030/1</t>
  </si>
  <si>
    <t>Плановий період</t>
  </si>
  <si>
    <t>списання основних засобів</t>
  </si>
  <si>
    <t>за І півряччя 2021 року</t>
  </si>
  <si>
    <t xml:space="preserve">    39,5 чоловік</t>
  </si>
  <si>
    <t>RENAULT  LOGAN</t>
  </si>
  <si>
    <t>Придбання основних засобів ( бони для проведення триатлону)</t>
  </si>
  <si>
    <t>Реконструкція та реставрація обєктів (коригування кошторисної частини)</t>
  </si>
  <si>
    <t>800</t>
  </si>
  <si>
    <t>до фінансового плану за 2021 рік</t>
  </si>
  <si>
    <t xml:space="preserve">             Всього:</t>
  </si>
  <si>
    <t>Комунальне підприємство  “ Водно - спортивний комбінат ” ДМР</t>
  </si>
  <si>
    <t>адм-</t>
  </si>
  <si>
    <t>з   01.01 2021 року.</t>
  </si>
  <si>
    <t>себ.</t>
  </si>
  <si>
    <t>месяц</t>
  </si>
  <si>
    <t>№ п/п</t>
  </si>
  <si>
    <t>Назва структурного підрозділу та посада</t>
  </si>
  <si>
    <t>Кількість штатних посад</t>
  </si>
  <si>
    <t>Посадовий оклад (грн.)</t>
  </si>
  <si>
    <t>Всего</t>
  </si>
  <si>
    <t>Доплата за нічні та святкові</t>
  </si>
  <si>
    <t>Доплата та надбавки за складність та напружність-50%</t>
  </si>
  <si>
    <t>Доплата за звання-20%-10%</t>
  </si>
  <si>
    <t>Доплата за  прибирання -10%</t>
  </si>
  <si>
    <t>Фонд заробітної плати на місяць (грн.)</t>
  </si>
  <si>
    <t>Фонд заробітної плати на рік  бюджет (грн.)</t>
  </si>
  <si>
    <t>Доплата до МЗП ,індекс.замена лікар.святков.</t>
  </si>
  <si>
    <t>Доплата до МЗП ,індекс.</t>
  </si>
  <si>
    <t>Фонд заробітної плати на рік бюджет           ( грн.)</t>
  </si>
  <si>
    <t>Доплата до с учетом квал.раб( премия -вл.кошти (грн)</t>
  </si>
  <si>
    <t>Грошова допом -вл.кошти (грн)</t>
  </si>
  <si>
    <t>Фонд заробітної плати на рік вл.кошти             ( грн.)</t>
  </si>
  <si>
    <t xml:space="preserve">Всего бюджет+вл.кошти </t>
  </si>
  <si>
    <t xml:space="preserve">Доплата до МЗП </t>
  </si>
  <si>
    <t>І квартал</t>
  </si>
  <si>
    <t>надбавка</t>
  </si>
  <si>
    <t>півріччя</t>
  </si>
  <si>
    <t>9 місяців</t>
  </si>
  <si>
    <t>рік</t>
  </si>
  <si>
    <t>усього</t>
  </si>
  <si>
    <t>средняя зп</t>
  </si>
  <si>
    <t>Директор</t>
  </si>
  <si>
    <t>Заступник директора по експлуатації та обслуговування спортивних споруд</t>
  </si>
  <si>
    <t>Заступник директора по реконструкції та розвитку спортивних споруд-начальник відділу капитального будівництва</t>
  </si>
  <si>
    <t>Головний бухгалтер</t>
  </si>
  <si>
    <t>Помічник керівника по забезпеченню по організації  спортивно-оздоровчих заходів</t>
  </si>
  <si>
    <t>Головний інженер</t>
  </si>
  <si>
    <t>Головний енергетик</t>
  </si>
  <si>
    <t>Начальник водної станціі</t>
  </si>
  <si>
    <t>Начальник дистанції</t>
  </si>
  <si>
    <t>Бухгалтер</t>
  </si>
  <si>
    <t>Провідний фахівець  зі спорту по роботі з населенням</t>
  </si>
  <si>
    <t>Провідний фахівець по налагодженню обладнання і обслуговуванню спортивних споруд</t>
  </si>
  <si>
    <t>Фахівець ІІ категорії</t>
  </si>
  <si>
    <t>Адміністратор системи</t>
  </si>
  <si>
    <t>Старший інспектор</t>
  </si>
  <si>
    <t>Електрогазозварник</t>
  </si>
  <si>
    <t>Робітник  з комплексного обслуговування й ремонту будинків</t>
  </si>
  <si>
    <t>Моторист</t>
  </si>
  <si>
    <t>Механік</t>
  </si>
  <si>
    <t>Водій автотранспортних засобів</t>
  </si>
  <si>
    <t>Прибиральник службових приміщень</t>
  </si>
  <si>
    <t>Сторож</t>
  </si>
  <si>
    <t xml:space="preserve">Двірник </t>
  </si>
  <si>
    <t>умнож на 12</t>
  </si>
  <si>
    <t>единая формула</t>
  </si>
  <si>
    <t>собівартість</t>
  </si>
  <si>
    <t>адміністративні</t>
  </si>
  <si>
    <t>фоп інвалідів с/с</t>
  </si>
  <si>
    <t>фоп інвалідів ауп</t>
  </si>
  <si>
    <t>ФОП</t>
  </si>
  <si>
    <t>ЄСВ</t>
  </si>
  <si>
    <t>для таб.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</si>
  <si>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</si>
  <si>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</si>
  <si>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</si>
  <si>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</si>
  <si>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</si>
  <si>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Придбання основних  засобів (стартові бони)</t>
  </si>
  <si>
    <t>796</t>
  </si>
  <si>
    <t>Стартові бони, кондиціоненри, компютер</t>
  </si>
</sst>
</file>

<file path=xl/styles.xml><?xml version="1.0" encoding="utf-8"?>
<styleSheet xmlns="http://schemas.openxmlformats.org/spreadsheetml/2006/main">
  <numFmts count="18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#,##0.000"/>
    <numFmt numFmtId="179" formatCode="0.000"/>
    <numFmt numFmtId="180" formatCode="_-* #,##0_₴_-;\-* #,##0_₴_-;_-* &quot;-&quot;??_₴_-;_-@_-"/>
  </numFmts>
  <fonts count="10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color rgb="FF00B0F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  <xf numFmtId="43" fontId="2" fillId="0" borderId="0" applyFont="0" applyFill="0" applyBorder="0" applyAlignment="0" applyProtection="0"/>
  </cellStyleXfs>
  <cellXfs count="52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8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69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1" borderId="0" xfId="0" applyNumberFormat="1" applyFont="1" applyFill="1" applyBorder="1" applyAlignment="1" applyProtection="1">
      <alignment horizontal="center"/>
      <protection locked="0"/>
    </xf>
    <xf numFmtId="169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69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8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" fontId="89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177" fontId="5" fillId="0" borderId="3" xfId="0" applyNumberFormat="1" applyFont="1" applyFill="1" applyBorder="1" applyAlignment="1" applyProtection="1">
      <alignment vertical="center" wrapText="1"/>
    </xf>
    <xf numFmtId="177" fontId="5" fillId="31" borderId="3" xfId="0" applyNumberFormat="1" applyFont="1" applyFill="1" applyBorder="1" applyAlignment="1" applyProtection="1">
      <alignment vertical="center" wrapText="1"/>
    </xf>
    <xf numFmtId="177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49" fontId="71" fillId="31" borderId="3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49" fontId="84" fillId="0" borderId="0" xfId="0" applyNumberFormat="1" applyFont="1" applyFill="1" applyAlignment="1">
      <alignment vertical="center"/>
    </xf>
    <xf numFmtId="177" fontId="5" fillId="0" borderId="3" xfId="0" applyNumberFormat="1" applyFont="1" applyFill="1" applyBorder="1" applyAlignment="1">
      <alignment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179" fontId="5" fillId="0" borderId="3" xfId="0" applyNumberFormat="1" applyFont="1" applyFill="1" applyBorder="1" applyAlignment="1" applyProtection="1">
      <alignment horizontal="center" vertical="center" wrapText="1"/>
    </xf>
    <xf numFmtId="1" fontId="5" fillId="0" borderId="0" xfId="245" applyNumberFormat="1" applyFont="1" applyFill="1" applyBorder="1" applyAlignment="1">
      <alignment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93" fillId="31" borderId="3" xfId="238" applyFont="1" applyFill="1" applyBorder="1" applyAlignment="1">
      <alignment wrapText="1"/>
    </xf>
    <xf numFmtId="0" fontId="93" fillId="31" borderId="3" xfId="238" applyFont="1" applyFill="1" applyBorder="1" applyAlignment="1">
      <alignment vertical="top" wrapText="1"/>
    </xf>
    <xf numFmtId="0" fontId="92" fillId="31" borderId="3" xfId="238" applyFont="1" applyFill="1" applyBorder="1" applyAlignment="1">
      <alignment horizontal="center"/>
    </xf>
    <xf numFmtId="0" fontId="94" fillId="31" borderId="3" xfId="238" applyFont="1" applyFill="1" applyBorder="1" applyAlignment="1">
      <alignment horizontal="center"/>
    </xf>
    <xf numFmtId="2" fontId="95" fillId="31" borderId="3" xfId="238" applyNumberFormat="1" applyFont="1" applyFill="1" applyBorder="1" applyAlignment="1">
      <alignment horizontal="center"/>
    </xf>
    <xf numFmtId="0" fontId="0" fillId="31" borderId="0" xfId="0" applyFill="1"/>
    <xf numFmtId="0" fontId="0" fillId="34" borderId="0" xfId="0" applyFill="1"/>
    <xf numFmtId="2" fontId="93" fillId="31" borderId="3" xfId="238" applyNumberFormat="1" applyFont="1" applyFill="1" applyBorder="1" applyAlignment="1">
      <alignment horizontal="center"/>
    </xf>
    <xf numFmtId="0" fontId="96" fillId="31" borderId="3" xfId="238" applyFont="1" applyFill="1" applyBorder="1" applyAlignment="1">
      <alignment horizontal="center" vertical="center" wrapText="1"/>
    </xf>
    <xf numFmtId="0" fontId="98" fillId="35" borderId="3" xfId="238" applyFont="1" applyFill="1" applyBorder="1" applyAlignment="1">
      <alignment horizontal="center" vertical="center" wrapText="1"/>
    </xf>
    <xf numFmtId="0" fontId="98" fillId="35" borderId="3" xfId="238" applyFont="1" applyFill="1" applyBorder="1" applyAlignment="1">
      <alignment vertical="top" wrapText="1"/>
    </xf>
    <xf numFmtId="1" fontId="98" fillId="35" borderId="3" xfId="238" applyNumberFormat="1" applyFont="1" applyFill="1" applyBorder="1" applyAlignment="1">
      <alignment horizontal="center" vertical="center" wrapText="1"/>
    </xf>
    <xf numFmtId="1" fontId="99" fillId="35" borderId="3" xfId="238" applyNumberFormat="1" applyFont="1" applyFill="1" applyBorder="1" applyAlignment="1">
      <alignment horizontal="center" vertical="center" wrapText="1"/>
    </xf>
    <xf numFmtId="1" fontId="100" fillId="35" borderId="3" xfId="238" applyNumberFormat="1" applyFont="1" applyFill="1" applyBorder="1" applyAlignment="1">
      <alignment horizontal="center" vertical="center" wrapText="1"/>
    </xf>
    <xf numFmtId="0" fontId="0" fillId="35" borderId="0" xfId="0" applyFill="1"/>
    <xf numFmtId="180" fontId="0" fillId="34" borderId="0" xfId="0" applyNumberFormat="1" applyFill="1"/>
    <xf numFmtId="0" fontId="98" fillId="35" borderId="3" xfId="238" applyFont="1" applyFill="1" applyBorder="1" applyAlignment="1">
      <alignment horizontal="left" vertical="center" wrapText="1"/>
    </xf>
    <xf numFmtId="0" fontId="98" fillId="35" borderId="3" xfId="238" applyFont="1" applyFill="1" applyBorder="1" applyAlignment="1">
      <alignment vertical="center" wrapText="1"/>
    </xf>
    <xf numFmtId="0" fontId="98" fillId="36" borderId="3" xfId="238" applyFont="1" applyFill="1" applyBorder="1" applyAlignment="1">
      <alignment vertical="center" wrapText="1"/>
    </xf>
    <xf numFmtId="0" fontId="98" fillId="31" borderId="3" xfId="238" applyFont="1" applyFill="1" applyBorder="1" applyAlignment="1">
      <alignment horizontal="center" vertical="center" wrapText="1"/>
    </xf>
    <xf numFmtId="0" fontId="98" fillId="31" borderId="3" xfId="238" applyFont="1" applyFill="1" applyBorder="1" applyAlignment="1">
      <alignment vertical="center" wrapText="1"/>
    </xf>
    <xf numFmtId="1" fontId="98" fillId="31" borderId="3" xfId="238" applyNumberFormat="1" applyFont="1" applyFill="1" applyBorder="1" applyAlignment="1">
      <alignment horizontal="center" vertical="center" wrapText="1"/>
    </xf>
    <xf numFmtId="1" fontId="99" fillId="31" borderId="3" xfId="238" applyNumberFormat="1" applyFont="1" applyFill="1" applyBorder="1" applyAlignment="1">
      <alignment horizontal="center" vertical="center" wrapText="1"/>
    </xf>
    <xf numFmtId="1" fontId="100" fillId="31" borderId="3" xfId="238" applyNumberFormat="1" applyFont="1" applyFill="1" applyBorder="1" applyAlignment="1">
      <alignment horizontal="center" vertical="center" wrapText="1"/>
    </xf>
    <xf numFmtId="0" fontId="0" fillId="30" borderId="0" xfId="0" applyFill="1"/>
    <xf numFmtId="180" fontId="101" fillId="30" borderId="0" xfId="0" applyNumberFormat="1" applyFont="1" applyFill="1"/>
    <xf numFmtId="0" fontId="93" fillId="31" borderId="3" xfId="238" applyFont="1" applyFill="1" applyBorder="1" applyAlignment="1">
      <alignment horizontal="center" vertical="top" wrapText="1"/>
    </xf>
    <xf numFmtId="0" fontId="93" fillId="31" borderId="3" xfId="238" applyFont="1" applyFill="1" applyBorder="1" applyAlignment="1">
      <alignment horizontal="center" vertical="center" wrapText="1"/>
    </xf>
    <xf numFmtId="1" fontId="102" fillId="31" borderId="3" xfId="238" applyNumberFormat="1" applyFont="1" applyFill="1" applyBorder="1" applyAlignment="1">
      <alignment horizontal="center" vertical="center" wrapText="1"/>
    </xf>
    <xf numFmtId="0" fontId="91" fillId="31" borderId="0" xfId="0" applyFont="1" applyFill="1"/>
    <xf numFmtId="180" fontId="0" fillId="31" borderId="0" xfId="0" applyNumberFormat="1" applyFill="1"/>
    <xf numFmtId="1" fontId="0" fillId="31" borderId="0" xfId="0" applyNumberFormat="1" applyFill="1"/>
    <xf numFmtId="0" fontId="103" fillId="31" borderId="0" xfId="0" applyFont="1" applyFill="1"/>
    <xf numFmtId="180" fontId="0" fillId="31" borderId="0" xfId="353" applyNumberFormat="1" applyFont="1" applyFill="1"/>
    <xf numFmtId="0" fontId="0" fillId="31" borderId="0" xfId="353" applyNumberFormat="1" applyFont="1" applyFill="1"/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177" fontId="5" fillId="31" borderId="14" xfId="0" applyNumberFormat="1" applyFont="1" applyFill="1" applyBorder="1" applyAlignment="1" applyProtection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7" fontId="90" fillId="0" borderId="14" xfId="0" applyNumberFormat="1" applyFont="1" applyFill="1" applyBorder="1" applyAlignment="1" applyProtection="1">
      <alignment horizontal="center" vertical="center" wrapText="1"/>
    </xf>
    <xf numFmtId="177" fontId="90" fillId="0" borderId="16" xfId="0" applyNumberFormat="1" applyFont="1" applyFill="1" applyBorder="1" applyAlignment="1" applyProtection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31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4" fillId="32" borderId="14" xfId="0" applyNumberFormat="1" applyFont="1" applyFill="1" applyBorder="1" applyAlignment="1">
      <alignment horizontal="left" vertical="center" wrapText="1"/>
    </xf>
    <xf numFmtId="3" fontId="4" fillId="32" borderId="15" xfId="0" applyNumberFormat="1" applyFont="1" applyFill="1" applyBorder="1" applyAlignment="1">
      <alignment horizontal="left" vertical="center" wrapText="1"/>
    </xf>
    <xf numFmtId="3" fontId="4" fillId="32" borderId="16" xfId="0" applyNumberFormat="1" applyFont="1" applyFill="1" applyBorder="1" applyAlignment="1">
      <alignment horizontal="left" vertical="center" wrapText="1"/>
    </xf>
    <xf numFmtId="49" fontId="5" fillId="31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49" fontId="5" fillId="31" borderId="14" xfId="0" applyNumberFormat="1" applyFont="1" applyFill="1" applyBorder="1" applyAlignment="1">
      <alignment horizontal="left" vertical="center" wrapText="1"/>
    </xf>
    <xf numFmtId="49" fontId="5" fillId="31" borderId="15" xfId="0" applyNumberFormat="1" applyFont="1" applyFill="1" applyBorder="1" applyAlignment="1">
      <alignment horizontal="left" vertical="center" wrapText="1"/>
    </xf>
    <xf numFmtId="49" fontId="5" fillId="31" borderId="16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6" fillId="31" borderId="3" xfId="238" applyFont="1" applyFill="1" applyBorder="1" applyAlignment="1">
      <alignment horizontal="center" vertical="center" wrapText="1"/>
    </xf>
    <xf numFmtId="0" fontId="92" fillId="31" borderId="0" xfId="238" applyFont="1" applyFill="1" applyBorder="1" applyAlignment="1">
      <alignment horizontal="center"/>
    </xf>
    <xf numFmtId="0" fontId="95" fillId="31" borderId="3" xfId="238" applyFont="1" applyFill="1" applyBorder="1" applyAlignment="1">
      <alignment horizontal="center" vertical="center" wrapText="1"/>
    </xf>
    <xf numFmtId="0" fontId="96" fillId="31" borderId="18" xfId="238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0" fontId="96" fillId="31" borderId="24" xfId="238" applyFont="1" applyFill="1" applyBorder="1" applyAlignment="1">
      <alignment horizontal="center" vertical="center" wrapText="1"/>
    </xf>
    <xf numFmtId="0" fontId="96" fillId="31" borderId="19" xfId="238" applyFont="1" applyFill="1" applyBorder="1" applyAlignment="1">
      <alignment horizontal="center" vertical="center" wrapText="1"/>
    </xf>
    <xf numFmtId="0" fontId="97" fillId="31" borderId="3" xfId="0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47"/>
  <sheetViews>
    <sheetView tabSelected="1" view="pageBreakPreview" zoomScale="75" zoomScaleNormal="75" zoomScaleSheetLayoutView="75" workbookViewId="0">
      <selection activeCell="C75" sqref="C75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5"/>
      <c r="B1" s="106"/>
      <c r="C1" s="232"/>
      <c r="D1" s="105"/>
      <c r="E1" s="105"/>
      <c r="F1" s="105"/>
      <c r="G1" s="232" t="s">
        <v>432</v>
      </c>
    </row>
    <row r="2" spans="1:8" ht="18.75" customHeight="1">
      <c r="A2" s="361"/>
      <c r="B2" s="361"/>
      <c r="C2" s="359" t="s">
        <v>450</v>
      </c>
      <c r="D2" s="359"/>
      <c r="E2" s="359"/>
      <c r="F2" s="359"/>
      <c r="G2" s="359"/>
      <c r="H2" s="359"/>
    </row>
    <row r="3" spans="1:8" ht="18.75" customHeight="1">
      <c r="A3" s="360"/>
      <c r="B3" s="360"/>
      <c r="C3" s="359"/>
      <c r="D3" s="359"/>
      <c r="E3" s="359"/>
      <c r="F3" s="359"/>
      <c r="G3" s="359"/>
      <c r="H3" s="359"/>
    </row>
    <row r="4" spans="1:8" ht="18.75" customHeight="1">
      <c r="A4" s="360"/>
      <c r="B4" s="360"/>
      <c r="C4" s="359"/>
      <c r="D4" s="359"/>
      <c r="E4" s="359"/>
      <c r="F4" s="359"/>
      <c r="G4" s="359"/>
      <c r="H4" s="359"/>
    </row>
    <row r="5" spans="1:8" ht="18.75" customHeight="1">
      <c r="A5" s="361"/>
      <c r="B5" s="361"/>
      <c r="C5" s="108"/>
      <c r="D5" s="364"/>
      <c r="E5" s="364"/>
      <c r="F5" s="205"/>
      <c r="G5" s="205"/>
    </row>
    <row r="6" spans="1:8" ht="19.5" customHeight="1">
      <c r="A6" s="109"/>
      <c r="B6" s="231"/>
      <c r="C6" s="110"/>
      <c r="D6" s="111"/>
      <c r="E6" s="188"/>
      <c r="F6" s="218" t="s">
        <v>455</v>
      </c>
      <c r="G6" s="113" t="s">
        <v>251</v>
      </c>
    </row>
    <row r="7" spans="1:8" ht="16.5" customHeight="1">
      <c r="A7" s="114" t="s">
        <v>14</v>
      </c>
      <c r="B7" s="341" t="s">
        <v>404</v>
      </c>
      <c r="C7" s="362"/>
      <c r="D7" s="362"/>
      <c r="E7" s="363"/>
      <c r="F7" s="168" t="s">
        <v>137</v>
      </c>
      <c r="G7" s="187" t="s">
        <v>399</v>
      </c>
    </row>
    <row r="8" spans="1:8" ht="17.25" customHeight="1">
      <c r="A8" s="114" t="s">
        <v>15</v>
      </c>
      <c r="B8" s="341" t="s">
        <v>448</v>
      </c>
      <c r="C8" s="362"/>
      <c r="D8" s="362"/>
      <c r="E8" s="363"/>
      <c r="F8" s="168" t="s">
        <v>136</v>
      </c>
      <c r="G8" s="169">
        <v>150</v>
      </c>
    </row>
    <row r="9" spans="1:8" ht="18.75" customHeight="1">
      <c r="A9" s="114" t="s">
        <v>19</v>
      </c>
      <c r="B9" s="341" t="s">
        <v>429</v>
      </c>
      <c r="C9" s="362"/>
      <c r="D9" s="362"/>
      <c r="E9" s="363"/>
      <c r="F9" s="168" t="s">
        <v>135</v>
      </c>
      <c r="G9" s="169">
        <v>1210136900</v>
      </c>
    </row>
    <row r="10" spans="1:8" ht="19.5" customHeight="1">
      <c r="A10" s="114" t="s">
        <v>351</v>
      </c>
      <c r="B10" s="343"/>
      <c r="C10" s="343"/>
      <c r="D10" s="343"/>
      <c r="E10" s="371"/>
      <c r="F10" s="168" t="s">
        <v>9</v>
      </c>
      <c r="G10" s="169"/>
    </row>
    <row r="11" spans="1:8" ht="18" customHeight="1">
      <c r="A11" s="114" t="s">
        <v>17</v>
      </c>
      <c r="B11" s="231"/>
      <c r="C11" s="110"/>
      <c r="D11" s="115"/>
      <c r="E11" s="116"/>
      <c r="F11" s="168" t="s">
        <v>8</v>
      </c>
      <c r="G11" s="169">
        <v>91700</v>
      </c>
    </row>
    <row r="12" spans="1:8" ht="21" customHeight="1">
      <c r="A12" s="114" t="s">
        <v>16</v>
      </c>
      <c r="B12" s="341" t="s">
        <v>401</v>
      </c>
      <c r="C12" s="362"/>
      <c r="D12" s="362"/>
      <c r="E12" s="363"/>
      <c r="F12" s="185" t="s">
        <v>10</v>
      </c>
      <c r="G12" s="169" t="s">
        <v>400</v>
      </c>
    </row>
    <row r="13" spans="1:8" ht="20.25" customHeight="1">
      <c r="A13" s="372" t="s">
        <v>352</v>
      </c>
      <c r="B13" s="343"/>
      <c r="C13" s="110"/>
      <c r="D13" s="343" t="s">
        <v>196</v>
      </c>
      <c r="E13" s="344"/>
      <c r="F13" s="345"/>
      <c r="G13" s="186"/>
    </row>
    <row r="14" spans="1:8" ht="18.75" customHeight="1">
      <c r="A14" s="114" t="s">
        <v>20</v>
      </c>
      <c r="B14" s="341" t="s">
        <v>449</v>
      </c>
      <c r="C14" s="342"/>
      <c r="D14" s="343" t="s">
        <v>197</v>
      </c>
      <c r="E14" s="344"/>
      <c r="F14" s="345"/>
      <c r="G14" s="186"/>
    </row>
    <row r="15" spans="1:8" ht="18" customHeight="1">
      <c r="A15" s="347" t="s">
        <v>402</v>
      </c>
      <c r="B15" s="341"/>
      <c r="C15" s="301" t="s">
        <v>462</v>
      </c>
      <c r="D15" s="115"/>
      <c r="E15" s="115"/>
      <c r="F15" s="115"/>
      <c r="G15" s="116"/>
    </row>
    <row r="16" spans="1:8" ht="18.75" customHeight="1">
      <c r="A16" s="114" t="s">
        <v>11</v>
      </c>
      <c r="B16" s="341" t="s">
        <v>430</v>
      </c>
      <c r="C16" s="341"/>
      <c r="D16" s="362"/>
      <c r="E16" s="111"/>
      <c r="F16" s="111"/>
      <c r="G16" s="112"/>
    </row>
    <row r="17" spans="1:7" ht="18" customHeight="1">
      <c r="A17" s="114" t="s">
        <v>12</v>
      </c>
      <c r="B17" s="341" t="s">
        <v>451</v>
      </c>
      <c r="C17" s="341"/>
      <c r="D17" s="362"/>
      <c r="E17" s="362"/>
      <c r="F17" s="115"/>
      <c r="G17" s="116"/>
    </row>
    <row r="18" spans="1:7" ht="21" customHeight="1">
      <c r="A18" s="114" t="s">
        <v>13</v>
      </c>
      <c r="B18" s="341" t="s">
        <v>403</v>
      </c>
      <c r="C18" s="342"/>
      <c r="D18" s="111"/>
      <c r="E18" s="111"/>
      <c r="F18" s="111"/>
      <c r="G18" s="112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48" t="s">
        <v>433</v>
      </c>
      <c r="B21" s="348"/>
      <c r="C21" s="348"/>
      <c r="D21" s="348"/>
      <c r="E21" s="348"/>
      <c r="F21" s="348"/>
      <c r="G21" s="348"/>
    </row>
    <row r="22" spans="1:7" ht="21" customHeight="1">
      <c r="A22" s="170"/>
      <c r="B22" s="368" t="s">
        <v>461</v>
      </c>
      <c r="C22" s="369"/>
      <c r="D22" s="370"/>
      <c r="E22" s="370"/>
      <c r="F22" s="170"/>
      <c r="G22" s="170"/>
    </row>
    <row r="23" spans="1:7">
      <c r="A23" s="348" t="s">
        <v>210</v>
      </c>
      <c r="B23" s="348"/>
      <c r="C23" s="348"/>
      <c r="D23" s="348"/>
      <c r="E23" s="348"/>
      <c r="F23" s="348"/>
      <c r="G23" s="348"/>
    </row>
    <row r="24" spans="1:7" ht="12" customHeight="1">
      <c r="A24" s="171"/>
      <c r="B24" s="172"/>
      <c r="C24" s="172"/>
      <c r="D24" s="172"/>
      <c r="E24" s="172"/>
      <c r="F24" s="172"/>
      <c r="G24" s="172"/>
    </row>
    <row r="25" spans="1:7" ht="41.25" customHeight="1">
      <c r="A25" s="350" t="s">
        <v>259</v>
      </c>
      <c r="B25" s="351" t="s">
        <v>18</v>
      </c>
      <c r="C25" s="352" t="s">
        <v>434</v>
      </c>
      <c r="D25" s="354" t="s">
        <v>435</v>
      </c>
      <c r="E25" s="355"/>
      <c r="F25" s="355"/>
      <c r="G25" s="356"/>
    </row>
    <row r="26" spans="1:7" ht="54.75" customHeight="1">
      <c r="A26" s="350"/>
      <c r="B26" s="351"/>
      <c r="C26" s="353"/>
      <c r="D26" s="233" t="s">
        <v>436</v>
      </c>
      <c r="E26" s="233" t="s">
        <v>447</v>
      </c>
      <c r="F26" s="233" t="s">
        <v>438</v>
      </c>
      <c r="G26" s="233" t="s">
        <v>439</v>
      </c>
    </row>
    <row r="27" spans="1:7" ht="20.100000000000001" customHeight="1">
      <c r="A27" s="93">
        <v>1</v>
      </c>
      <c r="B27" s="94">
        <v>2</v>
      </c>
      <c r="C27" s="94">
        <v>5</v>
      </c>
      <c r="D27" s="94">
        <v>7</v>
      </c>
      <c r="E27" s="94">
        <v>8</v>
      </c>
      <c r="F27" s="94">
        <v>9</v>
      </c>
      <c r="G27" s="94">
        <v>10</v>
      </c>
    </row>
    <row r="28" spans="1:7" ht="24.95" customHeight="1">
      <c r="A28" s="357" t="s">
        <v>103</v>
      </c>
      <c r="B28" s="357"/>
      <c r="C28" s="357"/>
      <c r="D28" s="357"/>
      <c r="E28" s="357"/>
      <c r="F28" s="357"/>
      <c r="G28" s="357"/>
    </row>
    <row r="29" spans="1:7" ht="37.5">
      <c r="A29" s="95" t="s">
        <v>211</v>
      </c>
      <c r="B29" s="93">
        <f>'I. Фін результат'!B7</f>
        <v>1000</v>
      </c>
      <c r="C29" s="173">
        <f>'I. Фін результат'!C7</f>
        <v>467</v>
      </c>
      <c r="D29" s="162">
        <f>'I. Фін результат'!D7</f>
        <v>1600</v>
      </c>
      <c r="E29" s="162">
        <f>'I. Фін результат'!E7</f>
        <v>1961</v>
      </c>
      <c r="F29" s="173">
        <f>D29-E29</f>
        <v>-361</v>
      </c>
      <c r="G29" s="173">
        <f>E29/D29%</f>
        <v>122.5625</v>
      </c>
    </row>
    <row r="30" spans="1:7" ht="37.5">
      <c r="A30" s="95" t="s">
        <v>179</v>
      </c>
      <c r="B30" s="93">
        <f>'I. Фін результат'!B9</f>
        <v>1010</v>
      </c>
      <c r="C30" s="173">
        <f>'I. Фін результат'!C9</f>
        <v>2324</v>
      </c>
      <c r="D30" s="162">
        <f>'I. Фін результат'!D9</f>
        <v>3371</v>
      </c>
      <c r="E30" s="162">
        <f>'I. Фін результат'!E9</f>
        <v>3553</v>
      </c>
      <c r="F30" s="173">
        <f t="shared" ref="F30:F42" si="0">D30-E30</f>
        <v>-182</v>
      </c>
      <c r="G30" s="173">
        <f t="shared" ref="G30:G42" si="1">E30/D30%</f>
        <v>105.3989913972115</v>
      </c>
    </row>
    <row r="31" spans="1:7" ht="20.100000000000001" customHeight="1">
      <c r="A31" s="97" t="s">
        <v>288</v>
      </c>
      <c r="B31" s="278">
        <f>'I. Фін результат'!B19</f>
        <v>1020</v>
      </c>
      <c r="C31" s="280">
        <f>'I. Фін результат'!C19</f>
        <v>-1857</v>
      </c>
      <c r="D31" s="281">
        <f>'I. Фін результат'!D19</f>
        <v>-1771</v>
      </c>
      <c r="E31" s="281">
        <f>'I. Фін результат'!E19</f>
        <v>-1592</v>
      </c>
      <c r="F31" s="282">
        <f t="shared" si="0"/>
        <v>-179</v>
      </c>
      <c r="G31" s="282">
        <f t="shared" si="1"/>
        <v>89.892715979672502</v>
      </c>
    </row>
    <row r="32" spans="1:7" ht="20.100000000000001" customHeight="1">
      <c r="A32" s="95" t="s">
        <v>145</v>
      </c>
      <c r="B32" s="93">
        <f>'I. Фін результат'!B24</f>
        <v>1040</v>
      </c>
      <c r="C32" s="173">
        <f>'I. Фін результат'!C24</f>
        <v>1349</v>
      </c>
      <c r="D32" s="162">
        <f>'I. Фін результат'!D24</f>
        <v>1494</v>
      </c>
      <c r="E32" s="162">
        <f>'I. Фін результат'!E24</f>
        <v>1514</v>
      </c>
      <c r="F32" s="173">
        <f t="shared" si="0"/>
        <v>-20</v>
      </c>
      <c r="G32" s="173">
        <f t="shared" si="1"/>
        <v>101.33868808567604</v>
      </c>
    </row>
    <row r="33" spans="1:7" ht="20.100000000000001" customHeight="1">
      <c r="A33" s="95" t="s">
        <v>142</v>
      </c>
      <c r="B33" s="93">
        <f>'I. Фін результат'!B49</f>
        <v>1070</v>
      </c>
      <c r="C33" s="173">
        <f>'I. Фін результат'!C49</f>
        <v>0</v>
      </c>
      <c r="D33" s="162">
        <f>'I. Фін результат'!D49</f>
        <v>0</v>
      </c>
      <c r="E33" s="162">
        <f>'I. Фін результат'!E49</f>
        <v>0</v>
      </c>
      <c r="F33" s="173">
        <f t="shared" si="0"/>
        <v>0</v>
      </c>
      <c r="G33" s="173">
        <v>0</v>
      </c>
    </row>
    <row r="34" spans="1:7" ht="20.100000000000001" customHeight="1">
      <c r="A34" s="95" t="s">
        <v>146</v>
      </c>
      <c r="B34" s="93">
        <f>'I. Фін результат'!B84</f>
        <v>1300</v>
      </c>
      <c r="C34" s="173">
        <f>'I. Фін результат'!C20-'I. Фін результат'!C56</f>
        <v>2965</v>
      </c>
      <c r="D34" s="162">
        <f>'I. Фін результат'!D20-'I. Фін результат'!D56</f>
        <v>3163</v>
      </c>
      <c r="E34" s="162">
        <f>'I. Фін результат'!E20-'I. Фін результат'!E56</f>
        <v>3359.7</v>
      </c>
      <c r="F34" s="173">
        <f t="shared" si="0"/>
        <v>-196.69999999999982</v>
      </c>
      <c r="G34" s="173">
        <f t="shared" si="1"/>
        <v>106.21877963958268</v>
      </c>
    </row>
    <row r="35" spans="1:7" ht="37.5">
      <c r="A35" s="98" t="s">
        <v>4</v>
      </c>
      <c r="B35" s="93">
        <f>'I. Фін результат'!B65</f>
        <v>1100</v>
      </c>
      <c r="C35" s="280">
        <f>'I. Фін результат'!C56</f>
        <v>22</v>
      </c>
      <c r="D35" s="281">
        <f>'I. Фін результат'!D56</f>
        <v>42</v>
      </c>
      <c r="E35" s="281">
        <f>'I. Фін результат'!E56</f>
        <v>42</v>
      </c>
      <c r="F35" s="282">
        <f t="shared" si="0"/>
        <v>0</v>
      </c>
      <c r="G35" s="282">
        <f t="shared" si="1"/>
        <v>100</v>
      </c>
    </row>
    <row r="36" spans="1:7" ht="20.100000000000001" customHeight="1">
      <c r="A36" s="98" t="s">
        <v>147</v>
      </c>
      <c r="B36" s="93">
        <f>'I. Фін результат'!B95</f>
        <v>1410</v>
      </c>
      <c r="C36" s="173">
        <f>'I. Фін результат'!C95</f>
        <v>-335</v>
      </c>
      <c r="D36" s="162">
        <f>'I. Фін результат'!D95</f>
        <v>75</v>
      </c>
      <c r="E36" s="162">
        <f>'I. Фін результат'!E95</f>
        <v>215.69999999999982</v>
      </c>
      <c r="F36" s="173">
        <f t="shared" si="0"/>
        <v>-140.69999999999982</v>
      </c>
      <c r="G36" s="173">
        <f t="shared" si="1"/>
        <v>287.59999999999974</v>
      </c>
    </row>
    <row r="37" spans="1:7" ht="20.100000000000001" customHeight="1">
      <c r="A37" s="99" t="s">
        <v>233</v>
      </c>
      <c r="B37" s="93">
        <f>' V. Коефіцієнти'!B8</f>
        <v>5010</v>
      </c>
      <c r="C37" s="290">
        <f>' V. Коефіцієнти'!F8</f>
        <v>-71.734475374732341</v>
      </c>
      <c r="D37" s="291">
        <f>' V. Коефіцієнти'!E8</f>
        <v>1.6</v>
      </c>
      <c r="E37" s="291">
        <f>' V. Коефіцієнти'!F8</f>
        <v>-71.734475374732341</v>
      </c>
      <c r="F37" s="173">
        <f t="shared" si="0"/>
        <v>73.334475374732335</v>
      </c>
      <c r="G37" s="173">
        <v>0</v>
      </c>
    </row>
    <row r="38" spans="1:7" ht="37.5">
      <c r="A38" s="99" t="s">
        <v>148</v>
      </c>
      <c r="B38" s="93">
        <f>'I. Фін результат'!B85</f>
        <v>1310</v>
      </c>
      <c r="C38" s="173" t="e">
        <f>'I. Фін результат'!G85</f>
        <v>#DIV/0!</v>
      </c>
      <c r="D38" s="162">
        <f>'I. Фін результат'!H85</f>
        <v>0</v>
      </c>
      <c r="E38" s="162">
        <f>'I. Фін результат'!I85</f>
        <v>0</v>
      </c>
      <c r="F38" s="173">
        <f t="shared" si="0"/>
        <v>0</v>
      </c>
      <c r="G38" s="173">
        <v>0</v>
      </c>
    </row>
    <row r="39" spans="1:7" ht="20.100000000000001" customHeight="1">
      <c r="A39" s="95" t="s">
        <v>238</v>
      </c>
      <c r="B39" s="93">
        <f>'I. Фін результат'!B86</f>
        <v>1320</v>
      </c>
      <c r="C39" s="173">
        <f>'I. Фін результат'!C70-'I. Фін результат'!C74</f>
        <v>254</v>
      </c>
      <c r="D39" s="162">
        <f>'I. Фін результат'!D70-'I. Фін результат'!D74</f>
        <v>122</v>
      </c>
      <c r="E39" s="162">
        <f>'I. Фін результат'!E71-'I. Фін результат'!E74</f>
        <v>234</v>
      </c>
      <c r="F39" s="173">
        <f t="shared" si="0"/>
        <v>-112</v>
      </c>
      <c r="G39" s="173">
        <v>0</v>
      </c>
    </row>
    <row r="40" spans="1:7" ht="37.5">
      <c r="A40" s="98" t="s">
        <v>101</v>
      </c>
      <c r="B40" s="278">
        <f>'I. Фін результат'!B76</f>
        <v>1170</v>
      </c>
      <c r="C40" s="280">
        <f>'I. Фін результат'!C76</f>
        <v>13</v>
      </c>
      <c r="D40" s="281">
        <f>'I. Фін результат'!D76</f>
        <v>20</v>
      </c>
      <c r="E40" s="281">
        <f>'I. Фін результат'!E76</f>
        <v>487.69999999999982</v>
      </c>
      <c r="F40" s="282">
        <f t="shared" si="0"/>
        <v>-467.69999999999982</v>
      </c>
      <c r="G40" s="282">
        <f t="shared" si="1"/>
        <v>2438.4999999999991</v>
      </c>
    </row>
    <row r="41" spans="1:7" ht="20.100000000000001" customHeight="1">
      <c r="A41" s="99" t="s">
        <v>143</v>
      </c>
      <c r="B41" s="93">
        <f>'I. Фін результат'!B77</f>
        <v>1180</v>
      </c>
      <c r="C41" s="173">
        <f>'I. Фін результат'!C77</f>
        <v>0</v>
      </c>
      <c r="D41" s="162">
        <f>'I. Фін результат'!D77</f>
        <v>0</v>
      </c>
      <c r="E41" s="162">
        <f>'I. Фін результат'!E77</f>
        <v>0</v>
      </c>
      <c r="F41" s="173">
        <f t="shared" si="0"/>
        <v>0</v>
      </c>
      <c r="G41" s="173">
        <v>0</v>
      </c>
    </row>
    <row r="42" spans="1:7" ht="20.100000000000001" customHeight="1">
      <c r="A42" s="98" t="s">
        <v>234</v>
      </c>
      <c r="B42" s="278">
        <f>'I. Фін результат'!B79</f>
        <v>1200</v>
      </c>
      <c r="C42" s="280">
        <f>'I. Фін результат'!C79</f>
        <v>13</v>
      </c>
      <c r="D42" s="281">
        <f>'I. Фін результат'!D79</f>
        <v>20</v>
      </c>
      <c r="E42" s="281">
        <f>'I. Фін результат'!E79</f>
        <v>487.69999999999982</v>
      </c>
      <c r="F42" s="282">
        <f t="shared" si="0"/>
        <v>-467.69999999999982</v>
      </c>
      <c r="G42" s="282">
        <f t="shared" si="1"/>
        <v>2438.4999999999991</v>
      </c>
    </row>
    <row r="43" spans="1:7" ht="20.100000000000001" customHeight="1">
      <c r="A43" s="99" t="s">
        <v>235</v>
      </c>
      <c r="B43" s="93">
        <f>' V. Коефіцієнти'!B11</f>
        <v>5040</v>
      </c>
      <c r="C43" s="290">
        <v>0</v>
      </c>
      <c r="D43" s="291">
        <f>' V. Коефіцієнти'!E11</f>
        <v>0.02</v>
      </c>
      <c r="E43" s="291">
        <f>' V. Коефіцієнти'!H11</f>
        <v>0</v>
      </c>
      <c r="F43" s="236">
        <v>0</v>
      </c>
      <c r="G43" s="236">
        <v>0</v>
      </c>
    </row>
    <row r="44" spans="1:7" ht="24.95" customHeight="1">
      <c r="A44" s="346" t="s">
        <v>160</v>
      </c>
      <c r="B44" s="346"/>
      <c r="C44" s="346"/>
      <c r="D44" s="346"/>
      <c r="E44" s="346"/>
      <c r="F44" s="346"/>
      <c r="G44" s="346"/>
    </row>
    <row r="45" spans="1:7" ht="20.100000000000001" customHeight="1">
      <c r="A45" s="100" t="s">
        <v>340</v>
      </c>
      <c r="B45" s="93">
        <f>'ІІ. Розр. з бюджетом'!B19</f>
        <v>2100</v>
      </c>
      <c r="C45" s="173">
        <f>'ІІ. Розр. з бюджетом'!C19</f>
        <v>0</v>
      </c>
      <c r="D45" s="162">
        <f>'ІІ. Розр. з бюджетом'!D19</f>
        <v>13</v>
      </c>
      <c r="E45" s="162">
        <f>'ІІ. Розр. з бюджетом'!E19</f>
        <v>264</v>
      </c>
      <c r="F45" s="173">
        <f>D45-E45</f>
        <v>-251</v>
      </c>
      <c r="G45" s="173">
        <v>0</v>
      </c>
    </row>
    <row r="46" spans="1:7" ht="20.100000000000001" customHeight="1">
      <c r="A46" s="101" t="s">
        <v>159</v>
      </c>
      <c r="B46" s="93">
        <f>'ІІ. Розр. з бюджетом'!B22</f>
        <v>2110</v>
      </c>
      <c r="C46" s="173">
        <f>'ІІ. Розр. з бюджетом'!C22</f>
        <v>0</v>
      </c>
      <c r="D46" s="162">
        <f>'ІІ. Розр. з бюджетом'!D22</f>
        <v>0</v>
      </c>
      <c r="E46" s="162">
        <f>'ІІ. Розр. з бюджетом'!E22</f>
        <v>0</v>
      </c>
      <c r="F46" s="173">
        <f t="shared" ref="F46:F50" si="2">D46-E46</f>
        <v>0</v>
      </c>
      <c r="G46" s="173">
        <v>0</v>
      </c>
    </row>
    <row r="47" spans="1:7" ht="56.25">
      <c r="A47" s="101" t="s">
        <v>336</v>
      </c>
      <c r="B47" s="93" t="s">
        <v>236</v>
      </c>
      <c r="C47" s="173">
        <f>'ІІ. Розр. з бюджетом'!C23</f>
        <v>0</v>
      </c>
      <c r="D47" s="162">
        <f>'ІІ. Розр. з бюджетом'!D23</f>
        <v>0</v>
      </c>
      <c r="E47" s="162">
        <f>'ІІ. Розр. з бюджетом'!E23</f>
        <v>15</v>
      </c>
      <c r="F47" s="173">
        <f t="shared" si="2"/>
        <v>-15</v>
      </c>
      <c r="G47" s="173" t="e">
        <f t="shared" ref="G47:G50" si="3">E47/D47%</f>
        <v>#DIV/0!</v>
      </c>
    </row>
    <row r="48" spans="1:7" ht="56.25">
      <c r="A48" s="100" t="s">
        <v>341</v>
      </c>
      <c r="B48" s="93">
        <f>'ІІ. Розр. з бюджетом'!B25</f>
        <v>2140</v>
      </c>
      <c r="C48" s="173">
        <f>'ІІ. Розр. з бюджетом'!C25</f>
        <v>478</v>
      </c>
      <c r="D48" s="162">
        <f>'ІІ. Розр. з бюджетом'!D25</f>
        <v>447</v>
      </c>
      <c r="E48" s="162">
        <f>'ІІ. Розр. з бюджетом'!E25</f>
        <v>447</v>
      </c>
      <c r="F48" s="173">
        <f t="shared" si="2"/>
        <v>0</v>
      </c>
      <c r="G48" s="173">
        <f t="shared" si="3"/>
        <v>100</v>
      </c>
    </row>
    <row r="49" spans="1:7" ht="39" customHeight="1">
      <c r="A49" s="100" t="s">
        <v>85</v>
      </c>
      <c r="B49" s="93">
        <f>'ІІ. Розр. з бюджетом'!B37</f>
        <v>2150</v>
      </c>
      <c r="C49" s="173">
        <f>'ІІ. Розр. з бюджетом'!C37</f>
        <v>505</v>
      </c>
      <c r="D49" s="162">
        <f>'ІІ. Розр. з бюджетом'!D37</f>
        <v>467</v>
      </c>
      <c r="E49" s="162">
        <f>'ІІ. Розр. з бюджетом'!E37</f>
        <v>467</v>
      </c>
      <c r="F49" s="173">
        <f t="shared" si="2"/>
        <v>0</v>
      </c>
      <c r="G49" s="173">
        <f t="shared" si="3"/>
        <v>100</v>
      </c>
    </row>
    <row r="50" spans="1:7" ht="20.100000000000001" customHeight="1">
      <c r="A50" s="102" t="s">
        <v>342</v>
      </c>
      <c r="B50" s="278">
        <f>'ІІ. Розр. з бюджетом'!B38</f>
        <v>2200</v>
      </c>
      <c r="C50" s="280">
        <f>'ІІ. Розр. з бюджетом'!C38</f>
        <v>863</v>
      </c>
      <c r="D50" s="281">
        <f>'ІІ. Розр. з бюджетом'!D38</f>
        <v>895</v>
      </c>
      <c r="E50" s="281">
        <f>'ІІ. Розр. з бюджетом'!E38</f>
        <v>1193</v>
      </c>
      <c r="F50" s="282">
        <f t="shared" si="2"/>
        <v>-298</v>
      </c>
      <c r="G50" s="282">
        <f t="shared" si="3"/>
        <v>133.29608938547486</v>
      </c>
    </row>
    <row r="51" spans="1:7" ht="24.95" customHeight="1">
      <c r="A51" s="346" t="s">
        <v>158</v>
      </c>
      <c r="B51" s="346"/>
      <c r="C51" s="346"/>
      <c r="D51" s="346"/>
      <c r="E51" s="346"/>
      <c r="F51" s="346"/>
      <c r="G51" s="346"/>
    </row>
    <row r="52" spans="1:7" ht="20.100000000000001" customHeight="1">
      <c r="A52" s="102" t="s">
        <v>149</v>
      </c>
      <c r="B52" s="93">
        <f>'ІІІ. Рух грош. коштів'!B78</f>
        <v>3600</v>
      </c>
      <c r="C52" s="173">
        <f>'ІІІ. Рух грош. коштів'!C78</f>
        <v>343</v>
      </c>
      <c r="D52" s="162">
        <f>'ІІІ. Рух грош. коштів'!D78</f>
        <v>647</v>
      </c>
      <c r="E52" s="162">
        <f>'ІІІ. Рух грош. коштів'!E78</f>
        <v>647</v>
      </c>
      <c r="F52" s="241">
        <f>D52-E52</f>
        <v>0</v>
      </c>
      <c r="G52" s="162">
        <f>E52/D52%</f>
        <v>100</v>
      </c>
    </row>
    <row r="53" spans="1:7" ht="37.5">
      <c r="A53" s="100" t="s">
        <v>150</v>
      </c>
      <c r="B53" s="93">
        <f>'ІІІ. Рух грош. коштів'!B28</f>
        <v>3090</v>
      </c>
      <c r="C53" s="173">
        <f>'ІІІ. Рух грош. коштів'!C28</f>
        <v>-178</v>
      </c>
      <c r="D53" s="162">
        <f>'ІІІ. Рух грош. коштів'!D28</f>
        <v>197</v>
      </c>
      <c r="E53" s="162">
        <f>'ІІІ. Рух грош. коштів'!E28</f>
        <v>1162.6999999999998</v>
      </c>
      <c r="F53" s="242">
        <f t="shared" ref="F53:F57" si="4">D53-E53</f>
        <v>-965.69999999999982</v>
      </c>
      <c r="G53" s="199">
        <f t="shared" ref="G53:G57" si="5">E53/D53%</f>
        <v>590.20304568527911</v>
      </c>
    </row>
    <row r="54" spans="1:7" ht="37.5">
      <c r="A54" s="100" t="s">
        <v>239</v>
      </c>
      <c r="B54" s="93">
        <f>'ІІІ. Рух грош. коштів'!B48</f>
        <v>3320</v>
      </c>
      <c r="C54" s="173">
        <f>'ІІІ. Рух грош. коштів'!C48</f>
        <v>-25</v>
      </c>
      <c r="D54" s="162">
        <f>'ІІІ. Рух грош. коштів'!D48</f>
        <v>-1136</v>
      </c>
      <c r="E54" s="162">
        <f>'ІІІ. Рух грош. коштів'!E48</f>
        <v>-1028</v>
      </c>
      <c r="F54" s="242">
        <f t="shared" si="4"/>
        <v>-108</v>
      </c>
      <c r="G54" s="199">
        <f t="shared" si="5"/>
        <v>90.492957746478879</v>
      </c>
    </row>
    <row r="55" spans="1:7" ht="37.5">
      <c r="A55" s="100" t="s">
        <v>151</v>
      </c>
      <c r="B55" s="93">
        <f>'ІІІ. Рух грош. коштів'!B76</f>
        <v>3580</v>
      </c>
      <c r="C55" s="173">
        <f>'ІІІ. Рух грош. коштів'!C76</f>
        <v>25</v>
      </c>
      <c r="D55" s="162">
        <f>'ІІІ. Рух грош. коштів'!D76</f>
        <v>987</v>
      </c>
      <c r="E55" s="162">
        <f>'ІІІ. Рух грош. коштів'!E76</f>
        <v>619</v>
      </c>
      <c r="F55" s="242">
        <f t="shared" si="4"/>
        <v>368</v>
      </c>
      <c r="G55" s="199">
        <f t="shared" si="5"/>
        <v>62.715298885511658</v>
      </c>
    </row>
    <row r="56" spans="1:7" ht="37.5">
      <c r="A56" s="100" t="s">
        <v>174</v>
      </c>
      <c r="B56" s="93">
        <f>'ІІІ. Рух грош. коштів'!B79</f>
        <v>3610</v>
      </c>
      <c r="C56" s="173">
        <v>0</v>
      </c>
      <c r="D56" s="162">
        <v>0</v>
      </c>
      <c r="E56" s="162">
        <v>0</v>
      </c>
      <c r="F56" s="242">
        <f t="shared" si="4"/>
        <v>0</v>
      </c>
      <c r="G56" s="199">
        <v>0</v>
      </c>
    </row>
    <row r="57" spans="1:7" ht="20.100000000000001" customHeight="1">
      <c r="A57" s="102" t="s">
        <v>152</v>
      </c>
      <c r="B57" s="278">
        <f>'ІІІ. Рух грош. коштів'!B80</f>
        <v>3620</v>
      </c>
      <c r="C57" s="280">
        <f>'ІІІ. Рух грош. коштів'!C80</f>
        <v>165</v>
      </c>
      <c r="D57" s="281">
        <f>'ІІІ. Рух грош. коштів'!D80</f>
        <v>695</v>
      </c>
      <c r="E57" s="281">
        <f>'ІІІ. Рух грош. коштів'!E80</f>
        <v>1400.6999999999998</v>
      </c>
      <c r="F57" s="283">
        <f t="shared" si="4"/>
        <v>-705.69999999999982</v>
      </c>
      <c r="G57" s="282">
        <f t="shared" si="5"/>
        <v>201.53956834532372</v>
      </c>
    </row>
    <row r="58" spans="1:7" ht="24.95" customHeight="1">
      <c r="A58" s="365" t="s">
        <v>218</v>
      </c>
      <c r="B58" s="366"/>
      <c r="C58" s="366"/>
      <c r="D58" s="366"/>
      <c r="E58" s="366"/>
      <c r="F58" s="366"/>
      <c r="G58" s="367"/>
    </row>
    <row r="59" spans="1:7" ht="20.100000000000001" customHeight="1">
      <c r="A59" s="100" t="s">
        <v>217</v>
      </c>
      <c r="B59" s="93">
        <f>'IV. Кап. інвестиції'!B6</f>
        <v>4000</v>
      </c>
      <c r="C59" s="173">
        <f>'IV. Кап. інвестиції'!C6</f>
        <v>0</v>
      </c>
      <c r="D59" s="162">
        <f>'IV. Кап. інвестиції'!D6</f>
        <v>970</v>
      </c>
      <c r="E59" s="162">
        <f>'IV. Кап. інвестиції'!E6</f>
        <v>857</v>
      </c>
      <c r="F59" s="173">
        <f>D59-E59</f>
        <v>113</v>
      </c>
      <c r="G59" s="173">
        <f>E59/D59%</f>
        <v>88.350515463917532</v>
      </c>
    </row>
    <row r="60" spans="1:7" ht="24.95" customHeight="1">
      <c r="A60" s="358" t="s">
        <v>221</v>
      </c>
      <c r="B60" s="358"/>
      <c r="C60" s="358"/>
      <c r="D60" s="358"/>
      <c r="E60" s="358"/>
      <c r="F60" s="358"/>
      <c r="G60" s="358"/>
    </row>
    <row r="61" spans="1:7" ht="20.100000000000001" customHeight="1">
      <c r="A61" s="100" t="s">
        <v>177</v>
      </c>
      <c r="B61" s="93">
        <f>' V. Коефіцієнти'!B9</f>
        <v>5020</v>
      </c>
      <c r="C61" s="290">
        <f>' V. Коефіцієнти'!F9</f>
        <v>3.0484230273185601E-4</v>
      </c>
      <c r="D61" s="299">
        <f>' V. Коефіцієнти'!E9</f>
        <v>3.0000000000000001E-3</v>
      </c>
      <c r="E61" s="290">
        <f>' V. Коефіцієнти'!F9</f>
        <v>3.0484230273185601E-4</v>
      </c>
      <c r="F61" s="96" t="s">
        <v>230</v>
      </c>
      <c r="G61" s="96" t="s">
        <v>230</v>
      </c>
    </row>
    <row r="62" spans="1:7" ht="37.5">
      <c r="A62" s="100" t="s">
        <v>173</v>
      </c>
      <c r="B62" s="93">
        <f>' V. Коефіцієнти'!B10</f>
        <v>5030</v>
      </c>
      <c r="C62" s="290">
        <f>' V. Коефіцієнти'!F10</f>
        <v>8.3014048531289911E-3</v>
      </c>
      <c r="D62" s="299">
        <f>' V. Коефіцієнти'!E10</f>
        <v>0.04</v>
      </c>
      <c r="E62" s="290">
        <f>' V. Коефіцієнти'!F10</f>
        <v>8.3014048531289911E-3</v>
      </c>
      <c r="F62" s="96" t="s">
        <v>230</v>
      </c>
      <c r="G62" s="96" t="s">
        <v>230</v>
      </c>
    </row>
    <row r="63" spans="1:7" ht="20.100000000000001" customHeight="1">
      <c r="A63" s="100" t="s">
        <v>237</v>
      </c>
      <c r="B63" s="93">
        <f>' V. Коефіцієнти'!B14</f>
        <v>5110</v>
      </c>
      <c r="C63" s="290">
        <f>' V. Коефіцієнти'!F14</f>
        <v>3.8123524113250727E-2</v>
      </c>
      <c r="D63" s="299">
        <f>' V. Коефіцієнти'!E14</f>
        <v>0.08</v>
      </c>
      <c r="E63" s="290">
        <f>' V. Коефіцієнти'!F14</f>
        <v>3.8123524113250727E-2</v>
      </c>
      <c r="F63" s="96" t="s">
        <v>230</v>
      </c>
      <c r="G63" s="96" t="s">
        <v>230</v>
      </c>
    </row>
    <row r="64" spans="1:7" ht="24.95" customHeight="1">
      <c r="A64" s="346" t="s">
        <v>220</v>
      </c>
      <c r="B64" s="346"/>
      <c r="C64" s="346"/>
      <c r="D64" s="346"/>
      <c r="E64" s="346"/>
      <c r="F64" s="346"/>
      <c r="G64" s="346"/>
    </row>
    <row r="65" spans="1:7" ht="20.100000000000001" customHeight="1">
      <c r="A65" s="100" t="s">
        <v>153</v>
      </c>
      <c r="B65" s="93">
        <v>6000</v>
      </c>
      <c r="C65" s="279">
        <v>40774</v>
      </c>
      <c r="D65" s="279">
        <v>15272</v>
      </c>
      <c r="E65" s="279">
        <v>40979</v>
      </c>
      <c r="F65" s="103" t="s">
        <v>230</v>
      </c>
      <c r="G65" s="103" t="s">
        <v>230</v>
      </c>
    </row>
    <row r="66" spans="1:7" ht="20.100000000000001" customHeight="1">
      <c r="A66" s="100" t="s">
        <v>154</v>
      </c>
      <c r="B66" s="93">
        <v>6010</v>
      </c>
      <c r="C66" s="279">
        <v>1871</v>
      </c>
      <c r="D66" s="279">
        <v>1909</v>
      </c>
      <c r="E66" s="279">
        <v>3183</v>
      </c>
      <c r="F66" s="103" t="s">
        <v>230</v>
      </c>
      <c r="G66" s="103" t="s">
        <v>230</v>
      </c>
    </row>
    <row r="67" spans="1:7" ht="37.5">
      <c r="A67" s="100" t="s">
        <v>260</v>
      </c>
      <c r="B67" s="93">
        <v>6020</v>
      </c>
      <c r="C67" s="279">
        <v>165</v>
      </c>
      <c r="D67" s="279">
        <v>487</v>
      </c>
      <c r="E67" s="279">
        <v>1401</v>
      </c>
      <c r="F67" s="103" t="s">
        <v>230</v>
      </c>
      <c r="G67" s="103" t="s">
        <v>230</v>
      </c>
    </row>
    <row r="68" spans="1:7" s="5" customFormat="1" ht="20.100000000000001" customHeight="1">
      <c r="A68" s="102" t="s">
        <v>264</v>
      </c>
      <c r="B68" s="93">
        <v>6030</v>
      </c>
      <c r="C68" s="279">
        <f>C65+C66</f>
        <v>42645</v>
      </c>
      <c r="D68" s="279">
        <f>D65+D66</f>
        <v>17181</v>
      </c>
      <c r="E68" s="279">
        <f>E65+E66</f>
        <v>44162</v>
      </c>
      <c r="F68" s="103" t="s">
        <v>230</v>
      </c>
      <c r="G68" s="103" t="s">
        <v>230</v>
      </c>
    </row>
    <row r="69" spans="1:7" ht="20.100000000000001" customHeight="1">
      <c r="A69" s="100" t="s">
        <v>175</v>
      </c>
      <c r="B69" s="93">
        <v>6040</v>
      </c>
      <c r="C69" s="279"/>
      <c r="D69" s="279">
        <v>11820</v>
      </c>
      <c r="E69" s="279"/>
      <c r="F69" s="103" t="s">
        <v>230</v>
      </c>
      <c r="G69" s="103" t="s">
        <v>230</v>
      </c>
    </row>
    <row r="70" spans="1:7" ht="18.75" customHeight="1">
      <c r="A70" s="100" t="s">
        <v>176</v>
      </c>
      <c r="B70" s="93">
        <v>6050</v>
      </c>
      <c r="C70" s="279">
        <v>41077</v>
      </c>
      <c r="D70" s="279">
        <v>4148</v>
      </c>
      <c r="E70" s="279">
        <v>41988</v>
      </c>
      <c r="F70" s="103" t="s">
        <v>230</v>
      </c>
      <c r="G70" s="103" t="s">
        <v>230</v>
      </c>
    </row>
    <row r="71" spans="1:7" s="5" customFormat="1">
      <c r="A71" s="102" t="s">
        <v>263</v>
      </c>
      <c r="B71" s="93">
        <v>6060</v>
      </c>
      <c r="C71" s="279">
        <f>SUM(C69:C70)</f>
        <v>41077</v>
      </c>
      <c r="D71" s="279">
        <f>D69+D70</f>
        <v>15968</v>
      </c>
      <c r="E71" s="279">
        <f>E69+E70</f>
        <v>41988</v>
      </c>
      <c r="F71" s="103" t="s">
        <v>230</v>
      </c>
      <c r="G71" s="103" t="s">
        <v>230</v>
      </c>
    </row>
    <row r="72" spans="1:7" ht="16.5" customHeight="1">
      <c r="A72" s="100" t="s">
        <v>261</v>
      </c>
      <c r="B72" s="93">
        <v>6070</v>
      </c>
      <c r="C72" s="279">
        <v>0</v>
      </c>
      <c r="D72" s="279"/>
      <c r="E72" s="279">
        <v>0</v>
      </c>
      <c r="F72" s="103" t="s">
        <v>230</v>
      </c>
      <c r="G72" s="103" t="s">
        <v>230</v>
      </c>
    </row>
    <row r="73" spans="1:7" ht="20.100000000000001" customHeight="1">
      <c r="A73" s="100" t="s">
        <v>262</v>
      </c>
      <c r="B73" s="93">
        <v>6080</v>
      </c>
      <c r="C73" s="279">
        <v>0</v>
      </c>
      <c r="D73" s="279"/>
      <c r="E73" s="279">
        <v>0</v>
      </c>
      <c r="F73" s="103" t="s">
        <v>230</v>
      </c>
      <c r="G73" s="103" t="s">
        <v>230</v>
      </c>
    </row>
    <row r="74" spans="1:7" s="5" customFormat="1" ht="20.100000000000001" customHeight="1">
      <c r="A74" s="102" t="s">
        <v>155</v>
      </c>
      <c r="B74" s="93">
        <v>6090</v>
      </c>
      <c r="C74" s="279">
        <v>1566</v>
      </c>
      <c r="D74" s="279">
        <v>1213</v>
      </c>
      <c r="E74" s="279">
        <v>2163</v>
      </c>
      <c r="F74" s="103" t="s">
        <v>230</v>
      </c>
      <c r="G74" s="103" t="s">
        <v>230</v>
      </c>
    </row>
    <row r="75" spans="1:7" s="5" customFormat="1" ht="24.95" customHeight="1">
      <c r="A75" s="174"/>
      <c r="B75" s="175"/>
      <c r="C75" s="176"/>
      <c r="D75" s="177"/>
      <c r="E75" s="177"/>
      <c r="F75" s="177"/>
      <c r="G75" s="177"/>
    </row>
    <row r="76" spans="1:7" ht="24.95" customHeight="1">
      <c r="A76" s="178"/>
      <c r="B76" s="175"/>
      <c r="C76" s="179"/>
      <c r="D76" s="179"/>
      <c r="E76" s="179"/>
      <c r="F76" s="179"/>
      <c r="G76" s="179"/>
    </row>
    <row r="77" spans="1:7" ht="26.25" customHeight="1">
      <c r="A77" s="180" t="s">
        <v>375</v>
      </c>
      <c r="B77" s="181"/>
      <c r="C77" s="182"/>
      <c r="D77" s="349" t="s">
        <v>374</v>
      </c>
      <c r="E77" s="349"/>
      <c r="F77" s="349"/>
      <c r="G77" s="171"/>
    </row>
    <row r="78" spans="1:7" s="1" customFormat="1" ht="21" customHeight="1">
      <c r="A78" s="183" t="s">
        <v>353</v>
      </c>
      <c r="B78" s="171"/>
      <c r="C78" s="172"/>
      <c r="D78" s="340" t="s">
        <v>108</v>
      </c>
      <c r="E78" s="340"/>
      <c r="F78" s="340"/>
      <c r="G78" s="184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A51:G51"/>
    <mergeCell ref="A58:G58"/>
    <mergeCell ref="B22:E22"/>
    <mergeCell ref="B10:E10"/>
    <mergeCell ref="A13:B13"/>
    <mergeCell ref="D13:F13"/>
    <mergeCell ref="B17:E17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335"/>
  <sheetViews>
    <sheetView view="pageBreakPreview" zoomScale="90" zoomScaleNormal="65" zoomScaleSheetLayoutView="90" workbookViewId="0">
      <selection activeCell="H88" sqref="H88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3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73" t="s">
        <v>347</v>
      </c>
      <c r="B1" s="373"/>
      <c r="C1" s="373"/>
      <c r="D1" s="373"/>
      <c r="E1" s="373"/>
      <c r="F1" s="373"/>
      <c r="G1" s="373"/>
      <c r="H1" s="373"/>
    </row>
    <row r="2" spans="1:8">
      <c r="A2" s="41"/>
      <c r="B2" s="52"/>
      <c r="C2" s="243"/>
      <c r="D2" s="41"/>
      <c r="E2" s="41"/>
      <c r="F2" s="41"/>
      <c r="G2" s="41"/>
    </row>
    <row r="3" spans="1:8" ht="60" customHeight="1">
      <c r="A3" s="379" t="s">
        <v>259</v>
      </c>
      <c r="B3" s="378" t="s">
        <v>18</v>
      </c>
      <c r="C3" s="381" t="s">
        <v>434</v>
      </c>
      <c r="D3" s="378" t="s">
        <v>435</v>
      </c>
      <c r="E3" s="378"/>
      <c r="F3" s="378"/>
      <c r="G3" s="378"/>
      <c r="H3" s="219" t="s">
        <v>240</v>
      </c>
    </row>
    <row r="4" spans="1:8" ht="37.5" customHeight="1">
      <c r="A4" s="379"/>
      <c r="B4" s="378"/>
      <c r="C4" s="381"/>
      <c r="D4" s="227" t="s">
        <v>436</v>
      </c>
      <c r="E4" s="227" t="s">
        <v>437</v>
      </c>
      <c r="F4" s="227" t="s">
        <v>438</v>
      </c>
      <c r="G4" s="227" t="s">
        <v>439</v>
      </c>
      <c r="H4" s="219"/>
    </row>
    <row r="5" spans="1:8" ht="20.25" customHeight="1">
      <c r="A5" s="6">
        <v>1</v>
      </c>
      <c r="B5" s="7">
        <v>2</v>
      </c>
      <c r="C5" s="244">
        <v>5</v>
      </c>
      <c r="D5" s="7">
        <v>6</v>
      </c>
      <c r="E5" s="7">
        <v>7</v>
      </c>
      <c r="F5" s="7">
        <v>8</v>
      </c>
      <c r="G5" s="7">
        <v>9</v>
      </c>
      <c r="H5" s="219">
        <v>10</v>
      </c>
    </row>
    <row r="6" spans="1:8" s="5" customFormat="1" ht="20.100000000000001" customHeight="1">
      <c r="A6" s="375" t="s">
        <v>265</v>
      </c>
      <c r="B6" s="376"/>
      <c r="C6" s="376"/>
      <c r="D6" s="376"/>
      <c r="E6" s="376"/>
      <c r="F6" s="376"/>
      <c r="G6" s="376"/>
      <c r="H6" s="377"/>
    </row>
    <row r="7" spans="1:8" s="5" customFormat="1" ht="42" customHeight="1">
      <c r="A7" s="141" t="s">
        <v>113</v>
      </c>
      <c r="B7" s="11">
        <v>1000</v>
      </c>
      <c r="C7" s="240">
        <f>C8</f>
        <v>467</v>
      </c>
      <c r="D7" s="235">
        <f t="shared" ref="D7" si="0">D8</f>
        <v>1600</v>
      </c>
      <c r="E7" s="235">
        <f>E8</f>
        <v>1961</v>
      </c>
      <c r="F7" s="235">
        <f>D7-E7</f>
        <v>-361</v>
      </c>
      <c r="G7" s="235">
        <f>E7/D7%</f>
        <v>122.5625</v>
      </c>
      <c r="H7" s="126"/>
    </row>
    <row r="8" spans="1:8" s="5" customFormat="1" ht="19.5" customHeight="1">
      <c r="A8" s="71" t="s">
        <v>379</v>
      </c>
      <c r="B8" s="6" t="s">
        <v>355</v>
      </c>
      <c r="C8" s="200">
        <v>467</v>
      </c>
      <c r="D8" s="150">
        <v>1600</v>
      </c>
      <c r="E8" s="150">
        <v>1961</v>
      </c>
      <c r="F8" s="200">
        <f t="shared" ref="F8:F65" si="1">D8-E8</f>
        <v>-361</v>
      </c>
      <c r="G8" s="200">
        <f t="shared" ref="G8:G65" si="2">E8/D8%</f>
        <v>122.5625</v>
      </c>
      <c r="H8" s="126"/>
    </row>
    <row r="9" spans="1:8" ht="40.5" customHeight="1">
      <c r="A9" s="141" t="s">
        <v>131</v>
      </c>
      <c r="B9" s="11">
        <v>1010</v>
      </c>
      <c r="C9" s="234">
        <f t="shared" ref="C9:E9" si="3">SUM(C10:C17)</f>
        <v>2324</v>
      </c>
      <c r="D9" s="152">
        <f t="shared" si="3"/>
        <v>3371</v>
      </c>
      <c r="E9" s="152">
        <f t="shared" si="3"/>
        <v>3553</v>
      </c>
      <c r="F9" s="235">
        <f t="shared" si="1"/>
        <v>-182</v>
      </c>
      <c r="G9" s="235">
        <f t="shared" si="2"/>
        <v>105.3989913972115</v>
      </c>
      <c r="H9" s="220"/>
    </row>
    <row r="10" spans="1:8" s="1" customFormat="1" ht="20.100000000000001" customHeight="1">
      <c r="A10" s="71" t="s">
        <v>289</v>
      </c>
      <c r="B10" s="7">
        <v>1011</v>
      </c>
      <c r="C10" s="200"/>
      <c r="D10" s="153"/>
      <c r="E10" s="153"/>
      <c r="F10" s="200"/>
      <c r="G10" s="200"/>
      <c r="H10" s="220"/>
    </row>
    <row r="11" spans="1:8" s="1" customFormat="1" ht="20.100000000000001" customHeight="1">
      <c r="A11" s="71" t="s">
        <v>67</v>
      </c>
      <c r="B11" s="7">
        <v>1012</v>
      </c>
      <c r="C11" s="200">
        <v>54</v>
      </c>
      <c r="D11" s="200">
        <v>111</v>
      </c>
      <c r="E11" s="200">
        <v>111</v>
      </c>
      <c r="F11" s="200">
        <f t="shared" si="1"/>
        <v>0</v>
      </c>
      <c r="G11" s="200">
        <f t="shared" si="2"/>
        <v>99.999999999999986</v>
      </c>
      <c r="H11" s="220"/>
    </row>
    <row r="12" spans="1:8" s="1" customFormat="1" ht="20.100000000000001" customHeight="1">
      <c r="A12" s="71" t="s">
        <v>66</v>
      </c>
      <c r="B12" s="7">
        <v>1013</v>
      </c>
      <c r="C12" s="200">
        <v>366</v>
      </c>
      <c r="D12" s="150">
        <v>638</v>
      </c>
      <c r="E12" s="150">
        <v>331</v>
      </c>
      <c r="F12" s="200">
        <f t="shared" si="1"/>
        <v>307</v>
      </c>
      <c r="G12" s="200">
        <f t="shared" si="2"/>
        <v>51.880877742946709</v>
      </c>
      <c r="H12" s="220"/>
    </row>
    <row r="13" spans="1:8" s="1" customFormat="1" ht="20.100000000000001" customHeight="1">
      <c r="A13" s="71" t="s">
        <v>41</v>
      </c>
      <c r="B13" s="7">
        <v>1014</v>
      </c>
      <c r="C13" s="200">
        <v>1419</v>
      </c>
      <c r="D13" s="150">
        <v>1242</v>
      </c>
      <c r="E13" s="150">
        <v>1242</v>
      </c>
      <c r="F13" s="200">
        <f t="shared" si="1"/>
        <v>0</v>
      </c>
      <c r="G13" s="200">
        <f t="shared" si="2"/>
        <v>100</v>
      </c>
      <c r="H13" s="220"/>
    </row>
    <row r="14" spans="1:8" s="1" customFormat="1" ht="20.100000000000001" customHeight="1">
      <c r="A14" s="71" t="s">
        <v>42</v>
      </c>
      <c r="B14" s="7">
        <v>1015</v>
      </c>
      <c r="C14" s="200">
        <v>305</v>
      </c>
      <c r="D14" s="150">
        <v>264</v>
      </c>
      <c r="E14" s="150">
        <v>264</v>
      </c>
      <c r="F14" s="200">
        <f t="shared" si="1"/>
        <v>0</v>
      </c>
      <c r="G14" s="200">
        <f t="shared" si="2"/>
        <v>100</v>
      </c>
      <c r="H14" s="220"/>
    </row>
    <row r="15" spans="1:8" s="1" customFormat="1" ht="36.75" customHeight="1">
      <c r="A15" s="71" t="s">
        <v>252</v>
      </c>
      <c r="B15" s="7">
        <v>1016</v>
      </c>
      <c r="C15" s="200"/>
      <c r="D15" s="150">
        <v>866</v>
      </c>
      <c r="E15" s="150">
        <v>1377</v>
      </c>
      <c r="F15" s="200">
        <f t="shared" si="1"/>
        <v>-511</v>
      </c>
      <c r="G15" s="200">
        <f t="shared" si="2"/>
        <v>159.0069284064665</v>
      </c>
      <c r="H15" s="220"/>
    </row>
    <row r="16" spans="1:8" s="1" customFormat="1" ht="37.5">
      <c r="A16" s="71" t="s">
        <v>65</v>
      </c>
      <c r="B16" s="7">
        <v>1017</v>
      </c>
      <c r="C16" s="200">
        <v>160</v>
      </c>
      <c r="D16" s="150">
        <v>160</v>
      </c>
      <c r="E16" s="150">
        <v>146</v>
      </c>
      <c r="F16" s="200">
        <f t="shared" si="1"/>
        <v>14</v>
      </c>
      <c r="G16" s="200">
        <f t="shared" si="2"/>
        <v>91.25</v>
      </c>
      <c r="H16" s="220"/>
    </row>
    <row r="17" spans="1:8" s="1" customFormat="1" ht="20.100000000000001" customHeight="1">
      <c r="A17" s="71" t="s">
        <v>129</v>
      </c>
      <c r="B17" s="7">
        <v>1018</v>
      </c>
      <c r="C17" s="200">
        <v>20</v>
      </c>
      <c r="D17" s="150">
        <v>90</v>
      </c>
      <c r="E17" s="150">
        <v>82</v>
      </c>
      <c r="F17" s="200">
        <f t="shared" si="1"/>
        <v>8</v>
      </c>
      <c r="G17" s="200">
        <f t="shared" si="2"/>
        <v>91.111111111111114</v>
      </c>
      <c r="H17" s="220"/>
    </row>
    <row r="18" spans="1:8" s="1" customFormat="1" ht="20.100000000000001" customHeight="1">
      <c r="A18" s="71" t="s">
        <v>380</v>
      </c>
      <c r="B18" s="7" t="s">
        <v>358</v>
      </c>
      <c r="C18" s="200">
        <v>20</v>
      </c>
      <c r="D18" s="150">
        <v>90</v>
      </c>
      <c r="E18" s="150">
        <v>82</v>
      </c>
      <c r="F18" s="200">
        <f t="shared" si="1"/>
        <v>8</v>
      </c>
      <c r="G18" s="200">
        <f t="shared" si="2"/>
        <v>91.111111111111114</v>
      </c>
      <c r="H18" s="220"/>
    </row>
    <row r="19" spans="1:8" s="5" customFormat="1" ht="20.100000000000001" customHeight="1">
      <c r="A19" s="141" t="s">
        <v>23</v>
      </c>
      <c r="B19" s="11">
        <v>1020</v>
      </c>
      <c r="C19" s="234">
        <f>C7-C9</f>
        <v>-1857</v>
      </c>
      <c r="D19" s="152">
        <f>D7-D9</f>
        <v>-1771</v>
      </c>
      <c r="E19" s="152">
        <f>E7-E9</f>
        <v>-1592</v>
      </c>
      <c r="F19" s="235">
        <f t="shared" si="1"/>
        <v>-179</v>
      </c>
      <c r="G19" s="235">
        <f t="shared" si="2"/>
        <v>89.892715979672502</v>
      </c>
      <c r="H19" s="126"/>
    </row>
    <row r="20" spans="1:8" ht="37.5">
      <c r="A20" s="71" t="s">
        <v>223</v>
      </c>
      <c r="B20" s="9">
        <v>1030</v>
      </c>
      <c r="C20" s="200">
        <v>2987</v>
      </c>
      <c r="D20" s="150">
        <v>3205</v>
      </c>
      <c r="E20" s="150">
        <v>3401.7</v>
      </c>
      <c r="F20" s="200">
        <f t="shared" si="1"/>
        <v>-196.69999999999982</v>
      </c>
      <c r="G20" s="200">
        <f t="shared" si="2"/>
        <v>106.13728549141966</v>
      </c>
      <c r="H20" s="220"/>
    </row>
    <row r="21" spans="1:8">
      <c r="A21" s="71" t="s">
        <v>359</v>
      </c>
      <c r="B21" s="6" t="s">
        <v>360</v>
      </c>
      <c r="C21" s="200"/>
      <c r="D21" s="150"/>
      <c r="E21" s="150"/>
      <c r="F21" s="200">
        <f t="shared" si="1"/>
        <v>0</v>
      </c>
      <c r="G21" s="200">
        <v>0</v>
      </c>
      <c r="H21" s="220"/>
    </row>
    <row r="22" spans="1:8">
      <c r="A22" s="201" t="s">
        <v>364</v>
      </c>
      <c r="B22" s="6" t="s">
        <v>363</v>
      </c>
      <c r="C22" s="200">
        <v>2987</v>
      </c>
      <c r="D22" s="200">
        <v>3205</v>
      </c>
      <c r="E22" s="200">
        <v>3402</v>
      </c>
      <c r="F22" s="200">
        <f t="shared" si="1"/>
        <v>-197</v>
      </c>
      <c r="G22" s="200">
        <f t="shared" si="2"/>
        <v>106.14664586583464</v>
      </c>
      <c r="H22" s="220"/>
    </row>
    <row r="23" spans="1:8" ht="20.100000000000001" customHeight="1">
      <c r="A23" s="71" t="s">
        <v>224</v>
      </c>
      <c r="B23" s="9">
        <v>1031</v>
      </c>
      <c r="C23" s="200"/>
      <c r="D23" s="153"/>
      <c r="E23" s="153"/>
      <c r="F23" s="200">
        <f t="shared" si="1"/>
        <v>0</v>
      </c>
      <c r="G23" s="200">
        <v>0</v>
      </c>
      <c r="H23" s="220"/>
    </row>
    <row r="24" spans="1:8" s="228" customFormat="1" ht="20.100000000000001" customHeight="1">
      <c r="A24" s="141" t="s">
        <v>231</v>
      </c>
      <c r="B24" s="11">
        <v>1040</v>
      </c>
      <c r="C24" s="234">
        <f t="shared" ref="C24:E24" si="4">SUM(C25:C46)</f>
        <v>1349</v>
      </c>
      <c r="D24" s="152">
        <f t="shared" si="4"/>
        <v>1494</v>
      </c>
      <c r="E24" s="152">
        <f t="shared" si="4"/>
        <v>1514</v>
      </c>
      <c r="F24" s="235">
        <f t="shared" si="1"/>
        <v>-20</v>
      </c>
      <c r="G24" s="235">
        <f t="shared" si="2"/>
        <v>101.33868808567604</v>
      </c>
      <c r="H24" s="126"/>
    </row>
    <row r="25" spans="1:8" ht="37.5">
      <c r="A25" s="71" t="s">
        <v>112</v>
      </c>
      <c r="B25" s="9">
        <v>1041</v>
      </c>
      <c r="C25" s="200">
        <v>63</v>
      </c>
      <c r="D25" s="200">
        <v>128</v>
      </c>
      <c r="E25" s="200">
        <v>128</v>
      </c>
      <c r="F25" s="200">
        <f t="shared" si="1"/>
        <v>0</v>
      </c>
      <c r="G25" s="200">
        <f t="shared" si="2"/>
        <v>100</v>
      </c>
      <c r="H25" s="220"/>
    </row>
    <row r="26" spans="1:8" ht="20.100000000000001" customHeight="1">
      <c r="A26" s="71" t="s">
        <v>213</v>
      </c>
      <c r="B26" s="9">
        <v>1042</v>
      </c>
      <c r="C26" s="200"/>
      <c r="D26" s="150"/>
      <c r="E26" s="150"/>
      <c r="F26" s="200"/>
      <c r="G26" s="200"/>
      <c r="H26" s="220"/>
    </row>
    <row r="27" spans="1:8" ht="20.100000000000001" customHeight="1">
      <c r="A27" s="71" t="s">
        <v>64</v>
      </c>
      <c r="B27" s="9">
        <v>1043</v>
      </c>
      <c r="C27" s="200"/>
      <c r="D27" s="150"/>
      <c r="E27" s="150"/>
      <c r="F27" s="200"/>
      <c r="G27" s="200"/>
      <c r="H27" s="220"/>
    </row>
    <row r="28" spans="1:8" ht="20.100000000000001" customHeight="1">
      <c r="A28" s="71" t="s">
        <v>21</v>
      </c>
      <c r="B28" s="9">
        <v>1044</v>
      </c>
      <c r="C28" s="200"/>
      <c r="D28" s="150"/>
      <c r="E28" s="150"/>
      <c r="F28" s="200"/>
      <c r="G28" s="200"/>
      <c r="H28" s="220"/>
    </row>
    <row r="29" spans="1:8" ht="20.100000000000001" customHeight="1">
      <c r="A29" s="71" t="s">
        <v>22</v>
      </c>
      <c r="B29" s="9">
        <v>1045</v>
      </c>
      <c r="C29" s="200"/>
      <c r="D29" s="150"/>
      <c r="E29" s="150"/>
      <c r="F29" s="200"/>
      <c r="G29" s="200"/>
      <c r="H29" s="220"/>
    </row>
    <row r="30" spans="1:8" s="1" customFormat="1" ht="20.100000000000001" customHeight="1">
      <c r="A30" s="71" t="s">
        <v>39</v>
      </c>
      <c r="B30" s="9">
        <v>1046</v>
      </c>
      <c r="C30" s="200"/>
      <c r="D30" s="150">
        <v>20</v>
      </c>
      <c r="E30" s="150">
        <v>20</v>
      </c>
      <c r="F30" s="200">
        <f t="shared" si="1"/>
        <v>0</v>
      </c>
      <c r="G30" s="200">
        <f t="shared" si="2"/>
        <v>100</v>
      </c>
      <c r="H30" s="220"/>
    </row>
    <row r="31" spans="1:8" s="1" customFormat="1" ht="20.100000000000001" customHeight="1">
      <c r="A31" s="71" t="s">
        <v>40</v>
      </c>
      <c r="B31" s="9">
        <v>1047</v>
      </c>
      <c r="C31" s="200">
        <v>3</v>
      </c>
      <c r="D31" s="150">
        <v>3</v>
      </c>
      <c r="E31" s="150">
        <v>3</v>
      </c>
      <c r="F31" s="200">
        <f t="shared" si="1"/>
        <v>0</v>
      </c>
      <c r="G31" s="200">
        <f t="shared" si="2"/>
        <v>100</v>
      </c>
      <c r="H31" s="220"/>
    </row>
    <row r="32" spans="1:8" s="1" customFormat="1" ht="20.100000000000001" customHeight="1">
      <c r="A32" s="71" t="s">
        <v>41</v>
      </c>
      <c r="B32" s="9">
        <v>1048</v>
      </c>
      <c r="C32" s="200">
        <v>1030</v>
      </c>
      <c r="D32" s="150">
        <v>1054</v>
      </c>
      <c r="E32" s="150">
        <v>1054</v>
      </c>
      <c r="F32" s="200">
        <f t="shared" si="1"/>
        <v>0</v>
      </c>
      <c r="G32" s="200">
        <f t="shared" si="2"/>
        <v>100.00000000000001</v>
      </c>
      <c r="H32" s="220"/>
    </row>
    <row r="33" spans="1:8" s="1" customFormat="1" ht="20.100000000000001" customHeight="1">
      <c r="A33" s="71" t="s">
        <v>42</v>
      </c>
      <c r="B33" s="9">
        <v>1049</v>
      </c>
      <c r="C33" s="200">
        <v>200</v>
      </c>
      <c r="D33" s="150">
        <v>203</v>
      </c>
      <c r="E33" s="150">
        <v>203</v>
      </c>
      <c r="F33" s="200">
        <f t="shared" si="1"/>
        <v>0</v>
      </c>
      <c r="G33" s="200">
        <f t="shared" si="2"/>
        <v>100.00000000000001</v>
      </c>
      <c r="H33" s="220"/>
    </row>
    <row r="34" spans="1:8" s="1" customFormat="1" ht="56.25">
      <c r="A34" s="71" t="s">
        <v>43</v>
      </c>
      <c r="B34" s="9">
        <v>1050</v>
      </c>
      <c r="C34" s="200"/>
      <c r="D34" s="153"/>
      <c r="E34" s="153"/>
      <c r="F34" s="200"/>
      <c r="G34" s="200"/>
      <c r="H34" s="220"/>
    </row>
    <row r="35" spans="1:8" s="1" customFormat="1" ht="56.25">
      <c r="A35" s="71" t="s">
        <v>44</v>
      </c>
      <c r="B35" s="9">
        <v>1051</v>
      </c>
      <c r="C35" s="200"/>
      <c r="D35" s="153"/>
      <c r="E35" s="153"/>
      <c r="F35" s="200"/>
      <c r="G35" s="200"/>
      <c r="H35" s="220"/>
    </row>
    <row r="36" spans="1:8" s="1" customFormat="1" ht="37.5">
      <c r="A36" s="71" t="s">
        <v>45</v>
      </c>
      <c r="B36" s="9">
        <v>1052</v>
      </c>
      <c r="C36" s="200"/>
      <c r="D36" s="153"/>
      <c r="E36" s="153"/>
      <c r="F36" s="200"/>
      <c r="G36" s="200"/>
      <c r="H36" s="220"/>
    </row>
    <row r="37" spans="1:8" s="1" customFormat="1" ht="37.5">
      <c r="A37" s="71" t="s">
        <v>46</v>
      </c>
      <c r="B37" s="9">
        <v>1053</v>
      </c>
      <c r="C37" s="200"/>
      <c r="D37" s="153"/>
      <c r="E37" s="153"/>
      <c r="F37" s="200"/>
      <c r="G37" s="200"/>
      <c r="H37" s="220"/>
    </row>
    <row r="38" spans="1:8" s="1" customFormat="1" ht="20.100000000000001" customHeight="1">
      <c r="A38" s="71" t="s">
        <v>47</v>
      </c>
      <c r="B38" s="9">
        <v>1054</v>
      </c>
      <c r="C38" s="200">
        <v>10</v>
      </c>
      <c r="D38" s="150">
        <v>10</v>
      </c>
      <c r="E38" s="150">
        <v>10</v>
      </c>
      <c r="F38" s="150">
        <f t="shared" si="1"/>
        <v>0</v>
      </c>
      <c r="G38" s="150">
        <f t="shared" si="2"/>
        <v>100</v>
      </c>
      <c r="H38" s="220"/>
    </row>
    <row r="39" spans="1:8" s="1" customFormat="1" ht="20.100000000000001" customHeight="1">
      <c r="A39" s="71" t="s">
        <v>68</v>
      </c>
      <c r="B39" s="9">
        <v>1055</v>
      </c>
      <c r="C39" s="200">
        <v>10</v>
      </c>
      <c r="D39" s="150">
        <v>10</v>
      </c>
      <c r="E39" s="150">
        <v>10</v>
      </c>
      <c r="F39" s="150">
        <f t="shared" si="1"/>
        <v>0</v>
      </c>
      <c r="G39" s="150">
        <f t="shared" si="2"/>
        <v>100</v>
      </c>
      <c r="H39" s="220"/>
    </row>
    <row r="40" spans="1:8" s="1" customFormat="1" ht="20.100000000000001" customHeight="1">
      <c r="A40" s="71" t="s">
        <v>48</v>
      </c>
      <c r="B40" s="9">
        <v>1056</v>
      </c>
      <c r="C40" s="200"/>
      <c r="D40" s="153"/>
      <c r="E40" s="153"/>
      <c r="F40" s="200"/>
      <c r="G40" s="200"/>
      <c r="H40" s="220"/>
    </row>
    <row r="41" spans="1:8" s="1" customFormat="1" ht="20.100000000000001" customHeight="1">
      <c r="A41" s="71" t="s">
        <v>49</v>
      </c>
      <c r="B41" s="9">
        <v>1057</v>
      </c>
      <c r="C41" s="200"/>
      <c r="D41" s="153"/>
      <c r="E41" s="153"/>
      <c r="F41" s="200"/>
      <c r="G41" s="200"/>
      <c r="H41" s="220"/>
    </row>
    <row r="42" spans="1:8" s="1" customFormat="1" ht="37.5">
      <c r="A42" s="71" t="s">
        <v>50</v>
      </c>
      <c r="B42" s="9">
        <v>1058</v>
      </c>
      <c r="C42" s="200">
        <v>10</v>
      </c>
      <c r="D42" s="150">
        <v>40</v>
      </c>
      <c r="E42" s="150">
        <v>60</v>
      </c>
      <c r="F42" s="200">
        <f t="shared" si="1"/>
        <v>-20</v>
      </c>
      <c r="G42" s="200">
        <f t="shared" si="2"/>
        <v>150</v>
      </c>
      <c r="H42" s="220"/>
    </row>
    <row r="43" spans="1:8" s="1" customFormat="1" ht="37.5">
      <c r="A43" s="71" t="s">
        <v>51</v>
      </c>
      <c r="B43" s="9">
        <v>1059</v>
      </c>
      <c r="C43" s="200"/>
      <c r="D43" s="153"/>
      <c r="E43" s="153"/>
      <c r="F43" s="200"/>
      <c r="G43" s="200"/>
      <c r="H43" s="220"/>
    </row>
    <row r="44" spans="1:8" s="1" customFormat="1" ht="75">
      <c r="A44" s="71" t="s">
        <v>78</v>
      </c>
      <c r="B44" s="9">
        <v>1060</v>
      </c>
      <c r="C44" s="200"/>
      <c r="D44" s="153"/>
      <c r="E44" s="153"/>
      <c r="F44" s="200"/>
      <c r="G44" s="200"/>
      <c r="H44" s="220"/>
    </row>
    <row r="45" spans="1:8" s="1" customFormat="1" ht="20.25" customHeight="1">
      <c r="A45" s="71" t="s">
        <v>52</v>
      </c>
      <c r="B45" s="9">
        <v>1061</v>
      </c>
      <c r="C45" s="200"/>
      <c r="D45" s="153"/>
      <c r="E45" s="153"/>
      <c r="F45" s="200"/>
      <c r="G45" s="200"/>
      <c r="H45" s="220"/>
    </row>
    <row r="46" spans="1:8" s="1" customFormat="1" ht="42" customHeight="1">
      <c r="A46" s="71" t="s">
        <v>365</v>
      </c>
      <c r="B46" s="9">
        <v>1062</v>
      </c>
      <c r="C46" s="200">
        <f>C47+C48</f>
        <v>23</v>
      </c>
      <c r="D46" s="150">
        <f>D47+D48</f>
        <v>26</v>
      </c>
      <c r="E46" s="150">
        <f>E47+E48</f>
        <v>26</v>
      </c>
      <c r="F46" s="200">
        <f t="shared" si="1"/>
        <v>0</v>
      </c>
      <c r="G46" s="200">
        <v>0</v>
      </c>
      <c r="H46" s="220"/>
    </row>
    <row r="47" spans="1:8" s="1" customFormat="1">
      <c r="A47" s="71" t="s">
        <v>378</v>
      </c>
      <c r="B47" s="6" t="s">
        <v>356</v>
      </c>
      <c r="C47" s="200">
        <v>17</v>
      </c>
      <c r="D47" s="150">
        <v>20</v>
      </c>
      <c r="E47" s="150">
        <v>20</v>
      </c>
      <c r="F47" s="200">
        <f t="shared" si="1"/>
        <v>0</v>
      </c>
      <c r="G47" s="200">
        <v>0</v>
      </c>
      <c r="H47" s="220"/>
    </row>
    <row r="48" spans="1:8" s="1" customFormat="1">
      <c r="A48" s="270" t="s">
        <v>357</v>
      </c>
      <c r="B48" s="268" t="s">
        <v>454</v>
      </c>
      <c r="C48" s="200">
        <v>6</v>
      </c>
      <c r="D48" s="150">
        <v>6</v>
      </c>
      <c r="E48" s="150">
        <v>6</v>
      </c>
      <c r="F48" s="200">
        <f t="shared" si="1"/>
        <v>0</v>
      </c>
      <c r="G48" s="200">
        <v>0</v>
      </c>
      <c r="H48" s="269"/>
    </row>
    <row r="49" spans="1:8" ht="20.100000000000001" customHeight="1">
      <c r="A49" s="141" t="s">
        <v>232</v>
      </c>
      <c r="B49" s="11">
        <v>1070</v>
      </c>
      <c r="C49" s="234">
        <f t="shared" ref="C49:E49" si="5">SUM(C50:C55)</f>
        <v>0</v>
      </c>
      <c r="D49" s="152">
        <f t="shared" si="5"/>
        <v>0</v>
      </c>
      <c r="E49" s="152">
        <f t="shared" si="5"/>
        <v>0</v>
      </c>
      <c r="F49" s="235">
        <f t="shared" si="1"/>
        <v>0</v>
      </c>
      <c r="G49" s="235">
        <v>0</v>
      </c>
      <c r="H49" s="220"/>
    </row>
    <row r="50" spans="1:8" s="1" customFormat="1" ht="20.100000000000001" customHeight="1">
      <c r="A50" s="71" t="s">
        <v>191</v>
      </c>
      <c r="B50" s="9">
        <v>1071</v>
      </c>
      <c r="C50" s="200"/>
      <c r="D50" s="150"/>
      <c r="E50" s="150"/>
      <c r="F50" s="200"/>
      <c r="G50" s="200"/>
      <c r="H50" s="220"/>
    </row>
    <row r="51" spans="1:8" s="1" customFormat="1" ht="20.100000000000001" customHeight="1">
      <c r="A51" s="71" t="s">
        <v>192</v>
      </c>
      <c r="B51" s="9">
        <v>1072</v>
      </c>
      <c r="C51" s="200"/>
      <c r="D51" s="150"/>
      <c r="E51" s="150"/>
      <c r="F51" s="200"/>
      <c r="G51" s="200"/>
      <c r="H51" s="220"/>
    </row>
    <row r="52" spans="1:8" s="1" customFormat="1" ht="20.100000000000001" customHeight="1">
      <c r="A52" s="71" t="s">
        <v>41</v>
      </c>
      <c r="B52" s="9">
        <v>1073</v>
      </c>
      <c r="C52" s="200"/>
      <c r="D52" s="150"/>
      <c r="E52" s="150"/>
      <c r="F52" s="200"/>
      <c r="G52" s="200"/>
      <c r="H52" s="220"/>
    </row>
    <row r="53" spans="1:8" s="1" customFormat="1" ht="37.5">
      <c r="A53" s="71" t="s">
        <v>65</v>
      </c>
      <c r="B53" s="9">
        <v>1074</v>
      </c>
      <c r="C53" s="200"/>
      <c r="D53" s="150"/>
      <c r="E53" s="150"/>
      <c r="F53" s="200"/>
      <c r="G53" s="200"/>
      <c r="H53" s="220"/>
    </row>
    <row r="54" spans="1:8" s="1" customFormat="1" ht="20.100000000000001" customHeight="1">
      <c r="A54" s="71" t="s">
        <v>81</v>
      </c>
      <c r="B54" s="9">
        <v>1075</v>
      </c>
      <c r="C54" s="200"/>
      <c r="D54" s="150"/>
      <c r="E54" s="150"/>
      <c r="F54" s="200"/>
      <c r="G54" s="200"/>
      <c r="H54" s="220"/>
    </row>
    <row r="55" spans="1:8" s="1" customFormat="1" ht="20.100000000000001" customHeight="1">
      <c r="A55" s="71" t="s">
        <v>130</v>
      </c>
      <c r="B55" s="9">
        <v>1076</v>
      </c>
      <c r="C55" s="200"/>
      <c r="D55" s="150"/>
      <c r="E55" s="150"/>
      <c r="F55" s="200"/>
      <c r="G55" s="200"/>
      <c r="H55" s="220"/>
    </row>
    <row r="56" spans="1:8" s="15" customFormat="1" ht="37.5">
      <c r="A56" s="229" t="s">
        <v>82</v>
      </c>
      <c r="B56" s="11">
        <v>1080</v>
      </c>
      <c r="C56" s="234">
        <f t="shared" ref="C56" si="6">SUM(C57:C61)</f>
        <v>22</v>
      </c>
      <c r="D56" s="152">
        <f>D62+D63+D64</f>
        <v>42</v>
      </c>
      <c r="E56" s="152">
        <f>E62+E63+E64</f>
        <v>42</v>
      </c>
      <c r="F56" s="235">
        <f t="shared" si="1"/>
        <v>0</v>
      </c>
      <c r="G56" s="235">
        <f t="shared" si="2"/>
        <v>100</v>
      </c>
      <c r="H56" s="126"/>
    </row>
    <row r="57" spans="1:8" s="1" customFormat="1" ht="20.100000000000001" customHeight="1">
      <c r="A57" s="71" t="s">
        <v>74</v>
      </c>
      <c r="B57" s="143">
        <v>1081</v>
      </c>
      <c r="C57" s="200"/>
      <c r="D57" s="150"/>
      <c r="E57" s="150"/>
      <c r="F57" s="200"/>
      <c r="G57" s="200"/>
      <c r="H57" s="220"/>
    </row>
    <row r="58" spans="1:8" s="1" customFormat="1" ht="37.5">
      <c r="A58" s="71" t="s">
        <v>53</v>
      </c>
      <c r="B58" s="143">
        <v>1082</v>
      </c>
      <c r="C58" s="200"/>
      <c r="D58" s="150"/>
      <c r="E58" s="150"/>
      <c r="F58" s="200"/>
      <c r="G58" s="200"/>
      <c r="H58" s="220"/>
    </row>
    <row r="59" spans="1:8" s="1" customFormat="1" ht="37.5">
      <c r="A59" s="71" t="s">
        <v>63</v>
      </c>
      <c r="B59" s="143">
        <v>1083</v>
      </c>
      <c r="C59" s="200"/>
      <c r="D59" s="150"/>
      <c r="E59" s="150"/>
      <c r="F59" s="200"/>
      <c r="G59" s="200"/>
      <c r="H59" s="220"/>
    </row>
    <row r="60" spans="1:8" s="1" customFormat="1" ht="20.100000000000001" customHeight="1">
      <c r="A60" s="71" t="s">
        <v>224</v>
      </c>
      <c r="B60" s="143">
        <v>1084</v>
      </c>
      <c r="C60" s="200"/>
      <c r="D60" s="150"/>
      <c r="E60" s="150"/>
      <c r="F60" s="200"/>
      <c r="G60" s="200"/>
      <c r="H60" s="220"/>
    </row>
    <row r="61" spans="1:8" s="1" customFormat="1" ht="20.100000000000001" customHeight="1">
      <c r="A61" s="71" t="s">
        <v>253</v>
      </c>
      <c r="B61" s="143">
        <v>1085</v>
      </c>
      <c r="C61" s="200">
        <f>C62+C63+C64</f>
        <v>22</v>
      </c>
      <c r="D61" s="200">
        <f>D62+D63+D64</f>
        <v>42</v>
      </c>
      <c r="E61" s="200">
        <f>E62+E63+E64</f>
        <v>42</v>
      </c>
      <c r="F61" s="200">
        <f>F62+F63+F64</f>
        <v>0</v>
      </c>
      <c r="G61" s="200">
        <f>G62+G63+G64</f>
        <v>100</v>
      </c>
      <c r="H61" s="220"/>
    </row>
    <row r="62" spans="1:8" s="1" customFormat="1" ht="20.100000000000001" customHeight="1">
      <c r="A62" s="142" t="s">
        <v>368</v>
      </c>
      <c r="B62" s="6" t="s">
        <v>366</v>
      </c>
      <c r="C62" s="200"/>
      <c r="D62" s="150"/>
      <c r="E62" s="150"/>
      <c r="F62" s="200"/>
      <c r="G62" s="200"/>
      <c r="H62" s="220"/>
    </row>
    <row r="63" spans="1:8" s="1" customFormat="1" ht="20.100000000000001" customHeight="1">
      <c r="A63" s="142" t="s">
        <v>369</v>
      </c>
      <c r="B63" s="6" t="s">
        <v>367</v>
      </c>
      <c r="C63" s="200">
        <v>22</v>
      </c>
      <c r="D63" s="150">
        <v>42</v>
      </c>
      <c r="E63" s="150">
        <v>42</v>
      </c>
      <c r="F63" s="200">
        <f t="shared" si="1"/>
        <v>0</v>
      </c>
      <c r="G63" s="200">
        <f t="shared" si="2"/>
        <v>100</v>
      </c>
      <c r="H63" s="220"/>
    </row>
    <row r="64" spans="1:8" s="1" customFormat="1" ht="20.100000000000001" customHeight="1">
      <c r="A64" s="142" t="s">
        <v>357</v>
      </c>
      <c r="B64" s="6"/>
      <c r="C64" s="200"/>
      <c r="D64" s="150"/>
      <c r="E64" s="150"/>
      <c r="F64" s="200"/>
      <c r="G64" s="200"/>
      <c r="H64" s="220"/>
    </row>
    <row r="65" spans="1:8" s="228" customFormat="1" ht="37.5">
      <c r="A65" s="141" t="s">
        <v>4</v>
      </c>
      <c r="B65" s="11">
        <v>1100</v>
      </c>
      <c r="C65" s="234">
        <f>C19+C20-C24-C49-C56</f>
        <v>-241</v>
      </c>
      <c r="D65" s="152">
        <f t="shared" ref="D65" si="7">D19+D20-D24-D49-D56</f>
        <v>-102</v>
      </c>
      <c r="E65" s="152">
        <f>E19+E20-E24-E49-E56-E70</f>
        <v>19.699999999999818</v>
      </c>
      <c r="F65" s="235">
        <f t="shared" si="1"/>
        <v>-121.69999999999982</v>
      </c>
      <c r="G65" s="235">
        <f t="shared" si="2"/>
        <v>-19.3137254901959</v>
      </c>
      <c r="H65" s="126"/>
    </row>
    <row r="66" spans="1:8" ht="37.5">
      <c r="A66" s="71" t="s">
        <v>114</v>
      </c>
      <c r="B66" s="9">
        <v>1110</v>
      </c>
      <c r="C66" s="200"/>
      <c r="D66" s="150"/>
      <c r="E66" s="150"/>
      <c r="F66" s="200"/>
      <c r="G66" s="240"/>
      <c r="H66" s="220"/>
    </row>
    <row r="67" spans="1:8" ht="20.100000000000001" customHeight="1">
      <c r="A67" s="71" t="s">
        <v>115</v>
      </c>
      <c r="B67" s="9">
        <v>1120</v>
      </c>
      <c r="C67" s="200"/>
      <c r="D67" s="150"/>
      <c r="E67" s="150"/>
      <c r="F67" s="200"/>
      <c r="G67" s="240"/>
      <c r="H67" s="220"/>
    </row>
    <row r="68" spans="1:8" ht="37.5">
      <c r="A68" s="71" t="s">
        <v>117</v>
      </c>
      <c r="B68" s="9">
        <v>1130</v>
      </c>
      <c r="C68" s="200"/>
      <c r="D68" s="150"/>
      <c r="E68" s="150"/>
      <c r="F68" s="200"/>
      <c r="G68" s="240"/>
      <c r="H68" s="220"/>
    </row>
    <row r="69" spans="1:8" ht="20.100000000000001" customHeight="1">
      <c r="A69" s="71" t="s">
        <v>116</v>
      </c>
      <c r="B69" s="9">
        <v>1140</v>
      </c>
      <c r="C69" s="200"/>
      <c r="D69" s="150"/>
      <c r="E69" s="150"/>
      <c r="F69" s="200"/>
      <c r="G69" s="240"/>
      <c r="H69" s="220"/>
    </row>
    <row r="70" spans="1:8" ht="37.5">
      <c r="A70" s="201" t="s">
        <v>225</v>
      </c>
      <c r="B70" s="9">
        <v>1150</v>
      </c>
      <c r="C70" s="200">
        <v>254</v>
      </c>
      <c r="D70" s="150">
        <f>D71</f>
        <v>122</v>
      </c>
      <c r="E70" s="150">
        <f>E71</f>
        <v>234</v>
      </c>
      <c r="F70" s="200">
        <f>D70-E70</f>
        <v>-112</v>
      </c>
      <c r="G70" s="200">
        <f>E70/D70%</f>
        <v>191.80327868852459</v>
      </c>
      <c r="H70" s="220"/>
    </row>
    <row r="71" spans="1:8">
      <c r="A71" s="71" t="s">
        <v>381</v>
      </c>
      <c r="B71" s="6" t="s">
        <v>382</v>
      </c>
      <c r="C71" s="200">
        <v>254</v>
      </c>
      <c r="D71" s="150">
        <v>122</v>
      </c>
      <c r="E71" s="150">
        <v>234</v>
      </c>
      <c r="F71" s="200">
        <f>D71-E71</f>
        <v>-112</v>
      </c>
      <c r="G71" s="200">
        <f>E71/D71%</f>
        <v>191.80327868852459</v>
      </c>
      <c r="H71" s="220"/>
    </row>
    <row r="72" spans="1:8" ht="37.5">
      <c r="A72" s="71" t="s">
        <v>396</v>
      </c>
      <c r="B72" s="6" t="s">
        <v>395</v>
      </c>
      <c r="C72" s="200"/>
      <c r="D72" s="150"/>
      <c r="E72" s="150"/>
      <c r="F72" s="200"/>
      <c r="G72" s="240"/>
      <c r="H72" s="220"/>
    </row>
    <row r="73" spans="1:8" ht="20.100000000000001" customHeight="1">
      <c r="A73" s="71" t="s">
        <v>224</v>
      </c>
      <c r="B73" s="9">
        <v>1151</v>
      </c>
      <c r="C73" s="200"/>
      <c r="D73" s="150"/>
      <c r="E73" s="150"/>
      <c r="F73" s="200"/>
      <c r="G73" s="200"/>
      <c r="H73" s="220"/>
    </row>
    <row r="74" spans="1:8" ht="37.5">
      <c r="A74" s="71" t="s">
        <v>226</v>
      </c>
      <c r="B74" s="9">
        <v>1160</v>
      </c>
      <c r="C74" s="200"/>
      <c r="D74" s="150"/>
      <c r="E74" s="150"/>
      <c r="F74" s="200"/>
      <c r="G74" s="200"/>
      <c r="H74" s="220"/>
    </row>
    <row r="75" spans="1:8" ht="20.100000000000001" customHeight="1">
      <c r="A75" s="71" t="s">
        <v>224</v>
      </c>
      <c r="B75" s="9">
        <v>1161</v>
      </c>
      <c r="C75" s="200"/>
      <c r="D75" s="150"/>
      <c r="E75" s="150"/>
      <c r="F75" s="200"/>
      <c r="G75" s="200"/>
      <c r="H75" s="220"/>
    </row>
    <row r="76" spans="1:8" s="5" customFormat="1" ht="37.5">
      <c r="A76" s="141" t="s">
        <v>101</v>
      </c>
      <c r="B76" s="11">
        <v>1170</v>
      </c>
      <c r="C76" s="234">
        <f>C65+C66+C67+C70-C69-C68-C74</f>
        <v>13</v>
      </c>
      <c r="D76" s="152">
        <f t="shared" ref="D76" si="8">D65+D66+D67+D70-D69-D68-D74</f>
        <v>20</v>
      </c>
      <c r="E76" s="152">
        <f>E65+E66+E67+E70-E69-E68-E74+E70</f>
        <v>487.69999999999982</v>
      </c>
      <c r="F76" s="235">
        <f t="shared" ref="F76:F81" si="9">D76-E76</f>
        <v>-467.69999999999982</v>
      </c>
      <c r="G76" s="235">
        <f t="shared" ref="G76:G80" si="10">E76/D76%</f>
        <v>2438.4999999999991</v>
      </c>
      <c r="H76" s="126"/>
    </row>
    <row r="77" spans="1:8" ht="20.100000000000001" customHeight="1">
      <c r="A77" s="71" t="s">
        <v>143</v>
      </c>
      <c r="B77" s="9">
        <v>1180</v>
      </c>
      <c r="C77" s="200"/>
      <c r="D77" s="150"/>
      <c r="E77" s="150"/>
      <c r="F77" s="200"/>
      <c r="G77" s="200"/>
      <c r="H77" s="192"/>
    </row>
    <row r="78" spans="1:8" ht="37.5">
      <c r="A78" s="71" t="s">
        <v>144</v>
      </c>
      <c r="B78" s="9">
        <v>1190</v>
      </c>
      <c r="C78" s="200"/>
      <c r="D78" s="150"/>
      <c r="E78" s="150"/>
      <c r="F78" s="200"/>
      <c r="G78" s="200"/>
      <c r="H78" s="220"/>
    </row>
    <row r="79" spans="1:8" s="5" customFormat="1" ht="37.5">
      <c r="A79" s="141" t="s">
        <v>102</v>
      </c>
      <c r="B79" s="11">
        <v>1200</v>
      </c>
      <c r="C79" s="234">
        <f t="shared" ref="C79:E79" si="11">C76-C77-C78</f>
        <v>13</v>
      </c>
      <c r="D79" s="152">
        <f t="shared" si="11"/>
        <v>20</v>
      </c>
      <c r="E79" s="152">
        <f t="shared" si="11"/>
        <v>487.69999999999982</v>
      </c>
      <c r="F79" s="235">
        <f t="shared" si="9"/>
        <v>-467.69999999999982</v>
      </c>
      <c r="G79" s="235">
        <f t="shared" si="10"/>
        <v>2438.4999999999991</v>
      </c>
      <c r="H79" s="126"/>
    </row>
    <row r="80" spans="1:8" ht="20.100000000000001" customHeight="1">
      <c r="A80" s="201" t="s">
        <v>24</v>
      </c>
      <c r="B80" s="275">
        <v>1201</v>
      </c>
      <c r="C80" s="206">
        <v>13</v>
      </c>
      <c r="D80" s="206">
        <f t="shared" ref="D80:E80" si="12">SUMIF(D79,"&gt;0")</f>
        <v>20</v>
      </c>
      <c r="E80" s="206">
        <f t="shared" si="12"/>
        <v>487.69999999999982</v>
      </c>
      <c r="F80" s="200">
        <f t="shared" si="9"/>
        <v>-467.69999999999982</v>
      </c>
      <c r="G80" s="200">
        <f t="shared" si="10"/>
        <v>2438.4999999999991</v>
      </c>
      <c r="H80" s="220"/>
    </row>
    <row r="81" spans="1:8" ht="20.100000000000001" customHeight="1">
      <c r="A81" s="201" t="s">
        <v>25</v>
      </c>
      <c r="B81" s="275">
        <v>1202</v>
      </c>
      <c r="C81" s="206">
        <f t="shared" ref="C81:E81" si="13">SUMIF(C79,"&lt;0")</f>
        <v>0</v>
      </c>
      <c r="D81" s="206">
        <f t="shared" si="13"/>
        <v>0</v>
      </c>
      <c r="E81" s="206">
        <f t="shared" si="13"/>
        <v>0</v>
      </c>
      <c r="F81" s="200">
        <f t="shared" si="9"/>
        <v>0</v>
      </c>
      <c r="G81" s="200">
        <v>0</v>
      </c>
      <c r="H81" s="220"/>
    </row>
    <row r="82" spans="1:8" ht="19.5" customHeight="1">
      <c r="A82" s="71" t="s">
        <v>254</v>
      </c>
      <c r="B82" s="9">
        <v>1210</v>
      </c>
      <c r="C82" s="200"/>
      <c r="D82" s="150"/>
      <c r="E82" s="150"/>
      <c r="F82" s="200"/>
      <c r="G82" s="200"/>
      <c r="H82" s="220"/>
    </row>
    <row r="83" spans="1:8" s="5" customFormat="1" ht="20.100000000000001" customHeight="1">
      <c r="A83" s="375" t="s">
        <v>290</v>
      </c>
      <c r="B83" s="376"/>
      <c r="C83" s="376"/>
      <c r="D83" s="376"/>
      <c r="E83" s="376"/>
      <c r="F83" s="376"/>
      <c r="G83" s="376"/>
      <c r="H83" s="377"/>
    </row>
    <row r="84" spans="1:8" ht="42.75" customHeight="1">
      <c r="A84" s="70" t="s">
        <v>272</v>
      </c>
      <c r="B84" s="6">
        <v>1300</v>
      </c>
      <c r="C84" s="206">
        <f t="shared" ref="C84:E84" si="14">C20-C56</f>
        <v>2965</v>
      </c>
      <c r="D84" s="206">
        <f t="shared" si="14"/>
        <v>3163</v>
      </c>
      <c r="E84" s="206">
        <f t="shared" si="14"/>
        <v>3359.7</v>
      </c>
      <c r="F84" s="206">
        <f>D84-E84</f>
        <v>-196.69999999999982</v>
      </c>
      <c r="G84" s="206">
        <f>E84/D84%</f>
        <v>106.21877963958268</v>
      </c>
      <c r="H84" s="220"/>
    </row>
    <row r="85" spans="1:8" ht="75">
      <c r="A85" s="71" t="s">
        <v>266</v>
      </c>
      <c r="B85" s="6">
        <v>1310</v>
      </c>
      <c r="C85" s="206">
        <f t="shared" ref="C85:F85" si="15">C66+C67-C68-C69</f>
        <v>0</v>
      </c>
      <c r="D85" s="206">
        <f t="shared" si="15"/>
        <v>0</v>
      </c>
      <c r="E85" s="206">
        <f t="shared" si="15"/>
        <v>0</v>
      </c>
      <c r="F85" s="206">
        <f t="shared" si="15"/>
        <v>0</v>
      </c>
      <c r="G85" s="206" t="e">
        <f>E85/D85%</f>
        <v>#DIV/0!</v>
      </c>
      <c r="H85" s="220"/>
    </row>
    <row r="86" spans="1:8" ht="42.75" customHeight="1">
      <c r="A86" s="70" t="s">
        <v>267</v>
      </c>
      <c r="B86" s="6">
        <v>1320</v>
      </c>
      <c r="C86" s="206">
        <f t="shared" ref="C86:F86" si="16">C70-C74</f>
        <v>254</v>
      </c>
      <c r="D86" s="206">
        <f t="shared" si="16"/>
        <v>122</v>
      </c>
      <c r="E86" s="206">
        <f>E71-E74</f>
        <v>234</v>
      </c>
      <c r="F86" s="206">
        <f t="shared" si="16"/>
        <v>-112</v>
      </c>
      <c r="G86" s="206">
        <f t="shared" ref="G86" si="17">E86/D86%</f>
        <v>191.80327868852459</v>
      </c>
      <c r="H86" s="220"/>
    </row>
    <row r="87" spans="1:8" ht="56.25">
      <c r="A87" s="8" t="s">
        <v>343</v>
      </c>
      <c r="B87" s="9">
        <v>1330</v>
      </c>
      <c r="C87" s="206">
        <f>C7+C20+C66+C67+C70</f>
        <v>3708</v>
      </c>
      <c r="D87" s="151">
        <f>D7+D20+D66+D67+D70</f>
        <v>4927</v>
      </c>
      <c r="E87" s="151">
        <f>E7+E20+E66+E67+E71</f>
        <v>5596.7</v>
      </c>
      <c r="F87" s="151">
        <f>F7+F20+F66+F67+F70</f>
        <v>-669.69999999999982</v>
      </c>
      <c r="G87" s="151">
        <f t="shared" ref="G87:G88" si="18">E87/D87%</f>
        <v>113.59244976659224</v>
      </c>
      <c r="H87" s="220"/>
    </row>
    <row r="88" spans="1:8" ht="75">
      <c r="A88" s="8" t="s">
        <v>344</v>
      </c>
      <c r="B88" s="9">
        <v>1340</v>
      </c>
      <c r="C88" s="206">
        <f>C9+C24+C49+C56+C68+C69+C74+C77+C78</f>
        <v>3695</v>
      </c>
      <c r="D88" s="151">
        <f>D9+D24+D49+D56+D68+D69+D74+D77+D78</f>
        <v>4907</v>
      </c>
      <c r="E88" s="151">
        <f>E9+E24+E49+E56+E68+E69+E74+E77+E78</f>
        <v>5109</v>
      </c>
      <c r="F88" s="151">
        <f>F9+F24+F49+F56+F68+F69+F74+F77+F78</f>
        <v>-202</v>
      </c>
      <c r="G88" s="151">
        <f t="shared" si="18"/>
        <v>104.11656816792338</v>
      </c>
      <c r="H88" s="220"/>
    </row>
    <row r="89" spans="1:8" ht="20.100000000000001" customHeight="1">
      <c r="A89" s="375" t="s">
        <v>172</v>
      </c>
      <c r="B89" s="376"/>
      <c r="C89" s="376"/>
      <c r="D89" s="376"/>
      <c r="E89" s="376"/>
      <c r="F89" s="376"/>
      <c r="G89" s="376"/>
      <c r="H89" s="377"/>
    </row>
    <row r="90" spans="1:8" ht="37.5">
      <c r="A90" s="8" t="s">
        <v>268</v>
      </c>
      <c r="B90" s="9">
        <v>1400</v>
      </c>
      <c r="C90" s="206">
        <v>-495</v>
      </c>
      <c r="D90" s="206">
        <f t="shared" ref="D90:E90" si="19">D65</f>
        <v>-102</v>
      </c>
      <c r="E90" s="206">
        <f t="shared" si="19"/>
        <v>19.699999999999818</v>
      </c>
      <c r="F90" s="206">
        <f>D90-E90</f>
        <v>-121.69999999999982</v>
      </c>
      <c r="G90" s="206">
        <f>E90/D90%</f>
        <v>-19.3137254901959</v>
      </c>
      <c r="H90" s="220"/>
    </row>
    <row r="91" spans="1:8">
      <c r="A91" s="8" t="s">
        <v>269</v>
      </c>
      <c r="B91" s="9">
        <v>1401</v>
      </c>
      <c r="C91" s="206">
        <v>160</v>
      </c>
      <c r="D91" s="206">
        <f t="shared" ref="D91:E91" si="20">D102</f>
        <v>177</v>
      </c>
      <c r="E91" s="206">
        <f t="shared" si="20"/>
        <v>196</v>
      </c>
      <c r="F91" s="206">
        <f t="shared" ref="F91:F95" si="21">D91-E91</f>
        <v>-19</v>
      </c>
      <c r="G91" s="206">
        <f t="shared" ref="G91:G95" si="22">E91/D91%</f>
        <v>110.73446327683615</v>
      </c>
      <c r="H91" s="220"/>
    </row>
    <row r="92" spans="1:8" ht="37.5">
      <c r="A92" s="8" t="s">
        <v>270</v>
      </c>
      <c r="B92" s="9">
        <v>1402</v>
      </c>
      <c r="C92" s="206">
        <v>0</v>
      </c>
      <c r="D92" s="206">
        <f t="shared" ref="D92:E92" si="23">D23</f>
        <v>0</v>
      </c>
      <c r="E92" s="206">
        <f t="shared" si="23"/>
        <v>0</v>
      </c>
      <c r="F92" s="206">
        <f t="shared" si="21"/>
        <v>0</v>
      </c>
      <c r="G92" s="206"/>
      <c r="H92" s="220"/>
    </row>
    <row r="93" spans="1:8" ht="37.5">
      <c r="A93" s="8" t="s">
        <v>271</v>
      </c>
      <c r="B93" s="9">
        <v>1403</v>
      </c>
      <c r="C93" s="206">
        <f t="shared" ref="C93:E93" si="24">C60</f>
        <v>0</v>
      </c>
      <c r="D93" s="206">
        <f t="shared" si="24"/>
        <v>0</v>
      </c>
      <c r="E93" s="206">
        <f t="shared" si="24"/>
        <v>0</v>
      </c>
      <c r="F93" s="206">
        <f t="shared" si="21"/>
        <v>0</v>
      </c>
      <c r="G93" s="206"/>
      <c r="H93" s="220"/>
    </row>
    <row r="94" spans="1:8" ht="37.5">
      <c r="A94" s="8" t="s">
        <v>330</v>
      </c>
      <c r="B94" s="9">
        <v>1404</v>
      </c>
      <c r="C94" s="200"/>
      <c r="D94" s="150"/>
      <c r="E94" s="150"/>
      <c r="F94" s="206"/>
      <c r="G94" s="206"/>
      <c r="H94" s="220"/>
    </row>
    <row r="95" spans="1:8" s="5" customFormat="1" ht="20.100000000000001" customHeight="1">
      <c r="A95" s="10" t="s">
        <v>147</v>
      </c>
      <c r="B95" s="72">
        <v>1410</v>
      </c>
      <c r="C95" s="234">
        <f t="shared" ref="C95:E95" si="25">C90+C91-C92+C93</f>
        <v>-335</v>
      </c>
      <c r="D95" s="152">
        <f t="shared" si="25"/>
        <v>75</v>
      </c>
      <c r="E95" s="152">
        <f t="shared" si="25"/>
        <v>215.69999999999982</v>
      </c>
      <c r="F95" s="152">
        <f t="shared" si="21"/>
        <v>-140.69999999999982</v>
      </c>
      <c r="G95" s="152">
        <f t="shared" si="22"/>
        <v>287.59999999999974</v>
      </c>
      <c r="H95" s="126"/>
    </row>
    <row r="96" spans="1:8" ht="20.100000000000001" customHeight="1">
      <c r="A96" s="375" t="s">
        <v>241</v>
      </c>
      <c r="B96" s="376"/>
      <c r="C96" s="376"/>
      <c r="D96" s="376"/>
      <c r="E96" s="376"/>
      <c r="F96" s="376"/>
      <c r="G96" s="376"/>
      <c r="H96" s="377"/>
    </row>
    <row r="97" spans="1:8" ht="20.100000000000001" customHeight="1">
      <c r="A97" s="8" t="s">
        <v>291</v>
      </c>
      <c r="B97" s="73">
        <v>1500</v>
      </c>
      <c r="C97" s="200">
        <v>366</v>
      </c>
      <c r="D97" s="150">
        <v>860</v>
      </c>
      <c r="E97" s="150">
        <v>553</v>
      </c>
      <c r="F97" s="150">
        <f>D97-E97</f>
        <v>307</v>
      </c>
      <c r="G97" s="150">
        <f>E97/D97%</f>
        <v>64.302325581395351</v>
      </c>
      <c r="H97" s="220"/>
    </row>
    <row r="98" spans="1:8" ht="20.100000000000001" customHeight="1">
      <c r="A98" s="8" t="s">
        <v>289</v>
      </c>
      <c r="B98" s="7">
        <v>1501</v>
      </c>
      <c r="C98" s="200">
        <f t="shared" ref="C98" si="26">C10</f>
        <v>0</v>
      </c>
      <c r="D98" s="150">
        <v>0</v>
      </c>
      <c r="E98" s="150">
        <v>0</v>
      </c>
      <c r="F98" s="150">
        <f t="shared" ref="F98:F104" si="27">D98-E98</f>
        <v>0</v>
      </c>
      <c r="G98" s="150">
        <v>0</v>
      </c>
      <c r="H98" s="220"/>
    </row>
    <row r="99" spans="1:8" ht="20.100000000000001" customHeight="1">
      <c r="A99" s="8" t="s">
        <v>28</v>
      </c>
      <c r="B99" s="7">
        <v>1502</v>
      </c>
      <c r="C99" s="200">
        <v>366</v>
      </c>
      <c r="D99" s="200">
        <v>860</v>
      </c>
      <c r="E99" s="200">
        <v>553</v>
      </c>
      <c r="F99" s="150">
        <f t="shared" si="27"/>
        <v>307</v>
      </c>
      <c r="G99" s="150">
        <f t="shared" ref="G99:G104" si="28">E99/D99%</f>
        <v>64.302325581395351</v>
      </c>
      <c r="H99" s="220"/>
    </row>
    <row r="100" spans="1:8" ht="20.100000000000001" customHeight="1">
      <c r="A100" s="8" t="s">
        <v>5</v>
      </c>
      <c r="B100" s="73">
        <v>1510</v>
      </c>
      <c r="C100" s="200">
        <v>2449</v>
      </c>
      <c r="D100" s="200">
        <v>2296</v>
      </c>
      <c r="E100" s="200">
        <v>2296</v>
      </c>
      <c r="F100" s="150">
        <f t="shared" si="27"/>
        <v>0</v>
      </c>
      <c r="G100" s="150">
        <f t="shared" si="28"/>
        <v>100</v>
      </c>
      <c r="H100" s="220"/>
    </row>
    <row r="101" spans="1:8" ht="20.100000000000001" customHeight="1">
      <c r="A101" s="8" t="s">
        <v>6</v>
      </c>
      <c r="B101" s="73">
        <v>1520</v>
      </c>
      <c r="C101" s="200">
        <v>505</v>
      </c>
      <c r="D101" s="200">
        <v>467</v>
      </c>
      <c r="E101" s="200">
        <v>467</v>
      </c>
      <c r="F101" s="150">
        <f t="shared" si="27"/>
        <v>0</v>
      </c>
      <c r="G101" s="150">
        <f t="shared" si="28"/>
        <v>100</v>
      </c>
      <c r="H101" s="220"/>
    </row>
    <row r="102" spans="1:8" ht="20.100000000000001" customHeight="1">
      <c r="A102" s="8" t="s">
        <v>7</v>
      </c>
      <c r="B102" s="73">
        <v>1530</v>
      </c>
      <c r="C102" s="200">
        <v>160</v>
      </c>
      <c r="D102" s="200">
        <v>177</v>
      </c>
      <c r="E102" s="200">
        <v>196</v>
      </c>
      <c r="F102" s="150">
        <f t="shared" si="27"/>
        <v>-19</v>
      </c>
      <c r="G102" s="150">
        <f t="shared" si="28"/>
        <v>110.73446327683615</v>
      </c>
      <c r="H102" s="220"/>
    </row>
    <row r="103" spans="1:8" ht="20.100000000000001" customHeight="1">
      <c r="A103" s="8" t="s">
        <v>29</v>
      </c>
      <c r="B103" s="73">
        <v>1540</v>
      </c>
      <c r="C103" s="200">
        <v>215</v>
      </c>
      <c r="D103" s="200">
        <v>1107</v>
      </c>
      <c r="E103" s="150">
        <v>1363</v>
      </c>
      <c r="F103" s="150">
        <f t="shared" si="27"/>
        <v>-256</v>
      </c>
      <c r="G103" s="150">
        <f t="shared" si="28"/>
        <v>123.12556458897922</v>
      </c>
      <c r="H103" s="220"/>
    </row>
    <row r="104" spans="1:8" s="5" customFormat="1" ht="20.100000000000001" customHeight="1">
      <c r="A104" s="10" t="s">
        <v>59</v>
      </c>
      <c r="B104" s="72">
        <v>1550</v>
      </c>
      <c r="C104" s="234">
        <f t="shared" ref="C104:E104" si="29">SUM(C97,C100:C103)</f>
        <v>3695</v>
      </c>
      <c r="D104" s="212">
        <f t="shared" si="29"/>
        <v>4907</v>
      </c>
      <c r="E104" s="212">
        <f t="shared" si="29"/>
        <v>4875</v>
      </c>
      <c r="F104" s="235">
        <f t="shared" si="27"/>
        <v>32</v>
      </c>
      <c r="G104" s="235">
        <f t="shared" si="28"/>
        <v>99.347870389239858</v>
      </c>
      <c r="H104" s="126"/>
    </row>
    <row r="105" spans="1:8" s="5" customFormat="1" ht="20.100000000000001" customHeight="1">
      <c r="A105" s="119"/>
      <c r="B105" s="123"/>
      <c r="C105" s="245"/>
      <c r="D105" s="124"/>
      <c r="E105" s="124"/>
      <c r="F105" s="124"/>
      <c r="G105" s="124"/>
      <c r="H105" s="221"/>
    </row>
    <row r="106" spans="1:8" s="5" customFormat="1" ht="15.75" customHeight="1">
      <c r="A106" s="119"/>
      <c r="B106" s="123"/>
      <c r="C106" s="245"/>
      <c r="D106" s="124"/>
      <c r="E106" s="124"/>
      <c r="F106" s="124"/>
      <c r="G106" s="124"/>
      <c r="H106" s="221"/>
    </row>
    <row r="107" spans="1:8" ht="16.5" customHeight="1">
      <c r="A107" s="107"/>
      <c r="B107" s="106"/>
      <c r="C107" s="246"/>
      <c r="D107" s="105"/>
      <c r="E107" s="105"/>
      <c r="F107" s="105"/>
      <c r="G107" s="105"/>
      <c r="H107" s="133"/>
    </row>
    <row r="108" spans="1:8" s="191" customFormat="1" ht="16.5" customHeight="1">
      <c r="A108" s="189"/>
      <c r="B108" s="190"/>
      <c r="C108" s="247"/>
      <c r="D108" s="105"/>
      <c r="E108" s="105"/>
      <c r="F108" s="105"/>
      <c r="G108" s="105"/>
      <c r="H108" s="133"/>
    </row>
    <row r="109" spans="1:8" s="5" customFormat="1" ht="20.25" customHeight="1">
      <c r="A109" s="155" t="s">
        <v>375</v>
      </c>
      <c r="B109" s="130"/>
      <c r="C109" s="248"/>
      <c r="D109" s="160"/>
      <c r="E109" s="380" t="s">
        <v>374</v>
      </c>
      <c r="F109" s="380"/>
      <c r="G109" s="380"/>
      <c r="H109" s="221"/>
    </row>
    <row r="110" spans="1:8" s="1" customFormat="1" ht="20.100000000000001" customHeight="1">
      <c r="A110" s="92" t="s">
        <v>353</v>
      </c>
      <c r="B110" s="105"/>
      <c r="C110" s="246"/>
      <c r="D110" s="122"/>
      <c r="E110" s="374" t="s">
        <v>108</v>
      </c>
      <c r="F110" s="374"/>
      <c r="G110" s="374"/>
      <c r="H110" s="222"/>
    </row>
    <row r="111" spans="1:8" ht="20.100000000000001" customHeight="1">
      <c r="A111" s="196"/>
      <c r="B111" s="197"/>
      <c r="C111" s="249"/>
      <c r="D111" s="118"/>
      <c r="E111" s="118"/>
      <c r="F111" s="118"/>
      <c r="G111" s="118"/>
      <c r="H111" s="133"/>
    </row>
    <row r="112" spans="1:8">
      <c r="A112" s="196"/>
      <c r="B112" s="197"/>
      <c r="C112" s="249"/>
      <c r="D112" s="118"/>
      <c r="E112" s="118"/>
      <c r="F112" s="118"/>
      <c r="G112" s="118"/>
      <c r="H112" s="133"/>
    </row>
    <row r="113" spans="1:8">
      <c r="A113" s="196"/>
      <c r="B113" s="197"/>
      <c r="C113" s="249"/>
      <c r="D113" s="118">
        <v>27</v>
      </c>
      <c r="E113" s="118">
        <v>52</v>
      </c>
      <c r="F113" s="118">
        <v>97</v>
      </c>
      <c r="G113" s="214">
        <v>128</v>
      </c>
      <c r="H113" s="223"/>
    </row>
    <row r="114" spans="1:8">
      <c r="A114" s="196"/>
      <c r="B114" s="197"/>
      <c r="C114" s="249"/>
      <c r="D114" s="118">
        <v>7</v>
      </c>
      <c r="E114" s="118">
        <v>15</v>
      </c>
      <c r="F114" s="118">
        <v>22</v>
      </c>
      <c r="G114" s="214">
        <v>31</v>
      </c>
      <c r="H114" s="133"/>
    </row>
    <row r="115" spans="1:8">
      <c r="A115" s="196"/>
      <c r="B115" s="197"/>
      <c r="C115" s="249"/>
      <c r="D115" s="118">
        <f>D113+D114</f>
        <v>34</v>
      </c>
      <c r="E115" s="118">
        <f t="shared" ref="E115:G115" si="30">E113+E114</f>
        <v>67</v>
      </c>
      <c r="F115" s="118">
        <f t="shared" si="30"/>
        <v>119</v>
      </c>
      <c r="G115" s="214">
        <f t="shared" si="30"/>
        <v>159</v>
      </c>
      <c r="H115" s="133"/>
    </row>
    <row r="116" spans="1:8">
      <c r="A116" s="196"/>
      <c r="B116" s="197"/>
      <c r="C116" s="249"/>
      <c r="D116" s="210">
        <f t="shared" ref="D116:G116" si="31">D25</f>
        <v>128</v>
      </c>
      <c r="E116" s="210">
        <f t="shared" si="31"/>
        <v>128</v>
      </c>
      <c r="F116" s="210">
        <f t="shared" si="31"/>
        <v>0</v>
      </c>
      <c r="G116" s="210">
        <f t="shared" si="31"/>
        <v>100</v>
      </c>
      <c r="H116" s="210"/>
    </row>
    <row r="117" spans="1:8">
      <c r="A117" s="196"/>
      <c r="B117" s="197"/>
      <c r="C117" s="246"/>
      <c r="D117" s="105"/>
      <c r="E117" s="105"/>
      <c r="F117" s="105"/>
      <c r="G117" s="105"/>
      <c r="H117" s="133"/>
    </row>
    <row r="118" spans="1:8">
      <c r="A118" s="196"/>
      <c r="B118" s="197"/>
      <c r="C118" s="246"/>
      <c r="D118" s="105"/>
      <c r="E118" s="105"/>
      <c r="F118" s="105"/>
      <c r="G118" s="105"/>
      <c r="H118" s="133"/>
    </row>
    <row r="119" spans="1:8">
      <c r="A119" s="196"/>
      <c r="B119" s="197"/>
      <c r="C119" s="246"/>
      <c r="D119" s="105"/>
      <c r="E119" s="105"/>
      <c r="F119" s="105"/>
      <c r="G119" s="105"/>
      <c r="H119" s="133"/>
    </row>
    <row r="120" spans="1:8">
      <c r="A120" s="196"/>
      <c r="B120" s="197"/>
      <c r="C120" s="250" t="s">
        <v>406</v>
      </c>
      <c r="D120" s="193">
        <v>17</v>
      </c>
      <c r="E120" s="193">
        <v>35</v>
      </c>
      <c r="F120" s="193">
        <v>52</v>
      </c>
      <c r="G120" s="193">
        <v>69</v>
      </c>
      <c r="H120" s="133"/>
    </row>
    <row r="121" spans="1:8">
      <c r="A121" s="196"/>
      <c r="B121" s="197"/>
      <c r="C121" s="250" t="s">
        <v>407</v>
      </c>
      <c r="D121" s="195">
        <f>(D100-D120)*22%+D120*8.41%</f>
        <v>502.80970000000002</v>
      </c>
      <c r="E121" s="195">
        <f t="shared" ref="E121:G121" si="32">(E100-E120)*22%+E120*8.41%</f>
        <v>500.36350000000004</v>
      </c>
      <c r="F121" s="195">
        <f t="shared" si="32"/>
        <v>-7.0667999999999989</v>
      </c>
      <c r="G121" s="195">
        <f t="shared" si="32"/>
        <v>12.622900000000001</v>
      </c>
      <c r="H121" s="133"/>
    </row>
    <row r="122" spans="1:8">
      <c r="A122" s="196"/>
      <c r="B122" s="197"/>
      <c r="C122" s="251" t="s">
        <v>408</v>
      </c>
      <c r="D122" s="194">
        <f>D100*18%</f>
        <v>413.28</v>
      </c>
      <c r="E122" s="194">
        <f t="shared" ref="E122:G122" si="33">E100*18%</f>
        <v>413.28</v>
      </c>
      <c r="F122" s="194">
        <f t="shared" si="33"/>
        <v>0</v>
      </c>
      <c r="G122" s="194">
        <f t="shared" si="33"/>
        <v>18</v>
      </c>
      <c r="H122" s="133"/>
    </row>
    <row r="123" spans="1:8">
      <c r="A123" s="196"/>
      <c r="B123" s="197"/>
      <c r="C123" s="251" t="s">
        <v>409</v>
      </c>
      <c r="D123" s="194">
        <f>D100*1.5%</f>
        <v>34.44</v>
      </c>
      <c r="E123" s="194">
        <f t="shared" ref="E123:G123" si="34">E100*1.5%</f>
        <v>34.44</v>
      </c>
      <c r="F123" s="194">
        <f t="shared" si="34"/>
        <v>0</v>
      </c>
      <c r="G123" s="194">
        <f t="shared" si="34"/>
        <v>1.5</v>
      </c>
      <c r="H123" s="133"/>
    </row>
    <row r="124" spans="1:8">
      <c r="A124" s="196"/>
      <c r="B124" s="197"/>
      <c r="C124" s="249"/>
      <c r="D124" s="118"/>
      <c r="E124" s="118"/>
      <c r="F124" s="118"/>
      <c r="G124" s="118"/>
      <c r="H124" s="133"/>
    </row>
    <row r="125" spans="1:8">
      <c r="A125" s="196"/>
      <c r="B125" s="197"/>
      <c r="C125" s="249"/>
      <c r="D125" s="118"/>
      <c r="E125" s="118"/>
      <c r="F125" s="118"/>
      <c r="G125" s="118"/>
      <c r="H125" s="133"/>
    </row>
    <row r="126" spans="1:8">
      <c r="A126" s="196"/>
      <c r="B126" s="197"/>
      <c r="C126" s="249"/>
      <c r="D126" s="118"/>
      <c r="E126" s="118"/>
      <c r="F126" s="118"/>
      <c r="G126" s="118"/>
      <c r="H126" s="133"/>
    </row>
    <row r="127" spans="1:8">
      <c r="A127" s="196"/>
      <c r="B127" s="197"/>
      <c r="C127" s="249"/>
      <c r="D127" s="118"/>
      <c r="E127" s="118"/>
      <c r="F127" s="118"/>
      <c r="G127" s="118"/>
      <c r="H127" s="133"/>
    </row>
    <row r="128" spans="1:8">
      <c r="A128" s="27"/>
      <c r="C128" s="252"/>
      <c r="D128" s="28"/>
      <c r="E128" s="28"/>
      <c r="F128" s="28"/>
      <c r="G128" s="28"/>
    </row>
    <row r="129" spans="1:7">
      <c r="A129" s="27"/>
      <c r="C129" s="252"/>
      <c r="D129" s="28"/>
      <c r="E129" s="28"/>
      <c r="F129" s="28"/>
      <c r="G129" s="28"/>
    </row>
    <row r="130" spans="1:7">
      <c r="A130" s="27"/>
      <c r="C130" s="252"/>
      <c r="D130" s="28"/>
      <c r="E130" s="28"/>
      <c r="F130" s="28"/>
      <c r="G130" s="28"/>
    </row>
    <row r="131" spans="1:7">
      <c r="A131" s="27"/>
      <c r="C131" s="252"/>
      <c r="D131" s="28"/>
      <c r="E131" s="28"/>
      <c r="F131" s="28"/>
      <c r="G131" s="28"/>
    </row>
    <row r="132" spans="1:7">
      <c r="A132" s="27"/>
      <c r="C132" s="252"/>
      <c r="D132" s="28"/>
      <c r="E132" s="28"/>
      <c r="F132" s="28"/>
      <c r="G132" s="28"/>
    </row>
    <row r="133" spans="1:7">
      <c r="A133" s="27"/>
      <c r="C133" s="252"/>
      <c r="D133" s="28"/>
      <c r="E133" s="28"/>
      <c r="F133" s="28"/>
      <c r="G133" s="28"/>
    </row>
    <row r="134" spans="1:7">
      <c r="A134" s="27"/>
      <c r="C134" s="252"/>
      <c r="D134" s="28"/>
      <c r="E134" s="28"/>
      <c r="F134" s="28"/>
      <c r="G134" s="28"/>
    </row>
    <row r="135" spans="1:7">
      <c r="A135" s="27"/>
      <c r="C135" s="252"/>
      <c r="D135" s="28"/>
      <c r="E135" s="28"/>
      <c r="F135" s="28"/>
      <c r="G135" s="28"/>
    </row>
    <row r="136" spans="1:7">
      <c r="A136" s="27"/>
      <c r="C136" s="252"/>
      <c r="D136" s="28"/>
      <c r="E136" s="28"/>
      <c r="F136" s="28"/>
      <c r="G136" s="28"/>
    </row>
    <row r="137" spans="1:7">
      <c r="A137" s="27"/>
      <c r="C137" s="252"/>
      <c r="D137" s="28"/>
      <c r="E137" s="28"/>
      <c r="F137" s="28"/>
      <c r="G137" s="28"/>
    </row>
    <row r="138" spans="1:7">
      <c r="A138" s="27"/>
      <c r="C138" s="252"/>
      <c r="D138" s="28"/>
      <c r="E138" s="28"/>
      <c r="F138" s="28"/>
      <c r="G138" s="28"/>
    </row>
    <row r="139" spans="1:7">
      <c r="A139" s="27"/>
      <c r="C139" s="252"/>
      <c r="D139" s="28"/>
      <c r="E139" s="28"/>
      <c r="F139" s="28"/>
      <c r="G139" s="28"/>
    </row>
    <row r="140" spans="1:7">
      <c r="A140" s="27"/>
      <c r="C140" s="252"/>
      <c r="D140" s="28"/>
      <c r="E140" s="28"/>
      <c r="F140" s="28"/>
      <c r="G140" s="28"/>
    </row>
    <row r="141" spans="1:7">
      <c r="A141" s="27"/>
      <c r="C141" s="252"/>
      <c r="D141" s="28"/>
      <c r="E141" s="28"/>
      <c r="F141" s="28"/>
      <c r="G141" s="28"/>
    </row>
    <row r="142" spans="1:7">
      <c r="A142" s="27"/>
      <c r="C142" s="252"/>
      <c r="D142" s="28"/>
      <c r="E142" s="28"/>
      <c r="F142" s="28"/>
      <c r="G142" s="28"/>
    </row>
    <row r="143" spans="1:7">
      <c r="A143" s="27"/>
      <c r="C143" s="252"/>
      <c r="D143" s="28"/>
      <c r="E143" s="28"/>
      <c r="F143" s="28"/>
      <c r="G143" s="28"/>
    </row>
    <row r="144" spans="1:7">
      <c r="A144" s="27"/>
      <c r="C144" s="252"/>
      <c r="D144" s="28"/>
      <c r="E144" s="28"/>
      <c r="F144" s="28"/>
      <c r="G144" s="28"/>
    </row>
    <row r="145" spans="1:7">
      <c r="A145" s="27"/>
      <c r="C145" s="252"/>
      <c r="D145" s="28"/>
      <c r="E145" s="28"/>
      <c r="F145" s="28"/>
      <c r="G145" s="28"/>
    </row>
    <row r="146" spans="1:7">
      <c r="A146" s="27"/>
      <c r="C146" s="252"/>
      <c r="D146" s="28"/>
      <c r="E146" s="28"/>
      <c r="F146" s="28"/>
      <c r="G146" s="28"/>
    </row>
    <row r="147" spans="1:7">
      <c r="A147" s="27"/>
      <c r="C147" s="252"/>
      <c r="D147" s="28"/>
      <c r="E147" s="28"/>
      <c r="F147" s="28"/>
      <c r="G147" s="28"/>
    </row>
    <row r="148" spans="1:7">
      <c r="A148" s="27"/>
      <c r="C148" s="252"/>
      <c r="D148" s="28"/>
      <c r="E148" s="28"/>
      <c r="F148" s="28"/>
      <c r="G148" s="28"/>
    </row>
    <row r="149" spans="1:7">
      <c r="A149" s="27"/>
      <c r="C149" s="252"/>
      <c r="D149" s="28"/>
      <c r="E149" s="28"/>
      <c r="F149" s="28"/>
      <c r="G149" s="28"/>
    </row>
    <row r="150" spans="1:7">
      <c r="A150" s="27"/>
      <c r="C150" s="252"/>
      <c r="D150" s="28"/>
      <c r="E150" s="28"/>
      <c r="F150" s="28"/>
      <c r="G150" s="28"/>
    </row>
    <row r="151" spans="1:7">
      <c r="A151" s="27"/>
      <c r="C151" s="252"/>
      <c r="D151" s="28"/>
      <c r="E151" s="28"/>
      <c r="F151" s="28"/>
      <c r="G151" s="28"/>
    </row>
    <row r="152" spans="1:7">
      <c r="A152" s="27"/>
      <c r="C152" s="252"/>
      <c r="D152" s="28"/>
      <c r="E152" s="28"/>
      <c r="F152" s="28"/>
      <c r="G152" s="28"/>
    </row>
    <row r="153" spans="1:7">
      <c r="A153" s="27"/>
      <c r="C153" s="252"/>
      <c r="D153" s="28"/>
      <c r="E153" s="28"/>
      <c r="F153" s="28"/>
      <c r="G153" s="28"/>
    </row>
    <row r="154" spans="1:7">
      <c r="A154" s="27"/>
      <c r="C154" s="252"/>
      <c r="D154" s="28"/>
      <c r="E154" s="28"/>
      <c r="F154" s="28"/>
      <c r="G154" s="28"/>
    </row>
    <row r="155" spans="1:7">
      <c r="A155" s="27"/>
      <c r="C155" s="252"/>
      <c r="D155" s="28"/>
      <c r="E155" s="28"/>
      <c r="F155" s="28"/>
      <c r="G155" s="28"/>
    </row>
    <row r="156" spans="1:7">
      <c r="A156" s="27"/>
      <c r="C156" s="252"/>
      <c r="D156" s="28"/>
      <c r="E156" s="28"/>
      <c r="F156" s="28"/>
      <c r="G156" s="28"/>
    </row>
    <row r="157" spans="1:7">
      <c r="A157" s="27"/>
      <c r="C157" s="252"/>
      <c r="D157" s="28"/>
      <c r="E157" s="28"/>
      <c r="F157" s="28"/>
      <c r="G157" s="28"/>
    </row>
    <row r="158" spans="1:7">
      <c r="A158" s="27"/>
      <c r="C158" s="252"/>
      <c r="D158" s="28"/>
      <c r="E158" s="28"/>
      <c r="F158" s="28"/>
      <c r="G158" s="28"/>
    </row>
    <row r="159" spans="1:7">
      <c r="A159" s="27"/>
      <c r="C159" s="252"/>
      <c r="D159" s="28"/>
      <c r="E159" s="28"/>
      <c r="F159" s="28"/>
      <c r="G159" s="28"/>
    </row>
    <row r="160" spans="1:7">
      <c r="A160" s="27"/>
      <c r="C160" s="252"/>
      <c r="D160" s="28"/>
      <c r="E160" s="28"/>
      <c r="F160" s="28"/>
      <c r="G160" s="28"/>
    </row>
    <row r="161" spans="1:7">
      <c r="A161" s="27"/>
      <c r="C161" s="252"/>
      <c r="D161" s="28"/>
      <c r="E161" s="28"/>
      <c r="F161" s="28"/>
      <c r="G161" s="28"/>
    </row>
    <row r="162" spans="1:7">
      <c r="A162" s="27"/>
      <c r="C162" s="252"/>
      <c r="D162" s="28"/>
      <c r="E162" s="28"/>
      <c r="F162" s="28"/>
      <c r="G162" s="28"/>
    </row>
    <row r="163" spans="1:7">
      <c r="A163" s="27"/>
      <c r="C163" s="252"/>
      <c r="D163" s="28"/>
      <c r="E163" s="28"/>
      <c r="F163" s="28"/>
      <c r="G163" s="28"/>
    </row>
    <row r="164" spans="1:7">
      <c r="A164" s="27"/>
      <c r="C164" s="252"/>
      <c r="D164" s="28"/>
      <c r="E164" s="28"/>
      <c r="F164" s="28"/>
      <c r="G164" s="28"/>
    </row>
    <row r="165" spans="1:7">
      <c r="A165" s="27"/>
      <c r="C165" s="252"/>
      <c r="D165" s="28"/>
      <c r="E165" s="28"/>
      <c r="F165" s="28"/>
      <c r="G165" s="28"/>
    </row>
    <row r="166" spans="1:7">
      <c r="A166" s="27"/>
      <c r="C166" s="252"/>
      <c r="D166" s="28"/>
      <c r="E166" s="28"/>
      <c r="F166" s="28"/>
      <c r="G166" s="28"/>
    </row>
    <row r="167" spans="1:7">
      <c r="A167" s="27"/>
      <c r="C167" s="252"/>
      <c r="D167" s="28"/>
      <c r="E167" s="28"/>
      <c r="F167" s="28"/>
      <c r="G167" s="28"/>
    </row>
    <row r="168" spans="1:7">
      <c r="A168" s="27"/>
      <c r="C168" s="252"/>
      <c r="D168" s="28"/>
      <c r="E168" s="28"/>
      <c r="F168" s="28"/>
      <c r="G168" s="28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</row>
    <row r="178" spans="1:3">
      <c r="A178" s="49"/>
    </row>
    <row r="179" spans="1:3">
      <c r="A179" s="49"/>
      <c r="B179" s="2"/>
      <c r="C179" s="254"/>
    </row>
    <row r="180" spans="1:3">
      <c r="A180" s="49"/>
      <c r="B180" s="2"/>
      <c r="C180" s="254"/>
    </row>
    <row r="181" spans="1:3">
      <c r="A181" s="49"/>
      <c r="B181" s="2"/>
      <c r="C181" s="254"/>
    </row>
    <row r="182" spans="1:3">
      <c r="A182" s="49"/>
      <c r="B182" s="2"/>
      <c r="C182" s="254"/>
    </row>
    <row r="183" spans="1:3">
      <c r="A183" s="49"/>
      <c r="B183" s="2"/>
      <c r="C183" s="254"/>
    </row>
    <row r="184" spans="1:3">
      <c r="A184" s="49"/>
      <c r="B184" s="2"/>
      <c r="C184" s="254"/>
    </row>
    <row r="185" spans="1:3">
      <c r="A185" s="49"/>
      <c r="B185" s="2"/>
      <c r="C185" s="254"/>
    </row>
    <row r="186" spans="1:3">
      <c r="A186" s="49"/>
      <c r="B186" s="2"/>
      <c r="C186" s="254"/>
    </row>
    <row r="187" spans="1:3">
      <c r="A187" s="49"/>
      <c r="B187" s="2"/>
      <c r="C187" s="254"/>
    </row>
    <row r="188" spans="1:3">
      <c r="A188" s="49"/>
      <c r="B188" s="2"/>
      <c r="C188" s="254"/>
    </row>
    <row r="189" spans="1:3">
      <c r="A189" s="49"/>
      <c r="B189" s="2"/>
      <c r="C189" s="254"/>
    </row>
    <row r="190" spans="1:3">
      <c r="A190" s="49"/>
      <c r="B190" s="2"/>
      <c r="C190" s="254"/>
    </row>
    <row r="191" spans="1:3">
      <c r="A191" s="49"/>
      <c r="B191" s="2"/>
      <c r="C191" s="254"/>
    </row>
    <row r="192" spans="1:3">
      <c r="A192" s="49"/>
      <c r="B192" s="2"/>
      <c r="C192" s="254"/>
    </row>
    <row r="193" spans="1:3">
      <c r="A193" s="49"/>
      <c r="B193" s="2"/>
      <c r="C193" s="254"/>
    </row>
    <row r="194" spans="1:3">
      <c r="A194" s="49"/>
      <c r="B194" s="2"/>
      <c r="C194" s="254"/>
    </row>
    <row r="195" spans="1:3">
      <c r="A195" s="49"/>
      <c r="B195" s="2"/>
      <c r="C195" s="254"/>
    </row>
    <row r="196" spans="1:3">
      <c r="A196" s="49"/>
      <c r="B196" s="2"/>
      <c r="C196" s="254"/>
    </row>
    <row r="197" spans="1:3">
      <c r="A197" s="49"/>
      <c r="B197" s="2"/>
      <c r="C197" s="254"/>
    </row>
    <row r="198" spans="1:3">
      <c r="A198" s="49"/>
      <c r="B198" s="2"/>
      <c r="C198" s="254"/>
    </row>
    <row r="199" spans="1:3">
      <c r="A199" s="49"/>
      <c r="B199" s="2"/>
      <c r="C199" s="254"/>
    </row>
    <row r="200" spans="1:3">
      <c r="A200" s="49"/>
      <c r="B200" s="2"/>
      <c r="C200" s="254"/>
    </row>
    <row r="201" spans="1:3">
      <c r="A201" s="49"/>
      <c r="B201" s="2"/>
      <c r="C201" s="254"/>
    </row>
    <row r="202" spans="1:3">
      <c r="A202" s="49"/>
      <c r="B202" s="2"/>
      <c r="C202" s="254"/>
    </row>
    <row r="203" spans="1:3">
      <c r="A203" s="49"/>
      <c r="B203" s="2"/>
      <c r="C203" s="254"/>
    </row>
    <row r="204" spans="1:3">
      <c r="A204" s="49"/>
      <c r="B204" s="2"/>
      <c r="C204" s="254"/>
    </row>
    <row r="205" spans="1:3">
      <c r="A205" s="49"/>
      <c r="B205" s="2"/>
      <c r="C205" s="254"/>
    </row>
    <row r="206" spans="1:3">
      <c r="A206" s="49"/>
      <c r="B206" s="2"/>
      <c r="C206" s="254"/>
    </row>
    <row r="207" spans="1:3">
      <c r="A207" s="49"/>
      <c r="B207" s="2"/>
      <c r="C207" s="254"/>
    </row>
    <row r="208" spans="1:3">
      <c r="A208" s="49"/>
      <c r="B208" s="2"/>
      <c r="C208" s="254"/>
    </row>
    <row r="209" spans="1:3">
      <c r="A209" s="49"/>
      <c r="B209" s="2"/>
      <c r="C209" s="254"/>
    </row>
    <row r="210" spans="1:3">
      <c r="A210" s="49"/>
      <c r="B210" s="2"/>
      <c r="C210" s="254"/>
    </row>
    <row r="211" spans="1:3">
      <c r="A211" s="49"/>
      <c r="B211" s="2"/>
      <c r="C211" s="254"/>
    </row>
    <row r="212" spans="1:3">
      <c r="A212" s="49"/>
      <c r="B212" s="2"/>
      <c r="C212" s="254"/>
    </row>
    <row r="213" spans="1:3">
      <c r="A213" s="49"/>
      <c r="B213" s="2"/>
      <c r="C213" s="254"/>
    </row>
    <row r="214" spans="1:3">
      <c r="A214" s="49"/>
      <c r="B214" s="2"/>
      <c r="C214" s="254"/>
    </row>
    <row r="215" spans="1:3">
      <c r="A215" s="49"/>
      <c r="B215" s="2"/>
      <c r="C215" s="254"/>
    </row>
    <row r="216" spans="1:3">
      <c r="A216" s="49"/>
      <c r="B216" s="2"/>
      <c r="C216" s="254"/>
    </row>
    <row r="217" spans="1:3">
      <c r="A217" s="49"/>
      <c r="B217" s="2"/>
      <c r="C217" s="254"/>
    </row>
    <row r="218" spans="1:3">
      <c r="A218" s="49"/>
      <c r="B218" s="2"/>
      <c r="C218" s="254"/>
    </row>
    <row r="219" spans="1:3">
      <c r="A219" s="49"/>
      <c r="B219" s="2"/>
      <c r="C219" s="254"/>
    </row>
    <row r="220" spans="1:3">
      <c r="A220" s="49"/>
      <c r="B220" s="2"/>
      <c r="C220" s="254"/>
    </row>
    <row r="221" spans="1:3">
      <c r="A221" s="49"/>
      <c r="B221" s="2"/>
      <c r="C221" s="254"/>
    </row>
    <row r="222" spans="1:3">
      <c r="A222" s="49"/>
      <c r="B222" s="2"/>
      <c r="C222" s="254"/>
    </row>
    <row r="223" spans="1:3">
      <c r="A223" s="49"/>
      <c r="B223" s="2"/>
      <c r="C223" s="254"/>
    </row>
    <row r="224" spans="1:3">
      <c r="A224" s="49"/>
      <c r="B224" s="2"/>
      <c r="C224" s="254"/>
    </row>
    <row r="225" spans="1:3">
      <c r="A225" s="49"/>
      <c r="B225" s="2"/>
      <c r="C225" s="254"/>
    </row>
    <row r="226" spans="1:3">
      <c r="A226" s="49"/>
      <c r="B226" s="2"/>
      <c r="C226" s="254"/>
    </row>
    <row r="227" spans="1:3">
      <c r="A227" s="49"/>
      <c r="B227" s="2"/>
      <c r="C227" s="254"/>
    </row>
    <row r="228" spans="1:3">
      <c r="A228" s="49"/>
      <c r="B228" s="2"/>
      <c r="C228" s="254"/>
    </row>
    <row r="229" spans="1:3">
      <c r="A229" s="49"/>
      <c r="B229" s="2"/>
      <c r="C229" s="254"/>
    </row>
    <row r="230" spans="1:3">
      <c r="A230" s="49"/>
      <c r="B230" s="2"/>
      <c r="C230" s="254"/>
    </row>
    <row r="231" spans="1:3">
      <c r="A231" s="49"/>
      <c r="B231" s="2"/>
      <c r="C231" s="254"/>
    </row>
    <row r="232" spans="1:3">
      <c r="A232" s="49"/>
      <c r="B232" s="2"/>
      <c r="C232" s="254"/>
    </row>
    <row r="233" spans="1:3">
      <c r="A233" s="49"/>
      <c r="B233" s="2"/>
      <c r="C233" s="254"/>
    </row>
    <row r="234" spans="1:3">
      <c r="A234" s="49"/>
      <c r="B234" s="2"/>
      <c r="C234" s="254"/>
    </row>
    <row r="235" spans="1:3">
      <c r="A235" s="49"/>
      <c r="B235" s="2"/>
      <c r="C235" s="254"/>
    </row>
    <row r="236" spans="1:3">
      <c r="A236" s="49"/>
      <c r="B236" s="2"/>
      <c r="C236" s="254"/>
    </row>
    <row r="237" spans="1:3">
      <c r="A237" s="49"/>
      <c r="B237" s="2"/>
      <c r="C237" s="254"/>
    </row>
    <row r="238" spans="1:3">
      <c r="A238" s="49"/>
      <c r="B238" s="2"/>
      <c r="C238" s="254"/>
    </row>
    <row r="239" spans="1:3">
      <c r="A239" s="49"/>
      <c r="B239" s="2"/>
      <c r="C239" s="254"/>
    </row>
    <row r="240" spans="1:3">
      <c r="A240" s="49"/>
      <c r="B240" s="2"/>
      <c r="C240" s="254"/>
    </row>
    <row r="241" spans="1:3">
      <c r="A241" s="49"/>
      <c r="B241" s="2"/>
      <c r="C241" s="254"/>
    </row>
    <row r="242" spans="1:3">
      <c r="A242" s="49"/>
      <c r="B242" s="2"/>
      <c r="C242" s="254"/>
    </row>
    <row r="243" spans="1:3">
      <c r="A243" s="49"/>
      <c r="B243" s="2"/>
      <c r="C243" s="254"/>
    </row>
    <row r="244" spans="1:3">
      <c r="A244" s="49"/>
      <c r="B244" s="2"/>
      <c r="C244" s="254"/>
    </row>
    <row r="245" spans="1:3">
      <c r="A245" s="49"/>
      <c r="B245" s="2"/>
      <c r="C245" s="254"/>
    </row>
    <row r="246" spans="1:3">
      <c r="A246" s="49"/>
      <c r="B246" s="2"/>
      <c r="C246" s="254"/>
    </row>
    <row r="247" spans="1:3">
      <c r="A247" s="49"/>
      <c r="B247" s="2"/>
      <c r="C247" s="254"/>
    </row>
    <row r="248" spans="1:3">
      <c r="A248" s="49"/>
      <c r="B248" s="2"/>
      <c r="C248" s="254"/>
    </row>
    <row r="249" spans="1:3">
      <c r="A249" s="49"/>
      <c r="B249" s="2"/>
      <c r="C249" s="254"/>
    </row>
    <row r="250" spans="1:3">
      <c r="A250" s="49"/>
      <c r="B250" s="2"/>
      <c r="C250" s="254"/>
    </row>
    <row r="251" spans="1:3">
      <c r="A251" s="49"/>
      <c r="B251" s="2"/>
      <c r="C251" s="254"/>
    </row>
    <row r="252" spans="1:3">
      <c r="A252" s="49"/>
      <c r="B252" s="2"/>
      <c r="C252" s="254"/>
    </row>
    <row r="253" spans="1:3">
      <c r="A253" s="49"/>
      <c r="B253" s="2"/>
      <c r="C253" s="254"/>
    </row>
    <row r="254" spans="1:3">
      <c r="A254" s="49"/>
      <c r="B254" s="2"/>
      <c r="C254" s="254"/>
    </row>
    <row r="255" spans="1:3">
      <c r="A255" s="49"/>
      <c r="B255" s="2"/>
      <c r="C255" s="254"/>
    </row>
    <row r="256" spans="1:3">
      <c r="A256" s="49"/>
      <c r="B256" s="2"/>
      <c r="C256" s="254"/>
    </row>
    <row r="257" spans="1:3">
      <c r="A257" s="49"/>
      <c r="B257" s="2"/>
      <c r="C257" s="254"/>
    </row>
    <row r="258" spans="1:3">
      <c r="A258" s="49"/>
      <c r="B258" s="2"/>
      <c r="C258" s="254"/>
    </row>
    <row r="259" spans="1:3">
      <c r="A259" s="49"/>
      <c r="B259" s="2"/>
      <c r="C259" s="254"/>
    </row>
    <row r="260" spans="1:3">
      <c r="A260" s="49"/>
      <c r="B260" s="2"/>
      <c r="C260" s="254"/>
    </row>
    <row r="261" spans="1:3">
      <c r="A261" s="49"/>
      <c r="B261" s="2"/>
      <c r="C261" s="254"/>
    </row>
    <row r="262" spans="1:3">
      <c r="A262" s="49"/>
      <c r="B262" s="2"/>
      <c r="C262" s="254"/>
    </row>
    <row r="263" spans="1:3">
      <c r="A263" s="49"/>
      <c r="B263" s="2"/>
      <c r="C263" s="254"/>
    </row>
    <row r="264" spans="1:3">
      <c r="A264" s="49"/>
      <c r="B264" s="2"/>
      <c r="C264" s="254"/>
    </row>
    <row r="265" spans="1:3">
      <c r="A265" s="49"/>
      <c r="B265" s="2"/>
      <c r="C265" s="254"/>
    </row>
    <row r="266" spans="1:3">
      <c r="A266" s="49"/>
      <c r="B266" s="2"/>
      <c r="C266" s="254"/>
    </row>
    <row r="267" spans="1:3">
      <c r="A267" s="49"/>
      <c r="B267" s="2"/>
      <c r="C267" s="254"/>
    </row>
    <row r="268" spans="1:3">
      <c r="A268" s="49"/>
      <c r="B268" s="2"/>
      <c r="C268" s="254"/>
    </row>
    <row r="269" spans="1:3">
      <c r="A269" s="49"/>
      <c r="B269" s="2"/>
      <c r="C269" s="254"/>
    </row>
    <row r="270" spans="1:3">
      <c r="A270" s="49"/>
      <c r="B270" s="2"/>
      <c r="C270" s="254"/>
    </row>
    <row r="271" spans="1:3">
      <c r="A271" s="49"/>
      <c r="B271" s="2"/>
      <c r="C271" s="254"/>
    </row>
    <row r="272" spans="1:3">
      <c r="A272" s="49"/>
      <c r="B272" s="2"/>
      <c r="C272" s="254"/>
    </row>
    <row r="273" spans="1:3">
      <c r="A273" s="49"/>
      <c r="B273" s="2"/>
      <c r="C273" s="254"/>
    </row>
    <row r="274" spans="1:3">
      <c r="A274" s="49"/>
      <c r="B274" s="2"/>
      <c r="C274" s="254"/>
    </row>
    <row r="275" spans="1:3">
      <c r="A275" s="49"/>
      <c r="B275" s="2"/>
      <c r="C275" s="254"/>
    </row>
    <row r="276" spans="1:3">
      <c r="A276" s="49"/>
      <c r="B276" s="2"/>
      <c r="C276" s="254"/>
    </row>
    <row r="277" spans="1:3">
      <c r="A277" s="49"/>
      <c r="B277" s="2"/>
      <c r="C277" s="254"/>
    </row>
    <row r="278" spans="1:3">
      <c r="A278" s="49"/>
      <c r="B278" s="2"/>
      <c r="C278" s="254"/>
    </row>
    <row r="279" spans="1:3">
      <c r="A279" s="49"/>
      <c r="B279" s="2"/>
      <c r="C279" s="254"/>
    </row>
    <row r="280" spans="1:3">
      <c r="A280" s="49"/>
      <c r="B280" s="2"/>
      <c r="C280" s="254"/>
    </row>
    <row r="281" spans="1:3">
      <c r="A281" s="49"/>
      <c r="B281" s="2"/>
      <c r="C281" s="254"/>
    </row>
    <row r="282" spans="1:3">
      <c r="A282" s="49"/>
      <c r="B282" s="2"/>
      <c r="C282" s="254"/>
    </row>
    <row r="283" spans="1:3">
      <c r="A283" s="49"/>
      <c r="B283" s="2"/>
      <c r="C283" s="254"/>
    </row>
    <row r="284" spans="1:3">
      <c r="A284" s="49"/>
      <c r="B284" s="2"/>
      <c r="C284" s="254"/>
    </row>
    <row r="285" spans="1:3">
      <c r="A285" s="49"/>
      <c r="B285" s="2"/>
      <c r="C285" s="254"/>
    </row>
    <row r="286" spans="1:3">
      <c r="A286" s="49"/>
      <c r="B286" s="2"/>
      <c r="C286" s="254"/>
    </row>
    <row r="287" spans="1:3">
      <c r="A287" s="49"/>
      <c r="B287" s="2"/>
      <c r="C287" s="254"/>
    </row>
    <row r="288" spans="1:3">
      <c r="A288" s="49"/>
      <c r="B288" s="2"/>
      <c r="C288" s="254"/>
    </row>
    <row r="289" spans="1:3">
      <c r="A289" s="49"/>
      <c r="B289" s="2"/>
      <c r="C289" s="254"/>
    </row>
    <row r="290" spans="1:3">
      <c r="A290" s="49"/>
      <c r="B290" s="2"/>
      <c r="C290" s="254"/>
    </row>
    <row r="291" spans="1:3">
      <c r="A291" s="49"/>
      <c r="B291" s="2"/>
      <c r="C291" s="254"/>
    </row>
    <row r="292" spans="1:3">
      <c r="A292" s="49"/>
      <c r="B292" s="2"/>
      <c r="C292" s="254"/>
    </row>
    <row r="293" spans="1:3">
      <c r="A293" s="49"/>
      <c r="B293" s="2"/>
      <c r="C293" s="254"/>
    </row>
    <row r="294" spans="1:3">
      <c r="A294" s="49"/>
      <c r="B294" s="2"/>
      <c r="C294" s="254"/>
    </row>
    <row r="295" spans="1:3">
      <c r="A295" s="49"/>
      <c r="B295" s="2"/>
      <c r="C295" s="254"/>
    </row>
    <row r="296" spans="1:3">
      <c r="A296" s="49"/>
      <c r="B296" s="2"/>
      <c r="C296" s="254"/>
    </row>
    <row r="297" spans="1:3">
      <c r="A297" s="49"/>
      <c r="B297" s="2"/>
      <c r="C297" s="254"/>
    </row>
    <row r="298" spans="1:3">
      <c r="A298" s="49"/>
      <c r="B298" s="2"/>
      <c r="C298" s="254"/>
    </row>
    <row r="299" spans="1:3">
      <c r="A299" s="49"/>
      <c r="B299" s="2"/>
      <c r="C299" s="254"/>
    </row>
    <row r="300" spans="1:3">
      <c r="A300" s="49"/>
      <c r="B300" s="2"/>
      <c r="C300" s="254"/>
    </row>
    <row r="301" spans="1:3">
      <c r="A301" s="49"/>
      <c r="B301" s="2"/>
      <c r="C301" s="254"/>
    </row>
    <row r="302" spans="1:3">
      <c r="A302" s="49"/>
      <c r="B302" s="2"/>
      <c r="C302" s="254"/>
    </row>
    <row r="303" spans="1:3">
      <c r="A303" s="49"/>
      <c r="B303" s="2"/>
      <c r="C303" s="254"/>
    </row>
    <row r="304" spans="1:3">
      <c r="A304" s="49"/>
      <c r="B304" s="2"/>
      <c r="C304" s="254"/>
    </row>
    <row r="305" spans="1:3">
      <c r="A305" s="49"/>
      <c r="B305" s="2"/>
      <c r="C305" s="254"/>
    </row>
    <row r="306" spans="1:3">
      <c r="A306" s="49"/>
      <c r="B306" s="2"/>
      <c r="C306" s="254"/>
    </row>
    <row r="307" spans="1:3">
      <c r="A307" s="49"/>
      <c r="B307" s="2"/>
      <c r="C307" s="254"/>
    </row>
    <row r="308" spans="1:3">
      <c r="A308" s="49"/>
      <c r="B308" s="2"/>
      <c r="C308" s="254"/>
    </row>
    <row r="309" spans="1:3">
      <c r="A309" s="49"/>
      <c r="B309" s="2"/>
      <c r="C309" s="254"/>
    </row>
    <row r="310" spans="1:3">
      <c r="A310" s="49"/>
      <c r="B310" s="2"/>
      <c r="C310" s="254"/>
    </row>
    <row r="311" spans="1:3">
      <c r="A311" s="49"/>
      <c r="B311" s="2"/>
      <c r="C311" s="254"/>
    </row>
    <row r="312" spans="1:3">
      <c r="A312" s="49"/>
      <c r="B312" s="2"/>
      <c r="C312" s="254"/>
    </row>
    <row r="313" spans="1:3">
      <c r="A313" s="49"/>
      <c r="B313" s="2"/>
      <c r="C313" s="254"/>
    </row>
    <row r="314" spans="1:3">
      <c r="A314" s="49"/>
      <c r="B314" s="2"/>
      <c r="C314" s="254"/>
    </row>
    <row r="315" spans="1:3">
      <c r="A315" s="49"/>
      <c r="B315" s="2"/>
      <c r="C315" s="254"/>
    </row>
    <row r="316" spans="1:3">
      <c r="A316" s="49"/>
      <c r="B316" s="2"/>
      <c r="C316" s="254"/>
    </row>
    <row r="317" spans="1:3">
      <c r="A317" s="49"/>
      <c r="B317" s="2"/>
      <c r="C317" s="254"/>
    </row>
    <row r="318" spans="1:3">
      <c r="A318" s="49"/>
      <c r="B318" s="2"/>
      <c r="C318" s="254"/>
    </row>
    <row r="319" spans="1:3">
      <c r="A319" s="49"/>
      <c r="B319" s="2"/>
      <c r="C319" s="254"/>
    </row>
    <row r="320" spans="1:3">
      <c r="A320" s="49"/>
      <c r="B320" s="2"/>
      <c r="C320" s="254"/>
    </row>
    <row r="321" spans="1:3">
      <c r="A321" s="49"/>
      <c r="B321" s="2"/>
      <c r="C321" s="254"/>
    </row>
    <row r="322" spans="1:3">
      <c r="A322" s="49"/>
      <c r="B322" s="2"/>
      <c r="C322" s="254"/>
    </row>
    <row r="323" spans="1:3">
      <c r="A323" s="49"/>
      <c r="B323" s="2"/>
      <c r="C323" s="254"/>
    </row>
    <row r="324" spans="1:3">
      <c r="A324" s="49"/>
      <c r="B324" s="2"/>
      <c r="C324" s="254"/>
    </row>
    <row r="325" spans="1:3">
      <c r="A325" s="49"/>
      <c r="B325" s="2"/>
      <c r="C325" s="254"/>
    </row>
    <row r="326" spans="1:3">
      <c r="A326" s="49"/>
      <c r="B326" s="2"/>
      <c r="C326" s="254"/>
    </row>
    <row r="327" spans="1:3">
      <c r="A327" s="49"/>
      <c r="B327" s="2"/>
      <c r="C327" s="254"/>
    </row>
    <row r="328" spans="1:3">
      <c r="A328" s="49"/>
      <c r="B328" s="2"/>
      <c r="C328" s="254"/>
    </row>
    <row r="329" spans="1:3">
      <c r="A329" s="49"/>
      <c r="B329" s="2"/>
      <c r="C329" s="254"/>
    </row>
    <row r="330" spans="1:3">
      <c r="A330" s="49"/>
      <c r="B330" s="2"/>
      <c r="C330" s="254"/>
    </row>
    <row r="331" spans="1:3">
      <c r="A331" s="49"/>
      <c r="B331" s="2"/>
      <c r="C331" s="254"/>
    </row>
    <row r="332" spans="1:3">
      <c r="A332" s="49"/>
      <c r="B332" s="2"/>
      <c r="C332" s="254"/>
    </row>
    <row r="333" spans="1:3">
      <c r="A333" s="49"/>
      <c r="B333" s="2"/>
      <c r="C333" s="254"/>
    </row>
    <row r="334" spans="1:3">
      <c r="A334" s="49"/>
      <c r="B334" s="2"/>
      <c r="C334" s="254"/>
    </row>
    <row r="335" spans="1:3">
      <c r="A335" s="49"/>
      <c r="B335" s="2"/>
      <c r="C335" s="254"/>
    </row>
  </sheetData>
  <customSheetViews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10:G110"/>
    <mergeCell ref="A6:H6"/>
    <mergeCell ref="A83:H83"/>
    <mergeCell ref="A89:H89"/>
    <mergeCell ref="B3:B4"/>
    <mergeCell ref="A3:A4"/>
    <mergeCell ref="D3:G3"/>
    <mergeCell ref="A96:H96"/>
    <mergeCell ref="E109:G109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92"/>
  <sheetViews>
    <sheetView view="pageBreakPreview" zoomScale="75" zoomScaleNormal="65" zoomScaleSheetLayoutView="50" workbookViewId="0">
      <pane ySplit="5" topLeftCell="A27" activePane="bottomLeft" state="frozen"/>
      <selection pane="bottomLeft" activeCell="H17" sqref="H17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59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85" t="s">
        <v>346</v>
      </c>
      <c r="B1" s="385"/>
      <c r="C1" s="385"/>
      <c r="D1" s="385"/>
      <c r="E1" s="385"/>
      <c r="F1" s="385"/>
      <c r="G1" s="385"/>
    </row>
    <row r="2" spans="1:7" outlineLevel="1">
      <c r="A2" s="43"/>
      <c r="B2" s="52"/>
      <c r="C2" s="239"/>
      <c r="D2" s="43"/>
      <c r="E2" s="43"/>
      <c r="F2" s="43"/>
      <c r="G2" s="43"/>
    </row>
    <row r="3" spans="1:7" ht="38.25" customHeight="1">
      <c r="A3" s="379" t="s">
        <v>259</v>
      </c>
      <c r="B3" s="386" t="s">
        <v>18</v>
      </c>
      <c r="C3" s="381" t="s">
        <v>434</v>
      </c>
      <c r="D3" s="378" t="s">
        <v>435</v>
      </c>
      <c r="E3" s="378"/>
      <c r="F3" s="378"/>
      <c r="G3" s="378"/>
    </row>
    <row r="4" spans="1:7" ht="50.25" customHeight="1">
      <c r="A4" s="379"/>
      <c r="B4" s="386"/>
      <c r="C4" s="381"/>
      <c r="D4" s="227" t="s">
        <v>436</v>
      </c>
      <c r="E4" s="227" t="s">
        <v>437</v>
      </c>
      <c r="F4" s="227" t="s">
        <v>438</v>
      </c>
      <c r="G4" s="227" t="s">
        <v>439</v>
      </c>
    </row>
    <row r="5" spans="1:7" ht="18" customHeight="1">
      <c r="A5" s="50">
        <v>1</v>
      </c>
      <c r="B5" s="51">
        <v>2</v>
      </c>
      <c r="C5" s="255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82" t="s">
        <v>156</v>
      </c>
      <c r="B6" s="383"/>
      <c r="C6" s="383"/>
      <c r="D6" s="383"/>
      <c r="E6" s="383"/>
      <c r="F6" s="383"/>
      <c r="G6" s="384"/>
    </row>
    <row r="7" spans="1:7" ht="42.75" customHeight="1">
      <c r="A7" s="57" t="s">
        <v>61</v>
      </c>
      <c r="B7" s="7">
        <v>2000</v>
      </c>
      <c r="C7" s="206">
        <v>529</v>
      </c>
      <c r="D7" s="206">
        <v>560</v>
      </c>
      <c r="E7" s="154">
        <v>1048</v>
      </c>
      <c r="F7" s="206">
        <f>D7-E7</f>
        <v>-488</v>
      </c>
      <c r="G7" s="206">
        <f>E7/D7%</f>
        <v>187.14285714285717</v>
      </c>
    </row>
    <row r="8" spans="1:7" ht="37.5">
      <c r="A8" s="45" t="s">
        <v>212</v>
      </c>
      <c r="B8" s="7">
        <v>2010</v>
      </c>
      <c r="C8" s="206">
        <f>C9+C10</f>
        <v>0</v>
      </c>
      <c r="D8" s="151">
        <f t="shared" ref="D8:E8" si="0">D9+D10</f>
        <v>13</v>
      </c>
      <c r="E8" s="151">
        <f t="shared" si="0"/>
        <v>264</v>
      </c>
      <c r="F8" s="211">
        <f t="shared" ref="F8:F17" si="1">D8-E8</f>
        <v>-251</v>
      </c>
      <c r="G8" s="211">
        <v>0</v>
      </c>
    </row>
    <row r="9" spans="1:7" ht="42.75" customHeight="1">
      <c r="A9" s="8" t="s">
        <v>348</v>
      </c>
      <c r="B9" s="7">
        <v>2011</v>
      </c>
      <c r="C9" s="200"/>
      <c r="D9" s="150">
        <v>3</v>
      </c>
      <c r="E9" s="150">
        <v>60</v>
      </c>
      <c r="F9" s="206">
        <f t="shared" si="1"/>
        <v>-57</v>
      </c>
      <c r="G9" s="206">
        <v>0</v>
      </c>
    </row>
    <row r="10" spans="1:7" ht="93.75">
      <c r="A10" s="8" t="s">
        <v>349</v>
      </c>
      <c r="B10" s="7">
        <v>2012</v>
      </c>
      <c r="C10" s="200"/>
      <c r="D10" s="150">
        <v>10</v>
      </c>
      <c r="E10" s="150">
        <v>204</v>
      </c>
      <c r="F10" s="206">
        <f t="shared" si="1"/>
        <v>-194</v>
      </c>
      <c r="G10" s="206">
        <v>0</v>
      </c>
    </row>
    <row r="11" spans="1:7" ht="20.100000000000001" customHeight="1">
      <c r="A11" s="8" t="s">
        <v>198</v>
      </c>
      <c r="B11" s="7">
        <v>2020</v>
      </c>
      <c r="C11" s="200"/>
      <c r="D11" s="150"/>
      <c r="E11" s="150"/>
      <c r="F11" s="206"/>
      <c r="G11" s="206"/>
    </row>
    <row r="12" spans="1:7" s="46" customFormat="1" ht="20.100000000000001" customHeight="1">
      <c r="A12" s="45" t="s">
        <v>73</v>
      </c>
      <c r="B12" s="7">
        <v>2030</v>
      </c>
      <c r="C12" s="200"/>
      <c r="D12" s="150"/>
      <c r="E12" s="150"/>
      <c r="F12" s="206"/>
      <c r="G12" s="206"/>
    </row>
    <row r="13" spans="1:7" ht="37.5">
      <c r="A13" s="45" t="s">
        <v>361</v>
      </c>
      <c r="B13" s="7">
        <v>2031</v>
      </c>
      <c r="C13" s="200"/>
      <c r="D13" s="150"/>
      <c r="E13" s="150"/>
      <c r="F13" s="206"/>
      <c r="G13" s="206"/>
    </row>
    <row r="14" spans="1:7" ht="20.100000000000001" customHeight="1">
      <c r="A14" s="45" t="s">
        <v>26</v>
      </c>
      <c r="B14" s="7">
        <v>2040</v>
      </c>
      <c r="C14" s="200"/>
      <c r="D14" s="150"/>
      <c r="E14" s="200"/>
      <c r="F14" s="206"/>
      <c r="G14" s="206"/>
    </row>
    <row r="15" spans="1:7" ht="20.100000000000001" customHeight="1">
      <c r="A15" s="145" t="s">
        <v>119</v>
      </c>
      <c r="B15" s="7">
        <v>2050</v>
      </c>
      <c r="C15" s="200"/>
      <c r="D15" s="150"/>
      <c r="E15" s="150"/>
      <c r="F15" s="206"/>
      <c r="G15" s="206"/>
    </row>
    <row r="16" spans="1:7" ht="20.100000000000001" customHeight="1">
      <c r="A16" s="145" t="s">
        <v>120</v>
      </c>
      <c r="B16" s="7">
        <v>2060</v>
      </c>
      <c r="C16" s="200"/>
      <c r="D16" s="150"/>
      <c r="E16" s="150"/>
      <c r="F16" s="206"/>
      <c r="G16" s="206"/>
    </row>
    <row r="17" spans="1:8" ht="42.75" customHeight="1">
      <c r="A17" s="57" t="s">
        <v>62</v>
      </c>
      <c r="B17" s="90">
        <v>2070</v>
      </c>
      <c r="C17" s="234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542</v>
      </c>
      <c r="D17" s="212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567</v>
      </c>
      <c r="E17" s="212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1271.6999999999998</v>
      </c>
      <c r="F17" s="212">
        <f t="shared" si="1"/>
        <v>-704.69999999999982</v>
      </c>
      <c r="G17" s="212">
        <f t="shared" ref="G17" si="2">E17/D17%</f>
        <v>224.28571428571425</v>
      </c>
      <c r="H17" s="300"/>
    </row>
    <row r="18" spans="1:8" ht="39.75" customHeight="1">
      <c r="A18" s="382" t="s">
        <v>157</v>
      </c>
      <c r="B18" s="383"/>
      <c r="C18" s="383"/>
      <c r="D18" s="383"/>
      <c r="E18" s="383"/>
      <c r="F18" s="383"/>
      <c r="G18" s="384"/>
    </row>
    <row r="19" spans="1:8" ht="37.5">
      <c r="A19" s="145" t="s">
        <v>212</v>
      </c>
      <c r="B19" s="144">
        <v>2100</v>
      </c>
      <c r="C19" s="206">
        <f>SUM(C20:C21)</f>
        <v>0</v>
      </c>
      <c r="D19" s="211">
        <f t="shared" ref="D19:E19" si="3">SUM(D20:D21)</f>
        <v>13</v>
      </c>
      <c r="E19" s="211">
        <f t="shared" si="3"/>
        <v>264</v>
      </c>
      <c r="F19" s="211">
        <f>D19-E19</f>
        <v>-251</v>
      </c>
      <c r="G19" s="211">
        <v>0</v>
      </c>
    </row>
    <row r="20" spans="1:8" ht="42.75" customHeight="1">
      <c r="A20" s="204" t="s">
        <v>348</v>
      </c>
      <c r="B20" s="144">
        <v>2101</v>
      </c>
      <c r="C20" s="206"/>
      <c r="D20" s="206">
        <f t="shared" ref="D20" si="4">D9</f>
        <v>3</v>
      </c>
      <c r="E20" s="206">
        <v>60</v>
      </c>
      <c r="F20" s="206">
        <f t="shared" ref="F20:F38" si="5">D20-E20</f>
        <v>-57</v>
      </c>
      <c r="G20" s="206">
        <v>0</v>
      </c>
    </row>
    <row r="21" spans="1:8" ht="93.75">
      <c r="A21" s="204" t="s">
        <v>349</v>
      </c>
      <c r="B21" s="144">
        <v>2102</v>
      </c>
      <c r="C21" s="206"/>
      <c r="D21" s="206">
        <f t="shared" ref="D21" si="6">D10</f>
        <v>10</v>
      </c>
      <c r="E21" s="206">
        <v>204</v>
      </c>
      <c r="F21" s="206">
        <f t="shared" si="5"/>
        <v>-194</v>
      </c>
      <c r="G21" s="206">
        <v>0</v>
      </c>
    </row>
    <row r="22" spans="1:8" s="46" customFormat="1" ht="20.100000000000001" customHeight="1">
      <c r="A22" s="147" t="s">
        <v>159</v>
      </c>
      <c r="B22" s="148">
        <v>2110</v>
      </c>
      <c r="C22" s="234"/>
      <c r="D22" s="152">
        <v>0</v>
      </c>
      <c r="E22" s="152"/>
      <c r="F22" s="212">
        <f t="shared" si="5"/>
        <v>0</v>
      </c>
      <c r="G22" s="212">
        <v>0</v>
      </c>
    </row>
    <row r="23" spans="1:8" ht="56.25">
      <c r="A23" s="145" t="s">
        <v>318</v>
      </c>
      <c r="B23" s="146">
        <v>2120</v>
      </c>
      <c r="C23" s="200"/>
      <c r="D23" s="200"/>
      <c r="E23" s="200">
        <v>15</v>
      </c>
      <c r="F23" s="206">
        <f t="shared" si="5"/>
        <v>-15</v>
      </c>
      <c r="G23" s="206" t="e">
        <f t="shared" ref="G23:G38" si="7">E23/D23%</f>
        <v>#DIV/0!</v>
      </c>
    </row>
    <row r="24" spans="1:8" ht="56.25">
      <c r="A24" s="145" t="s">
        <v>319</v>
      </c>
      <c r="B24" s="146">
        <v>2130</v>
      </c>
      <c r="C24" s="274">
        <v>-120</v>
      </c>
      <c r="D24" s="274">
        <v>-32</v>
      </c>
      <c r="E24" s="276"/>
      <c r="F24" s="234"/>
      <c r="G24" s="234">
        <v>0</v>
      </c>
    </row>
    <row r="25" spans="1:8" s="48" customFormat="1" ht="56.25">
      <c r="A25" s="147" t="s">
        <v>249</v>
      </c>
      <c r="B25" s="148">
        <v>2140</v>
      </c>
      <c r="C25" s="234">
        <f>SUM(C26:C30,C33,C35)</f>
        <v>478</v>
      </c>
      <c r="D25" s="152">
        <f t="shared" ref="D25:E25" si="8">SUM(D26:D30,D33,D35)</f>
        <v>447</v>
      </c>
      <c r="E25" s="152">
        <f t="shared" si="8"/>
        <v>447</v>
      </c>
      <c r="F25" s="212">
        <f t="shared" si="5"/>
        <v>0</v>
      </c>
      <c r="G25" s="212">
        <f t="shared" si="7"/>
        <v>100</v>
      </c>
    </row>
    <row r="26" spans="1:8" ht="20.100000000000001" customHeight="1">
      <c r="A26" s="145" t="s">
        <v>86</v>
      </c>
      <c r="B26" s="146">
        <v>2141</v>
      </c>
      <c r="C26" s="200"/>
      <c r="D26" s="153"/>
      <c r="E26" s="153"/>
      <c r="F26" s="206"/>
      <c r="G26" s="206"/>
    </row>
    <row r="27" spans="1:8" ht="20.100000000000001" customHeight="1">
      <c r="A27" s="145" t="s">
        <v>111</v>
      </c>
      <c r="B27" s="146">
        <v>2142</v>
      </c>
      <c r="C27" s="200"/>
      <c r="D27" s="153"/>
      <c r="E27" s="153"/>
      <c r="F27" s="206"/>
      <c r="G27" s="206"/>
    </row>
    <row r="28" spans="1:8" ht="20.100000000000001" customHeight="1">
      <c r="A28" s="145" t="s">
        <v>104</v>
      </c>
      <c r="B28" s="146">
        <v>2143</v>
      </c>
      <c r="C28" s="200"/>
      <c r="D28" s="153"/>
      <c r="E28" s="153"/>
      <c r="F28" s="206"/>
      <c r="G28" s="206"/>
    </row>
    <row r="29" spans="1:8" ht="20.100000000000001" customHeight="1">
      <c r="A29" s="145" t="s">
        <v>84</v>
      </c>
      <c r="B29" s="146">
        <v>2144</v>
      </c>
      <c r="C29" s="200">
        <v>441</v>
      </c>
      <c r="D29" s="202">
        <v>413</v>
      </c>
      <c r="E29" s="202">
        <v>413</v>
      </c>
      <c r="F29" s="211">
        <f t="shared" si="5"/>
        <v>0</v>
      </c>
      <c r="G29" s="211">
        <f t="shared" si="7"/>
        <v>100</v>
      </c>
    </row>
    <row r="30" spans="1:8" s="46" customFormat="1" ht="20.100000000000001" customHeight="1">
      <c r="A30" s="145" t="s">
        <v>178</v>
      </c>
      <c r="B30" s="146">
        <v>2145</v>
      </c>
      <c r="C30" s="256"/>
      <c r="D30" s="150"/>
      <c r="E30" s="150"/>
      <c r="F30" s="206"/>
      <c r="G30" s="206"/>
    </row>
    <row r="31" spans="1:8" ht="56.25">
      <c r="A31" s="145" t="s">
        <v>255</v>
      </c>
      <c r="B31" s="146" t="s">
        <v>227</v>
      </c>
      <c r="C31" s="256"/>
      <c r="D31" s="150"/>
      <c r="E31" s="150"/>
      <c r="F31" s="206"/>
      <c r="G31" s="206"/>
    </row>
    <row r="32" spans="1:8" ht="20.100000000000001" customHeight="1">
      <c r="A32" s="145" t="s">
        <v>27</v>
      </c>
      <c r="B32" s="146" t="s">
        <v>228</v>
      </c>
      <c r="C32" s="200"/>
      <c r="D32" s="150"/>
      <c r="E32" s="150"/>
      <c r="F32" s="206"/>
      <c r="G32" s="206"/>
    </row>
    <row r="33" spans="1:8" s="46" customFormat="1" ht="20.100000000000001" customHeight="1">
      <c r="A33" s="145" t="s">
        <v>121</v>
      </c>
      <c r="B33" s="146">
        <v>2146</v>
      </c>
      <c r="C33" s="200"/>
      <c r="D33" s="150"/>
      <c r="E33" s="150"/>
      <c r="F33" s="206">
        <f t="shared" si="5"/>
        <v>0</v>
      </c>
      <c r="G33" s="206"/>
    </row>
    <row r="34" spans="1:8" s="46" customFormat="1" ht="20.100000000000001" customHeight="1">
      <c r="A34" s="145" t="s">
        <v>383</v>
      </c>
      <c r="B34" s="146" t="s">
        <v>384</v>
      </c>
      <c r="C34" s="200"/>
      <c r="D34" s="150"/>
      <c r="E34" s="150"/>
      <c r="F34" s="206">
        <f t="shared" si="5"/>
        <v>0</v>
      </c>
      <c r="G34" s="206"/>
    </row>
    <row r="35" spans="1:8" ht="20.100000000000001" customHeight="1">
      <c r="A35" s="145" t="s">
        <v>92</v>
      </c>
      <c r="B35" s="146">
        <v>2147</v>
      </c>
      <c r="C35" s="200">
        <v>37</v>
      </c>
      <c r="D35" s="150">
        <v>34</v>
      </c>
      <c r="E35" s="150">
        <v>34</v>
      </c>
      <c r="F35" s="206">
        <f t="shared" si="5"/>
        <v>0</v>
      </c>
      <c r="G35" s="206">
        <f t="shared" si="7"/>
        <v>99.999999999999986</v>
      </c>
    </row>
    <row r="36" spans="1:8" ht="20.100000000000001" customHeight="1">
      <c r="A36" s="145" t="s">
        <v>354</v>
      </c>
      <c r="B36" s="146" t="s">
        <v>362</v>
      </c>
      <c r="C36" s="200">
        <v>37</v>
      </c>
      <c r="D36" s="149">
        <v>34</v>
      </c>
      <c r="E36" s="149">
        <v>34</v>
      </c>
      <c r="F36" s="211">
        <f t="shared" si="5"/>
        <v>0</v>
      </c>
      <c r="G36" s="211">
        <f t="shared" si="7"/>
        <v>99.999999999999986</v>
      </c>
    </row>
    <row r="37" spans="1:8" s="46" customFormat="1" ht="37.5">
      <c r="A37" s="145" t="s">
        <v>85</v>
      </c>
      <c r="B37" s="146">
        <v>2150</v>
      </c>
      <c r="C37" s="200">
        <v>505</v>
      </c>
      <c r="D37" s="150">
        <f>'I. Фін результат'!D101</f>
        <v>467</v>
      </c>
      <c r="E37" s="150">
        <f>'I. Фін результат'!E101</f>
        <v>467</v>
      </c>
      <c r="F37" s="206">
        <f>D37-E37</f>
        <v>0</v>
      </c>
      <c r="G37" s="206">
        <f>E37/D37%</f>
        <v>100</v>
      </c>
    </row>
    <row r="38" spans="1:8" s="46" customFormat="1" ht="20.100000000000001" customHeight="1">
      <c r="A38" s="147" t="s">
        <v>342</v>
      </c>
      <c r="B38" s="148">
        <v>2200</v>
      </c>
      <c r="C38" s="272">
        <f t="shared" ref="C38:E38" si="9">SUM(C19,C22:C24,C25,C37)</f>
        <v>863</v>
      </c>
      <c r="D38" s="212">
        <f t="shared" si="9"/>
        <v>895</v>
      </c>
      <c r="E38" s="212">
        <f t="shared" si="9"/>
        <v>1193</v>
      </c>
      <c r="F38" s="212">
        <f t="shared" si="5"/>
        <v>-298</v>
      </c>
      <c r="G38" s="212">
        <f t="shared" si="7"/>
        <v>133.29608938547486</v>
      </c>
    </row>
    <row r="39" spans="1:8" s="46" customFormat="1" ht="20.100000000000001" customHeight="1">
      <c r="A39" s="127"/>
      <c r="B39" s="128"/>
      <c r="C39" s="257"/>
      <c r="D39" s="129"/>
      <c r="E39" s="129"/>
      <c r="F39" s="129"/>
      <c r="G39" s="129"/>
    </row>
    <row r="40" spans="1:8" s="46" customFormat="1" ht="20.100000000000001" customHeight="1">
      <c r="A40" s="127"/>
      <c r="B40" s="128"/>
      <c r="C40" s="257"/>
      <c r="D40" s="129"/>
      <c r="E40" s="129"/>
      <c r="F40" s="129"/>
      <c r="G40" s="129"/>
    </row>
    <row r="41" spans="1:8" s="2" customFormat="1" ht="20.100000000000001" customHeight="1">
      <c r="A41" s="155" t="s">
        <v>375</v>
      </c>
      <c r="B41" s="120"/>
      <c r="C41" s="258"/>
      <c r="D41" s="121"/>
      <c r="E41" s="380" t="s">
        <v>374</v>
      </c>
      <c r="F41" s="380"/>
      <c r="G41" s="380"/>
    </row>
    <row r="42" spans="1:8" s="1" customFormat="1" ht="20.100000000000001" customHeight="1">
      <c r="A42" s="92" t="s">
        <v>353</v>
      </c>
      <c r="B42" s="105"/>
      <c r="C42" s="246"/>
      <c r="D42" s="122"/>
      <c r="E42" s="374" t="s">
        <v>410</v>
      </c>
      <c r="F42" s="374"/>
      <c r="G42" s="374"/>
    </row>
    <row r="43" spans="1:8" s="47" customFormat="1">
      <c r="A43" s="60"/>
      <c r="C43" s="259"/>
      <c r="D43" s="44"/>
      <c r="E43" s="44"/>
      <c r="F43" s="44"/>
      <c r="G43" s="44"/>
      <c r="H43" s="44"/>
    </row>
    <row r="44" spans="1:8" s="47" customFormat="1">
      <c r="A44" s="60"/>
      <c r="C44" s="259"/>
      <c r="D44" s="44"/>
      <c r="E44" s="44"/>
      <c r="F44" s="44"/>
      <c r="G44" s="44"/>
      <c r="H44" s="44"/>
    </row>
    <row r="45" spans="1:8" s="47" customFormat="1">
      <c r="A45" s="60"/>
      <c r="C45" s="250"/>
      <c r="D45" s="193"/>
      <c r="E45" s="193"/>
      <c r="F45" s="193"/>
      <c r="G45" s="193"/>
      <c r="H45" s="44"/>
    </row>
    <row r="46" spans="1:8" s="47" customFormat="1">
      <c r="A46" s="60"/>
      <c r="C46" s="250"/>
      <c r="D46" s="195"/>
      <c r="E46" s="195"/>
      <c r="F46" s="195"/>
      <c r="G46" s="195"/>
      <c r="H46" s="44"/>
    </row>
    <row r="47" spans="1:8" s="47" customFormat="1">
      <c r="A47" s="60"/>
      <c r="C47" s="251"/>
      <c r="D47" s="194"/>
      <c r="E47" s="194"/>
      <c r="F47" s="194"/>
      <c r="G47" s="194"/>
      <c r="H47" s="44"/>
    </row>
    <row r="48" spans="1:8" s="47" customFormat="1">
      <c r="A48" s="60"/>
      <c r="C48" s="251"/>
      <c r="D48" s="194"/>
      <c r="E48" s="194"/>
      <c r="F48" s="194"/>
      <c r="G48" s="194"/>
      <c r="H48" s="44"/>
    </row>
    <row r="49" spans="1:8" s="47" customFormat="1">
      <c r="A49" s="60"/>
      <c r="C49" s="259"/>
      <c r="D49" s="44"/>
      <c r="E49" s="44"/>
      <c r="F49" s="44"/>
      <c r="G49" s="44"/>
      <c r="H49" s="44"/>
    </row>
    <row r="50" spans="1:8" s="47" customFormat="1">
      <c r="A50" s="60"/>
      <c r="C50" s="259"/>
      <c r="D50" s="44"/>
      <c r="E50" s="44"/>
      <c r="F50" s="44"/>
      <c r="G50" s="44"/>
      <c r="H50" s="44"/>
    </row>
    <row r="51" spans="1:8" s="47" customFormat="1">
      <c r="A51" s="60"/>
      <c r="C51" s="259"/>
      <c r="D51" s="44"/>
      <c r="E51" s="44"/>
      <c r="F51" s="44"/>
      <c r="G51" s="44"/>
      <c r="H51" s="44"/>
    </row>
    <row r="52" spans="1:8" s="47" customFormat="1">
      <c r="A52" s="60"/>
      <c r="C52" s="259"/>
      <c r="D52" s="44"/>
      <c r="E52" s="44"/>
      <c r="F52" s="44"/>
      <c r="G52" s="44"/>
      <c r="H52" s="44"/>
    </row>
    <row r="53" spans="1:8" s="47" customFormat="1">
      <c r="A53" s="60"/>
      <c r="C53" s="259"/>
      <c r="D53" s="44"/>
      <c r="E53" s="44"/>
      <c r="F53" s="44"/>
      <c r="G53" s="44"/>
      <c r="H53" s="44"/>
    </row>
    <row r="54" spans="1:8" s="47" customFormat="1">
      <c r="A54" s="60"/>
      <c r="C54" s="259"/>
      <c r="D54" s="44"/>
      <c r="E54" s="44"/>
      <c r="F54" s="44"/>
      <c r="G54" s="44"/>
      <c r="H54" s="44"/>
    </row>
    <row r="55" spans="1:8" s="47" customFormat="1">
      <c r="A55" s="60"/>
      <c r="C55" s="259"/>
      <c r="D55" s="44"/>
      <c r="E55" s="44"/>
      <c r="F55" s="44"/>
      <c r="G55" s="44"/>
      <c r="H55" s="44"/>
    </row>
    <row r="56" spans="1:8" s="47" customFormat="1">
      <c r="A56" s="60"/>
      <c r="C56" s="259"/>
      <c r="D56" s="44"/>
      <c r="E56" s="44"/>
      <c r="F56" s="44"/>
      <c r="G56" s="44"/>
      <c r="H56" s="44"/>
    </row>
    <row r="57" spans="1:8" s="47" customFormat="1">
      <c r="A57" s="60"/>
      <c r="C57" s="259"/>
      <c r="D57" s="44"/>
      <c r="E57" s="44"/>
      <c r="F57" s="44"/>
      <c r="G57" s="44"/>
      <c r="H57" s="44"/>
    </row>
    <row r="58" spans="1:8" s="47" customFormat="1">
      <c r="A58" s="60"/>
      <c r="C58" s="259"/>
      <c r="D58" s="44"/>
      <c r="E58" s="44"/>
      <c r="F58" s="44"/>
      <c r="G58" s="44"/>
      <c r="H58" s="44"/>
    </row>
    <row r="59" spans="1:8" s="47" customFormat="1">
      <c r="A59" s="60"/>
      <c r="C59" s="259"/>
      <c r="D59" s="44"/>
      <c r="E59" s="44"/>
      <c r="F59" s="44"/>
      <c r="G59" s="44"/>
      <c r="H59" s="44"/>
    </row>
    <row r="60" spans="1:8" s="47" customFormat="1">
      <c r="A60" s="60"/>
      <c r="C60" s="259"/>
      <c r="D60" s="44"/>
      <c r="E60" s="44"/>
      <c r="F60" s="44"/>
      <c r="G60" s="44"/>
      <c r="H60" s="44"/>
    </row>
    <row r="61" spans="1:8" s="47" customFormat="1">
      <c r="A61" s="60"/>
      <c r="C61" s="259"/>
      <c r="D61" s="44"/>
      <c r="E61" s="44"/>
      <c r="F61" s="44"/>
      <c r="G61" s="44"/>
      <c r="H61" s="44"/>
    </row>
    <row r="62" spans="1:8" s="47" customFormat="1">
      <c r="A62" s="60"/>
      <c r="C62" s="259"/>
      <c r="D62" s="44"/>
      <c r="E62" s="44"/>
      <c r="F62" s="44"/>
      <c r="G62" s="44"/>
      <c r="H62" s="44"/>
    </row>
    <row r="63" spans="1:8" s="47" customFormat="1">
      <c r="A63" s="60"/>
      <c r="C63" s="259"/>
      <c r="D63" s="44"/>
      <c r="E63" s="44"/>
      <c r="F63" s="44"/>
      <c r="G63" s="44"/>
      <c r="H63" s="44"/>
    </row>
    <row r="64" spans="1:8" s="47" customFormat="1">
      <c r="A64" s="60"/>
      <c r="C64" s="259"/>
      <c r="D64" s="44"/>
      <c r="E64" s="44"/>
      <c r="F64" s="44"/>
      <c r="G64" s="44"/>
      <c r="H64" s="44"/>
    </row>
    <row r="65" spans="1:8" s="47" customFormat="1">
      <c r="A65" s="60"/>
      <c r="C65" s="259"/>
      <c r="D65" s="44"/>
      <c r="E65" s="44"/>
      <c r="F65" s="44"/>
      <c r="G65" s="44"/>
      <c r="H65" s="44"/>
    </row>
    <row r="66" spans="1:8" s="47" customFormat="1">
      <c r="A66" s="60"/>
      <c r="C66" s="259"/>
      <c r="D66" s="44"/>
      <c r="E66" s="44"/>
      <c r="F66" s="44"/>
      <c r="G66" s="44"/>
      <c r="H66" s="44"/>
    </row>
    <row r="67" spans="1:8" s="47" customFormat="1">
      <c r="A67" s="60"/>
      <c r="C67" s="259"/>
      <c r="D67" s="44"/>
      <c r="E67" s="44"/>
      <c r="F67" s="44"/>
      <c r="G67" s="44"/>
      <c r="H67" s="44"/>
    </row>
    <row r="68" spans="1:8" s="47" customFormat="1">
      <c r="A68" s="60"/>
      <c r="C68" s="259"/>
      <c r="D68" s="44"/>
      <c r="E68" s="44"/>
      <c r="F68" s="44"/>
      <c r="G68" s="44"/>
      <c r="H68" s="44"/>
    </row>
    <row r="69" spans="1:8" s="47" customFormat="1">
      <c r="A69" s="60"/>
      <c r="C69" s="259"/>
      <c r="D69" s="44"/>
      <c r="E69" s="44"/>
      <c r="F69" s="44"/>
      <c r="G69" s="44"/>
      <c r="H69" s="44"/>
    </row>
    <row r="70" spans="1:8" s="47" customFormat="1">
      <c r="A70" s="60"/>
      <c r="C70" s="259"/>
      <c r="D70" s="44"/>
      <c r="E70" s="44"/>
      <c r="F70" s="44"/>
      <c r="G70" s="44"/>
      <c r="H70" s="44"/>
    </row>
    <row r="71" spans="1:8" s="47" customFormat="1">
      <c r="A71" s="60"/>
      <c r="C71" s="259"/>
      <c r="D71" s="44"/>
      <c r="E71" s="44"/>
      <c r="F71" s="44"/>
      <c r="G71" s="44"/>
      <c r="H71" s="44"/>
    </row>
    <row r="72" spans="1:8" s="47" customFormat="1">
      <c r="A72" s="60"/>
      <c r="C72" s="259"/>
      <c r="D72" s="44"/>
      <c r="E72" s="44"/>
      <c r="F72" s="44"/>
      <c r="G72" s="44"/>
      <c r="H72" s="44"/>
    </row>
    <row r="73" spans="1:8" s="47" customFormat="1">
      <c r="A73" s="60"/>
      <c r="C73" s="259"/>
      <c r="D73" s="44"/>
      <c r="E73" s="44"/>
      <c r="F73" s="44"/>
      <c r="G73" s="44"/>
      <c r="H73" s="44"/>
    </row>
    <row r="74" spans="1:8" s="47" customFormat="1">
      <c r="A74" s="60"/>
      <c r="C74" s="259"/>
      <c r="D74" s="44"/>
      <c r="E74" s="44"/>
      <c r="F74" s="44"/>
      <c r="G74" s="44"/>
      <c r="H74" s="44"/>
    </row>
    <row r="75" spans="1:8" s="47" customFormat="1">
      <c r="A75" s="60"/>
      <c r="C75" s="259"/>
      <c r="D75" s="44"/>
      <c r="E75" s="44"/>
      <c r="F75" s="44"/>
      <c r="G75" s="44"/>
      <c r="H75" s="44"/>
    </row>
    <row r="76" spans="1:8" s="47" customFormat="1">
      <c r="A76" s="60"/>
      <c r="C76" s="259"/>
      <c r="D76" s="44"/>
      <c r="E76" s="44"/>
      <c r="F76" s="44"/>
      <c r="G76" s="44"/>
      <c r="H76" s="44"/>
    </row>
    <row r="77" spans="1:8" s="47" customFormat="1">
      <c r="A77" s="60"/>
      <c r="C77" s="259"/>
      <c r="D77" s="44"/>
      <c r="E77" s="44"/>
      <c r="F77" s="44"/>
      <c r="G77" s="44"/>
      <c r="H77" s="44"/>
    </row>
    <row r="78" spans="1:8" s="47" customFormat="1">
      <c r="A78" s="60"/>
      <c r="C78" s="259"/>
      <c r="D78" s="44"/>
      <c r="E78" s="44"/>
      <c r="F78" s="44"/>
      <c r="G78" s="44"/>
      <c r="H78" s="44"/>
    </row>
    <row r="79" spans="1:8" s="47" customFormat="1">
      <c r="A79" s="60"/>
      <c r="C79" s="259"/>
      <c r="D79" s="44"/>
      <c r="E79" s="44"/>
      <c r="F79" s="44"/>
      <c r="G79" s="44"/>
      <c r="H79" s="44"/>
    </row>
    <row r="80" spans="1:8" s="47" customFormat="1">
      <c r="A80" s="60"/>
      <c r="C80" s="259"/>
      <c r="D80" s="44"/>
      <c r="E80" s="44"/>
      <c r="F80" s="44"/>
      <c r="G80" s="44"/>
      <c r="H80" s="44"/>
    </row>
    <row r="81" spans="1:8" s="47" customFormat="1">
      <c r="A81" s="60"/>
      <c r="C81" s="259"/>
      <c r="D81" s="44"/>
      <c r="E81" s="44"/>
      <c r="F81" s="44"/>
      <c r="G81" s="44"/>
      <c r="H81" s="44"/>
    </row>
    <row r="82" spans="1:8" s="47" customFormat="1">
      <c r="A82" s="60"/>
      <c r="C82" s="259"/>
      <c r="D82" s="44"/>
      <c r="E82" s="44"/>
      <c r="F82" s="44"/>
      <c r="G82" s="44"/>
      <c r="H82" s="44"/>
    </row>
    <row r="83" spans="1:8" s="47" customFormat="1">
      <c r="A83" s="60"/>
      <c r="C83" s="259"/>
      <c r="D83" s="44"/>
      <c r="E83" s="44"/>
      <c r="F83" s="44"/>
      <c r="G83" s="44"/>
      <c r="H83" s="44"/>
    </row>
    <row r="84" spans="1:8" s="47" customFormat="1">
      <c r="A84" s="60"/>
      <c r="C84" s="259"/>
      <c r="D84" s="44"/>
      <c r="E84" s="44"/>
      <c r="F84" s="44"/>
      <c r="G84" s="44"/>
      <c r="H84" s="44"/>
    </row>
    <row r="85" spans="1:8" s="47" customFormat="1">
      <c r="A85" s="60"/>
      <c r="C85" s="259"/>
      <c r="D85" s="44"/>
      <c r="E85" s="44"/>
      <c r="F85" s="44"/>
      <c r="G85" s="44"/>
      <c r="H85" s="44"/>
    </row>
    <row r="86" spans="1:8" s="47" customFormat="1">
      <c r="A86" s="60"/>
      <c r="C86" s="259"/>
      <c r="D86" s="44"/>
      <c r="E86" s="44"/>
      <c r="F86" s="44"/>
      <c r="G86" s="44"/>
      <c r="H86" s="44"/>
    </row>
    <row r="87" spans="1:8" s="47" customFormat="1">
      <c r="A87" s="60"/>
      <c r="C87" s="259"/>
      <c r="D87" s="44"/>
      <c r="E87" s="44"/>
      <c r="F87" s="44"/>
      <c r="G87" s="44"/>
      <c r="H87" s="44"/>
    </row>
    <row r="88" spans="1:8" s="47" customFormat="1">
      <c r="A88" s="60"/>
      <c r="C88" s="259"/>
      <c r="D88" s="44"/>
      <c r="E88" s="44"/>
      <c r="F88" s="44"/>
      <c r="G88" s="44"/>
      <c r="H88" s="44"/>
    </row>
    <row r="89" spans="1:8" s="47" customFormat="1">
      <c r="A89" s="60"/>
      <c r="C89" s="259"/>
      <c r="D89" s="44"/>
      <c r="E89" s="44"/>
      <c r="F89" s="44"/>
      <c r="G89" s="44"/>
      <c r="H89" s="44"/>
    </row>
    <row r="90" spans="1:8" s="47" customFormat="1">
      <c r="A90" s="60"/>
      <c r="C90" s="259"/>
      <c r="D90" s="44"/>
      <c r="E90" s="44"/>
      <c r="F90" s="44"/>
      <c r="G90" s="44"/>
      <c r="H90" s="44"/>
    </row>
    <row r="91" spans="1:8" s="47" customFormat="1">
      <c r="A91" s="60"/>
      <c r="C91" s="259"/>
      <c r="D91" s="44"/>
      <c r="E91" s="44"/>
      <c r="F91" s="44"/>
      <c r="G91" s="44"/>
      <c r="H91" s="44"/>
    </row>
    <row r="92" spans="1:8" s="47" customFormat="1">
      <c r="A92" s="60"/>
      <c r="C92" s="259"/>
      <c r="D92" s="44"/>
      <c r="E92" s="44"/>
      <c r="F92" s="44"/>
      <c r="G92" s="44"/>
      <c r="H92" s="44"/>
    </row>
    <row r="93" spans="1:8" s="47" customFormat="1">
      <c r="A93" s="60"/>
      <c r="C93" s="259"/>
      <c r="D93" s="44"/>
      <c r="E93" s="44"/>
      <c r="F93" s="44"/>
      <c r="G93" s="44"/>
      <c r="H93" s="44"/>
    </row>
    <row r="94" spans="1:8" s="47" customFormat="1">
      <c r="A94" s="60"/>
      <c r="C94" s="259"/>
      <c r="D94" s="44"/>
      <c r="E94" s="44"/>
      <c r="F94" s="44"/>
      <c r="G94" s="44"/>
      <c r="H94" s="44"/>
    </row>
    <row r="95" spans="1:8" s="47" customFormat="1">
      <c r="A95" s="60"/>
      <c r="C95" s="259"/>
      <c r="D95" s="44"/>
      <c r="E95" s="44"/>
      <c r="F95" s="44"/>
      <c r="G95" s="44"/>
      <c r="H95" s="44"/>
    </row>
    <row r="96" spans="1:8" s="47" customFormat="1">
      <c r="A96" s="60"/>
      <c r="C96" s="259"/>
      <c r="D96" s="44"/>
      <c r="E96" s="44"/>
      <c r="F96" s="44"/>
      <c r="G96" s="44"/>
      <c r="H96" s="44"/>
    </row>
    <row r="97" spans="1:8" s="47" customFormat="1">
      <c r="A97" s="60"/>
      <c r="C97" s="259"/>
      <c r="D97" s="44"/>
      <c r="E97" s="44"/>
      <c r="F97" s="44"/>
      <c r="G97" s="44"/>
      <c r="H97" s="44"/>
    </row>
    <row r="98" spans="1:8" s="47" customFormat="1">
      <c r="A98" s="60"/>
      <c r="C98" s="259"/>
      <c r="D98" s="44"/>
      <c r="E98" s="44"/>
      <c r="F98" s="44"/>
      <c r="G98" s="44"/>
      <c r="H98" s="44"/>
    </row>
    <row r="99" spans="1:8" s="47" customFormat="1">
      <c r="A99" s="60"/>
      <c r="C99" s="259"/>
      <c r="D99" s="44"/>
      <c r="E99" s="44"/>
      <c r="F99" s="44"/>
      <c r="G99" s="44"/>
      <c r="H99" s="44"/>
    </row>
    <row r="100" spans="1:8" s="47" customFormat="1">
      <c r="A100" s="60"/>
      <c r="C100" s="259"/>
      <c r="D100" s="44"/>
      <c r="E100" s="44"/>
      <c r="F100" s="44"/>
      <c r="G100" s="44"/>
      <c r="H100" s="44"/>
    </row>
    <row r="101" spans="1:8" s="47" customFormat="1">
      <c r="A101" s="60"/>
      <c r="C101" s="259"/>
      <c r="D101" s="44"/>
      <c r="E101" s="44"/>
      <c r="F101" s="44"/>
      <c r="G101" s="44"/>
      <c r="H101" s="44"/>
    </row>
    <row r="102" spans="1:8" s="47" customFormat="1">
      <c r="A102" s="60"/>
      <c r="C102" s="259"/>
      <c r="D102" s="44"/>
      <c r="E102" s="44"/>
      <c r="F102" s="44"/>
      <c r="G102" s="44"/>
      <c r="H102" s="44"/>
    </row>
    <row r="103" spans="1:8" s="47" customFormat="1">
      <c r="A103" s="60"/>
      <c r="C103" s="259"/>
      <c r="D103" s="44"/>
      <c r="E103" s="44"/>
      <c r="F103" s="44"/>
      <c r="G103" s="44"/>
      <c r="H103" s="44"/>
    </row>
    <row r="104" spans="1:8" s="47" customFormat="1">
      <c r="A104" s="60"/>
      <c r="C104" s="259"/>
      <c r="D104" s="44"/>
      <c r="E104" s="44"/>
      <c r="F104" s="44"/>
      <c r="G104" s="44"/>
      <c r="H104" s="44"/>
    </row>
    <row r="105" spans="1:8" s="47" customFormat="1">
      <c r="A105" s="60"/>
      <c r="C105" s="259"/>
      <c r="D105" s="44"/>
      <c r="E105" s="44"/>
      <c r="F105" s="44"/>
      <c r="G105" s="44"/>
      <c r="H105" s="44"/>
    </row>
    <row r="106" spans="1:8" s="47" customFormat="1">
      <c r="A106" s="60"/>
      <c r="C106" s="259"/>
      <c r="D106" s="44"/>
      <c r="E106" s="44"/>
      <c r="F106" s="44"/>
      <c r="G106" s="44"/>
      <c r="H106" s="44"/>
    </row>
    <row r="107" spans="1:8" s="47" customFormat="1">
      <c r="A107" s="60"/>
      <c r="C107" s="259"/>
      <c r="D107" s="44"/>
      <c r="E107" s="44"/>
      <c r="F107" s="44"/>
      <c r="G107" s="44"/>
      <c r="H107" s="44"/>
    </row>
    <row r="108" spans="1:8" s="47" customFormat="1">
      <c r="A108" s="60"/>
      <c r="C108" s="259"/>
      <c r="D108" s="44"/>
      <c r="E108" s="44"/>
      <c r="F108" s="44"/>
      <c r="G108" s="44"/>
      <c r="H108" s="44"/>
    </row>
    <row r="109" spans="1:8" s="47" customFormat="1">
      <c r="A109" s="60"/>
      <c r="C109" s="259"/>
      <c r="D109" s="44"/>
      <c r="E109" s="44"/>
      <c r="F109" s="44"/>
      <c r="G109" s="44"/>
      <c r="H109" s="44"/>
    </row>
    <row r="110" spans="1:8" s="47" customFormat="1">
      <c r="A110" s="60"/>
      <c r="C110" s="259"/>
      <c r="D110" s="44"/>
      <c r="E110" s="44"/>
      <c r="F110" s="44"/>
      <c r="G110" s="44"/>
      <c r="H110" s="44"/>
    </row>
    <row r="111" spans="1:8" s="47" customFormat="1">
      <c r="A111" s="60"/>
      <c r="C111" s="259"/>
      <c r="D111" s="44"/>
      <c r="E111" s="44"/>
      <c r="F111" s="44"/>
      <c r="G111" s="44"/>
      <c r="H111" s="44"/>
    </row>
    <row r="112" spans="1:8" s="47" customFormat="1">
      <c r="A112" s="60"/>
      <c r="C112" s="259"/>
      <c r="D112" s="44"/>
      <c r="E112" s="44"/>
      <c r="F112" s="44"/>
      <c r="G112" s="44"/>
      <c r="H112" s="44"/>
    </row>
    <row r="113" spans="1:8" s="47" customFormat="1">
      <c r="A113" s="60"/>
      <c r="C113" s="259"/>
      <c r="D113" s="44"/>
      <c r="E113" s="44"/>
      <c r="F113" s="44"/>
      <c r="G113" s="44"/>
      <c r="H113" s="44"/>
    </row>
    <row r="114" spans="1:8" s="47" customFormat="1">
      <c r="A114" s="60"/>
      <c r="C114" s="259"/>
      <c r="D114" s="44"/>
      <c r="E114" s="44"/>
      <c r="F114" s="44"/>
      <c r="G114" s="44"/>
      <c r="H114" s="44"/>
    </row>
    <row r="115" spans="1:8" s="47" customFormat="1">
      <c r="A115" s="60"/>
      <c r="C115" s="259"/>
      <c r="D115" s="44"/>
      <c r="E115" s="44"/>
      <c r="F115" s="44"/>
      <c r="G115" s="44"/>
      <c r="H115" s="44"/>
    </row>
    <row r="116" spans="1:8" s="47" customFormat="1">
      <c r="A116" s="60"/>
      <c r="C116" s="259"/>
      <c r="D116" s="44"/>
      <c r="E116" s="44"/>
      <c r="F116" s="44"/>
      <c r="G116" s="44"/>
      <c r="H116" s="44"/>
    </row>
    <row r="117" spans="1:8" s="47" customFormat="1">
      <c r="A117" s="60"/>
      <c r="C117" s="259"/>
      <c r="D117" s="44"/>
      <c r="E117" s="44"/>
      <c r="F117" s="44"/>
      <c r="G117" s="44"/>
      <c r="H117" s="44"/>
    </row>
    <row r="118" spans="1:8" s="47" customFormat="1">
      <c r="A118" s="60"/>
      <c r="C118" s="259"/>
      <c r="D118" s="44"/>
      <c r="E118" s="44"/>
      <c r="F118" s="44"/>
      <c r="G118" s="44"/>
      <c r="H118" s="44"/>
    </row>
    <row r="119" spans="1:8" s="47" customFormat="1">
      <c r="A119" s="60"/>
      <c r="C119" s="259"/>
      <c r="D119" s="44"/>
      <c r="E119" s="44"/>
      <c r="F119" s="44"/>
      <c r="G119" s="44"/>
      <c r="H119" s="44"/>
    </row>
    <row r="120" spans="1:8" s="47" customFormat="1">
      <c r="A120" s="60"/>
      <c r="C120" s="259"/>
      <c r="D120" s="44"/>
      <c r="E120" s="44"/>
      <c r="F120" s="44"/>
      <c r="G120" s="44"/>
      <c r="H120" s="44"/>
    </row>
    <row r="121" spans="1:8" s="47" customFormat="1">
      <c r="A121" s="60"/>
      <c r="C121" s="259"/>
      <c r="D121" s="44"/>
      <c r="E121" s="44"/>
      <c r="F121" s="44"/>
      <c r="G121" s="44"/>
      <c r="H121" s="44"/>
    </row>
    <row r="122" spans="1:8" s="47" customFormat="1">
      <c r="A122" s="60"/>
      <c r="C122" s="259"/>
      <c r="D122" s="44"/>
      <c r="E122" s="44"/>
      <c r="F122" s="44"/>
      <c r="G122" s="44"/>
      <c r="H122" s="44"/>
    </row>
    <row r="123" spans="1:8" s="47" customFormat="1">
      <c r="A123" s="60"/>
      <c r="C123" s="259"/>
      <c r="D123" s="44"/>
      <c r="E123" s="44"/>
      <c r="F123" s="44"/>
      <c r="G123" s="44"/>
      <c r="H123" s="44"/>
    </row>
    <row r="124" spans="1:8" s="47" customFormat="1">
      <c r="A124" s="60"/>
      <c r="C124" s="259"/>
      <c r="D124" s="44"/>
      <c r="E124" s="44"/>
      <c r="F124" s="44"/>
      <c r="G124" s="44"/>
      <c r="H124" s="44"/>
    </row>
    <row r="125" spans="1:8" s="47" customFormat="1">
      <c r="A125" s="60"/>
      <c r="C125" s="259"/>
      <c r="D125" s="44"/>
      <c r="E125" s="44"/>
      <c r="F125" s="44"/>
      <c r="G125" s="44"/>
      <c r="H125" s="44"/>
    </row>
    <row r="126" spans="1:8" s="47" customFormat="1">
      <c r="A126" s="60"/>
      <c r="C126" s="259"/>
      <c r="D126" s="44"/>
      <c r="E126" s="44"/>
      <c r="F126" s="44"/>
      <c r="G126" s="44"/>
      <c r="H126" s="44"/>
    </row>
    <row r="127" spans="1:8" s="47" customFormat="1">
      <c r="A127" s="60"/>
      <c r="C127" s="259"/>
      <c r="D127" s="44"/>
      <c r="E127" s="44"/>
      <c r="F127" s="44"/>
      <c r="G127" s="44"/>
      <c r="H127" s="44"/>
    </row>
    <row r="128" spans="1:8" s="47" customFormat="1">
      <c r="A128" s="60"/>
      <c r="C128" s="259"/>
      <c r="D128" s="44"/>
      <c r="E128" s="44"/>
      <c r="F128" s="44"/>
      <c r="G128" s="44"/>
      <c r="H128" s="44"/>
    </row>
    <row r="129" spans="1:8" s="47" customFormat="1">
      <c r="A129" s="60"/>
      <c r="C129" s="259"/>
      <c r="D129" s="44"/>
      <c r="E129" s="44"/>
      <c r="F129" s="44"/>
      <c r="G129" s="44"/>
      <c r="H129" s="44"/>
    </row>
    <row r="130" spans="1:8" s="47" customFormat="1">
      <c r="A130" s="60"/>
      <c r="C130" s="259"/>
      <c r="D130" s="44"/>
      <c r="E130" s="44"/>
      <c r="F130" s="44"/>
      <c r="G130" s="44"/>
      <c r="H130" s="44"/>
    </row>
    <row r="131" spans="1:8" s="47" customFormat="1">
      <c r="A131" s="60"/>
      <c r="C131" s="259"/>
      <c r="D131" s="44"/>
      <c r="E131" s="44"/>
      <c r="F131" s="44"/>
      <c r="G131" s="44"/>
      <c r="H131" s="44"/>
    </row>
    <row r="132" spans="1:8" s="47" customFormat="1">
      <c r="A132" s="60"/>
      <c r="C132" s="259"/>
      <c r="D132" s="44"/>
      <c r="E132" s="44"/>
      <c r="F132" s="44"/>
      <c r="G132" s="44"/>
      <c r="H132" s="44"/>
    </row>
    <row r="133" spans="1:8" s="47" customFormat="1">
      <c r="A133" s="60"/>
      <c r="C133" s="259"/>
      <c r="D133" s="44"/>
      <c r="E133" s="44"/>
      <c r="F133" s="44"/>
      <c r="G133" s="44"/>
      <c r="H133" s="44"/>
    </row>
    <row r="134" spans="1:8" s="47" customFormat="1">
      <c r="A134" s="60"/>
      <c r="C134" s="259"/>
      <c r="D134" s="44"/>
      <c r="E134" s="44"/>
      <c r="F134" s="44"/>
      <c r="G134" s="44"/>
      <c r="H134" s="44"/>
    </row>
    <row r="135" spans="1:8" s="47" customFormat="1">
      <c r="A135" s="60"/>
      <c r="C135" s="259"/>
      <c r="D135" s="44"/>
      <c r="E135" s="44"/>
      <c r="F135" s="44"/>
      <c r="G135" s="44"/>
      <c r="H135" s="44"/>
    </row>
    <row r="136" spans="1:8" s="47" customFormat="1">
      <c r="A136" s="60"/>
      <c r="C136" s="259"/>
      <c r="D136" s="44"/>
      <c r="E136" s="44"/>
      <c r="F136" s="44"/>
      <c r="G136" s="44"/>
      <c r="H136" s="44"/>
    </row>
    <row r="137" spans="1:8" s="47" customFormat="1">
      <c r="A137" s="60"/>
      <c r="C137" s="259"/>
      <c r="D137" s="44"/>
      <c r="E137" s="44"/>
      <c r="F137" s="44"/>
      <c r="G137" s="44"/>
      <c r="H137" s="44"/>
    </row>
    <row r="138" spans="1:8" s="47" customFormat="1">
      <c r="A138" s="60"/>
      <c r="C138" s="259"/>
      <c r="D138" s="44"/>
      <c r="E138" s="44"/>
      <c r="F138" s="44"/>
      <c r="G138" s="44"/>
      <c r="H138" s="44"/>
    </row>
    <row r="139" spans="1:8" s="47" customFormat="1">
      <c r="A139" s="60"/>
      <c r="C139" s="259"/>
      <c r="D139" s="44"/>
      <c r="E139" s="44"/>
      <c r="F139" s="44"/>
      <c r="G139" s="44"/>
      <c r="H139" s="44"/>
    </row>
    <row r="140" spans="1:8" s="47" customFormat="1">
      <c r="A140" s="60"/>
      <c r="C140" s="259"/>
      <c r="D140" s="44"/>
      <c r="E140" s="44"/>
      <c r="F140" s="44"/>
      <c r="G140" s="44"/>
      <c r="H140" s="44"/>
    </row>
    <row r="141" spans="1:8" s="47" customFormat="1">
      <c r="A141" s="60"/>
      <c r="C141" s="259"/>
      <c r="D141" s="44"/>
      <c r="E141" s="44"/>
      <c r="F141" s="44"/>
      <c r="G141" s="44"/>
      <c r="H141" s="44"/>
    </row>
    <row r="142" spans="1:8" s="47" customFormat="1">
      <c r="A142" s="60"/>
      <c r="C142" s="259"/>
      <c r="D142" s="44"/>
      <c r="E142" s="44"/>
      <c r="F142" s="44"/>
      <c r="G142" s="44"/>
      <c r="H142" s="44"/>
    </row>
    <row r="143" spans="1:8" s="47" customFormat="1">
      <c r="A143" s="60"/>
      <c r="C143" s="259"/>
      <c r="D143" s="44"/>
      <c r="E143" s="44"/>
      <c r="F143" s="44"/>
      <c r="G143" s="44"/>
      <c r="H143" s="44"/>
    </row>
    <row r="144" spans="1:8" s="47" customFormat="1">
      <c r="A144" s="60"/>
      <c r="C144" s="259"/>
      <c r="D144" s="44"/>
      <c r="E144" s="44"/>
      <c r="F144" s="44"/>
      <c r="G144" s="44"/>
      <c r="H144" s="44"/>
    </row>
    <row r="145" spans="1:8" s="47" customFormat="1">
      <c r="A145" s="60"/>
      <c r="C145" s="259"/>
      <c r="D145" s="44"/>
      <c r="E145" s="44"/>
      <c r="F145" s="44"/>
      <c r="G145" s="44"/>
      <c r="H145" s="44"/>
    </row>
    <row r="146" spans="1:8" s="47" customFormat="1">
      <c r="A146" s="60"/>
      <c r="C146" s="259"/>
      <c r="D146" s="44"/>
      <c r="E146" s="44"/>
      <c r="F146" s="44"/>
      <c r="G146" s="44"/>
      <c r="H146" s="44"/>
    </row>
    <row r="147" spans="1:8" s="47" customFormat="1">
      <c r="A147" s="60"/>
      <c r="C147" s="259"/>
      <c r="D147" s="44"/>
      <c r="E147" s="44"/>
      <c r="F147" s="44"/>
      <c r="G147" s="44"/>
      <c r="H147" s="44"/>
    </row>
    <row r="148" spans="1:8" s="47" customFormat="1">
      <c r="A148" s="60"/>
      <c r="C148" s="259"/>
      <c r="D148" s="44"/>
      <c r="E148" s="44"/>
      <c r="F148" s="44"/>
      <c r="G148" s="44"/>
      <c r="H148" s="44"/>
    </row>
    <row r="149" spans="1:8" s="47" customFormat="1">
      <c r="A149" s="60"/>
      <c r="C149" s="259"/>
      <c r="D149" s="44"/>
      <c r="E149" s="44"/>
      <c r="F149" s="44"/>
      <c r="G149" s="44"/>
      <c r="H149" s="44"/>
    </row>
    <row r="150" spans="1:8" s="47" customFormat="1">
      <c r="A150" s="60"/>
      <c r="C150" s="259"/>
      <c r="D150" s="44"/>
      <c r="E150" s="44"/>
      <c r="F150" s="44"/>
      <c r="G150" s="44"/>
      <c r="H150" s="44"/>
    </row>
    <row r="151" spans="1:8" s="47" customFormat="1">
      <c r="A151" s="60"/>
      <c r="C151" s="259"/>
      <c r="D151" s="44"/>
      <c r="E151" s="44"/>
      <c r="F151" s="44"/>
      <c r="G151" s="44"/>
      <c r="H151" s="44"/>
    </row>
    <row r="152" spans="1:8" s="47" customFormat="1">
      <c r="A152" s="60"/>
      <c r="C152" s="259"/>
      <c r="D152" s="44"/>
      <c r="E152" s="44"/>
      <c r="F152" s="44"/>
      <c r="G152" s="44"/>
      <c r="H152" s="44"/>
    </row>
    <row r="153" spans="1:8" s="47" customFormat="1">
      <c r="A153" s="60"/>
      <c r="C153" s="259"/>
      <c r="D153" s="44"/>
      <c r="E153" s="44"/>
      <c r="F153" s="44"/>
      <c r="G153" s="44"/>
      <c r="H153" s="44"/>
    </row>
    <row r="154" spans="1:8" s="47" customFormat="1">
      <c r="A154" s="60"/>
      <c r="C154" s="259"/>
      <c r="D154" s="44"/>
      <c r="E154" s="44"/>
      <c r="F154" s="44"/>
      <c r="G154" s="44"/>
      <c r="H154" s="44"/>
    </row>
    <row r="155" spans="1:8" s="47" customFormat="1">
      <c r="A155" s="60"/>
      <c r="C155" s="259"/>
      <c r="D155" s="44"/>
      <c r="E155" s="44"/>
      <c r="F155" s="44"/>
      <c r="G155" s="44"/>
      <c r="H155" s="44"/>
    </row>
    <row r="156" spans="1:8" s="47" customFormat="1">
      <c r="A156" s="60"/>
      <c r="C156" s="259"/>
      <c r="D156" s="44"/>
      <c r="E156" s="44"/>
      <c r="F156" s="44"/>
      <c r="G156" s="44"/>
      <c r="H156" s="44"/>
    </row>
    <row r="157" spans="1:8" s="47" customFormat="1">
      <c r="A157" s="60"/>
      <c r="C157" s="259"/>
      <c r="D157" s="44"/>
      <c r="E157" s="44"/>
      <c r="F157" s="44"/>
      <c r="G157" s="44"/>
      <c r="H157" s="44"/>
    </row>
    <row r="158" spans="1:8" s="47" customFormat="1">
      <c r="A158" s="60"/>
      <c r="C158" s="259"/>
      <c r="D158" s="44"/>
      <c r="E158" s="44"/>
      <c r="F158" s="44"/>
      <c r="G158" s="44"/>
      <c r="H158" s="44"/>
    </row>
    <row r="159" spans="1:8" s="47" customFormat="1">
      <c r="A159" s="60"/>
      <c r="C159" s="259"/>
      <c r="D159" s="44"/>
      <c r="E159" s="44"/>
      <c r="F159" s="44"/>
      <c r="G159" s="44"/>
      <c r="H159" s="44"/>
    </row>
    <row r="160" spans="1:8" s="47" customFormat="1">
      <c r="A160" s="60"/>
      <c r="C160" s="259"/>
      <c r="D160" s="44"/>
      <c r="E160" s="44"/>
      <c r="F160" s="44"/>
      <c r="G160" s="44"/>
      <c r="H160" s="44"/>
    </row>
    <row r="161" spans="1:8" s="47" customFormat="1">
      <c r="A161" s="60"/>
      <c r="C161" s="259"/>
      <c r="D161" s="44"/>
      <c r="E161" s="44"/>
      <c r="F161" s="44"/>
      <c r="G161" s="44"/>
      <c r="H161" s="44"/>
    </row>
    <row r="162" spans="1:8" s="47" customFormat="1">
      <c r="A162" s="60"/>
      <c r="C162" s="259"/>
      <c r="D162" s="44"/>
      <c r="E162" s="44"/>
      <c r="F162" s="44"/>
      <c r="G162" s="44"/>
      <c r="H162" s="44"/>
    </row>
    <row r="163" spans="1:8" s="47" customFormat="1">
      <c r="A163" s="60"/>
      <c r="C163" s="259"/>
      <c r="D163" s="44"/>
      <c r="E163" s="44"/>
      <c r="F163" s="44"/>
      <c r="G163" s="44"/>
      <c r="H163" s="44"/>
    </row>
    <row r="164" spans="1:8" s="47" customFormat="1">
      <c r="A164" s="60"/>
      <c r="C164" s="259"/>
      <c r="D164" s="44"/>
      <c r="E164" s="44"/>
      <c r="F164" s="44"/>
      <c r="G164" s="44"/>
      <c r="H164" s="44"/>
    </row>
    <row r="165" spans="1:8" s="47" customFormat="1">
      <c r="A165" s="60"/>
      <c r="C165" s="259"/>
      <c r="D165" s="44"/>
      <c r="E165" s="44"/>
      <c r="F165" s="44"/>
      <c r="G165" s="44"/>
      <c r="H165" s="44"/>
    </row>
    <row r="166" spans="1:8" s="47" customFormat="1">
      <c r="A166" s="60"/>
      <c r="C166" s="259"/>
      <c r="D166" s="44"/>
      <c r="E166" s="44"/>
      <c r="F166" s="44"/>
      <c r="G166" s="44"/>
      <c r="H166" s="44"/>
    </row>
    <row r="167" spans="1:8" s="47" customFormat="1">
      <c r="A167" s="60"/>
      <c r="C167" s="259"/>
      <c r="D167" s="44"/>
      <c r="E167" s="44"/>
      <c r="F167" s="44"/>
      <c r="G167" s="44"/>
      <c r="H167" s="44"/>
    </row>
    <row r="168" spans="1:8" s="47" customFormat="1">
      <c r="A168" s="60"/>
      <c r="C168" s="259"/>
      <c r="D168" s="44"/>
      <c r="E168" s="44"/>
      <c r="F168" s="44"/>
      <c r="G168" s="44"/>
      <c r="H168" s="44"/>
    </row>
    <row r="169" spans="1:8" s="47" customFormat="1">
      <c r="A169" s="60"/>
      <c r="C169" s="259"/>
      <c r="D169" s="44"/>
      <c r="E169" s="44"/>
      <c r="F169" s="44"/>
      <c r="G169" s="44"/>
      <c r="H169" s="44"/>
    </row>
    <row r="170" spans="1:8" s="47" customFormat="1">
      <c r="A170" s="60"/>
      <c r="C170" s="259"/>
      <c r="D170" s="44"/>
      <c r="E170" s="44"/>
      <c r="F170" s="44"/>
      <c r="G170" s="44"/>
      <c r="H170" s="44"/>
    </row>
    <row r="171" spans="1:8" s="47" customFormat="1">
      <c r="A171" s="60"/>
      <c r="C171" s="259"/>
      <c r="D171" s="44"/>
      <c r="E171" s="44"/>
      <c r="F171" s="44"/>
      <c r="G171" s="44"/>
      <c r="H171" s="44"/>
    </row>
    <row r="172" spans="1:8" s="47" customFormat="1">
      <c r="A172" s="60"/>
      <c r="C172" s="259"/>
      <c r="D172" s="44"/>
      <c r="E172" s="44"/>
      <c r="F172" s="44"/>
      <c r="G172" s="44"/>
      <c r="H172" s="44"/>
    </row>
    <row r="173" spans="1:8" s="47" customFormat="1">
      <c r="A173" s="60"/>
      <c r="C173" s="259"/>
      <c r="D173" s="44"/>
      <c r="E173" s="44"/>
      <c r="F173" s="44"/>
      <c r="G173" s="44"/>
      <c r="H173" s="44"/>
    </row>
    <row r="174" spans="1:8" s="47" customFormat="1">
      <c r="A174" s="60"/>
      <c r="C174" s="259"/>
      <c r="D174" s="44"/>
      <c r="E174" s="44"/>
      <c r="F174" s="44"/>
      <c r="G174" s="44"/>
      <c r="H174" s="44"/>
    </row>
    <row r="175" spans="1:8" s="47" customFormat="1">
      <c r="A175" s="60"/>
      <c r="C175" s="259"/>
      <c r="D175" s="44"/>
      <c r="E175" s="44"/>
      <c r="F175" s="44"/>
      <c r="G175" s="44"/>
      <c r="H175" s="44"/>
    </row>
    <row r="176" spans="1:8" s="47" customFormat="1">
      <c r="A176" s="60"/>
      <c r="C176" s="259"/>
      <c r="D176" s="44"/>
      <c r="E176" s="44"/>
      <c r="F176" s="44"/>
      <c r="G176" s="44"/>
      <c r="H176" s="44"/>
    </row>
    <row r="177" spans="1:8" s="47" customFormat="1">
      <c r="A177" s="60"/>
      <c r="C177" s="259"/>
      <c r="D177" s="44"/>
      <c r="E177" s="44"/>
      <c r="F177" s="44"/>
      <c r="G177" s="44"/>
      <c r="H177" s="44"/>
    </row>
    <row r="178" spans="1:8" s="47" customFormat="1">
      <c r="A178" s="60"/>
      <c r="C178" s="259"/>
      <c r="D178" s="44"/>
      <c r="E178" s="44"/>
      <c r="F178" s="44"/>
      <c r="G178" s="44"/>
      <c r="H178" s="44"/>
    </row>
    <row r="179" spans="1:8" s="47" customFormat="1">
      <c r="A179" s="60"/>
      <c r="C179" s="259"/>
      <c r="D179" s="44"/>
      <c r="E179" s="44"/>
      <c r="F179" s="44"/>
      <c r="G179" s="44"/>
      <c r="H179" s="44"/>
    </row>
    <row r="180" spans="1:8" s="47" customFormat="1">
      <c r="A180" s="60"/>
      <c r="C180" s="259"/>
      <c r="D180" s="44"/>
      <c r="E180" s="44"/>
      <c r="F180" s="44"/>
      <c r="G180" s="44"/>
      <c r="H180" s="44"/>
    </row>
    <row r="181" spans="1:8" s="47" customFormat="1">
      <c r="A181" s="60"/>
      <c r="C181" s="259"/>
      <c r="D181" s="44"/>
      <c r="E181" s="44"/>
      <c r="F181" s="44"/>
      <c r="G181" s="44"/>
      <c r="H181" s="44"/>
    </row>
    <row r="182" spans="1:8" s="47" customFormat="1">
      <c r="A182" s="60"/>
      <c r="C182" s="259"/>
      <c r="D182" s="44"/>
      <c r="E182" s="44"/>
      <c r="F182" s="44"/>
      <c r="G182" s="44"/>
      <c r="H182" s="44"/>
    </row>
    <row r="183" spans="1:8" s="47" customFormat="1">
      <c r="A183" s="60"/>
      <c r="C183" s="259"/>
      <c r="D183" s="44"/>
      <c r="E183" s="44"/>
      <c r="F183" s="44"/>
      <c r="G183" s="44"/>
      <c r="H183" s="44"/>
    </row>
    <row r="184" spans="1:8" s="47" customFormat="1">
      <c r="A184" s="60"/>
      <c r="C184" s="259"/>
      <c r="D184" s="44"/>
      <c r="E184" s="44"/>
      <c r="F184" s="44"/>
      <c r="G184" s="44"/>
      <c r="H184" s="44"/>
    </row>
    <row r="185" spans="1:8" s="47" customFormat="1">
      <c r="A185" s="60"/>
      <c r="C185" s="259"/>
      <c r="D185" s="44"/>
      <c r="E185" s="44"/>
      <c r="F185" s="44"/>
      <c r="G185" s="44"/>
      <c r="H185" s="44"/>
    </row>
    <row r="186" spans="1:8" s="47" customFormat="1">
      <c r="A186" s="60"/>
      <c r="C186" s="259"/>
      <c r="D186" s="44"/>
      <c r="E186" s="44"/>
      <c r="F186" s="44"/>
      <c r="G186" s="44"/>
      <c r="H186" s="44"/>
    </row>
    <row r="187" spans="1:8" s="47" customFormat="1">
      <c r="A187" s="60"/>
      <c r="C187" s="259"/>
      <c r="D187" s="44"/>
      <c r="E187" s="44"/>
      <c r="F187" s="44"/>
      <c r="G187" s="44"/>
      <c r="H187" s="44"/>
    </row>
    <row r="188" spans="1:8" s="47" customFormat="1">
      <c r="A188" s="60"/>
      <c r="C188" s="259"/>
      <c r="D188" s="44"/>
      <c r="E188" s="44"/>
      <c r="F188" s="44"/>
      <c r="G188" s="44"/>
      <c r="H188" s="44"/>
    </row>
    <row r="189" spans="1:8" s="47" customFormat="1">
      <c r="A189" s="60"/>
      <c r="C189" s="259"/>
      <c r="D189" s="44"/>
      <c r="E189" s="44"/>
      <c r="F189" s="44"/>
      <c r="G189" s="44"/>
      <c r="H189" s="44"/>
    </row>
    <row r="190" spans="1:8" s="47" customFormat="1">
      <c r="A190" s="60"/>
      <c r="C190" s="259"/>
      <c r="D190" s="44"/>
      <c r="E190" s="44"/>
      <c r="F190" s="44"/>
      <c r="G190" s="44"/>
      <c r="H190" s="44"/>
    </row>
    <row r="191" spans="1:8" s="47" customFormat="1">
      <c r="A191" s="60"/>
      <c r="C191" s="259"/>
      <c r="D191" s="44"/>
      <c r="E191" s="44"/>
      <c r="F191" s="44"/>
      <c r="G191" s="44"/>
      <c r="H191" s="44"/>
    </row>
    <row r="192" spans="1:8" s="47" customFormat="1">
      <c r="A192" s="60"/>
      <c r="C192" s="259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9"/>
  <sheetViews>
    <sheetView view="pageBreakPreview" topLeftCell="A31" zoomScale="75" zoomScaleNormal="75" zoomScaleSheetLayoutView="50" workbookViewId="0">
      <selection activeCell="E44" sqref="E44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64" customWidth="1"/>
    <col min="4" max="4" width="18.7109375" style="1" customWidth="1"/>
    <col min="5" max="5" width="17.5703125" style="264" customWidth="1"/>
    <col min="6" max="6" width="17.7109375" style="1" customWidth="1"/>
    <col min="7" max="7" width="19.5703125" style="1" customWidth="1"/>
    <col min="8" max="16384" width="9.140625" style="1"/>
  </cols>
  <sheetData>
    <row r="1" spans="1:8">
      <c r="A1" s="387" t="s">
        <v>350</v>
      </c>
      <c r="B1" s="387"/>
      <c r="C1" s="387"/>
      <c r="D1" s="387"/>
      <c r="E1" s="387"/>
      <c r="F1" s="387"/>
      <c r="G1" s="387"/>
    </row>
    <row r="2" spans="1:8" outlineLevel="1">
      <c r="A2" s="21"/>
      <c r="B2" s="21"/>
      <c r="C2" s="260"/>
      <c r="D2" s="21"/>
      <c r="E2" s="260"/>
      <c r="F2" s="21"/>
      <c r="G2" s="21"/>
    </row>
    <row r="3" spans="1:8" ht="48" customHeight="1">
      <c r="A3" s="388" t="s">
        <v>259</v>
      </c>
      <c r="B3" s="390" t="s">
        <v>0</v>
      </c>
      <c r="C3" s="381" t="s">
        <v>434</v>
      </c>
      <c r="D3" s="378" t="s">
        <v>435</v>
      </c>
      <c r="E3" s="378"/>
      <c r="F3" s="378"/>
      <c r="G3" s="378"/>
    </row>
    <row r="4" spans="1:8" ht="38.25" customHeight="1">
      <c r="A4" s="389"/>
      <c r="B4" s="390"/>
      <c r="C4" s="381"/>
      <c r="D4" s="227" t="s">
        <v>436</v>
      </c>
      <c r="E4" s="261" t="s">
        <v>437</v>
      </c>
      <c r="F4" s="227" t="s">
        <v>438</v>
      </c>
      <c r="G4" s="227" t="s">
        <v>439</v>
      </c>
    </row>
    <row r="5" spans="1:8" ht="18" customHeight="1">
      <c r="A5" s="7">
        <v>1</v>
      </c>
      <c r="B5" s="13">
        <v>2</v>
      </c>
      <c r="C5" s="261">
        <v>5</v>
      </c>
      <c r="D5" s="13">
        <v>6</v>
      </c>
      <c r="E5" s="261">
        <v>7</v>
      </c>
      <c r="F5" s="13">
        <v>8</v>
      </c>
      <c r="G5" s="13">
        <v>9</v>
      </c>
    </row>
    <row r="6" spans="1:8" s="58" customFormat="1" ht="20.100000000000001" customHeight="1">
      <c r="A6" s="382" t="s">
        <v>162</v>
      </c>
      <c r="B6" s="383"/>
      <c r="C6" s="383"/>
      <c r="D6" s="383"/>
      <c r="E6" s="383"/>
      <c r="F6" s="383"/>
      <c r="G6" s="384"/>
    </row>
    <row r="7" spans="1:8" ht="37.5">
      <c r="A7" s="45" t="s">
        <v>181</v>
      </c>
      <c r="B7" s="9">
        <v>1170</v>
      </c>
      <c r="C7" s="211">
        <f>'I. Фін результат'!C76</f>
        <v>13</v>
      </c>
      <c r="D7" s="211">
        <f>'I. Фін результат'!D76</f>
        <v>20</v>
      </c>
      <c r="E7" s="211">
        <f>'I. Фін результат'!E76</f>
        <v>487.69999999999982</v>
      </c>
      <c r="F7" s="151">
        <f>D7-E7</f>
        <v>-467.69999999999982</v>
      </c>
      <c r="G7" s="151">
        <f>E7/D7%</f>
        <v>2438.4999999999991</v>
      </c>
    </row>
    <row r="8" spans="1:8" ht="20.100000000000001" customHeight="1">
      <c r="A8" s="45" t="s">
        <v>182</v>
      </c>
      <c r="B8" s="14"/>
      <c r="C8" s="206"/>
      <c r="D8" s="154"/>
      <c r="E8" s="206"/>
      <c r="F8" s="206"/>
      <c r="G8" s="206"/>
    </row>
    <row r="9" spans="1:8" ht="20.100000000000001" customHeight="1">
      <c r="A9" s="45" t="s">
        <v>185</v>
      </c>
      <c r="B9" s="6">
        <v>3000</v>
      </c>
      <c r="C9" s="211">
        <f>'I. Фін результат'!C102</f>
        <v>160</v>
      </c>
      <c r="D9" s="211">
        <f>'I. Фін результат'!D102</f>
        <v>177</v>
      </c>
      <c r="E9" s="211">
        <f>'I. Фін результат'!E102</f>
        <v>196</v>
      </c>
      <c r="F9" s="151">
        <f t="shared" ref="F9:F28" si="0">D9-E9</f>
        <v>-19</v>
      </c>
      <c r="G9" s="151">
        <f t="shared" ref="G9:G28" si="1">E9/D9%</f>
        <v>110.73446327683615</v>
      </c>
    </row>
    <row r="10" spans="1:8" ht="20.100000000000001" customHeight="1">
      <c r="A10" s="45" t="s">
        <v>186</v>
      </c>
      <c r="B10" s="6">
        <v>3010</v>
      </c>
      <c r="C10" s="200"/>
      <c r="D10" s="150"/>
      <c r="E10" s="200"/>
      <c r="F10" s="206"/>
      <c r="G10" s="206"/>
    </row>
    <row r="11" spans="1:8" ht="37.5">
      <c r="A11" s="45" t="s">
        <v>187</v>
      </c>
      <c r="B11" s="6">
        <v>3020</v>
      </c>
      <c r="C11" s="200"/>
      <c r="D11" s="150"/>
      <c r="E11" s="200"/>
      <c r="F11" s="206"/>
      <c r="G11" s="206"/>
    </row>
    <row r="12" spans="1:8" ht="56.25">
      <c r="A12" s="45" t="s">
        <v>188</v>
      </c>
      <c r="B12" s="6">
        <v>3030</v>
      </c>
      <c r="C12" s="200">
        <v>259</v>
      </c>
      <c r="D12" s="200"/>
      <c r="E12" s="200"/>
      <c r="F12" s="206"/>
      <c r="G12" s="206"/>
    </row>
    <row r="13" spans="1:8" ht="37.5">
      <c r="A13" s="45" t="s">
        <v>414</v>
      </c>
      <c r="B13" s="284" t="s">
        <v>458</v>
      </c>
      <c r="C13" s="200">
        <v>279</v>
      </c>
      <c r="D13" s="150"/>
      <c r="E13" s="200"/>
      <c r="F13" s="206"/>
      <c r="G13" s="206"/>
    </row>
    <row r="14" spans="1:8" ht="37.5">
      <c r="A14" s="45" t="s">
        <v>421</v>
      </c>
      <c r="B14" s="284" t="s">
        <v>415</v>
      </c>
      <c r="C14" s="200"/>
      <c r="D14" s="150"/>
      <c r="E14" s="200"/>
      <c r="F14" s="206"/>
      <c r="G14" s="206"/>
    </row>
    <row r="15" spans="1:8">
      <c r="A15" s="45" t="s">
        <v>460</v>
      </c>
      <c r="B15" s="284" t="s">
        <v>422</v>
      </c>
      <c r="C15" s="200">
        <v>-20</v>
      </c>
      <c r="D15" s="150"/>
      <c r="E15" s="200"/>
      <c r="F15" s="206"/>
      <c r="G15" s="206"/>
      <c r="H15" s="296"/>
    </row>
    <row r="16" spans="1:8" ht="42.75" customHeight="1">
      <c r="A16" s="57" t="s">
        <v>248</v>
      </c>
      <c r="B16" s="89">
        <v>3040</v>
      </c>
      <c r="C16" s="212">
        <f t="shared" ref="C16:D16" si="2">SUM(C7:C12)</f>
        <v>432</v>
      </c>
      <c r="D16" s="212">
        <f t="shared" si="2"/>
        <v>197</v>
      </c>
      <c r="E16" s="212">
        <f>SUM(E7:E12)</f>
        <v>683.69999999999982</v>
      </c>
      <c r="F16" s="152">
        <f t="shared" si="0"/>
        <v>-486.69999999999982</v>
      </c>
      <c r="G16" s="152">
        <f t="shared" si="1"/>
        <v>347.05583756345169</v>
      </c>
    </row>
    <row r="17" spans="1:7" ht="37.5">
      <c r="A17" s="45" t="s">
        <v>189</v>
      </c>
      <c r="B17" s="6">
        <v>3050</v>
      </c>
      <c r="C17" s="200">
        <f>C18+C19+C20</f>
        <v>-362</v>
      </c>
      <c r="D17" s="150"/>
      <c r="E17" s="200">
        <f>E18+E19+E20</f>
        <v>479</v>
      </c>
      <c r="F17" s="154"/>
      <c r="G17" s="154"/>
    </row>
    <row r="18" spans="1:7">
      <c r="A18" s="45" t="s">
        <v>416</v>
      </c>
      <c r="B18" s="6" t="s">
        <v>390</v>
      </c>
      <c r="C18" s="200">
        <v>-222</v>
      </c>
      <c r="D18" s="150"/>
      <c r="E18" s="200">
        <v>479</v>
      </c>
      <c r="F18" s="154"/>
      <c r="G18" s="154"/>
    </row>
    <row r="19" spans="1:7">
      <c r="A19" s="45" t="s">
        <v>417</v>
      </c>
      <c r="B19" s="203" t="s">
        <v>391</v>
      </c>
      <c r="C19" s="200">
        <v>-188</v>
      </c>
      <c r="D19" s="150"/>
      <c r="E19" s="200"/>
      <c r="F19" s="206"/>
      <c r="G19" s="206"/>
    </row>
    <row r="20" spans="1:7">
      <c r="A20" s="45" t="s">
        <v>418</v>
      </c>
      <c r="B20" s="203" t="s">
        <v>419</v>
      </c>
      <c r="C20" s="200">
        <v>48</v>
      </c>
      <c r="D20" s="150"/>
      <c r="E20" s="200"/>
      <c r="F20" s="206"/>
      <c r="G20" s="206"/>
    </row>
    <row r="21" spans="1:7">
      <c r="A21" s="45"/>
      <c r="B21" s="203" t="s">
        <v>420</v>
      </c>
      <c r="C21" s="200"/>
      <c r="D21" s="150"/>
      <c r="E21" s="150"/>
      <c r="F21" s="206"/>
      <c r="G21" s="206"/>
    </row>
    <row r="22" spans="1:7" ht="37.5">
      <c r="A22" s="45" t="s">
        <v>190</v>
      </c>
      <c r="B22" s="6">
        <v>3060</v>
      </c>
      <c r="C22" s="200">
        <f>C23+C24+C25</f>
        <v>-248</v>
      </c>
      <c r="D22" s="150"/>
      <c r="E22" s="200">
        <f>E23+E24+E25</f>
        <v>0</v>
      </c>
      <c r="F22" s="206"/>
      <c r="G22" s="206"/>
    </row>
    <row r="23" spans="1:7">
      <c r="A23" s="45" t="s">
        <v>423</v>
      </c>
      <c r="B23" s="6" t="s">
        <v>392</v>
      </c>
      <c r="C23" s="200">
        <v>2</v>
      </c>
      <c r="D23" s="150"/>
      <c r="E23" s="200"/>
      <c r="F23" s="206"/>
      <c r="G23" s="206"/>
    </row>
    <row r="24" spans="1:7">
      <c r="A24" s="45" t="s">
        <v>424</v>
      </c>
      <c r="B24" s="6" t="s">
        <v>393</v>
      </c>
      <c r="C24" s="200">
        <v>-365</v>
      </c>
      <c r="D24" s="150"/>
      <c r="E24" s="200"/>
      <c r="F24" s="206"/>
      <c r="G24" s="206"/>
    </row>
    <row r="25" spans="1:7">
      <c r="A25" s="45" t="s">
        <v>425</v>
      </c>
      <c r="B25" s="203" t="s">
        <v>426</v>
      </c>
      <c r="C25" s="200">
        <v>115</v>
      </c>
      <c r="D25" s="150"/>
      <c r="E25" s="200"/>
      <c r="F25" s="206"/>
      <c r="G25" s="206"/>
    </row>
    <row r="26" spans="1:7" ht="20.100000000000001" customHeight="1">
      <c r="A26" s="57" t="s">
        <v>183</v>
      </c>
      <c r="B26" s="89">
        <v>3070</v>
      </c>
      <c r="C26" s="212">
        <f t="shared" ref="C26:D26" si="3">C16+C17+C22</f>
        <v>-178</v>
      </c>
      <c r="D26" s="212">
        <f t="shared" si="3"/>
        <v>197</v>
      </c>
      <c r="E26" s="212">
        <f>E16+E17+E22</f>
        <v>1162.6999999999998</v>
      </c>
      <c r="F26" s="152">
        <f t="shared" si="0"/>
        <v>-965.69999999999982</v>
      </c>
      <c r="G26" s="152">
        <f t="shared" si="1"/>
        <v>590.20304568527911</v>
      </c>
    </row>
    <row r="27" spans="1:7" ht="20.100000000000001" customHeight="1">
      <c r="A27" s="45" t="s">
        <v>184</v>
      </c>
      <c r="B27" s="6">
        <v>3080</v>
      </c>
      <c r="C27" s="206">
        <f>'I. Фін результат'!C77</f>
        <v>0</v>
      </c>
      <c r="D27" s="206">
        <f>'I. Фін результат'!D77</f>
        <v>0</v>
      </c>
      <c r="E27" s="206">
        <f>'I. Фін результат'!E77</f>
        <v>0</v>
      </c>
      <c r="F27" s="206">
        <f t="shared" si="0"/>
        <v>0</v>
      </c>
      <c r="G27" s="206">
        <v>0</v>
      </c>
    </row>
    <row r="28" spans="1:7" ht="37.5">
      <c r="A28" s="10" t="s">
        <v>161</v>
      </c>
      <c r="B28" s="89">
        <v>3090</v>
      </c>
      <c r="C28" s="212">
        <f t="shared" ref="C28:E28" si="4">C26-C27</f>
        <v>-178</v>
      </c>
      <c r="D28" s="212">
        <f t="shared" si="4"/>
        <v>197</v>
      </c>
      <c r="E28" s="212">
        <f t="shared" si="4"/>
        <v>1162.6999999999998</v>
      </c>
      <c r="F28" s="152">
        <f t="shared" si="0"/>
        <v>-965.69999999999982</v>
      </c>
      <c r="G28" s="152">
        <f t="shared" si="1"/>
        <v>590.20304568527911</v>
      </c>
    </row>
    <row r="29" spans="1:7" ht="20.100000000000001" customHeight="1">
      <c r="A29" s="382" t="s">
        <v>163</v>
      </c>
      <c r="B29" s="383"/>
      <c r="C29" s="383"/>
      <c r="D29" s="383"/>
      <c r="E29" s="383"/>
      <c r="F29" s="383"/>
      <c r="G29" s="384"/>
    </row>
    <row r="30" spans="1:7" ht="20.100000000000001" customHeight="1">
      <c r="A30" s="57" t="s">
        <v>273</v>
      </c>
      <c r="B30" s="9"/>
      <c r="C30" s="200"/>
      <c r="D30" s="150">
        <f>I34</f>
        <v>0</v>
      </c>
      <c r="E30" s="200"/>
      <c r="F30" s="150"/>
      <c r="G30" s="150"/>
    </row>
    <row r="31" spans="1:7" ht="20.100000000000001" customHeight="1">
      <c r="A31" s="8" t="s">
        <v>32</v>
      </c>
      <c r="B31" s="9">
        <v>3200</v>
      </c>
      <c r="C31" s="200"/>
      <c r="D31" s="150"/>
      <c r="E31" s="200"/>
      <c r="F31" s="150"/>
      <c r="G31" s="150"/>
    </row>
    <row r="32" spans="1:7" ht="20.100000000000001" customHeight="1">
      <c r="A32" s="8" t="s">
        <v>33</v>
      </c>
      <c r="B32" s="9">
        <v>3210</v>
      </c>
      <c r="C32" s="200"/>
      <c r="D32" s="150"/>
      <c r="E32" s="200"/>
      <c r="F32" s="150"/>
      <c r="G32" s="150"/>
    </row>
    <row r="33" spans="1:7" ht="20.100000000000001" customHeight="1">
      <c r="A33" s="8" t="s">
        <v>55</v>
      </c>
      <c r="B33" s="9">
        <v>3220</v>
      </c>
      <c r="C33" s="200"/>
      <c r="D33" s="150"/>
      <c r="E33" s="200"/>
      <c r="F33" s="150"/>
      <c r="G33" s="150"/>
    </row>
    <row r="34" spans="1:7" ht="20.100000000000001" customHeight="1">
      <c r="A34" s="45" t="s">
        <v>167</v>
      </c>
      <c r="B34" s="9"/>
      <c r="C34" s="200"/>
      <c r="D34" s="150"/>
      <c r="E34" s="200"/>
      <c r="F34" s="150"/>
      <c r="G34" s="150"/>
    </row>
    <row r="35" spans="1:7" ht="20.100000000000001" customHeight="1">
      <c r="A35" s="8" t="s">
        <v>168</v>
      </c>
      <c r="B35" s="9">
        <v>3230</v>
      </c>
      <c r="C35" s="200"/>
      <c r="D35" s="150"/>
      <c r="E35" s="200"/>
      <c r="F35" s="150"/>
      <c r="G35" s="150"/>
    </row>
    <row r="36" spans="1:7" ht="20.100000000000001" customHeight="1">
      <c r="A36" s="8" t="s">
        <v>169</v>
      </c>
      <c r="B36" s="9">
        <v>3240</v>
      </c>
      <c r="C36" s="200"/>
      <c r="D36" s="150"/>
      <c r="E36" s="200"/>
      <c r="F36" s="150"/>
      <c r="G36" s="150"/>
    </row>
    <row r="37" spans="1:7" ht="20.100000000000001" customHeight="1">
      <c r="A37" s="45" t="s">
        <v>170</v>
      </c>
      <c r="B37" s="9">
        <v>3250</v>
      </c>
      <c r="C37" s="200"/>
      <c r="D37" s="150"/>
      <c r="E37" s="200"/>
      <c r="F37" s="150"/>
      <c r="G37" s="150"/>
    </row>
    <row r="38" spans="1:7" ht="20.100000000000001" customHeight="1">
      <c r="A38" s="8" t="s">
        <v>123</v>
      </c>
      <c r="B38" s="9">
        <v>3260</v>
      </c>
      <c r="C38" s="200"/>
      <c r="D38" s="150"/>
      <c r="E38" s="200"/>
      <c r="F38" s="150"/>
      <c r="G38" s="150"/>
    </row>
    <row r="39" spans="1:7" ht="20.100000000000001" customHeight="1">
      <c r="A39" s="57" t="s">
        <v>275</v>
      </c>
      <c r="B39" s="9"/>
      <c r="C39" s="200"/>
      <c r="D39" s="150"/>
      <c r="E39" s="200"/>
      <c r="F39" s="150"/>
      <c r="G39" s="150"/>
    </row>
    <row r="40" spans="1:7" ht="37.5">
      <c r="A40" s="8" t="s">
        <v>124</v>
      </c>
      <c r="B40" s="9">
        <v>3270</v>
      </c>
      <c r="C40" s="200">
        <v>25</v>
      </c>
      <c r="D40" s="150">
        <f>D41+D42</f>
        <v>936</v>
      </c>
      <c r="E40" s="150">
        <f>E41+E42</f>
        <v>941</v>
      </c>
      <c r="F40" s="150">
        <f>D40-E40</f>
        <v>-5</v>
      </c>
      <c r="G40" s="150"/>
    </row>
    <row r="41" spans="1:7" ht="40.5">
      <c r="A41" s="293" t="s">
        <v>537</v>
      </c>
      <c r="B41" s="273" t="s">
        <v>427</v>
      </c>
      <c r="C41" s="277"/>
      <c r="D41" s="277" t="s">
        <v>466</v>
      </c>
      <c r="E41" s="292" t="s">
        <v>538</v>
      </c>
      <c r="F41" s="150">
        <f>D41-E41</f>
        <v>4</v>
      </c>
      <c r="G41" s="150"/>
    </row>
    <row r="42" spans="1:7">
      <c r="A42" s="8" t="s">
        <v>539</v>
      </c>
      <c r="B42" s="203" t="s">
        <v>428</v>
      </c>
      <c r="C42" s="200">
        <v>25</v>
      </c>
      <c r="D42" s="150">
        <v>136</v>
      </c>
      <c r="E42" s="200">
        <v>145</v>
      </c>
      <c r="F42" s="150">
        <f>D42-E42</f>
        <v>-9</v>
      </c>
      <c r="G42" s="150"/>
    </row>
    <row r="43" spans="1:7" ht="20.100000000000001" customHeight="1">
      <c r="A43" s="8" t="s">
        <v>125</v>
      </c>
      <c r="B43" s="9">
        <v>3280</v>
      </c>
      <c r="C43" s="200"/>
      <c r="D43" s="150"/>
      <c r="E43" s="200"/>
      <c r="F43" s="150"/>
      <c r="G43" s="150"/>
    </row>
    <row r="44" spans="1:7" ht="37.5">
      <c r="A44" s="8" t="s">
        <v>126</v>
      </c>
      <c r="B44" s="9">
        <v>3290</v>
      </c>
      <c r="C44" s="200"/>
      <c r="D44" s="150"/>
      <c r="E44" s="200"/>
      <c r="F44" s="150"/>
      <c r="G44" s="150"/>
    </row>
    <row r="45" spans="1:7" ht="20.100000000000001" customHeight="1">
      <c r="A45" s="8" t="s">
        <v>56</v>
      </c>
      <c r="B45" s="9">
        <v>3300</v>
      </c>
      <c r="C45" s="200"/>
      <c r="D45" s="150"/>
      <c r="E45" s="200"/>
      <c r="F45" s="150"/>
      <c r="G45" s="150"/>
    </row>
    <row r="46" spans="1:7" ht="20.100000000000001" customHeight="1">
      <c r="A46" s="8" t="s">
        <v>118</v>
      </c>
      <c r="B46" s="9">
        <v>3310</v>
      </c>
      <c r="C46" s="200"/>
      <c r="D46" s="150">
        <v>200</v>
      </c>
      <c r="E46" s="200">
        <v>87</v>
      </c>
      <c r="F46" s="150">
        <f>D46-E46</f>
        <v>113</v>
      </c>
      <c r="G46" s="150"/>
    </row>
    <row r="47" spans="1:7" ht="20.100000000000001" customHeight="1">
      <c r="A47" s="8" t="s">
        <v>385</v>
      </c>
      <c r="B47" s="6" t="s">
        <v>394</v>
      </c>
      <c r="C47" s="200"/>
      <c r="D47" s="150">
        <v>200</v>
      </c>
      <c r="E47" s="200">
        <v>87</v>
      </c>
      <c r="F47" s="150">
        <f t="shared" ref="F47:F48" si="5">D47-E47</f>
        <v>113</v>
      </c>
      <c r="G47" s="150"/>
    </row>
    <row r="48" spans="1:7" ht="37.5">
      <c r="A48" s="57" t="s">
        <v>164</v>
      </c>
      <c r="B48" s="11">
        <v>3320</v>
      </c>
      <c r="C48" s="212">
        <f t="shared" ref="C48:E48" si="6">(C31+C32+C33+C35+C36+C37+C38)-(C40+C43+C44+C45+C46)</f>
        <v>-25</v>
      </c>
      <c r="D48" s="212">
        <f t="shared" si="6"/>
        <v>-1136</v>
      </c>
      <c r="E48" s="212">
        <f t="shared" si="6"/>
        <v>-1028</v>
      </c>
      <c r="F48" s="235">
        <f t="shared" si="5"/>
        <v>-108</v>
      </c>
      <c r="G48" s="235">
        <f t="shared" ref="G48" si="7">E48/D48%</f>
        <v>90.492957746478879</v>
      </c>
    </row>
    <row r="49" spans="1:7" ht="20.100000000000001" customHeight="1">
      <c r="A49" s="382" t="s">
        <v>165</v>
      </c>
      <c r="B49" s="383"/>
      <c r="C49" s="383"/>
      <c r="D49" s="383"/>
      <c r="E49" s="383"/>
      <c r="F49" s="383"/>
      <c r="G49" s="384"/>
    </row>
    <row r="50" spans="1:7" ht="20.100000000000001" customHeight="1">
      <c r="A50" s="57" t="s">
        <v>274</v>
      </c>
      <c r="B50" s="9"/>
      <c r="C50" s="200"/>
      <c r="D50" s="150"/>
      <c r="E50" s="200"/>
      <c r="F50" s="150"/>
      <c r="G50" s="150"/>
    </row>
    <row r="51" spans="1:7" ht="20.100000000000001" customHeight="1">
      <c r="A51" s="45" t="s">
        <v>171</v>
      </c>
      <c r="B51" s="9">
        <v>3400</v>
      </c>
      <c r="C51" s="200">
        <v>25</v>
      </c>
      <c r="D51" s="150"/>
      <c r="E51" s="200"/>
      <c r="F51" s="150"/>
      <c r="G51" s="150"/>
    </row>
    <row r="52" spans="1:7" ht="37.5">
      <c r="A52" s="8" t="s">
        <v>95</v>
      </c>
      <c r="C52" s="200"/>
      <c r="D52" s="150"/>
      <c r="E52" s="200"/>
      <c r="F52" s="150"/>
    </row>
    <row r="53" spans="1:7" ht="20.100000000000001" customHeight="1">
      <c r="A53" s="8" t="s">
        <v>94</v>
      </c>
      <c r="B53" s="9">
        <v>3410</v>
      </c>
      <c r="C53" s="200"/>
      <c r="D53" s="150"/>
      <c r="E53" s="200"/>
      <c r="F53" s="150"/>
      <c r="G53" s="150"/>
    </row>
    <row r="54" spans="1:7" ht="20.100000000000001" customHeight="1">
      <c r="A54" s="8" t="s">
        <v>99</v>
      </c>
      <c r="B54" s="6">
        <v>3420</v>
      </c>
      <c r="C54" s="200"/>
      <c r="D54" s="150"/>
      <c r="E54" s="200"/>
      <c r="F54" s="150"/>
      <c r="G54" s="150"/>
    </row>
    <row r="55" spans="1:7" ht="20.100000000000001" customHeight="1">
      <c r="A55" s="8" t="s">
        <v>127</v>
      </c>
      <c r="B55" s="9">
        <v>3430</v>
      </c>
      <c r="C55" s="200"/>
      <c r="D55" s="150"/>
      <c r="E55" s="200"/>
      <c r="F55" s="150"/>
    </row>
    <row r="56" spans="1:7" ht="37.5">
      <c r="A56" s="8" t="s">
        <v>97</v>
      </c>
      <c r="B56" s="9"/>
      <c r="C56" s="200"/>
      <c r="D56" s="150"/>
      <c r="E56" s="200"/>
      <c r="F56" s="150"/>
      <c r="G56" s="150"/>
    </row>
    <row r="57" spans="1:7" ht="20.100000000000001" customHeight="1">
      <c r="A57" s="8" t="s">
        <v>94</v>
      </c>
      <c r="B57" s="6">
        <v>3440</v>
      </c>
      <c r="C57" s="200"/>
      <c r="D57" s="150"/>
      <c r="E57" s="200"/>
      <c r="F57" s="150"/>
      <c r="G57" s="150"/>
    </row>
    <row r="58" spans="1:7" ht="20.100000000000001" customHeight="1">
      <c r="A58" s="8" t="s">
        <v>99</v>
      </c>
      <c r="B58" s="6">
        <v>3450</v>
      </c>
      <c r="C58" s="200"/>
      <c r="D58" s="150"/>
      <c r="E58" s="200"/>
      <c r="F58" s="150"/>
      <c r="G58" s="150"/>
    </row>
    <row r="59" spans="1:7" ht="20.100000000000001" customHeight="1">
      <c r="A59" s="8" t="s">
        <v>127</v>
      </c>
      <c r="B59" s="6">
        <v>3460</v>
      </c>
      <c r="C59" s="200"/>
      <c r="D59" s="150"/>
      <c r="E59" s="200"/>
      <c r="F59" s="150"/>
      <c r="G59" s="150"/>
    </row>
    <row r="60" spans="1:7" ht="20.100000000000001" customHeight="1">
      <c r="A60" s="8" t="s">
        <v>122</v>
      </c>
      <c r="B60" s="6">
        <v>3470</v>
      </c>
      <c r="C60" s="200"/>
      <c r="D60" s="150">
        <f>D61</f>
        <v>1000</v>
      </c>
      <c r="E60" s="200">
        <f>E61</f>
        <v>883</v>
      </c>
      <c r="F60" s="150">
        <f>D60-E60</f>
        <v>117</v>
      </c>
      <c r="G60" s="150"/>
    </row>
    <row r="61" spans="1:7" ht="20.100000000000001" customHeight="1">
      <c r="A61" s="8" t="s">
        <v>398</v>
      </c>
      <c r="B61" s="6" t="s">
        <v>397</v>
      </c>
      <c r="C61" s="200"/>
      <c r="D61" s="150">
        <v>1000</v>
      </c>
      <c r="E61" s="200">
        <f>E41+E46</f>
        <v>883</v>
      </c>
      <c r="F61" s="150">
        <f>D61-E61</f>
        <v>117</v>
      </c>
      <c r="G61" s="150"/>
    </row>
    <row r="62" spans="1:7" ht="20.100000000000001" customHeight="1">
      <c r="A62" s="8" t="s">
        <v>123</v>
      </c>
      <c r="B62" s="6">
        <v>3480</v>
      </c>
      <c r="C62" s="200"/>
      <c r="D62" s="150"/>
      <c r="E62" s="200"/>
      <c r="F62" s="150"/>
      <c r="G62" s="150"/>
    </row>
    <row r="63" spans="1:7" ht="20.100000000000001" customHeight="1">
      <c r="A63" s="8" t="s">
        <v>388</v>
      </c>
      <c r="B63" s="6" t="s">
        <v>389</v>
      </c>
      <c r="C63" s="200"/>
      <c r="D63" s="150"/>
      <c r="E63" s="200"/>
      <c r="F63" s="150"/>
      <c r="G63" s="150"/>
    </row>
    <row r="64" spans="1:7" ht="20.100000000000001" customHeight="1">
      <c r="A64" s="57" t="s">
        <v>275</v>
      </c>
      <c r="B64" s="9"/>
      <c r="C64" s="200"/>
      <c r="D64" s="150"/>
      <c r="E64" s="200"/>
      <c r="F64" s="150"/>
      <c r="G64" s="150"/>
    </row>
    <row r="65" spans="1:7" ht="37.5">
      <c r="A65" s="8" t="s">
        <v>348</v>
      </c>
      <c r="B65" s="9">
        <v>3490</v>
      </c>
      <c r="C65" s="206"/>
      <c r="D65" s="154">
        <v>3</v>
      </c>
      <c r="E65" s="206">
        <f>'ІІ. Розр. з бюджетом'!E9</f>
        <v>60</v>
      </c>
      <c r="F65" s="150">
        <f t="shared" ref="F65:F66" si="8">D65-E65</f>
        <v>-57</v>
      </c>
      <c r="G65" s="150">
        <f>E65/D65%</f>
        <v>2000</v>
      </c>
    </row>
    <row r="66" spans="1:7" ht="112.5">
      <c r="A66" s="8" t="s">
        <v>349</v>
      </c>
      <c r="B66" s="9">
        <v>3500</v>
      </c>
      <c r="C66" s="206"/>
      <c r="D66" s="154">
        <v>10</v>
      </c>
      <c r="E66" s="206">
        <f>'ІІ. Розр. з бюджетом'!E10</f>
        <v>204</v>
      </c>
      <c r="F66" s="150">
        <f t="shared" si="8"/>
        <v>-194</v>
      </c>
      <c r="G66" s="150">
        <f t="shared" ref="G66" si="9">E65/D65%</f>
        <v>2000</v>
      </c>
    </row>
    <row r="67" spans="1:7" ht="37.5">
      <c r="A67" s="8" t="s">
        <v>98</v>
      </c>
      <c r="B67" s="9"/>
      <c r="C67" s="200"/>
      <c r="D67" s="150"/>
      <c r="E67" s="200"/>
      <c r="F67" s="150"/>
      <c r="G67" s="150"/>
    </row>
    <row r="68" spans="1:7" ht="20.100000000000001" customHeight="1">
      <c r="A68" s="8" t="s">
        <v>94</v>
      </c>
      <c r="B68" s="6">
        <v>3510</v>
      </c>
      <c r="C68" s="200"/>
      <c r="D68" s="150"/>
      <c r="E68" s="200"/>
      <c r="F68" s="150"/>
      <c r="G68" s="150"/>
    </row>
    <row r="69" spans="1:7" ht="20.100000000000001" customHeight="1">
      <c r="A69" s="8" t="s">
        <v>99</v>
      </c>
      <c r="B69" s="6">
        <v>3520</v>
      </c>
      <c r="C69" s="200"/>
      <c r="D69" s="150"/>
      <c r="E69" s="200"/>
      <c r="F69" s="150"/>
      <c r="G69" s="150"/>
    </row>
    <row r="70" spans="1:7" ht="20.100000000000001" customHeight="1">
      <c r="A70" s="8" t="s">
        <v>127</v>
      </c>
      <c r="B70" s="6">
        <v>3530</v>
      </c>
      <c r="C70" s="200"/>
      <c r="D70" s="150"/>
      <c r="E70" s="200"/>
      <c r="F70" s="150"/>
      <c r="G70" s="150"/>
    </row>
    <row r="71" spans="1:7" ht="37.5">
      <c r="A71" s="8" t="s">
        <v>96</v>
      </c>
      <c r="B71" s="9"/>
      <c r="C71" s="200"/>
      <c r="D71" s="150"/>
      <c r="E71" s="200"/>
      <c r="F71" s="150"/>
      <c r="G71" s="150"/>
    </row>
    <row r="72" spans="1:7" ht="20.100000000000001" customHeight="1">
      <c r="A72" s="8" t="s">
        <v>94</v>
      </c>
      <c r="B72" s="6">
        <v>3540</v>
      </c>
      <c r="C72" s="200"/>
      <c r="D72" s="150"/>
      <c r="E72" s="200"/>
      <c r="F72" s="150"/>
      <c r="G72" s="150"/>
    </row>
    <row r="73" spans="1:7" ht="20.100000000000001" customHeight="1">
      <c r="A73" s="8" t="s">
        <v>99</v>
      </c>
      <c r="B73" s="6">
        <v>3550</v>
      </c>
      <c r="C73" s="200"/>
      <c r="D73" s="150"/>
      <c r="E73" s="200"/>
      <c r="F73" s="150"/>
      <c r="G73" s="150"/>
    </row>
    <row r="74" spans="1:7" ht="20.100000000000001" customHeight="1">
      <c r="A74" s="8" t="s">
        <v>127</v>
      </c>
      <c r="B74" s="6">
        <v>3560</v>
      </c>
      <c r="C74" s="200"/>
      <c r="D74" s="150"/>
      <c r="E74" s="200"/>
      <c r="F74" s="150"/>
      <c r="G74" s="150"/>
    </row>
    <row r="75" spans="1:7" ht="20.100000000000001" customHeight="1">
      <c r="A75" s="8" t="s">
        <v>118</v>
      </c>
      <c r="B75" s="6">
        <v>3570</v>
      </c>
      <c r="C75" s="200"/>
      <c r="D75" s="150"/>
      <c r="E75" s="200"/>
      <c r="F75" s="150"/>
      <c r="G75" s="150"/>
    </row>
    <row r="76" spans="1:7" ht="37.5">
      <c r="A76" s="57" t="s">
        <v>166</v>
      </c>
      <c r="B76" s="89">
        <v>3580</v>
      </c>
      <c r="C76" s="212">
        <f t="shared" ref="C76:E76" si="10">(C51+C53+C54+C55+C57+C58+C59+C60+C62)-(C65+C66+C68+C69+C70+C72+C73+C74+C75)</f>
        <v>25</v>
      </c>
      <c r="D76" s="212">
        <f t="shared" si="10"/>
        <v>987</v>
      </c>
      <c r="E76" s="212">
        <f t="shared" si="10"/>
        <v>619</v>
      </c>
      <c r="F76" s="212">
        <f>D76-E76</f>
        <v>368</v>
      </c>
      <c r="G76" s="212">
        <f>E76/D76%</f>
        <v>62.715298885511658</v>
      </c>
    </row>
    <row r="77" spans="1:7" s="15" customFormat="1" ht="20.100000000000001" customHeight="1">
      <c r="A77" s="8" t="s">
        <v>34</v>
      </c>
      <c r="B77" s="6"/>
      <c r="C77" s="206"/>
      <c r="D77" s="154"/>
      <c r="E77" s="206"/>
      <c r="F77" s="234"/>
      <c r="G77" s="234"/>
    </row>
    <row r="78" spans="1:7" s="15" customFormat="1" ht="20.100000000000001" customHeight="1">
      <c r="A78" s="10" t="s">
        <v>35</v>
      </c>
      <c r="B78" s="6">
        <v>3600</v>
      </c>
      <c r="C78" s="211">
        <v>343</v>
      </c>
      <c r="D78" s="211">
        <v>647</v>
      </c>
      <c r="E78" s="211">
        <v>647</v>
      </c>
      <c r="F78" s="211">
        <f t="shared" ref="F78:F81" si="11">D78-E78</f>
        <v>0</v>
      </c>
      <c r="G78" s="151">
        <f t="shared" ref="G78:G81" si="12">E78/D78%</f>
        <v>100</v>
      </c>
    </row>
    <row r="79" spans="1:7" s="15" customFormat="1" ht="37.5">
      <c r="A79" s="71" t="s">
        <v>174</v>
      </c>
      <c r="B79" s="6">
        <v>3610</v>
      </c>
      <c r="C79" s="200"/>
      <c r="D79" s="150"/>
      <c r="E79" s="200"/>
      <c r="F79" s="234"/>
      <c r="G79" s="234"/>
    </row>
    <row r="80" spans="1:7" s="15" customFormat="1" ht="20.100000000000001" customHeight="1">
      <c r="A80" s="10" t="s">
        <v>57</v>
      </c>
      <c r="B80" s="6">
        <v>3620</v>
      </c>
      <c r="C80" s="212">
        <f>C78+C28+C48+C76</f>
        <v>165</v>
      </c>
      <c r="D80" s="212">
        <f t="shared" ref="D80:E80" si="13">D78+D28+D48+D76</f>
        <v>695</v>
      </c>
      <c r="E80" s="212">
        <f t="shared" si="13"/>
        <v>1400.6999999999998</v>
      </c>
      <c r="F80" s="152">
        <f t="shared" si="11"/>
        <v>-705.69999999999982</v>
      </c>
      <c r="G80" s="152">
        <f t="shared" si="12"/>
        <v>201.53956834532372</v>
      </c>
    </row>
    <row r="81" spans="1:7" s="15" customFormat="1" ht="20.100000000000001" customHeight="1">
      <c r="A81" s="10" t="s">
        <v>36</v>
      </c>
      <c r="B81" s="6">
        <v>3630</v>
      </c>
      <c r="C81" s="212">
        <f t="shared" ref="C81:E81" si="14">C80-C78</f>
        <v>-178</v>
      </c>
      <c r="D81" s="212">
        <f t="shared" si="14"/>
        <v>48</v>
      </c>
      <c r="E81" s="212">
        <f t="shared" si="14"/>
        <v>753.69999999999982</v>
      </c>
      <c r="F81" s="212">
        <f t="shared" si="11"/>
        <v>-705.69999999999982</v>
      </c>
      <c r="G81" s="212">
        <f t="shared" si="12"/>
        <v>1570.208333333333</v>
      </c>
    </row>
    <row r="82" spans="1:7" s="15" customFormat="1" ht="20.100000000000001" customHeight="1">
      <c r="A82" s="125"/>
      <c r="B82" s="130"/>
      <c r="C82" s="262"/>
      <c r="E82" s="262"/>
      <c r="F82" s="131"/>
      <c r="G82" s="131"/>
    </row>
    <row r="83" spans="1:7" s="15" customFormat="1" ht="20.100000000000001" customHeight="1">
      <c r="A83" s="125"/>
      <c r="B83" s="130"/>
      <c r="C83" s="262"/>
      <c r="E83" s="262"/>
      <c r="F83" s="131"/>
      <c r="G83" s="131"/>
    </row>
    <row r="84" spans="1:7" s="15" customFormat="1" ht="20.100000000000001" customHeight="1">
      <c r="A84" s="125"/>
      <c r="B84" s="130"/>
      <c r="C84" s="263"/>
      <c r="D84" s="131"/>
      <c r="E84" s="263"/>
      <c r="F84" s="131"/>
      <c r="G84" s="131"/>
    </row>
    <row r="85" spans="1:7" s="2" customFormat="1" ht="18.75" customHeight="1">
      <c r="A85" s="155" t="s">
        <v>375</v>
      </c>
      <c r="B85" s="120"/>
      <c r="C85" s="258"/>
      <c r="D85" s="121"/>
      <c r="E85" s="380" t="s">
        <v>374</v>
      </c>
      <c r="F85" s="380"/>
      <c r="G85" s="380"/>
    </row>
    <row r="86" spans="1:7" ht="20.100000000000001" customHeight="1">
      <c r="A86" s="92" t="s">
        <v>353</v>
      </c>
      <c r="B86" s="105"/>
      <c r="C86" s="246"/>
      <c r="D86" s="122"/>
      <c r="E86" s="374" t="s">
        <v>411</v>
      </c>
      <c r="F86" s="374"/>
      <c r="G86" s="374"/>
    </row>
    <row r="88" spans="1:7">
      <c r="C88" s="263">
        <v>442</v>
      </c>
      <c r="D88" s="131">
        <v>732</v>
      </c>
      <c r="E88" s="263">
        <v>499</v>
      </c>
    </row>
    <row r="89" spans="1:7">
      <c r="C89" s="263">
        <v>732</v>
      </c>
      <c r="D89" s="131">
        <v>186</v>
      </c>
      <c r="E89" s="263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E86:G86"/>
    <mergeCell ref="A29:G29"/>
    <mergeCell ref="A6:G6"/>
    <mergeCell ref="A49:G49"/>
    <mergeCell ref="E85:G85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70" zoomScaleNormal="75" zoomScaleSheetLayoutView="70" workbookViewId="0">
      <selection activeCell="E9" sqref="E9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87" t="s">
        <v>219</v>
      </c>
      <c r="B1" s="387"/>
      <c r="C1" s="387"/>
      <c r="D1" s="387"/>
      <c r="E1" s="387"/>
      <c r="F1" s="387"/>
      <c r="G1" s="387"/>
    </row>
    <row r="2" spans="1:14">
      <c r="A2" s="391"/>
      <c r="B2" s="391"/>
      <c r="C2" s="391"/>
      <c r="D2" s="391"/>
      <c r="E2" s="391"/>
      <c r="F2" s="391"/>
      <c r="G2" s="391"/>
    </row>
    <row r="3" spans="1:14" ht="43.5" customHeight="1">
      <c r="A3" s="379" t="s">
        <v>259</v>
      </c>
      <c r="B3" s="378" t="s">
        <v>18</v>
      </c>
      <c r="C3" s="381" t="s">
        <v>434</v>
      </c>
      <c r="D3" s="378" t="s">
        <v>435</v>
      </c>
      <c r="E3" s="378"/>
      <c r="F3" s="378"/>
      <c r="G3" s="378"/>
    </row>
    <row r="4" spans="1:14" ht="56.25" customHeight="1">
      <c r="A4" s="379"/>
      <c r="B4" s="378"/>
      <c r="C4" s="381"/>
      <c r="D4" s="227" t="s">
        <v>436</v>
      </c>
      <c r="E4" s="227" t="s">
        <v>437</v>
      </c>
      <c r="F4" s="227" t="s">
        <v>438</v>
      </c>
      <c r="G4" s="227" t="s">
        <v>439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83</v>
      </c>
      <c r="B6" s="74">
        <v>4000</v>
      </c>
      <c r="C6" s="237">
        <f t="shared" ref="C6" si="0">SUM(C7:C11)</f>
        <v>0</v>
      </c>
      <c r="D6" s="212">
        <f>D8+D11</f>
        <v>970</v>
      </c>
      <c r="E6" s="212">
        <f>E7+E8+E9+E10+E11</f>
        <v>857</v>
      </c>
      <c r="F6" s="212">
        <f>D6-E6</f>
        <v>113</v>
      </c>
      <c r="G6" s="212">
        <f>E6/D6%</f>
        <v>88.350515463917532</v>
      </c>
    </row>
    <row r="7" spans="1:14" ht="20.100000000000001" customHeight="1">
      <c r="A7" s="8" t="s">
        <v>1</v>
      </c>
      <c r="B7" s="75" t="s">
        <v>229</v>
      </c>
      <c r="C7" s="104"/>
      <c r="D7" s="150"/>
      <c r="E7" s="150"/>
      <c r="F7" s="272"/>
      <c r="G7" s="272"/>
    </row>
    <row r="8" spans="1:14" ht="37.5">
      <c r="A8" s="8" t="s">
        <v>2</v>
      </c>
      <c r="B8" s="74">
        <v>4020</v>
      </c>
      <c r="C8" s="217">
        <v>0</v>
      </c>
      <c r="D8" s="200">
        <v>803</v>
      </c>
      <c r="E8" s="200">
        <v>784</v>
      </c>
      <c r="F8" s="154">
        <f t="shared" ref="F8" si="1">D8-E8</f>
        <v>19</v>
      </c>
      <c r="G8" s="272">
        <f t="shared" ref="G8" si="2">E8/D8%</f>
        <v>97.633872976338736</v>
      </c>
      <c r="N8" s="21"/>
    </row>
    <row r="9" spans="1:14" ht="37.5">
      <c r="A9" s="8" t="s">
        <v>30</v>
      </c>
      <c r="B9" s="75">
        <v>4030</v>
      </c>
      <c r="C9" s="217"/>
      <c r="D9" s="200"/>
      <c r="E9" s="200"/>
      <c r="F9" s="206"/>
      <c r="G9" s="206"/>
      <c r="M9" s="21"/>
    </row>
    <row r="10" spans="1:14" ht="37.5">
      <c r="A10" s="8" t="s">
        <v>3</v>
      </c>
      <c r="B10" s="74">
        <v>4040</v>
      </c>
      <c r="C10" s="217"/>
      <c r="D10" s="200"/>
      <c r="E10" s="200"/>
      <c r="F10" s="206"/>
      <c r="G10" s="206"/>
    </row>
    <row r="11" spans="1:14" ht="56.25">
      <c r="A11" s="8" t="s">
        <v>72</v>
      </c>
      <c r="B11" s="75">
        <v>4050</v>
      </c>
      <c r="C11" s="200">
        <v>0</v>
      </c>
      <c r="D11" s="200">
        <v>167</v>
      </c>
      <c r="E11" s="200">
        <v>73</v>
      </c>
      <c r="F11" s="206">
        <f t="shared" ref="F11:G11" si="3">D11-E11</f>
        <v>94</v>
      </c>
      <c r="G11" s="206">
        <f t="shared" si="3"/>
        <v>-21</v>
      </c>
      <c r="H11" s="198" t="s">
        <v>413</v>
      </c>
    </row>
    <row r="12" spans="1:14" ht="20.100000000000001" customHeight="1">
      <c r="A12" s="105"/>
      <c r="B12" s="105"/>
      <c r="C12" s="105"/>
      <c r="D12" s="132"/>
      <c r="E12" s="132"/>
      <c r="F12" s="132"/>
      <c r="G12" s="132"/>
    </row>
    <row r="13" spans="1:14" ht="20.100000000000001" customHeight="1">
      <c r="A13" s="105"/>
      <c r="B13" s="105"/>
      <c r="C13" s="105"/>
      <c r="D13" s="132"/>
      <c r="E13" s="132"/>
      <c r="F13" s="132"/>
      <c r="G13" s="132"/>
    </row>
    <row r="14" spans="1:14" s="1" customFormat="1">
      <c r="A14" s="117"/>
      <c r="B14" s="125"/>
      <c r="C14" s="105"/>
      <c r="D14" s="105"/>
      <c r="E14" s="105"/>
      <c r="F14" s="105"/>
      <c r="G14" s="105"/>
      <c r="H14" s="2"/>
    </row>
    <row r="15" spans="1:14" s="5" customFormat="1" ht="19.5" customHeight="1">
      <c r="A15" s="155" t="s">
        <v>376</v>
      </c>
      <c r="B15" s="130"/>
      <c r="C15" s="226"/>
      <c r="D15" s="160"/>
      <c r="E15" s="380" t="s">
        <v>374</v>
      </c>
      <c r="F15" s="380"/>
      <c r="G15" s="380"/>
    </row>
    <row r="16" spans="1:14" s="1" customFormat="1" ht="20.100000000000001" customHeight="1">
      <c r="A16" s="106" t="s">
        <v>79</v>
      </c>
      <c r="B16" s="105"/>
      <c r="C16" s="224"/>
      <c r="D16" s="122"/>
      <c r="E16" s="374" t="s">
        <v>412</v>
      </c>
      <c r="F16" s="374"/>
      <c r="G16" s="374"/>
    </row>
    <row r="17" spans="1:7">
      <c r="A17" s="133"/>
      <c r="B17" s="106"/>
      <c r="C17" s="106"/>
      <c r="D17" s="105"/>
      <c r="E17" s="105"/>
      <c r="F17" s="105"/>
      <c r="G17" s="105"/>
    </row>
    <row r="18" spans="1:7">
      <c r="A18" s="133"/>
      <c r="B18" s="106"/>
      <c r="C18" s="106"/>
      <c r="D18" s="105"/>
      <c r="E18" s="105"/>
      <c r="F18" s="105"/>
      <c r="G18" s="105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Normal="75" zoomScaleSheetLayoutView="75" workbookViewId="0">
      <pane ySplit="5" topLeftCell="A9" activePane="bottomLeft" state="frozen"/>
      <selection pane="bottomLeft" activeCell="D20" sqref="D20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5" width="19.7109375" style="31" customWidth="1"/>
    <col min="6" max="6" width="18.85546875" style="31" customWidth="1"/>
    <col min="7" max="7" width="37.42578125" style="31" customWidth="1"/>
    <col min="8" max="8" width="9.5703125" style="31" customWidth="1"/>
    <col min="9" max="16384" width="9.140625" style="31"/>
  </cols>
  <sheetData>
    <row r="1" spans="1:7" ht="25.5" customHeight="1">
      <c r="A1" s="392" t="s">
        <v>221</v>
      </c>
      <c r="B1" s="392"/>
      <c r="C1" s="392"/>
      <c r="D1" s="392"/>
      <c r="E1" s="392"/>
      <c r="F1" s="392"/>
      <c r="G1" s="392"/>
    </row>
    <row r="2" spans="1:7" ht="16.5" customHeight="1"/>
    <row r="3" spans="1:7" ht="45" customHeight="1">
      <c r="A3" s="393" t="s">
        <v>259</v>
      </c>
      <c r="B3" s="393" t="s">
        <v>0</v>
      </c>
      <c r="C3" s="393" t="s">
        <v>105</v>
      </c>
      <c r="D3" s="393" t="s">
        <v>434</v>
      </c>
      <c r="E3" s="393" t="s">
        <v>459</v>
      </c>
      <c r="F3" s="393" t="s">
        <v>435</v>
      </c>
      <c r="G3" s="393" t="s">
        <v>106</v>
      </c>
    </row>
    <row r="4" spans="1:7" ht="52.5" customHeight="1">
      <c r="A4" s="394"/>
      <c r="B4" s="394"/>
      <c r="C4" s="394"/>
      <c r="D4" s="394"/>
      <c r="E4" s="394"/>
      <c r="F4" s="394"/>
      <c r="G4" s="394"/>
    </row>
    <row r="5" spans="1:7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6</v>
      </c>
      <c r="F5" s="39">
        <v>7</v>
      </c>
      <c r="G5" s="39">
        <v>8</v>
      </c>
    </row>
    <row r="6" spans="1:7" s="62" customFormat="1" ht="20.100000000000001" customHeight="1">
      <c r="A6" s="76" t="s">
        <v>193</v>
      </c>
      <c r="B6" s="61"/>
      <c r="C6" s="39"/>
      <c r="D6" s="39"/>
      <c r="E6" s="39"/>
      <c r="F6" s="39"/>
      <c r="G6" s="39"/>
    </row>
    <row r="7" spans="1:7" ht="75">
      <c r="A7" s="8" t="s">
        <v>331</v>
      </c>
      <c r="B7" s="7">
        <v>5000</v>
      </c>
      <c r="C7" s="78" t="s">
        <v>320</v>
      </c>
      <c r="D7" s="134">
        <v>-397.6</v>
      </c>
      <c r="E7" s="91">
        <v>167.9</v>
      </c>
      <c r="F7" s="91">
        <f>'Осн. фін. пок.'!C31*100/'Осн. фін. пок.'!C29</f>
        <v>-397.64453961456104</v>
      </c>
      <c r="G7" s="85"/>
    </row>
    <row r="8" spans="1:7" ht="63.95" customHeight="1">
      <c r="A8" s="8" t="s">
        <v>332</v>
      </c>
      <c r="B8" s="7">
        <v>5010</v>
      </c>
      <c r="C8" s="78" t="s">
        <v>320</v>
      </c>
      <c r="D8" s="134">
        <v>71.7</v>
      </c>
      <c r="E8" s="91">
        <v>1.6</v>
      </c>
      <c r="F8" s="91">
        <f>'Осн. фін. пок.'!C36*100/'Осн. фін. пок.'!C29</f>
        <v>-71.734475374732341</v>
      </c>
      <c r="G8" s="85"/>
    </row>
    <row r="9" spans="1:7" ht="56.25">
      <c r="A9" s="87" t="s">
        <v>337</v>
      </c>
      <c r="B9" s="7">
        <v>5020</v>
      </c>
      <c r="C9" s="78" t="s">
        <v>320</v>
      </c>
      <c r="D9" s="216">
        <v>0</v>
      </c>
      <c r="E9" s="164">
        <v>3.0000000000000001E-3</v>
      </c>
      <c r="F9" s="164">
        <f>'Осн. фін. пок.'!C42/'Осн. фін. пок.'!C68</f>
        <v>3.0484230273185601E-4</v>
      </c>
      <c r="G9" s="85" t="s">
        <v>321</v>
      </c>
    </row>
    <row r="10" spans="1:7" ht="56.25">
      <c r="A10" s="87" t="s">
        <v>338</v>
      </c>
      <c r="B10" s="7">
        <v>5030</v>
      </c>
      <c r="C10" s="78" t="s">
        <v>320</v>
      </c>
      <c r="D10" s="215">
        <v>0.01</v>
      </c>
      <c r="E10" s="163">
        <v>0.04</v>
      </c>
      <c r="F10" s="163">
        <f>'Осн. фін. пок.'!C42/'Осн. фін. пок.'!C74</f>
        <v>8.3014048531289911E-3</v>
      </c>
      <c r="G10" s="85"/>
    </row>
    <row r="11" spans="1:7" ht="75">
      <c r="A11" s="87" t="s">
        <v>339</v>
      </c>
      <c r="B11" s="7">
        <v>5040</v>
      </c>
      <c r="C11" s="78" t="s">
        <v>107</v>
      </c>
      <c r="D11" s="215">
        <v>0.03</v>
      </c>
      <c r="E11" s="163">
        <v>0.02</v>
      </c>
      <c r="F11" s="163">
        <f>'Осн. фін. пок.'!C42/'Осн. фін. пок.'!C29</f>
        <v>2.7837259100642397E-2</v>
      </c>
      <c r="G11" s="85" t="s">
        <v>322</v>
      </c>
    </row>
    <row r="12" spans="1:7" ht="20.100000000000001" customHeight="1">
      <c r="A12" s="76" t="s">
        <v>195</v>
      </c>
      <c r="B12" s="7"/>
      <c r="C12" s="79"/>
      <c r="D12" s="134"/>
      <c r="E12" s="134"/>
      <c r="F12" s="86"/>
      <c r="G12" s="85"/>
    </row>
    <row r="13" spans="1:7" ht="63.95" customHeight="1">
      <c r="A13" s="77" t="s">
        <v>292</v>
      </c>
      <c r="B13" s="7">
        <v>5100</v>
      </c>
      <c r="C13" s="78"/>
      <c r="D13" s="215">
        <v>123.36</v>
      </c>
      <c r="E13" s="163">
        <v>420.21</v>
      </c>
      <c r="F13" s="163">
        <f>('Осн. фін. пок.'!C69+'Осн. фін. пок.'!C70)/'Осн. фін. пок.'!C36</f>
        <v>-122.61791044776119</v>
      </c>
      <c r="G13" s="85"/>
    </row>
    <row r="14" spans="1:7" s="62" customFormat="1" ht="75">
      <c r="A14" s="77" t="s">
        <v>293</v>
      </c>
      <c r="B14" s="7">
        <v>5110</v>
      </c>
      <c r="C14" s="78" t="s">
        <v>180</v>
      </c>
      <c r="D14" s="215">
        <v>0.04</v>
      </c>
      <c r="E14" s="163">
        <v>0.08</v>
      </c>
      <c r="F14" s="163">
        <f>'Осн. фін. пок.'!C74/('Осн. фін. пок.'!C69+'Осн. фін. пок.'!C70)</f>
        <v>3.8123524113250727E-2</v>
      </c>
      <c r="G14" s="85" t="s">
        <v>323</v>
      </c>
    </row>
    <row r="15" spans="1:7" s="62" customFormat="1" ht="112.5">
      <c r="A15" s="77" t="s">
        <v>294</v>
      </c>
      <c r="B15" s="7">
        <v>5120</v>
      </c>
      <c r="C15" s="78" t="s">
        <v>180</v>
      </c>
      <c r="D15" s="215">
        <v>0.04</v>
      </c>
      <c r="E15" s="163">
        <v>0.46</v>
      </c>
      <c r="F15" s="163">
        <f>'Осн. фін. пок.'!C66/'Осн. фін. пок.'!C70</f>
        <v>4.5548603841565838E-2</v>
      </c>
      <c r="G15" s="85" t="s">
        <v>325</v>
      </c>
    </row>
    <row r="16" spans="1:7" ht="20.100000000000001" customHeight="1">
      <c r="A16" s="76" t="s">
        <v>194</v>
      </c>
      <c r="B16" s="7"/>
      <c r="C16" s="78"/>
      <c r="D16" s="134"/>
      <c r="E16" s="134"/>
      <c r="F16" s="86"/>
      <c r="G16" s="85"/>
    </row>
    <row r="17" spans="1:9" ht="56.25">
      <c r="A17" s="77" t="s">
        <v>295</v>
      </c>
      <c r="B17" s="7">
        <v>5200</v>
      </c>
      <c r="C17" s="78"/>
      <c r="D17" s="215">
        <v>0</v>
      </c>
      <c r="E17" s="163">
        <v>0.6</v>
      </c>
      <c r="F17" s="163">
        <f>'Осн. фін. пок.'!C59/'I. Фін результат'!G102</f>
        <v>0</v>
      </c>
      <c r="G17" s="85"/>
    </row>
    <row r="18" spans="1:9" ht="75">
      <c r="A18" s="77" t="s">
        <v>296</v>
      </c>
      <c r="B18" s="7">
        <v>5210</v>
      </c>
      <c r="C18" s="78"/>
      <c r="D18" s="215">
        <v>0</v>
      </c>
      <c r="E18" s="163">
        <v>7.0000000000000007E-2</v>
      </c>
      <c r="F18" s="163">
        <f>'Осн. фін. пок.'!C59/'Осн. фін. пок.'!C29</f>
        <v>0</v>
      </c>
      <c r="G18" s="85"/>
    </row>
    <row r="19" spans="1:9" ht="63.95" customHeight="1">
      <c r="A19" s="77" t="s">
        <v>333</v>
      </c>
      <c r="B19" s="7">
        <v>5220</v>
      </c>
      <c r="C19" s="78" t="s">
        <v>320</v>
      </c>
      <c r="D19" s="215">
        <v>0.47</v>
      </c>
      <c r="E19" s="215">
        <v>0.51</v>
      </c>
      <c r="F19" s="298">
        <f>4916/10541</f>
        <v>0.46636941466654019</v>
      </c>
      <c r="G19" s="85" t="s">
        <v>324</v>
      </c>
    </row>
    <row r="20" spans="1:9" ht="20.100000000000001" customHeight="1">
      <c r="A20" s="61" t="s">
        <v>276</v>
      </c>
      <c r="B20" s="7"/>
      <c r="C20" s="78"/>
      <c r="D20" s="134"/>
      <c r="E20" s="134"/>
      <c r="F20" s="86"/>
      <c r="G20" s="85"/>
    </row>
    <row r="21" spans="1:9" ht="112.5">
      <c r="A21" s="87" t="s">
        <v>334</v>
      </c>
      <c r="B21" s="7">
        <v>5300</v>
      </c>
      <c r="C21" s="78"/>
      <c r="D21" s="134"/>
      <c r="E21" s="134"/>
      <c r="F21" s="134"/>
      <c r="G21" s="135"/>
    </row>
    <row r="22" spans="1:9" ht="20.100000000000001" customHeight="1">
      <c r="A22" s="136"/>
      <c r="B22" s="136"/>
      <c r="C22" s="136"/>
      <c r="D22" s="136"/>
      <c r="E22" s="136"/>
      <c r="F22" s="136"/>
      <c r="G22" s="136"/>
    </row>
    <row r="23" spans="1:9" ht="20.100000000000001" customHeight="1">
      <c r="A23" s="136"/>
      <c r="B23" s="136"/>
      <c r="C23" s="136"/>
      <c r="D23" s="136"/>
      <c r="E23" s="136"/>
      <c r="F23" s="136"/>
      <c r="G23" s="136"/>
    </row>
    <row r="24" spans="1:9" ht="20.100000000000001" customHeight="1">
      <c r="A24" s="136"/>
      <c r="B24" s="136"/>
      <c r="C24" s="136"/>
      <c r="D24" s="136"/>
      <c r="E24" s="136"/>
      <c r="F24" s="136"/>
      <c r="G24" s="136"/>
    </row>
    <row r="25" spans="1:9" s="167" customFormat="1" ht="24.75" customHeight="1">
      <c r="A25" s="165" t="s">
        <v>405</v>
      </c>
      <c r="B25" s="165"/>
      <c r="C25" s="166"/>
      <c r="D25" s="395"/>
      <c r="E25" s="395"/>
      <c r="F25" s="395"/>
      <c r="G25" s="161" t="s">
        <v>374</v>
      </c>
    </row>
    <row r="26" spans="1:9" s="1" customFormat="1" ht="20.100000000000001" customHeight="1">
      <c r="A26" s="106" t="s">
        <v>387</v>
      </c>
      <c r="B26" s="137"/>
      <c r="C26" s="105"/>
      <c r="D26" s="396"/>
      <c r="E26" s="396"/>
      <c r="F26" s="396"/>
      <c r="G26" s="125" t="s">
        <v>256</v>
      </c>
      <c r="H26" s="59"/>
      <c r="I26" s="59"/>
    </row>
    <row r="27" spans="1:9">
      <c r="A27" s="136"/>
      <c r="B27" s="136"/>
      <c r="C27" s="136"/>
      <c r="D27" s="136"/>
      <c r="E27" s="136"/>
      <c r="F27" s="136"/>
      <c r="G27" s="136"/>
    </row>
    <row r="28" spans="1:9">
      <c r="A28" s="136"/>
      <c r="B28" s="136"/>
      <c r="C28" s="136"/>
      <c r="D28" s="136"/>
      <c r="E28" s="136"/>
      <c r="F28" s="136"/>
      <c r="G28" s="136"/>
    </row>
    <row r="29" spans="1:9">
      <c r="A29" s="136"/>
      <c r="B29" s="136"/>
      <c r="C29" s="136"/>
      <c r="D29" s="136"/>
      <c r="E29" s="136"/>
      <c r="F29" s="136"/>
      <c r="G29" s="136"/>
    </row>
    <row r="30" spans="1:9">
      <c r="A30" s="136"/>
      <c r="B30" s="136"/>
      <c r="C30" s="136"/>
      <c r="D30" s="136"/>
      <c r="E30" s="136"/>
      <c r="F30" s="136"/>
      <c r="G30" s="136"/>
    </row>
    <row r="31" spans="1:9">
      <c r="A31" s="136"/>
      <c r="B31" s="136"/>
      <c r="C31" s="136"/>
      <c r="D31" s="136"/>
      <c r="E31" s="136"/>
      <c r="F31" s="136"/>
      <c r="G31" s="1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2"/>
      <headerFooter alignWithMargins="0"/>
    </customSheetView>
  </customSheetViews>
  <mergeCells count="10">
    <mergeCell ref="A1:G1"/>
    <mergeCell ref="G3:G4"/>
    <mergeCell ref="D25:F25"/>
    <mergeCell ref="D26:F26"/>
    <mergeCell ref="A3:A4"/>
    <mergeCell ref="B3:B4"/>
    <mergeCell ref="C3:C4"/>
    <mergeCell ref="D3:D4"/>
    <mergeCell ref="F3:F4"/>
    <mergeCell ref="E3:E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topLeftCell="A7" zoomScale="60" zoomScaleNormal="60" workbookViewId="0">
      <selection activeCell="L33" sqref="L33:M33"/>
    </sheetView>
  </sheetViews>
  <sheetFormatPr defaultRowHeight="18.75"/>
  <cols>
    <col min="1" max="1" width="25.5703125" style="1" customWidth="1"/>
    <col min="2" max="2" width="13.5703125" style="20" customWidth="1"/>
    <col min="3" max="3" width="12.7109375" style="1" customWidth="1"/>
    <col min="4" max="4" width="26.7109375" style="1" customWidth="1"/>
    <col min="5" max="5" width="29.5703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412" t="s">
        <v>128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15">
      <c r="A2" s="413" t="s">
        <v>467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</row>
    <row r="3" spans="1:15" ht="22.5">
      <c r="A3" s="414" t="s">
        <v>453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5" ht="20.100000000000001" customHeight="1">
      <c r="A4" s="416" t="s">
        <v>138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</row>
    <row r="5" spans="1:15" ht="21.95" customHeight="1">
      <c r="A5" s="411" t="s">
        <v>93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417" t="s">
        <v>452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266" customFormat="1" ht="12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1:15" s="2" customFormat="1" ht="40.5" customHeight="1">
      <c r="A9" s="350" t="s">
        <v>259</v>
      </c>
      <c r="B9" s="350"/>
      <c r="C9" s="350"/>
      <c r="D9" s="14" t="s">
        <v>457</v>
      </c>
      <c r="E9" s="285" t="s">
        <v>31</v>
      </c>
      <c r="F9" s="351" t="s">
        <v>444</v>
      </c>
      <c r="G9" s="351"/>
      <c r="H9" s="351" t="s">
        <v>443</v>
      </c>
      <c r="I9" s="351"/>
      <c r="J9" s="351" t="s">
        <v>442</v>
      </c>
      <c r="K9" s="351"/>
      <c r="L9" s="351" t="s">
        <v>441</v>
      </c>
      <c r="M9" s="351"/>
      <c r="N9" s="351" t="s">
        <v>440</v>
      </c>
      <c r="O9" s="351"/>
    </row>
    <row r="10" spans="1:15" s="2" customFormat="1" ht="18" customHeight="1">
      <c r="A10" s="350">
        <v>1</v>
      </c>
      <c r="B10" s="350"/>
      <c r="C10" s="350"/>
      <c r="D10" s="285">
        <v>2</v>
      </c>
      <c r="E10" s="286"/>
      <c r="F10" s="351">
        <v>3</v>
      </c>
      <c r="G10" s="351"/>
      <c r="H10" s="351">
        <v>4</v>
      </c>
      <c r="I10" s="351"/>
      <c r="J10" s="351">
        <v>5</v>
      </c>
      <c r="K10" s="351"/>
      <c r="L10" s="351">
        <v>6</v>
      </c>
      <c r="M10" s="351"/>
      <c r="N10" s="351">
        <v>7</v>
      </c>
      <c r="O10" s="351"/>
    </row>
    <row r="11" spans="1:15" s="2" customFormat="1" ht="20.100000000000001" customHeight="1">
      <c r="A11" s="398" t="s">
        <v>139</v>
      </c>
      <c r="B11" s="399"/>
      <c r="C11" s="399"/>
      <c r="D11" s="399"/>
      <c r="E11" s="399"/>
      <c r="F11" s="399"/>
      <c r="G11" s="399"/>
      <c r="H11" s="399"/>
      <c r="I11" s="399"/>
      <c r="J11" s="399"/>
      <c r="K11" s="400"/>
      <c r="L11" s="409"/>
      <c r="M11" s="410"/>
      <c r="N11" s="409"/>
      <c r="O11" s="410"/>
    </row>
    <row r="12" spans="1:15" s="2" customFormat="1" ht="20.100000000000001" customHeight="1">
      <c r="A12" s="397" t="s">
        <v>297</v>
      </c>
      <c r="B12" s="397"/>
      <c r="C12" s="397"/>
      <c r="D12" s="287">
        <v>9</v>
      </c>
      <c r="E12" s="287">
        <f>D12</f>
        <v>9</v>
      </c>
      <c r="F12" s="403">
        <v>9</v>
      </c>
      <c r="G12" s="404"/>
      <c r="H12" s="403">
        <v>9</v>
      </c>
      <c r="I12" s="404"/>
      <c r="J12" s="407">
        <v>9</v>
      </c>
      <c r="K12" s="408"/>
      <c r="L12" s="409">
        <f>J12-H12</f>
        <v>0</v>
      </c>
      <c r="M12" s="410"/>
      <c r="N12" s="409">
        <f>J12/H12%</f>
        <v>100</v>
      </c>
      <c r="O12" s="410"/>
    </row>
    <row r="13" spans="1:15" s="2" customFormat="1" ht="20.100000000000001" customHeight="1">
      <c r="A13" s="397" t="s">
        <v>298</v>
      </c>
      <c r="B13" s="397"/>
      <c r="C13" s="397"/>
      <c r="D13" s="287">
        <v>11</v>
      </c>
      <c r="E13" s="287">
        <f t="shared" ref="E13:E16" si="0">D13</f>
        <v>11</v>
      </c>
      <c r="F13" s="403">
        <v>11</v>
      </c>
      <c r="G13" s="404"/>
      <c r="H13" s="403">
        <v>11</v>
      </c>
      <c r="I13" s="404"/>
      <c r="J13" s="407">
        <v>11</v>
      </c>
      <c r="K13" s="408"/>
      <c r="L13" s="409">
        <f t="shared" ref="L13:L33" si="1">H13-J13</f>
        <v>0</v>
      </c>
      <c r="M13" s="410"/>
      <c r="N13" s="409">
        <f t="shared" ref="N13:N33" si="2">J13/H13%</f>
        <v>100</v>
      </c>
      <c r="O13" s="410"/>
    </row>
    <row r="14" spans="1:15" s="2" customFormat="1" ht="20.100000000000001" customHeight="1">
      <c r="A14" s="397" t="s">
        <v>299</v>
      </c>
      <c r="B14" s="397"/>
      <c r="C14" s="397"/>
      <c r="D14" s="287"/>
      <c r="E14" s="287">
        <f t="shared" si="0"/>
        <v>0</v>
      </c>
      <c r="F14" s="403"/>
      <c r="G14" s="404"/>
      <c r="H14" s="403"/>
      <c r="I14" s="404"/>
      <c r="J14" s="407"/>
      <c r="K14" s="408"/>
      <c r="L14" s="409"/>
      <c r="M14" s="410"/>
      <c r="N14" s="409"/>
      <c r="O14" s="410"/>
    </row>
    <row r="15" spans="1:15" s="2" customFormat="1" ht="20.100000000000001" customHeight="1">
      <c r="A15" s="397" t="s">
        <v>300</v>
      </c>
      <c r="B15" s="397"/>
      <c r="C15" s="397"/>
      <c r="D15" s="287"/>
      <c r="E15" s="287">
        <f t="shared" si="0"/>
        <v>0</v>
      </c>
      <c r="F15" s="403"/>
      <c r="G15" s="404"/>
      <c r="H15" s="403"/>
      <c r="I15" s="404"/>
      <c r="J15" s="407"/>
      <c r="K15" s="408"/>
      <c r="L15" s="409"/>
      <c r="M15" s="410"/>
      <c r="N15" s="409"/>
      <c r="O15" s="410"/>
    </row>
    <row r="16" spans="1:15" s="2" customFormat="1" ht="20.100000000000001" customHeight="1">
      <c r="A16" s="397" t="s">
        <v>301</v>
      </c>
      <c r="B16" s="397"/>
      <c r="C16" s="397"/>
      <c r="D16" s="287">
        <v>22</v>
      </c>
      <c r="E16" s="287">
        <f t="shared" si="0"/>
        <v>22</v>
      </c>
      <c r="F16" s="403">
        <v>22</v>
      </c>
      <c r="G16" s="404"/>
      <c r="H16" s="403">
        <v>22</v>
      </c>
      <c r="I16" s="404"/>
      <c r="J16" s="407">
        <v>22</v>
      </c>
      <c r="K16" s="408"/>
      <c r="L16" s="409">
        <f t="shared" si="1"/>
        <v>0</v>
      </c>
      <c r="M16" s="410"/>
      <c r="N16" s="409">
        <f t="shared" si="2"/>
        <v>100</v>
      </c>
      <c r="O16" s="410"/>
    </row>
    <row r="17" spans="1:15" s="2" customFormat="1" ht="20.100000000000001" customHeight="1">
      <c r="A17" s="397" t="s">
        <v>302</v>
      </c>
      <c r="B17" s="397"/>
      <c r="C17" s="397"/>
      <c r="D17" s="287"/>
      <c r="E17" s="287"/>
      <c r="F17" s="403"/>
      <c r="G17" s="404"/>
      <c r="H17" s="403"/>
      <c r="I17" s="404"/>
      <c r="J17" s="407"/>
      <c r="K17" s="408"/>
      <c r="L17" s="409"/>
      <c r="M17" s="410"/>
      <c r="N17" s="409"/>
      <c r="O17" s="410"/>
    </row>
    <row r="18" spans="1:15" s="2" customFormat="1" ht="20.100000000000001" customHeight="1">
      <c r="A18" s="398" t="s">
        <v>277</v>
      </c>
      <c r="B18" s="399"/>
      <c r="C18" s="399"/>
      <c r="D18" s="399"/>
      <c r="E18" s="399"/>
      <c r="F18" s="399"/>
      <c r="G18" s="399"/>
      <c r="H18" s="399"/>
      <c r="I18" s="399"/>
      <c r="J18" s="399"/>
      <c r="K18" s="400"/>
      <c r="L18" s="409"/>
      <c r="M18" s="410"/>
      <c r="N18" s="409"/>
      <c r="O18" s="410"/>
    </row>
    <row r="19" spans="1:15" s="2" customFormat="1" ht="20.100000000000001" customHeight="1">
      <c r="A19" s="397" t="s">
        <v>257</v>
      </c>
      <c r="B19" s="397"/>
      <c r="C19" s="397"/>
      <c r="D19" s="288">
        <v>350</v>
      </c>
      <c r="E19" s="289">
        <f>D19</f>
        <v>350</v>
      </c>
      <c r="F19" s="401">
        <v>296</v>
      </c>
      <c r="G19" s="402"/>
      <c r="H19" s="401">
        <v>175</v>
      </c>
      <c r="I19" s="402"/>
      <c r="J19" s="401">
        <v>175</v>
      </c>
      <c r="K19" s="402"/>
      <c r="L19" s="409">
        <f t="shared" si="1"/>
        <v>0</v>
      </c>
      <c r="M19" s="410"/>
      <c r="N19" s="409">
        <f t="shared" si="2"/>
        <v>100</v>
      </c>
      <c r="O19" s="410"/>
    </row>
    <row r="20" spans="1:15" s="2" customFormat="1" ht="20.100000000000001" customHeight="1">
      <c r="A20" s="397" t="s">
        <v>279</v>
      </c>
      <c r="B20" s="397"/>
      <c r="C20" s="397"/>
      <c r="D20" s="288">
        <v>1711</v>
      </c>
      <c r="E20" s="289">
        <f t="shared" ref="E20:E21" si="3">D20</f>
        <v>1711</v>
      </c>
      <c r="F20" s="401">
        <v>1811</v>
      </c>
      <c r="G20" s="402"/>
      <c r="H20" s="401">
        <v>879</v>
      </c>
      <c r="I20" s="402"/>
      <c r="J20" s="401">
        <v>879</v>
      </c>
      <c r="K20" s="402"/>
      <c r="L20" s="409">
        <f t="shared" si="1"/>
        <v>0</v>
      </c>
      <c r="M20" s="410"/>
      <c r="N20" s="409">
        <f t="shared" si="2"/>
        <v>100.00000000000001</v>
      </c>
      <c r="O20" s="410"/>
    </row>
    <row r="21" spans="1:15" s="2" customFormat="1" ht="20.100000000000001" customHeight="1">
      <c r="A21" s="397" t="s">
        <v>258</v>
      </c>
      <c r="B21" s="397"/>
      <c r="C21" s="397"/>
      <c r="D21" s="288">
        <v>2837</v>
      </c>
      <c r="E21" s="289">
        <f t="shared" si="3"/>
        <v>2837</v>
      </c>
      <c r="F21" s="401">
        <v>2483</v>
      </c>
      <c r="G21" s="402"/>
      <c r="H21" s="401">
        <v>1242</v>
      </c>
      <c r="I21" s="402"/>
      <c r="J21" s="401">
        <v>1242</v>
      </c>
      <c r="K21" s="402"/>
      <c r="L21" s="409">
        <f t="shared" si="1"/>
        <v>0</v>
      </c>
      <c r="M21" s="410"/>
      <c r="N21" s="409">
        <f t="shared" si="2"/>
        <v>100</v>
      </c>
      <c r="O21" s="410"/>
    </row>
    <row r="22" spans="1:15" s="2" customFormat="1" ht="20.100000000000001" customHeight="1">
      <c r="A22" s="398" t="s">
        <v>278</v>
      </c>
      <c r="B22" s="399"/>
      <c r="C22" s="399"/>
      <c r="D22" s="399"/>
      <c r="E22" s="399"/>
      <c r="F22" s="399"/>
      <c r="G22" s="399"/>
      <c r="H22" s="399"/>
      <c r="I22" s="399"/>
      <c r="J22" s="399"/>
      <c r="K22" s="400"/>
      <c r="L22" s="409"/>
      <c r="M22" s="410"/>
      <c r="N22" s="409"/>
      <c r="O22" s="410"/>
    </row>
    <row r="23" spans="1:15" s="2" customFormat="1" ht="20.100000000000001" customHeight="1">
      <c r="A23" s="397" t="s">
        <v>257</v>
      </c>
      <c r="B23" s="397"/>
      <c r="C23" s="397"/>
      <c r="D23" s="288">
        <v>426</v>
      </c>
      <c r="E23" s="289">
        <f>D23</f>
        <v>426</v>
      </c>
      <c r="F23" s="405">
        <v>361</v>
      </c>
      <c r="G23" s="406"/>
      <c r="H23" s="401">
        <v>214</v>
      </c>
      <c r="I23" s="402"/>
      <c r="J23" s="401">
        <v>214</v>
      </c>
      <c r="K23" s="402"/>
      <c r="L23" s="409">
        <f t="shared" si="1"/>
        <v>0</v>
      </c>
      <c r="M23" s="410"/>
      <c r="N23" s="409">
        <f t="shared" si="2"/>
        <v>100</v>
      </c>
      <c r="O23" s="410"/>
    </row>
    <row r="24" spans="1:15" s="2" customFormat="1" ht="20.100000000000001" customHeight="1">
      <c r="A24" s="397" t="s">
        <v>279</v>
      </c>
      <c r="B24" s="397"/>
      <c r="C24" s="397"/>
      <c r="D24" s="288">
        <v>2034</v>
      </c>
      <c r="E24" s="289">
        <f t="shared" ref="E24:E25" si="4">D24</f>
        <v>2034</v>
      </c>
      <c r="F24" s="405">
        <v>2151</v>
      </c>
      <c r="G24" s="406"/>
      <c r="H24" s="401">
        <v>1043</v>
      </c>
      <c r="I24" s="402"/>
      <c r="J24" s="401">
        <v>1043</v>
      </c>
      <c r="K24" s="402"/>
      <c r="L24" s="409">
        <f t="shared" si="1"/>
        <v>0</v>
      </c>
      <c r="M24" s="410"/>
      <c r="N24" s="409">
        <f t="shared" si="2"/>
        <v>100</v>
      </c>
      <c r="O24" s="410"/>
    </row>
    <row r="25" spans="1:15" s="2" customFormat="1" ht="20.100000000000001" customHeight="1">
      <c r="A25" s="397" t="s">
        <v>258</v>
      </c>
      <c r="B25" s="397"/>
      <c r="C25" s="397"/>
      <c r="D25" s="288">
        <v>3448</v>
      </c>
      <c r="E25" s="289">
        <f t="shared" si="4"/>
        <v>3448</v>
      </c>
      <c r="F25" s="405">
        <v>3014</v>
      </c>
      <c r="G25" s="406"/>
      <c r="H25" s="401">
        <v>1506</v>
      </c>
      <c r="I25" s="402"/>
      <c r="J25" s="401">
        <v>1506</v>
      </c>
      <c r="K25" s="402"/>
      <c r="L25" s="409">
        <f t="shared" si="1"/>
        <v>0</v>
      </c>
      <c r="M25" s="410"/>
      <c r="N25" s="409">
        <f t="shared" si="2"/>
        <v>100</v>
      </c>
      <c r="O25" s="410"/>
    </row>
    <row r="26" spans="1:15" s="2" customFormat="1" ht="38.25" customHeight="1">
      <c r="A26" s="398" t="s">
        <v>303</v>
      </c>
      <c r="B26" s="399"/>
      <c r="C26" s="399"/>
      <c r="D26" s="399"/>
      <c r="E26" s="399"/>
      <c r="F26" s="399"/>
      <c r="G26" s="399"/>
      <c r="H26" s="399"/>
      <c r="I26" s="399"/>
      <c r="J26" s="399"/>
      <c r="K26" s="400"/>
      <c r="L26" s="409"/>
      <c r="M26" s="410"/>
      <c r="N26" s="409"/>
      <c r="O26" s="410"/>
    </row>
    <row r="27" spans="1:15" s="2" customFormat="1" ht="20.100000000000001" customHeight="1">
      <c r="A27" s="397" t="s">
        <v>257</v>
      </c>
      <c r="B27" s="397"/>
      <c r="C27" s="397"/>
      <c r="D27" s="287">
        <v>22325</v>
      </c>
      <c r="E27" s="297">
        <f>D27</f>
        <v>22325</v>
      </c>
      <c r="F27" s="403">
        <v>22325</v>
      </c>
      <c r="G27" s="404"/>
      <c r="H27" s="403">
        <f>F27</f>
        <v>22325</v>
      </c>
      <c r="I27" s="404"/>
      <c r="J27" s="403">
        <f>H27</f>
        <v>22325</v>
      </c>
      <c r="K27" s="404"/>
      <c r="L27" s="409">
        <f t="shared" si="1"/>
        <v>0</v>
      </c>
      <c r="M27" s="410"/>
      <c r="N27" s="409">
        <f t="shared" si="2"/>
        <v>100</v>
      </c>
      <c r="O27" s="410"/>
    </row>
    <row r="28" spans="1:15" s="2" customFormat="1" ht="20.100000000000001" customHeight="1">
      <c r="A28" s="397" t="s">
        <v>279</v>
      </c>
      <c r="B28" s="397"/>
      <c r="C28" s="397"/>
      <c r="D28" s="287">
        <v>9450</v>
      </c>
      <c r="E28" s="297">
        <f t="shared" ref="E28:E29" si="5">D28</f>
        <v>9450</v>
      </c>
      <c r="F28" s="403">
        <v>13866</v>
      </c>
      <c r="G28" s="404"/>
      <c r="H28" s="403">
        <f t="shared" ref="H28:H29" si="6">F28</f>
        <v>13866</v>
      </c>
      <c r="I28" s="404"/>
      <c r="J28" s="403">
        <f t="shared" ref="J28:J29" si="7">H28</f>
        <v>13866</v>
      </c>
      <c r="K28" s="404"/>
      <c r="L28" s="409">
        <f t="shared" si="1"/>
        <v>0</v>
      </c>
      <c r="M28" s="410"/>
      <c r="N28" s="409">
        <f t="shared" si="2"/>
        <v>100</v>
      </c>
      <c r="O28" s="410"/>
    </row>
    <row r="29" spans="1:15" s="2" customFormat="1" ht="20.100000000000001" customHeight="1">
      <c r="A29" s="397" t="s">
        <v>258</v>
      </c>
      <c r="B29" s="397"/>
      <c r="C29" s="397"/>
      <c r="D29" s="287">
        <v>2750</v>
      </c>
      <c r="E29" s="297">
        <f t="shared" si="5"/>
        <v>2750</v>
      </c>
      <c r="F29" s="403">
        <v>3176</v>
      </c>
      <c r="G29" s="404"/>
      <c r="H29" s="403">
        <f t="shared" si="6"/>
        <v>3176</v>
      </c>
      <c r="I29" s="404"/>
      <c r="J29" s="403">
        <f t="shared" si="7"/>
        <v>3176</v>
      </c>
      <c r="K29" s="404"/>
      <c r="L29" s="409">
        <f t="shared" si="1"/>
        <v>0</v>
      </c>
      <c r="M29" s="410"/>
      <c r="N29" s="409">
        <f t="shared" si="2"/>
        <v>100</v>
      </c>
      <c r="O29" s="410"/>
    </row>
    <row r="30" spans="1:15" s="2" customFormat="1" ht="20.100000000000001" customHeight="1">
      <c r="A30" s="398" t="s">
        <v>304</v>
      </c>
      <c r="B30" s="399"/>
      <c r="C30" s="399"/>
      <c r="D30" s="399"/>
      <c r="E30" s="399"/>
      <c r="F30" s="399"/>
      <c r="G30" s="399"/>
      <c r="H30" s="399"/>
      <c r="I30" s="399"/>
      <c r="J30" s="399"/>
      <c r="K30" s="400"/>
      <c r="L30" s="409"/>
      <c r="M30" s="410"/>
      <c r="N30" s="409"/>
      <c r="O30" s="410"/>
    </row>
    <row r="31" spans="1:15" s="2" customFormat="1" ht="20.100000000000001" customHeight="1">
      <c r="A31" s="397" t="s">
        <v>257</v>
      </c>
      <c r="B31" s="397"/>
      <c r="C31" s="397"/>
      <c r="D31" s="287">
        <v>29131</v>
      </c>
      <c r="E31" s="297">
        <f>D31</f>
        <v>29131</v>
      </c>
      <c r="F31" s="403">
        <v>24666</v>
      </c>
      <c r="G31" s="437"/>
      <c r="H31" s="403">
        <f>F31</f>
        <v>24666</v>
      </c>
      <c r="I31" s="404"/>
      <c r="J31" s="403">
        <f>H31</f>
        <v>24666</v>
      </c>
      <c r="K31" s="404"/>
      <c r="L31" s="409">
        <f t="shared" si="1"/>
        <v>0</v>
      </c>
      <c r="M31" s="410"/>
      <c r="N31" s="409">
        <f t="shared" si="2"/>
        <v>100</v>
      </c>
      <c r="O31" s="410"/>
    </row>
    <row r="32" spans="1:15" s="2" customFormat="1" ht="20.100000000000001" customHeight="1">
      <c r="A32" s="397" t="s">
        <v>279</v>
      </c>
      <c r="B32" s="397"/>
      <c r="C32" s="397"/>
      <c r="D32" s="287">
        <v>12962</v>
      </c>
      <c r="E32" s="297">
        <f t="shared" ref="E32:E33" si="8">D32</f>
        <v>12962</v>
      </c>
      <c r="F32" s="403">
        <v>18865</v>
      </c>
      <c r="G32" s="437"/>
      <c r="H32" s="403">
        <f t="shared" ref="H32:H33" si="9">F32</f>
        <v>18865</v>
      </c>
      <c r="I32" s="404"/>
      <c r="J32" s="403">
        <f t="shared" ref="J32:J33" si="10">H32</f>
        <v>18865</v>
      </c>
      <c r="K32" s="404"/>
      <c r="L32" s="409">
        <f t="shared" si="1"/>
        <v>0</v>
      </c>
      <c r="M32" s="410"/>
      <c r="N32" s="409">
        <f t="shared" si="2"/>
        <v>100</v>
      </c>
      <c r="O32" s="410"/>
    </row>
    <row r="33" spans="1:15" s="2" customFormat="1" ht="20.100000000000001" customHeight="1">
      <c r="A33" s="397" t="s">
        <v>258</v>
      </c>
      <c r="B33" s="397"/>
      <c r="C33" s="397"/>
      <c r="D33" s="287">
        <v>7881</v>
      </c>
      <c r="E33" s="297">
        <f t="shared" si="8"/>
        <v>7881</v>
      </c>
      <c r="F33" s="403">
        <v>6271</v>
      </c>
      <c r="G33" s="437"/>
      <c r="H33" s="403">
        <f t="shared" si="9"/>
        <v>6271</v>
      </c>
      <c r="I33" s="404"/>
      <c r="J33" s="403">
        <f t="shared" si="10"/>
        <v>6271</v>
      </c>
      <c r="K33" s="404"/>
      <c r="L33" s="409">
        <f t="shared" si="1"/>
        <v>0</v>
      </c>
      <c r="M33" s="410"/>
      <c r="N33" s="409">
        <f t="shared" si="2"/>
        <v>100</v>
      </c>
      <c r="O33" s="410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421" t="s">
        <v>305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420" t="s">
        <v>306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</row>
    <row r="38" spans="1:15" ht="10.5" customHeight="1"/>
    <row r="39" spans="1:15" ht="60" customHeight="1">
      <c r="A39" s="37" t="s">
        <v>141</v>
      </c>
      <c r="B39" s="418" t="s">
        <v>307</v>
      </c>
      <c r="C39" s="419"/>
      <c r="D39" s="419"/>
      <c r="E39" s="419"/>
      <c r="F39" s="379" t="s">
        <v>87</v>
      </c>
      <c r="G39" s="379"/>
      <c r="H39" s="379"/>
      <c r="I39" s="379"/>
      <c r="J39" s="379"/>
      <c r="K39" s="379"/>
      <c r="L39" s="379"/>
      <c r="M39" s="379"/>
      <c r="N39" s="379"/>
      <c r="O39" s="379"/>
    </row>
    <row r="40" spans="1:15" ht="18" customHeight="1">
      <c r="A40" s="37">
        <v>1</v>
      </c>
      <c r="B40" s="418">
        <v>2</v>
      </c>
      <c r="C40" s="419"/>
      <c r="D40" s="419"/>
      <c r="E40" s="419"/>
      <c r="F40" s="379">
        <v>3</v>
      </c>
      <c r="G40" s="379"/>
      <c r="H40" s="379"/>
      <c r="I40" s="379"/>
      <c r="J40" s="379"/>
      <c r="K40" s="379"/>
      <c r="L40" s="379"/>
      <c r="M40" s="379"/>
      <c r="N40" s="379"/>
      <c r="O40" s="379"/>
    </row>
    <row r="41" spans="1:15" ht="20.100000000000001" customHeight="1">
      <c r="A41" s="138"/>
      <c r="B41" s="423"/>
      <c r="C41" s="424"/>
      <c r="D41" s="424"/>
      <c r="E41" s="424"/>
      <c r="F41" s="422"/>
      <c r="G41" s="422"/>
      <c r="H41" s="422"/>
      <c r="I41" s="422"/>
      <c r="J41" s="422"/>
      <c r="K41" s="422"/>
      <c r="L41" s="422"/>
      <c r="M41" s="422"/>
      <c r="N41" s="422"/>
      <c r="O41" s="422"/>
    </row>
    <row r="42" spans="1:15" ht="20.100000000000001" customHeight="1">
      <c r="A42" s="138"/>
      <c r="B42" s="423"/>
      <c r="C42" s="424"/>
      <c r="D42" s="424"/>
      <c r="E42" s="424"/>
      <c r="F42" s="422"/>
      <c r="G42" s="422"/>
      <c r="H42" s="422"/>
      <c r="I42" s="422"/>
      <c r="J42" s="422"/>
      <c r="K42" s="422"/>
      <c r="L42" s="422"/>
      <c r="M42" s="422"/>
      <c r="N42" s="422"/>
      <c r="O42" s="422"/>
    </row>
    <row r="43" spans="1:15" ht="20.100000000000001" customHeight="1">
      <c r="A43" s="138"/>
      <c r="B43" s="423"/>
      <c r="C43" s="424"/>
      <c r="D43" s="424"/>
      <c r="E43" s="424"/>
      <c r="F43" s="422"/>
      <c r="G43" s="422"/>
      <c r="H43" s="422"/>
      <c r="I43" s="422"/>
      <c r="J43" s="422"/>
      <c r="K43" s="422"/>
      <c r="L43" s="422"/>
      <c r="M43" s="422"/>
      <c r="N43" s="422"/>
      <c r="O43" s="422"/>
    </row>
    <row r="44" spans="1:15" ht="20.100000000000001" customHeight="1">
      <c r="A44" s="138"/>
      <c r="B44" s="423"/>
      <c r="C44" s="424"/>
      <c r="D44" s="424"/>
      <c r="E44" s="424"/>
      <c r="F44" s="422"/>
      <c r="G44" s="422"/>
      <c r="H44" s="422"/>
      <c r="I44" s="422"/>
      <c r="J44" s="422"/>
      <c r="K44" s="422"/>
      <c r="L44" s="422"/>
      <c r="M44" s="422"/>
      <c r="N44" s="422"/>
      <c r="O44" s="422"/>
    </row>
    <row r="45" spans="1:15" ht="20.100000000000001" customHeight="1">
      <c r="A45" s="138"/>
      <c r="B45" s="423"/>
      <c r="C45" s="424"/>
      <c r="D45" s="424"/>
      <c r="E45" s="424"/>
      <c r="F45" s="422"/>
      <c r="G45" s="422"/>
      <c r="H45" s="422"/>
      <c r="I45" s="422"/>
      <c r="J45" s="422"/>
      <c r="K45" s="422"/>
      <c r="L45" s="422"/>
      <c r="M45" s="422"/>
      <c r="N45" s="422"/>
      <c r="O45" s="422"/>
    </row>
    <row r="46" spans="1:15" ht="20.100000000000001" customHeight="1">
      <c r="A46" s="138"/>
      <c r="B46" s="423"/>
      <c r="C46" s="424"/>
      <c r="D46" s="424"/>
      <c r="E46" s="424"/>
      <c r="F46" s="422"/>
      <c r="G46" s="422"/>
      <c r="H46" s="422"/>
      <c r="I46" s="422"/>
      <c r="J46" s="422"/>
      <c r="K46" s="422"/>
      <c r="L46" s="422"/>
      <c r="M46" s="422"/>
      <c r="N46" s="422"/>
      <c r="O46" s="422"/>
    </row>
    <row r="47" spans="1:15" ht="20.100000000000001" customHeight="1">
      <c r="A47" s="138"/>
      <c r="B47" s="423"/>
      <c r="C47" s="424"/>
      <c r="D47" s="424"/>
      <c r="E47" s="424"/>
      <c r="F47" s="422"/>
      <c r="G47" s="422"/>
      <c r="H47" s="422"/>
      <c r="I47" s="422"/>
      <c r="J47" s="422"/>
      <c r="K47" s="422"/>
      <c r="L47" s="422"/>
      <c r="M47" s="422"/>
      <c r="N47" s="422"/>
      <c r="O47" s="422"/>
    </row>
    <row r="48" spans="1:15" ht="20.100000000000001" customHeight="1">
      <c r="A48" s="138"/>
      <c r="B48" s="423"/>
      <c r="C48" s="424"/>
      <c r="D48" s="424"/>
      <c r="E48" s="424"/>
      <c r="F48" s="423"/>
      <c r="G48" s="424"/>
      <c r="H48" s="424"/>
      <c r="I48" s="424"/>
      <c r="J48" s="424"/>
      <c r="K48" s="424"/>
      <c r="L48" s="424"/>
      <c r="M48" s="424"/>
      <c r="N48" s="424"/>
      <c r="O48" s="427"/>
    </row>
    <row r="49" spans="1:15" ht="20.100000000000001" customHeight="1">
      <c r="A49" s="138"/>
      <c r="B49" s="423"/>
      <c r="C49" s="424"/>
      <c r="D49" s="424"/>
      <c r="E49" s="427"/>
      <c r="F49" s="423"/>
      <c r="G49" s="424"/>
      <c r="H49" s="424"/>
      <c r="I49" s="424"/>
      <c r="J49" s="424"/>
      <c r="K49" s="424"/>
      <c r="L49" s="424"/>
      <c r="M49" s="424"/>
      <c r="N49" s="424"/>
      <c r="O49" s="427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425" t="s">
        <v>243</v>
      </c>
      <c r="B51" s="425"/>
      <c r="C51" s="425"/>
      <c r="D51" s="425"/>
      <c r="E51" s="425"/>
      <c r="F51" s="425"/>
      <c r="G51" s="425"/>
      <c r="H51" s="425"/>
      <c r="I51" s="425"/>
      <c r="J51" s="425"/>
    </row>
    <row r="52" spans="1:15" ht="20.100000000000001" customHeight="1">
      <c r="A52" s="19"/>
    </row>
    <row r="53" spans="1:15" ht="63.95" customHeight="1">
      <c r="A53" s="378" t="s">
        <v>259</v>
      </c>
      <c r="B53" s="431" t="s">
        <v>446</v>
      </c>
      <c r="C53" s="432"/>
      <c r="D53" s="426" t="s">
        <v>345</v>
      </c>
      <c r="E53" s="426"/>
      <c r="F53" s="426"/>
      <c r="G53" s="426" t="s">
        <v>445</v>
      </c>
      <c r="H53" s="426"/>
      <c r="I53" s="426"/>
      <c r="J53" s="428" t="s">
        <v>441</v>
      </c>
      <c r="K53" s="429"/>
      <c r="L53" s="430"/>
      <c r="M53" s="426" t="s">
        <v>440</v>
      </c>
      <c r="N53" s="426"/>
      <c r="O53" s="426"/>
    </row>
    <row r="54" spans="1:15" ht="168.75">
      <c r="A54" s="378"/>
      <c r="B54" s="433"/>
      <c r="C54" s="434"/>
      <c r="D54" s="7" t="s">
        <v>308</v>
      </c>
      <c r="E54" s="7" t="s">
        <v>309</v>
      </c>
      <c r="F54" s="7" t="s">
        <v>310</v>
      </c>
      <c r="G54" s="7" t="s">
        <v>308</v>
      </c>
      <c r="H54" s="7" t="s">
        <v>309</v>
      </c>
      <c r="I54" s="7" t="s">
        <v>310</v>
      </c>
      <c r="J54" s="7" t="s">
        <v>308</v>
      </c>
      <c r="K54" s="7" t="s">
        <v>309</v>
      </c>
      <c r="L54" s="7" t="s">
        <v>310</v>
      </c>
      <c r="M54" s="7" t="s">
        <v>308</v>
      </c>
      <c r="N54" s="7" t="s">
        <v>309</v>
      </c>
      <c r="O54" s="7" t="s">
        <v>310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9" t="s">
        <v>386</v>
      </c>
      <c r="B56" s="104"/>
      <c r="C56" s="104"/>
      <c r="D56" s="217">
        <v>1600</v>
      </c>
      <c r="E56" s="213">
        <v>103</v>
      </c>
      <c r="F56" s="150">
        <f>D56/E56*1000</f>
        <v>15533.980582524273</v>
      </c>
      <c r="G56" s="217">
        <v>1961</v>
      </c>
      <c r="H56" s="200">
        <v>112</v>
      </c>
      <c r="I56" s="200">
        <f>G56/H56*1000</f>
        <v>17508.928571428572</v>
      </c>
      <c r="J56" s="217">
        <f>D56-G56</f>
        <v>-361</v>
      </c>
      <c r="K56" s="200">
        <f>E56-H56</f>
        <v>-9</v>
      </c>
      <c r="L56" s="200">
        <f>F56-I56</f>
        <v>-1974.9479889042996</v>
      </c>
      <c r="M56" s="200">
        <f>G56/D56%</f>
        <v>122.5625</v>
      </c>
      <c r="N56" s="200">
        <f>H56/E56%</f>
        <v>108.7378640776699</v>
      </c>
      <c r="O56" s="200">
        <f>I56/F56%</f>
        <v>112.71372767857142</v>
      </c>
    </row>
    <row r="57" spans="1:15" s="15" customFormat="1" ht="20.100000000000001" customHeight="1">
      <c r="A57" s="271" t="s">
        <v>59</v>
      </c>
      <c r="B57" s="237"/>
      <c r="C57" s="237"/>
      <c r="D57" s="237">
        <v>1600</v>
      </c>
      <c r="E57" s="238"/>
      <c r="F57" s="238"/>
      <c r="G57" s="237">
        <f>SUM(G56:G56)</f>
        <v>1961</v>
      </c>
      <c r="H57" s="238"/>
      <c r="I57" s="238"/>
      <c r="J57" s="238">
        <f>D57-G57</f>
        <v>-361</v>
      </c>
      <c r="K57" s="238"/>
      <c r="L57" s="238"/>
      <c r="M57" s="235">
        <f>G57/D57%</f>
        <v>122.5625</v>
      </c>
      <c r="N57" s="238"/>
      <c r="O57" s="238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420" t="s">
        <v>76</v>
      </c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</row>
    <row r="60" spans="1:15" ht="20.100000000000001" customHeight="1">
      <c r="A60" s="19"/>
    </row>
    <row r="61" spans="1:15" ht="63.95" customHeight="1">
      <c r="A61" s="7" t="s">
        <v>132</v>
      </c>
      <c r="B61" s="378" t="s">
        <v>75</v>
      </c>
      <c r="C61" s="378"/>
      <c r="D61" s="378" t="s">
        <v>70</v>
      </c>
      <c r="E61" s="378"/>
      <c r="F61" s="378" t="s">
        <v>71</v>
      </c>
      <c r="G61" s="378"/>
      <c r="H61" s="378" t="s">
        <v>311</v>
      </c>
      <c r="I61" s="378"/>
      <c r="J61" s="378"/>
      <c r="K61" s="435" t="s">
        <v>88</v>
      </c>
      <c r="L61" s="437"/>
      <c r="M61" s="435" t="s">
        <v>37</v>
      </c>
      <c r="N61" s="436"/>
      <c r="O61" s="437"/>
    </row>
    <row r="62" spans="1:15" ht="18" customHeight="1">
      <c r="A62" s="6">
        <v>1</v>
      </c>
      <c r="B62" s="379">
        <v>2</v>
      </c>
      <c r="C62" s="379"/>
      <c r="D62" s="379">
        <v>3</v>
      </c>
      <c r="E62" s="379"/>
      <c r="F62" s="440">
        <v>4</v>
      </c>
      <c r="G62" s="440"/>
      <c r="H62" s="379">
        <v>5</v>
      </c>
      <c r="I62" s="379"/>
      <c r="J62" s="379"/>
      <c r="K62" s="379">
        <v>6</v>
      </c>
      <c r="L62" s="379"/>
      <c r="M62" s="418">
        <v>7</v>
      </c>
      <c r="N62" s="419"/>
      <c r="O62" s="438"/>
    </row>
    <row r="63" spans="1:15" ht="20.100000000000001" customHeight="1">
      <c r="A63" s="139"/>
      <c r="B63" s="439"/>
      <c r="C63" s="439"/>
      <c r="D63" s="439"/>
      <c r="E63" s="439"/>
      <c r="F63" s="439"/>
      <c r="G63" s="439"/>
      <c r="H63" s="439"/>
      <c r="I63" s="439"/>
      <c r="J63" s="439"/>
      <c r="K63" s="441"/>
      <c r="L63" s="442"/>
      <c r="M63" s="439"/>
      <c r="N63" s="439"/>
      <c r="O63" s="439"/>
    </row>
    <row r="64" spans="1:15" ht="20.100000000000001" customHeight="1">
      <c r="A64" s="139"/>
      <c r="B64" s="441"/>
      <c r="C64" s="442"/>
      <c r="D64" s="441"/>
      <c r="E64" s="442"/>
      <c r="F64" s="441"/>
      <c r="G64" s="442"/>
      <c r="H64" s="441"/>
      <c r="I64" s="444"/>
      <c r="J64" s="442"/>
      <c r="K64" s="441"/>
      <c r="L64" s="442"/>
      <c r="M64" s="441"/>
      <c r="N64" s="444"/>
      <c r="O64" s="442"/>
    </row>
    <row r="65" spans="1:15" ht="20.100000000000001" customHeight="1">
      <c r="A65" s="139"/>
      <c r="B65" s="439"/>
      <c r="C65" s="439"/>
      <c r="D65" s="439"/>
      <c r="E65" s="439"/>
      <c r="F65" s="439"/>
      <c r="G65" s="439"/>
      <c r="H65" s="439"/>
      <c r="I65" s="439"/>
      <c r="J65" s="439"/>
      <c r="K65" s="441"/>
      <c r="L65" s="442"/>
      <c r="M65" s="439"/>
      <c r="N65" s="439"/>
      <c r="O65" s="439"/>
    </row>
    <row r="66" spans="1:15" ht="20.100000000000001" customHeight="1">
      <c r="A66" s="140" t="s">
        <v>59</v>
      </c>
      <c r="B66" s="443" t="s">
        <v>38</v>
      </c>
      <c r="C66" s="443"/>
      <c r="D66" s="443" t="s">
        <v>38</v>
      </c>
      <c r="E66" s="443"/>
      <c r="F66" s="443" t="s">
        <v>38</v>
      </c>
      <c r="G66" s="443"/>
      <c r="H66" s="439"/>
      <c r="I66" s="439"/>
      <c r="J66" s="439"/>
      <c r="K66" s="450">
        <f>SUM(K63:L65)</f>
        <v>0</v>
      </c>
      <c r="L66" s="451"/>
      <c r="M66" s="439"/>
      <c r="N66" s="439"/>
      <c r="O66" s="439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420" t="s">
        <v>77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426" t="s">
        <v>69</v>
      </c>
      <c r="B70" s="426"/>
      <c r="C70" s="426"/>
      <c r="D70" s="426" t="s">
        <v>89</v>
      </c>
      <c r="E70" s="426"/>
      <c r="F70" s="426"/>
      <c r="G70" s="426" t="s">
        <v>335</v>
      </c>
      <c r="H70" s="426"/>
      <c r="I70" s="426"/>
      <c r="J70" s="426" t="s">
        <v>329</v>
      </c>
      <c r="K70" s="426"/>
      <c r="L70" s="426"/>
      <c r="M70" s="426" t="s">
        <v>90</v>
      </c>
      <c r="N70" s="426"/>
      <c r="O70" s="426"/>
    </row>
    <row r="71" spans="1:15" ht="18" customHeight="1">
      <c r="A71" s="426">
        <v>1</v>
      </c>
      <c r="B71" s="426"/>
      <c r="C71" s="426"/>
      <c r="D71" s="426">
        <v>2</v>
      </c>
      <c r="E71" s="426"/>
      <c r="F71" s="426"/>
      <c r="G71" s="426">
        <v>3</v>
      </c>
      <c r="H71" s="426"/>
      <c r="I71" s="426"/>
      <c r="J71" s="445">
        <v>4</v>
      </c>
      <c r="K71" s="445"/>
      <c r="L71" s="445"/>
      <c r="M71" s="445">
        <v>5</v>
      </c>
      <c r="N71" s="445"/>
      <c r="O71" s="445"/>
    </row>
    <row r="72" spans="1:15" ht="20.100000000000001" customHeight="1">
      <c r="A72" s="452" t="s">
        <v>312</v>
      </c>
      <c r="B72" s="452"/>
      <c r="C72" s="452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</row>
    <row r="73" spans="1:15" ht="20.100000000000001" customHeight="1">
      <c r="A73" s="452" t="s">
        <v>109</v>
      </c>
      <c r="B73" s="452"/>
      <c r="C73" s="452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</row>
    <row r="74" spans="1:15" ht="20.100000000000001" customHeight="1">
      <c r="A74" s="452"/>
      <c r="B74" s="452"/>
      <c r="C74" s="452"/>
      <c r="D74" s="447"/>
      <c r="E74" s="448"/>
      <c r="F74" s="449"/>
      <c r="G74" s="447"/>
      <c r="H74" s="448"/>
      <c r="I74" s="449"/>
      <c r="J74" s="447"/>
      <c r="K74" s="448"/>
      <c r="L74" s="449"/>
      <c r="M74" s="447"/>
      <c r="N74" s="448"/>
      <c r="O74" s="449"/>
    </row>
    <row r="75" spans="1:15" ht="20.100000000000001" customHeight="1">
      <c r="A75" s="452" t="s">
        <v>313</v>
      </c>
      <c r="B75" s="452"/>
      <c r="C75" s="452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</row>
    <row r="76" spans="1:15" ht="20.100000000000001" customHeight="1">
      <c r="A76" s="452" t="s">
        <v>110</v>
      </c>
      <c r="B76" s="452"/>
      <c r="C76" s="452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</row>
    <row r="77" spans="1:15" ht="20.100000000000001" customHeight="1">
      <c r="A77" s="452"/>
      <c r="B77" s="452"/>
      <c r="C77" s="452"/>
      <c r="D77" s="447"/>
      <c r="E77" s="448"/>
      <c r="F77" s="449"/>
      <c r="G77" s="447"/>
      <c r="H77" s="448"/>
      <c r="I77" s="449"/>
      <c r="J77" s="447"/>
      <c r="K77" s="448"/>
      <c r="L77" s="449"/>
      <c r="M77" s="447"/>
      <c r="N77" s="448"/>
      <c r="O77" s="449"/>
    </row>
    <row r="78" spans="1:15" ht="20.100000000000001" customHeight="1">
      <c r="A78" s="452" t="s">
        <v>314</v>
      </c>
      <c r="B78" s="452"/>
      <c r="C78" s="452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</row>
    <row r="79" spans="1:15" ht="20.100000000000001" customHeight="1">
      <c r="A79" s="452" t="s">
        <v>109</v>
      </c>
      <c r="B79" s="452"/>
      <c r="C79" s="452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</row>
    <row r="80" spans="1:15" ht="20.100000000000001" customHeight="1">
      <c r="A80" s="347"/>
      <c r="B80" s="341"/>
      <c r="C80" s="453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</row>
    <row r="81" spans="1:15" ht="20.100000000000001" customHeight="1">
      <c r="A81" s="347" t="s">
        <v>59</v>
      </c>
      <c r="B81" s="341"/>
      <c r="C81" s="453"/>
      <c r="D81" s="454"/>
      <c r="E81" s="454"/>
      <c r="F81" s="454"/>
      <c r="G81" s="454"/>
      <c r="H81" s="454"/>
      <c r="I81" s="454"/>
      <c r="J81" s="446"/>
      <c r="K81" s="446"/>
      <c r="L81" s="446"/>
      <c r="M81" s="446"/>
      <c r="N81" s="446"/>
      <c r="O81" s="446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70"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31:G31"/>
    <mergeCell ref="F32:G32"/>
    <mergeCell ref="F33:G33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L16:M16"/>
    <mergeCell ref="A1:O1"/>
    <mergeCell ref="A2:O2"/>
    <mergeCell ref="A3:O3"/>
    <mergeCell ref="F9:G9"/>
    <mergeCell ref="A9:C9"/>
    <mergeCell ref="A4:O4"/>
    <mergeCell ref="A7:O7"/>
    <mergeCell ref="J9:K9"/>
    <mergeCell ref="H9:I9"/>
    <mergeCell ref="L9:M9"/>
    <mergeCell ref="N9:O9"/>
    <mergeCell ref="N14:O14"/>
    <mergeCell ref="N13:O13"/>
    <mergeCell ref="A14:C14"/>
    <mergeCell ref="H13:I13"/>
    <mergeCell ref="L13:M13"/>
    <mergeCell ref="J13:K13"/>
    <mergeCell ref="A5:O5"/>
    <mergeCell ref="H12:I12"/>
    <mergeCell ref="J12:K12"/>
    <mergeCell ref="A10:C10"/>
    <mergeCell ref="N10:O10"/>
    <mergeCell ref="N11:O11"/>
    <mergeCell ref="L11:M11"/>
    <mergeCell ref="J10:K10"/>
    <mergeCell ref="F10:G10"/>
    <mergeCell ref="L10:M10"/>
    <mergeCell ref="L12:M12"/>
    <mergeCell ref="N12:O12"/>
    <mergeCell ref="H10:I10"/>
    <mergeCell ref="F12:G12"/>
    <mergeCell ref="F13:G13"/>
    <mergeCell ref="F14:G14"/>
    <mergeCell ref="A11:K11"/>
    <mergeCell ref="L14:M14"/>
    <mergeCell ref="A12:C12"/>
    <mergeCell ref="A30:K30"/>
    <mergeCell ref="F21:G21"/>
    <mergeCell ref="F27:G27"/>
    <mergeCell ref="F28:G28"/>
    <mergeCell ref="F29:G29"/>
    <mergeCell ref="F19:G19"/>
    <mergeCell ref="F20:G20"/>
    <mergeCell ref="F23:G23"/>
    <mergeCell ref="F24:G24"/>
    <mergeCell ref="F25:G25"/>
    <mergeCell ref="A22:K22"/>
    <mergeCell ref="A26:K26"/>
    <mergeCell ref="J14:K14"/>
    <mergeCell ref="H14:I14"/>
    <mergeCell ref="A13:C1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="70" zoomScaleNormal="60" zoomScaleSheetLayoutView="70" workbookViewId="0">
      <selection activeCell="Q35" sqref="Q34:Q35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72"/>
      <c r="AC1" s="473"/>
      <c r="AD1" s="473"/>
      <c r="AE1" s="473"/>
    </row>
    <row r="2" spans="1:31" ht="18.75" customHeight="1">
      <c r="B2" s="38" t="s">
        <v>244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508" t="s">
        <v>54</v>
      </c>
      <c r="B4" s="508" t="s">
        <v>199</v>
      </c>
      <c r="C4" s="431" t="s">
        <v>200</v>
      </c>
      <c r="D4" s="510"/>
      <c r="E4" s="510"/>
      <c r="F4" s="432"/>
      <c r="G4" s="431" t="s">
        <v>326</v>
      </c>
      <c r="H4" s="510"/>
      <c r="I4" s="510"/>
      <c r="J4" s="510"/>
      <c r="K4" s="510"/>
      <c r="L4" s="432"/>
      <c r="M4" s="431" t="s">
        <v>201</v>
      </c>
      <c r="N4" s="510"/>
      <c r="O4" s="510"/>
      <c r="P4" s="432"/>
      <c r="Q4" s="418" t="s">
        <v>285</v>
      </c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38"/>
    </row>
    <row r="5" spans="1:31" ht="48.75" customHeight="1">
      <c r="A5" s="509"/>
      <c r="B5" s="509"/>
      <c r="C5" s="511"/>
      <c r="D5" s="512"/>
      <c r="E5" s="512"/>
      <c r="F5" s="513"/>
      <c r="G5" s="511"/>
      <c r="H5" s="512"/>
      <c r="I5" s="512"/>
      <c r="J5" s="512"/>
      <c r="K5" s="512"/>
      <c r="L5" s="513"/>
      <c r="M5" s="511"/>
      <c r="N5" s="512"/>
      <c r="O5" s="512"/>
      <c r="P5" s="513"/>
      <c r="Q5" s="435" t="s">
        <v>202</v>
      </c>
      <c r="R5" s="436"/>
      <c r="S5" s="437"/>
      <c r="T5" s="435" t="s">
        <v>203</v>
      </c>
      <c r="U5" s="436"/>
      <c r="V5" s="437"/>
      <c r="W5" s="435" t="s">
        <v>42</v>
      </c>
      <c r="X5" s="436"/>
      <c r="Y5" s="437"/>
      <c r="Z5" s="418" t="s">
        <v>204</v>
      </c>
      <c r="AA5" s="419"/>
      <c r="AB5" s="438"/>
      <c r="AC5" s="418" t="s">
        <v>205</v>
      </c>
      <c r="AD5" s="419"/>
      <c r="AE5" s="438"/>
    </row>
    <row r="6" spans="1:31" ht="18" customHeight="1">
      <c r="A6" s="63">
        <v>1</v>
      </c>
      <c r="B6" s="64">
        <v>2</v>
      </c>
      <c r="C6" s="487">
        <v>3</v>
      </c>
      <c r="D6" s="488"/>
      <c r="E6" s="488"/>
      <c r="F6" s="489"/>
      <c r="G6" s="487">
        <v>4</v>
      </c>
      <c r="H6" s="488"/>
      <c r="I6" s="488"/>
      <c r="J6" s="488"/>
      <c r="K6" s="488"/>
      <c r="L6" s="489"/>
      <c r="M6" s="487">
        <v>5</v>
      </c>
      <c r="N6" s="488"/>
      <c r="O6" s="488"/>
      <c r="P6" s="489"/>
      <c r="Q6" s="487">
        <v>6</v>
      </c>
      <c r="R6" s="488"/>
      <c r="S6" s="489"/>
      <c r="T6" s="487">
        <v>7</v>
      </c>
      <c r="U6" s="488"/>
      <c r="V6" s="489"/>
      <c r="W6" s="484">
        <v>8</v>
      </c>
      <c r="X6" s="485"/>
      <c r="Y6" s="486"/>
      <c r="Z6" s="484">
        <v>9</v>
      </c>
      <c r="AA6" s="485"/>
      <c r="AB6" s="486"/>
      <c r="AC6" s="484">
        <v>10</v>
      </c>
      <c r="AD6" s="485"/>
      <c r="AE6" s="486"/>
    </row>
    <row r="7" spans="1:31" ht="41.25" customHeight="1">
      <c r="A7" s="208">
        <v>1</v>
      </c>
      <c r="B7" s="294" t="s">
        <v>370</v>
      </c>
      <c r="C7" s="375">
        <v>2006</v>
      </c>
      <c r="D7" s="376"/>
      <c r="E7" s="376"/>
      <c r="F7" s="377"/>
      <c r="G7" s="502" t="s">
        <v>373</v>
      </c>
      <c r="H7" s="503"/>
      <c r="I7" s="503"/>
      <c r="J7" s="503"/>
      <c r="K7" s="503"/>
      <c r="L7" s="504"/>
      <c r="M7" s="499">
        <v>8</v>
      </c>
      <c r="N7" s="500"/>
      <c r="O7" s="500"/>
      <c r="P7" s="501"/>
      <c r="Q7" s="455">
        <f t="shared" ref="Q7:Q12" si="0">M7-Z7</f>
        <v>4</v>
      </c>
      <c r="R7" s="458"/>
      <c r="S7" s="459"/>
      <c r="T7" s="505"/>
      <c r="U7" s="514"/>
      <c r="V7" s="515"/>
      <c r="W7" s="505"/>
      <c r="X7" s="514"/>
      <c r="Y7" s="515"/>
      <c r="Z7" s="455">
        <v>4</v>
      </c>
      <c r="AA7" s="458"/>
      <c r="AB7" s="459"/>
      <c r="AC7" s="490"/>
      <c r="AD7" s="491"/>
      <c r="AE7" s="492"/>
    </row>
    <row r="8" spans="1:31" ht="41.25" customHeight="1">
      <c r="A8" s="208">
        <v>2</v>
      </c>
      <c r="B8" s="294" t="s">
        <v>371</v>
      </c>
      <c r="C8" s="375">
        <v>1996</v>
      </c>
      <c r="D8" s="376"/>
      <c r="E8" s="376"/>
      <c r="F8" s="377"/>
      <c r="G8" s="502" t="s">
        <v>373</v>
      </c>
      <c r="H8" s="503"/>
      <c r="I8" s="503"/>
      <c r="J8" s="503"/>
      <c r="K8" s="503"/>
      <c r="L8" s="504"/>
      <c r="M8" s="499">
        <v>6</v>
      </c>
      <c r="N8" s="500"/>
      <c r="O8" s="500"/>
      <c r="P8" s="501"/>
      <c r="Q8" s="455">
        <f t="shared" si="0"/>
        <v>4</v>
      </c>
      <c r="R8" s="458"/>
      <c r="S8" s="459"/>
      <c r="T8" s="505"/>
      <c r="U8" s="514"/>
      <c r="V8" s="515"/>
      <c r="W8" s="505"/>
      <c r="X8" s="514"/>
      <c r="Y8" s="515"/>
      <c r="Z8" s="455">
        <v>2</v>
      </c>
      <c r="AA8" s="458"/>
      <c r="AB8" s="459"/>
      <c r="AC8" s="490"/>
      <c r="AD8" s="491"/>
      <c r="AE8" s="492"/>
    </row>
    <row r="9" spans="1:31" ht="41.25" customHeight="1">
      <c r="A9" s="208">
        <v>3</v>
      </c>
      <c r="B9" s="294" t="s">
        <v>372</v>
      </c>
      <c r="C9" s="375">
        <v>2011</v>
      </c>
      <c r="D9" s="376"/>
      <c r="E9" s="376"/>
      <c r="F9" s="377"/>
      <c r="G9" s="502" t="s">
        <v>373</v>
      </c>
      <c r="H9" s="503"/>
      <c r="I9" s="503"/>
      <c r="J9" s="503"/>
      <c r="K9" s="503"/>
      <c r="L9" s="504"/>
      <c r="M9" s="499">
        <v>17</v>
      </c>
      <c r="N9" s="500"/>
      <c r="O9" s="500"/>
      <c r="P9" s="501"/>
      <c r="Q9" s="455">
        <f t="shared" si="0"/>
        <v>10</v>
      </c>
      <c r="R9" s="458"/>
      <c r="S9" s="459"/>
      <c r="T9" s="505"/>
      <c r="U9" s="514"/>
      <c r="V9" s="515"/>
      <c r="W9" s="505"/>
      <c r="X9" s="514"/>
      <c r="Y9" s="515"/>
      <c r="Z9" s="455">
        <v>7</v>
      </c>
      <c r="AA9" s="458"/>
      <c r="AB9" s="459"/>
      <c r="AC9" s="490"/>
      <c r="AD9" s="491"/>
      <c r="AE9" s="492"/>
    </row>
    <row r="10" spans="1:31" ht="41.25" customHeight="1">
      <c r="A10" s="209">
        <v>4</v>
      </c>
      <c r="B10" s="295" t="s">
        <v>456</v>
      </c>
      <c r="C10" s="375">
        <v>2019</v>
      </c>
      <c r="D10" s="376"/>
      <c r="E10" s="376"/>
      <c r="F10" s="377"/>
      <c r="G10" s="502" t="s">
        <v>373</v>
      </c>
      <c r="H10" s="503"/>
      <c r="I10" s="503"/>
      <c r="J10" s="503"/>
      <c r="K10" s="503"/>
      <c r="L10" s="504"/>
      <c r="M10" s="499">
        <v>31</v>
      </c>
      <c r="N10" s="500"/>
      <c r="O10" s="500"/>
      <c r="P10" s="501"/>
      <c r="Q10" s="455">
        <f t="shared" si="0"/>
        <v>22</v>
      </c>
      <c r="R10" s="458"/>
      <c r="S10" s="459"/>
      <c r="T10" s="505"/>
      <c r="U10" s="506"/>
      <c r="V10" s="507"/>
      <c r="W10" s="505"/>
      <c r="X10" s="506"/>
      <c r="Y10" s="507"/>
      <c r="Z10" s="455">
        <v>9</v>
      </c>
      <c r="AA10" s="506"/>
      <c r="AB10" s="507"/>
      <c r="AC10" s="490"/>
      <c r="AD10" s="456"/>
      <c r="AE10" s="457"/>
    </row>
    <row r="11" spans="1:31" ht="42" customHeight="1">
      <c r="A11" s="208">
        <v>5</v>
      </c>
      <c r="B11" s="294" t="s">
        <v>431</v>
      </c>
      <c r="C11" s="375">
        <v>2016</v>
      </c>
      <c r="D11" s="376"/>
      <c r="E11" s="376"/>
      <c r="F11" s="377"/>
      <c r="G11" s="502" t="s">
        <v>373</v>
      </c>
      <c r="H11" s="503"/>
      <c r="I11" s="503"/>
      <c r="J11" s="503"/>
      <c r="K11" s="503"/>
      <c r="L11" s="504"/>
      <c r="M11" s="499">
        <v>42</v>
      </c>
      <c r="N11" s="500"/>
      <c r="O11" s="500"/>
      <c r="P11" s="501"/>
      <c r="Q11" s="455">
        <f t="shared" si="0"/>
        <v>32</v>
      </c>
      <c r="R11" s="458"/>
      <c r="S11" s="459"/>
      <c r="T11" s="505"/>
      <c r="U11" s="514"/>
      <c r="V11" s="515"/>
      <c r="W11" s="505"/>
      <c r="X11" s="514"/>
      <c r="Y11" s="515"/>
      <c r="Z11" s="455">
        <v>10</v>
      </c>
      <c r="AA11" s="458"/>
      <c r="AB11" s="459"/>
      <c r="AC11" s="490"/>
      <c r="AD11" s="491"/>
      <c r="AE11" s="492"/>
    </row>
    <row r="12" spans="1:31" ht="42" customHeight="1">
      <c r="A12" s="302">
        <v>6</v>
      </c>
      <c r="B12" s="295" t="s">
        <v>463</v>
      </c>
      <c r="C12" s="519">
        <v>2021</v>
      </c>
      <c r="D12" s="519"/>
      <c r="E12" s="519"/>
      <c r="F12" s="519"/>
      <c r="G12" s="502" t="s">
        <v>373</v>
      </c>
      <c r="H12" s="503"/>
      <c r="I12" s="503"/>
      <c r="J12" s="503"/>
      <c r="K12" s="503"/>
      <c r="L12" s="504"/>
      <c r="M12" s="499">
        <v>24</v>
      </c>
      <c r="N12" s="456"/>
      <c r="O12" s="456"/>
      <c r="P12" s="457"/>
      <c r="Q12" s="455">
        <f t="shared" si="0"/>
        <v>16</v>
      </c>
      <c r="R12" s="458"/>
      <c r="S12" s="459"/>
      <c r="T12" s="505"/>
      <c r="U12" s="456"/>
      <c r="V12" s="457"/>
      <c r="W12" s="505"/>
      <c r="X12" s="456"/>
      <c r="Y12" s="457"/>
      <c r="Z12" s="455">
        <v>8</v>
      </c>
      <c r="AA12" s="456"/>
      <c r="AB12" s="457"/>
      <c r="AC12" s="490"/>
      <c r="AD12" s="456"/>
      <c r="AE12" s="457"/>
    </row>
    <row r="13" spans="1:31" s="15" customFormat="1" ht="20.100000000000001" customHeight="1">
      <c r="A13" s="496" t="s">
        <v>59</v>
      </c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8"/>
      <c r="M13" s="499">
        <f>SUM(M7:M12)</f>
        <v>128</v>
      </c>
      <c r="N13" s="500"/>
      <c r="O13" s="500"/>
      <c r="P13" s="501"/>
      <c r="Q13" s="493">
        <f>SUM(Q7:Q12)</f>
        <v>88</v>
      </c>
      <c r="R13" s="494"/>
      <c r="S13" s="495"/>
      <c r="T13" s="493">
        <f>SUM(T7:V11)</f>
        <v>0</v>
      </c>
      <c r="U13" s="494"/>
      <c r="V13" s="495"/>
      <c r="W13" s="493">
        <f>SUM(W7:Y11)</f>
        <v>0</v>
      </c>
      <c r="X13" s="494"/>
      <c r="Y13" s="495"/>
      <c r="Z13" s="493">
        <f>SUM(Z7:Z12)</f>
        <v>40</v>
      </c>
      <c r="AA13" s="494"/>
      <c r="AB13" s="495"/>
      <c r="AC13" s="493">
        <f>SUM(AC7:AE11)</f>
        <v>0</v>
      </c>
      <c r="AD13" s="494"/>
      <c r="AE13" s="495"/>
    </row>
    <row r="14" spans="1:31" ht="18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3"/>
      <c r="O14" s="33"/>
      <c r="P14" s="33"/>
      <c r="Q14" s="54"/>
      <c r="R14" s="54"/>
      <c r="S14" s="54"/>
      <c r="T14" s="54"/>
      <c r="U14" s="54"/>
      <c r="V14" s="54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s="38" customFormat="1" ht="18.75" customHeight="1">
      <c r="B15" s="38" t="s">
        <v>245</v>
      </c>
    </row>
    <row r="16" spans="1:31" s="38" customFormat="1" ht="18.75" customHeight="1"/>
    <row r="17" spans="1:31" ht="18.75" customHeight="1">
      <c r="A17" s="390" t="s">
        <v>54</v>
      </c>
      <c r="B17" s="390" t="s">
        <v>206</v>
      </c>
      <c r="C17" s="378" t="s">
        <v>199</v>
      </c>
      <c r="D17" s="378"/>
      <c r="E17" s="378"/>
      <c r="F17" s="378"/>
      <c r="G17" s="378" t="s">
        <v>326</v>
      </c>
      <c r="H17" s="378"/>
      <c r="I17" s="378"/>
      <c r="J17" s="378"/>
      <c r="K17" s="378"/>
      <c r="L17" s="378"/>
      <c r="M17" s="378"/>
      <c r="N17" s="378"/>
      <c r="O17" s="378"/>
      <c r="P17" s="378"/>
      <c r="Q17" s="378" t="s">
        <v>207</v>
      </c>
      <c r="R17" s="378"/>
      <c r="S17" s="378"/>
      <c r="T17" s="378"/>
      <c r="U17" s="378"/>
      <c r="V17" s="379" t="s">
        <v>208</v>
      </c>
      <c r="W17" s="379"/>
      <c r="X17" s="379"/>
      <c r="Y17" s="379"/>
      <c r="Z17" s="379"/>
      <c r="AA17" s="379"/>
      <c r="AB17" s="379"/>
      <c r="AC17" s="379"/>
      <c r="AD17" s="379"/>
      <c r="AE17" s="379"/>
    </row>
    <row r="18" spans="1:31" ht="18.75" customHeight="1">
      <c r="A18" s="390"/>
      <c r="B18" s="390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9" t="s">
        <v>209</v>
      </c>
      <c r="W18" s="379"/>
      <c r="X18" s="379" t="s">
        <v>100</v>
      </c>
      <c r="Y18" s="379"/>
      <c r="Z18" s="379"/>
      <c r="AA18" s="379"/>
      <c r="AB18" s="379"/>
      <c r="AC18" s="379"/>
      <c r="AD18" s="379"/>
      <c r="AE18" s="379"/>
    </row>
    <row r="19" spans="1:31" ht="18.75" customHeight="1">
      <c r="A19" s="390"/>
      <c r="B19" s="390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9"/>
      <c r="W19" s="379"/>
      <c r="X19" s="379" t="s">
        <v>436</v>
      </c>
      <c r="Y19" s="379"/>
      <c r="Z19" s="379" t="s">
        <v>447</v>
      </c>
      <c r="AA19" s="379"/>
      <c r="AB19" s="379" t="s">
        <v>438</v>
      </c>
      <c r="AC19" s="379"/>
      <c r="AD19" s="379" t="s">
        <v>439</v>
      </c>
      <c r="AE19" s="379"/>
    </row>
    <row r="20" spans="1:31" ht="18" customHeight="1">
      <c r="A20" s="63">
        <v>1</v>
      </c>
      <c r="B20" s="63">
        <v>2</v>
      </c>
      <c r="C20" s="483">
        <v>3</v>
      </c>
      <c r="D20" s="483"/>
      <c r="E20" s="483"/>
      <c r="F20" s="483"/>
      <c r="G20" s="483">
        <v>4</v>
      </c>
      <c r="H20" s="483"/>
      <c r="I20" s="483"/>
      <c r="J20" s="483"/>
      <c r="K20" s="483"/>
      <c r="L20" s="483"/>
      <c r="M20" s="483"/>
      <c r="N20" s="483"/>
      <c r="O20" s="483"/>
      <c r="P20" s="483"/>
      <c r="Q20" s="483">
        <v>5</v>
      </c>
      <c r="R20" s="483"/>
      <c r="S20" s="483"/>
      <c r="T20" s="483"/>
      <c r="U20" s="483"/>
      <c r="V20" s="483">
        <v>6</v>
      </c>
      <c r="W20" s="483"/>
      <c r="X20" s="482">
        <v>7</v>
      </c>
      <c r="Y20" s="482"/>
      <c r="Z20" s="482">
        <v>8</v>
      </c>
      <c r="AA20" s="482"/>
      <c r="AB20" s="482">
        <v>9</v>
      </c>
      <c r="AC20" s="482"/>
      <c r="AD20" s="482">
        <v>10</v>
      </c>
      <c r="AE20" s="482"/>
    </row>
    <row r="21" spans="1:31" ht="20.100000000000001" customHeight="1">
      <c r="A21" s="84"/>
      <c r="B21" s="80"/>
      <c r="C21" s="478"/>
      <c r="D21" s="478"/>
      <c r="E21" s="478"/>
      <c r="F21" s="478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80"/>
      <c r="R21" s="480"/>
      <c r="S21" s="480"/>
      <c r="T21" s="480"/>
      <c r="U21" s="480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</row>
    <row r="22" spans="1:31" ht="20.100000000000001" customHeight="1">
      <c r="A22" s="390" t="s">
        <v>59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443">
        <f>SUM(V21:W21)</f>
        <v>0</v>
      </c>
      <c r="W22" s="443"/>
      <c r="X22" s="443">
        <f>SUM(X21:Y21)</f>
        <v>0</v>
      </c>
      <c r="Y22" s="443"/>
      <c r="Z22" s="443">
        <f>SUM(Z21:AA21)</f>
        <v>0</v>
      </c>
      <c r="AA22" s="443"/>
      <c r="AB22" s="443">
        <f>SUM(AB21:AC21)</f>
        <v>0</v>
      </c>
      <c r="AC22" s="443"/>
      <c r="AD22" s="443">
        <f>SUM(AD21:AE21)</f>
        <v>0</v>
      </c>
      <c r="AE22" s="443"/>
    </row>
    <row r="23" spans="1:3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Q23" s="29"/>
      <c r="R23" s="29"/>
      <c r="S23" s="29"/>
      <c r="T23" s="29"/>
      <c r="U23" s="29"/>
      <c r="AE23" s="29"/>
    </row>
    <row r="24" spans="1:31" s="38" customFormat="1" ht="18.75" customHeight="1">
      <c r="B24" s="38" t="s">
        <v>222</v>
      </c>
    </row>
    <row r="25" spans="1:31" ht="22.5" customHeight="1">
      <c r="A25" s="26"/>
      <c r="B25" s="26"/>
      <c r="C25" s="26"/>
      <c r="D25" s="26"/>
      <c r="E25" s="26"/>
      <c r="F25" s="26"/>
      <c r="G25" s="26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26"/>
      <c r="AD25" s="156" t="s">
        <v>242</v>
      </c>
    </row>
    <row r="26" spans="1:31" ht="30" customHeight="1">
      <c r="A26" s="378" t="s">
        <v>54</v>
      </c>
      <c r="B26" s="378" t="s">
        <v>246</v>
      </c>
      <c r="C26" s="378"/>
      <c r="D26" s="378"/>
      <c r="E26" s="378"/>
      <c r="F26" s="378"/>
      <c r="G26" s="435" t="s">
        <v>58</v>
      </c>
      <c r="H26" s="436"/>
      <c r="I26" s="436"/>
      <c r="J26" s="437"/>
      <c r="K26" s="435" t="s">
        <v>91</v>
      </c>
      <c r="L26" s="436"/>
      <c r="M26" s="436"/>
      <c r="N26" s="437"/>
      <c r="O26" s="435" t="s">
        <v>287</v>
      </c>
      <c r="P26" s="436"/>
      <c r="Q26" s="436"/>
      <c r="R26" s="437"/>
      <c r="S26" s="435" t="s">
        <v>133</v>
      </c>
      <c r="T26" s="436"/>
      <c r="U26" s="436"/>
      <c r="V26" s="437"/>
      <c r="W26" s="435" t="s">
        <v>59</v>
      </c>
      <c r="X26" s="436"/>
      <c r="Y26" s="436"/>
      <c r="Z26" s="437"/>
    </row>
    <row r="27" spans="1:31" ht="39.950000000000003" customHeight="1">
      <c r="A27" s="378"/>
      <c r="B27" s="378"/>
      <c r="C27" s="378"/>
      <c r="D27" s="378"/>
      <c r="E27" s="378"/>
      <c r="F27" s="378"/>
      <c r="G27" s="225" t="s">
        <v>436</v>
      </c>
      <c r="H27" s="225" t="s">
        <v>447</v>
      </c>
      <c r="I27" s="225" t="s">
        <v>438</v>
      </c>
      <c r="J27" s="225" t="s">
        <v>439</v>
      </c>
      <c r="K27" s="225" t="s">
        <v>436</v>
      </c>
      <c r="L27" s="225" t="s">
        <v>447</v>
      </c>
      <c r="M27" s="225" t="s">
        <v>438</v>
      </c>
      <c r="N27" s="225" t="s">
        <v>439</v>
      </c>
      <c r="O27" s="225" t="s">
        <v>436</v>
      </c>
      <c r="P27" s="225" t="s">
        <v>447</v>
      </c>
      <c r="Q27" s="225" t="s">
        <v>438</v>
      </c>
      <c r="R27" s="225" t="s">
        <v>439</v>
      </c>
      <c r="S27" s="225" t="s">
        <v>436</v>
      </c>
      <c r="T27" s="225" t="s">
        <v>447</v>
      </c>
      <c r="U27" s="225" t="s">
        <v>438</v>
      </c>
      <c r="V27" s="225" t="s">
        <v>439</v>
      </c>
      <c r="W27" s="225" t="s">
        <v>436</v>
      </c>
      <c r="X27" s="225" t="s">
        <v>447</v>
      </c>
      <c r="Y27" s="225" t="s">
        <v>438</v>
      </c>
      <c r="Z27" s="225" t="s">
        <v>439</v>
      </c>
    </row>
    <row r="28" spans="1:31" ht="18" customHeight="1">
      <c r="A28" s="7"/>
      <c r="B28" s="378">
        <v>2</v>
      </c>
      <c r="C28" s="378"/>
      <c r="D28" s="378"/>
      <c r="E28" s="378"/>
      <c r="F28" s="378"/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>
        <v>19</v>
      </c>
      <c r="X28" s="7">
        <v>20</v>
      </c>
      <c r="Y28" s="7">
        <v>21</v>
      </c>
      <c r="Z28" s="6">
        <v>22</v>
      </c>
    </row>
    <row r="29" spans="1:31" ht="44.25" customHeight="1">
      <c r="A29" s="82">
        <v>1</v>
      </c>
      <c r="B29" s="477" t="s">
        <v>464</v>
      </c>
      <c r="C29" s="477"/>
      <c r="D29" s="477"/>
      <c r="E29" s="477"/>
      <c r="F29" s="477"/>
      <c r="G29" s="207"/>
      <c r="H29" s="207"/>
      <c r="I29" s="207"/>
      <c r="J29" s="207"/>
      <c r="K29" s="206">
        <v>667</v>
      </c>
      <c r="L29" s="206">
        <v>664</v>
      </c>
      <c r="M29" s="206">
        <f>L29-K29</f>
        <v>-3</v>
      </c>
      <c r="N29" s="206">
        <f>L29/K29%</f>
        <v>99.550224887556226</v>
      </c>
      <c r="O29" s="75">
        <v>0</v>
      </c>
      <c r="P29" s="207">
        <v>121</v>
      </c>
      <c r="Q29" s="75">
        <f>P29-O29</f>
        <v>121</v>
      </c>
      <c r="R29" s="154" t="e">
        <f>P29/O29%</f>
        <v>#DIV/0!</v>
      </c>
      <c r="S29" s="75"/>
      <c r="T29" s="75"/>
      <c r="U29" s="75"/>
      <c r="V29" s="75"/>
      <c r="W29" s="206">
        <f t="shared" ref="W29:X31" si="1">K29+O29</f>
        <v>667</v>
      </c>
      <c r="X29" s="206">
        <f t="shared" si="1"/>
        <v>785</v>
      </c>
      <c r="Y29" s="206">
        <f>X29-W29</f>
        <v>118</v>
      </c>
      <c r="Z29" s="206">
        <f>X29/W29%</f>
        <v>117.69115442278861</v>
      </c>
    </row>
    <row r="30" spans="1:31" ht="44.25" customHeight="1">
      <c r="A30" s="304">
        <v>2</v>
      </c>
      <c r="B30" s="516" t="s">
        <v>465</v>
      </c>
      <c r="C30" s="517"/>
      <c r="D30" s="517"/>
      <c r="E30" s="517"/>
      <c r="F30" s="518"/>
      <c r="G30" s="207"/>
      <c r="H30" s="207"/>
      <c r="I30" s="207"/>
      <c r="J30" s="207"/>
      <c r="K30" s="206">
        <v>167</v>
      </c>
      <c r="L30" s="206">
        <v>73</v>
      </c>
      <c r="M30" s="206">
        <f>L30-K30</f>
        <v>-94</v>
      </c>
      <c r="N30" s="206">
        <f>L30/K30%</f>
        <v>43.712574850299404</v>
      </c>
      <c r="O30" s="303"/>
      <c r="P30" s="207"/>
      <c r="Q30" s="303"/>
      <c r="R30" s="154"/>
      <c r="S30" s="303"/>
      <c r="T30" s="303"/>
      <c r="U30" s="303"/>
      <c r="V30" s="303"/>
      <c r="W30" s="206">
        <f t="shared" si="1"/>
        <v>167</v>
      </c>
      <c r="X30" s="206">
        <f t="shared" si="1"/>
        <v>73</v>
      </c>
      <c r="Y30" s="206">
        <f>X30-W30</f>
        <v>-94</v>
      </c>
      <c r="Z30" s="206">
        <f>X30/W30%</f>
        <v>43.712574850299404</v>
      </c>
    </row>
    <row r="31" spans="1:31" s="15" customFormat="1" ht="20.25" customHeight="1">
      <c r="A31" s="474" t="s">
        <v>59</v>
      </c>
      <c r="B31" s="475"/>
      <c r="C31" s="475"/>
      <c r="D31" s="475"/>
      <c r="E31" s="475"/>
      <c r="F31" s="476"/>
      <c r="G31" s="230">
        <f t="shared" ref="G31:Z31" si="2">SUM(G29:G29)</f>
        <v>0</v>
      </c>
      <c r="H31" s="230">
        <f t="shared" si="2"/>
        <v>0</v>
      </c>
      <c r="I31" s="230">
        <f t="shared" si="2"/>
        <v>0</v>
      </c>
      <c r="J31" s="230">
        <f t="shared" si="2"/>
        <v>0</v>
      </c>
      <c r="K31" s="212">
        <f>SUM(K29:K30)</f>
        <v>834</v>
      </c>
      <c r="L31" s="212">
        <f>SUM(L29:L30)</f>
        <v>737</v>
      </c>
      <c r="M31" s="152">
        <f t="shared" si="2"/>
        <v>-3</v>
      </c>
      <c r="N31" s="152">
        <f t="shared" si="2"/>
        <v>99.550224887556226</v>
      </c>
      <c r="O31" s="230">
        <f t="shared" si="2"/>
        <v>0</v>
      </c>
      <c r="P31" s="230">
        <f t="shared" si="2"/>
        <v>121</v>
      </c>
      <c r="Q31" s="230">
        <f t="shared" si="2"/>
        <v>121</v>
      </c>
      <c r="R31" s="152" t="e">
        <f t="shared" si="2"/>
        <v>#DIV/0!</v>
      </c>
      <c r="S31" s="230">
        <f t="shared" si="2"/>
        <v>0</v>
      </c>
      <c r="T31" s="230">
        <f t="shared" si="2"/>
        <v>0</v>
      </c>
      <c r="U31" s="230">
        <f t="shared" si="2"/>
        <v>0</v>
      </c>
      <c r="V31" s="230">
        <f t="shared" si="2"/>
        <v>0</v>
      </c>
      <c r="W31" s="212">
        <f t="shared" si="1"/>
        <v>834</v>
      </c>
      <c r="X31" s="212">
        <f t="shared" si="1"/>
        <v>858</v>
      </c>
      <c r="Y31" s="152">
        <f t="shared" si="2"/>
        <v>118</v>
      </c>
      <c r="Z31" s="152">
        <f t="shared" si="2"/>
        <v>117.69115442278861</v>
      </c>
    </row>
    <row r="32" spans="1:31" ht="20.100000000000001" customHeight="1">
      <c r="A32" s="467" t="s">
        <v>60</v>
      </c>
      <c r="B32" s="468"/>
      <c r="C32" s="468"/>
      <c r="D32" s="468"/>
      <c r="E32" s="468"/>
      <c r="F32" s="469"/>
      <c r="G32" s="75"/>
      <c r="H32" s="75"/>
      <c r="I32" s="75"/>
      <c r="J32" s="75"/>
      <c r="K32" s="154">
        <v>100</v>
      </c>
      <c r="L32" s="154">
        <v>100</v>
      </c>
      <c r="M32" s="154">
        <v>100</v>
      </c>
      <c r="N32" s="154">
        <v>100</v>
      </c>
      <c r="O32" s="154"/>
      <c r="P32" s="154"/>
      <c r="Q32" s="154"/>
      <c r="R32" s="154"/>
      <c r="S32" s="75"/>
      <c r="T32" s="75"/>
      <c r="U32" s="75"/>
      <c r="V32" s="75"/>
      <c r="W32" s="75">
        <v>100</v>
      </c>
      <c r="X32" s="75">
        <v>100</v>
      </c>
      <c r="Y32" s="75">
        <v>100</v>
      </c>
      <c r="Z32" s="75">
        <v>100</v>
      </c>
    </row>
    <row r="33" spans="1:31" ht="20.100000000000001" customHeight="1">
      <c r="A33" s="16"/>
      <c r="B33" s="1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31" s="38" customFormat="1" ht="20.100000000000001" customHeight="1">
      <c r="B34" s="38" t="s">
        <v>247</v>
      </c>
    </row>
    <row r="35" spans="1:31" s="66" customFormat="1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AD35" s="156" t="s">
        <v>242</v>
      </c>
    </row>
    <row r="36" spans="1:31" s="67" customFormat="1" ht="34.5" customHeight="1">
      <c r="A36" s="379" t="s">
        <v>214</v>
      </c>
      <c r="B36" s="378" t="s">
        <v>286</v>
      </c>
      <c r="C36" s="378" t="s">
        <v>316</v>
      </c>
      <c r="D36" s="378"/>
      <c r="E36" s="378" t="s">
        <v>215</v>
      </c>
      <c r="F36" s="378"/>
      <c r="G36" s="378" t="s">
        <v>216</v>
      </c>
      <c r="H36" s="378"/>
      <c r="I36" s="378" t="s">
        <v>280</v>
      </c>
      <c r="J36" s="378"/>
      <c r="K36" s="378" t="s">
        <v>140</v>
      </c>
      <c r="L36" s="378"/>
      <c r="M36" s="378"/>
      <c r="N36" s="378"/>
      <c r="O36" s="378"/>
      <c r="P36" s="378"/>
      <c r="Q36" s="378"/>
      <c r="R36" s="378"/>
      <c r="S36" s="378"/>
      <c r="T36" s="378"/>
      <c r="U36" s="378" t="s">
        <v>317</v>
      </c>
      <c r="V36" s="378"/>
      <c r="W36" s="378"/>
      <c r="X36" s="378"/>
      <c r="Y36" s="378"/>
      <c r="Z36" s="378" t="s">
        <v>284</v>
      </c>
      <c r="AA36" s="378"/>
      <c r="AB36" s="378"/>
      <c r="AC36" s="378"/>
      <c r="AD36" s="378"/>
      <c r="AE36" s="378"/>
    </row>
    <row r="37" spans="1:31" s="67" customFormat="1" ht="52.5" customHeight="1">
      <c r="A37" s="379"/>
      <c r="B37" s="378"/>
      <c r="C37" s="378"/>
      <c r="D37" s="378"/>
      <c r="E37" s="378"/>
      <c r="F37" s="378"/>
      <c r="G37" s="378"/>
      <c r="H37" s="378"/>
      <c r="I37" s="378"/>
      <c r="J37" s="378"/>
      <c r="K37" s="378" t="s">
        <v>327</v>
      </c>
      <c r="L37" s="378"/>
      <c r="M37" s="378" t="s">
        <v>328</v>
      </c>
      <c r="N37" s="378"/>
      <c r="O37" s="378" t="s">
        <v>315</v>
      </c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</row>
    <row r="38" spans="1:31" s="68" customFormat="1" ht="82.5" customHeight="1">
      <c r="A38" s="379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 t="s">
        <v>281</v>
      </c>
      <c r="P38" s="378"/>
      <c r="Q38" s="378" t="s">
        <v>282</v>
      </c>
      <c r="R38" s="378"/>
      <c r="S38" s="378" t="s">
        <v>283</v>
      </c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</row>
    <row r="39" spans="1:31" s="67" customFormat="1" ht="18" customHeight="1">
      <c r="A39" s="6">
        <v>1</v>
      </c>
      <c r="B39" s="7">
        <v>2</v>
      </c>
      <c r="C39" s="378">
        <v>3</v>
      </c>
      <c r="D39" s="378"/>
      <c r="E39" s="378">
        <v>4</v>
      </c>
      <c r="F39" s="378"/>
      <c r="G39" s="378">
        <v>5</v>
      </c>
      <c r="H39" s="378"/>
      <c r="I39" s="378">
        <v>6</v>
      </c>
      <c r="J39" s="378"/>
      <c r="K39" s="435">
        <v>7</v>
      </c>
      <c r="L39" s="437"/>
      <c r="M39" s="435">
        <v>8</v>
      </c>
      <c r="N39" s="437"/>
      <c r="O39" s="378">
        <v>9</v>
      </c>
      <c r="P39" s="378"/>
      <c r="Q39" s="379">
        <v>10</v>
      </c>
      <c r="R39" s="379"/>
      <c r="S39" s="378">
        <v>11</v>
      </c>
      <c r="T39" s="378"/>
      <c r="U39" s="378">
        <v>12</v>
      </c>
      <c r="V39" s="378"/>
      <c r="W39" s="378"/>
      <c r="X39" s="378"/>
      <c r="Y39" s="378"/>
      <c r="Z39" s="378">
        <v>13</v>
      </c>
      <c r="AA39" s="378"/>
      <c r="AB39" s="378"/>
      <c r="AC39" s="378"/>
      <c r="AD39" s="378"/>
      <c r="AE39" s="378"/>
    </row>
    <row r="40" spans="1:31" s="67" customFormat="1" ht="20.100000000000001" customHeight="1">
      <c r="A40" s="267"/>
      <c r="B40" s="83"/>
      <c r="C40" s="470"/>
      <c r="D40" s="470"/>
      <c r="E40" s="443"/>
      <c r="F40" s="443"/>
      <c r="G40" s="443"/>
      <c r="H40" s="443"/>
      <c r="I40" s="443"/>
      <c r="J40" s="443"/>
      <c r="K40" s="450"/>
      <c r="L40" s="451"/>
      <c r="M40" s="450"/>
      <c r="N40" s="451"/>
      <c r="O40" s="443"/>
      <c r="P40" s="443"/>
      <c r="Q40" s="443"/>
      <c r="R40" s="443"/>
      <c r="S40" s="443"/>
      <c r="T40" s="443"/>
      <c r="U40" s="471"/>
      <c r="V40" s="471"/>
      <c r="W40" s="471"/>
      <c r="X40" s="471"/>
      <c r="Y40" s="471"/>
      <c r="Z40" s="466"/>
      <c r="AA40" s="466"/>
      <c r="AB40" s="466"/>
      <c r="AC40" s="466"/>
      <c r="AD40" s="466"/>
      <c r="AE40" s="466"/>
    </row>
    <row r="41" spans="1:31" s="67" customFormat="1" ht="20.100000000000001" customHeight="1">
      <c r="A41" s="267"/>
      <c r="B41" s="83"/>
      <c r="C41" s="470"/>
      <c r="D41" s="470"/>
      <c r="E41" s="443"/>
      <c r="F41" s="443"/>
      <c r="G41" s="443"/>
      <c r="H41" s="443"/>
      <c r="I41" s="443"/>
      <c r="J41" s="443"/>
      <c r="K41" s="450"/>
      <c r="L41" s="451"/>
      <c r="M41" s="450"/>
      <c r="N41" s="451"/>
      <c r="O41" s="443"/>
      <c r="P41" s="443"/>
      <c r="Q41" s="443"/>
      <c r="R41" s="443"/>
      <c r="S41" s="443"/>
      <c r="T41" s="443"/>
      <c r="U41" s="471"/>
      <c r="V41" s="471"/>
      <c r="W41" s="471"/>
      <c r="X41" s="471"/>
      <c r="Y41" s="471"/>
      <c r="Z41" s="466"/>
      <c r="AA41" s="466"/>
      <c r="AB41" s="466"/>
      <c r="AC41" s="466"/>
      <c r="AD41" s="466"/>
      <c r="AE41" s="466"/>
    </row>
    <row r="42" spans="1:31" s="67" customFormat="1" ht="20.100000000000001" customHeight="1">
      <c r="A42" s="267"/>
      <c r="B42" s="83"/>
      <c r="C42" s="470"/>
      <c r="D42" s="470"/>
      <c r="E42" s="443"/>
      <c r="F42" s="443"/>
      <c r="G42" s="443"/>
      <c r="H42" s="443"/>
      <c r="I42" s="443"/>
      <c r="J42" s="443"/>
      <c r="K42" s="450"/>
      <c r="L42" s="451"/>
      <c r="M42" s="450"/>
      <c r="N42" s="451"/>
      <c r="O42" s="443"/>
      <c r="P42" s="443"/>
      <c r="Q42" s="443"/>
      <c r="R42" s="443"/>
      <c r="S42" s="443"/>
      <c r="T42" s="443"/>
      <c r="U42" s="471"/>
      <c r="V42" s="471"/>
      <c r="W42" s="471"/>
      <c r="X42" s="471"/>
      <c r="Y42" s="471"/>
      <c r="Z42" s="466"/>
      <c r="AA42" s="466"/>
      <c r="AB42" s="466"/>
      <c r="AC42" s="466"/>
      <c r="AD42" s="466"/>
      <c r="AE42" s="466"/>
    </row>
    <row r="43" spans="1:31" s="67" customFormat="1" ht="20.100000000000001" customHeight="1">
      <c r="A43" s="267"/>
      <c r="B43" s="83"/>
      <c r="C43" s="470"/>
      <c r="D43" s="470"/>
      <c r="E43" s="443"/>
      <c r="F43" s="443"/>
      <c r="G43" s="443"/>
      <c r="H43" s="443"/>
      <c r="I43" s="443"/>
      <c r="J43" s="443"/>
      <c r="K43" s="450"/>
      <c r="L43" s="451"/>
      <c r="M43" s="450"/>
      <c r="N43" s="451"/>
      <c r="O43" s="443"/>
      <c r="P43" s="443"/>
      <c r="Q43" s="443"/>
      <c r="R43" s="443"/>
      <c r="S43" s="443"/>
      <c r="T43" s="443"/>
      <c r="U43" s="471"/>
      <c r="V43" s="471"/>
      <c r="W43" s="471"/>
      <c r="X43" s="471"/>
      <c r="Y43" s="471"/>
      <c r="Z43" s="466"/>
      <c r="AA43" s="466"/>
      <c r="AB43" s="466"/>
      <c r="AC43" s="466"/>
      <c r="AD43" s="466"/>
      <c r="AE43" s="466"/>
    </row>
    <row r="44" spans="1:31" s="67" customFormat="1" ht="20.100000000000001" customHeight="1">
      <c r="A44" s="267"/>
      <c r="B44" s="83"/>
      <c r="C44" s="470"/>
      <c r="D44" s="470"/>
      <c r="E44" s="443"/>
      <c r="F44" s="443"/>
      <c r="G44" s="443"/>
      <c r="H44" s="443"/>
      <c r="I44" s="443"/>
      <c r="J44" s="443"/>
      <c r="K44" s="450"/>
      <c r="L44" s="451"/>
      <c r="M44" s="450"/>
      <c r="N44" s="451"/>
      <c r="O44" s="443"/>
      <c r="P44" s="443"/>
      <c r="Q44" s="443"/>
      <c r="R44" s="443"/>
      <c r="S44" s="443"/>
      <c r="T44" s="443"/>
      <c r="U44" s="471"/>
      <c r="V44" s="471"/>
      <c r="W44" s="471"/>
      <c r="X44" s="471"/>
      <c r="Y44" s="471"/>
      <c r="Z44" s="466"/>
      <c r="AA44" s="466"/>
      <c r="AB44" s="466"/>
      <c r="AC44" s="466"/>
      <c r="AD44" s="466"/>
      <c r="AE44" s="466"/>
    </row>
    <row r="45" spans="1:31" s="67" customFormat="1" ht="20.100000000000001" customHeight="1">
      <c r="A45" s="267"/>
      <c r="B45" s="83"/>
      <c r="C45" s="470"/>
      <c r="D45" s="470"/>
      <c r="E45" s="443"/>
      <c r="F45" s="443"/>
      <c r="G45" s="443"/>
      <c r="H45" s="443"/>
      <c r="I45" s="443"/>
      <c r="J45" s="443"/>
      <c r="K45" s="450"/>
      <c r="L45" s="451"/>
      <c r="M45" s="450"/>
      <c r="N45" s="451"/>
      <c r="O45" s="443"/>
      <c r="P45" s="443"/>
      <c r="Q45" s="443"/>
      <c r="R45" s="443"/>
      <c r="S45" s="443"/>
      <c r="T45" s="443"/>
      <c r="U45" s="471"/>
      <c r="V45" s="471"/>
      <c r="W45" s="471"/>
      <c r="X45" s="471"/>
      <c r="Y45" s="471"/>
      <c r="Z45" s="466"/>
      <c r="AA45" s="466"/>
      <c r="AB45" s="466"/>
      <c r="AC45" s="466"/>
      <c r="AD45" s="466"/>
      <c r="AE45" s="466"/>
    </row>
    <row r="46" spans="1:31" s="67" customFormat="1" ht="20.100000000000001" customHeight="1">
      <c r="A46" s="267"/>
      <c r="B46" s="83"/>
      <c r="C46" s="470"/>
      <c r="D46" s="470"/>
      <c r="E46" s="443"/>
      <c r="F46" s="443"/>
      <c r="G46" s="443"/>
      <c r="H46" s="443"/>
      <c r="I46" s="443"/>
      <c r="J46" s="443"/>
      <c r="K46" s="450"/>
      <c r="L46" s="451"/>
      <c r="M46" s="450"/>
      <c r="N46" s="451"/>
      <c r="O46" s="443"/>
      <c r="P46" s="443"/>
      <c r="Q46" s="443"/>
      <c r="R46" s="443"/>
      <c r="S46" s="443"/>
      <c r="T46" s="443"/>
      <c r="U46" s="471"/>
      <c r="V46" s="471"/>
      <c r="W46" s="471"/>
      <c r="X46" s="471"/>
      <c r="Y46" s="471"/>
      <c r="Z46" s="466"/>
      <c r="AA46" s="466"/>
      <c r="AB46" s="466"/>
      <c r="AC46" s="466"/>
      <c r="AD46" s="466"/>
      <c r="AE46" s="466"/>
    </row>
    <row r="47" spans="1:31" s="67" customFormat="1" ht="20.100000000000001" customHeight="1">
      <c r="A47" s="467" t="s">
        <v>59</v>
      </c>
      <c r="B47" s="468"/>
      <c r="C47" s="468"/>
      <c r="D47" s="469"/>
      <c r="E47" s="443">
        <f>SUM(E40:F46)</f>
        <v>0</v>
      </c>
      <c r="F47" s="443"/>
      <c r="G47" s="443">
        <f>SUM(G40:H46)</f>
        <v>0</v>
      </c>
      <c r="H47" s="443"/>
      <c r="I47" s="443">
        <f>SUM(I40:J46)</f>
        <v>0</v>
      </c>
      <c r="J47" s="443"/>
      <c r="K47" s="443">
        <f>SUM(K40:L46)</f>
        <v>0</v>
      </c>
      <c r="L47" s="443"/>
      <c r="M47" s="443">
        <f>SUM(M40:N46)</f>
        <v>0</v>
      </c>
      <c r="N47" s="443"/>
      <c r="O47" s="443">
        <f>SUM(O40:P46)</f>
        <v>0</v>
      </c>
      <c r="P47" s="443"/>
      <c r="Q47" s="443">
        <f>SUM(Q40:R46)</f>
        <v>0</v>
      </c>
      <c r="R47" s="443"/>
      <c r="S47" s="443">
        <f>SUM(S40:T46)</f>
        <v>0</v>
      </c>
      <c r="T47" s="443"/>
      <c r="U47" s="471"/>
      <c r="V47" s="471"/>
      <c r="W47" s="471"/>
      <c r="X47" s="471"/>
      <c r="Y47" s="471"/>
      <c r="Z47" s="466"/>
      <c r="AA47" s="466"/>
      <c r="AB47" s="466"/>
      <c r="AC47" s="466"/>
      <c r="AD47" s="466"/>
      <c r="AE47" s="466"/>
    </row>
    <row r="48" spans="1:31" ht="20.100000000000001" customHeight="1">
      <c r="A48" s="16"/>
      <c r="B48" s="1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8" ht="20.100000000000001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8" s="4" customFormat="1" ht="20.100000000000001" customHeight="1">
      <c r="C50" s="38"/>
      <c r="D50" s="38"/>
      <c r="E50" s="38"/>
      <c r="F50" s="38"/>
      <c r="G50" s="38"/>
      <c r="H50" s="38"/>
      <c r="I50" s="38"/>
      <c r="J50" s="38"/>
      <c r="K50" s="38"/>
    </row>
    <row r="51" spans="1:28" s="157" customFormat="1" ht="36" customHeight="1">
      <c r="B51" s="461" t="s">
        <v>377</v>
      </c>
      <c r="C51" s="462"/>
      <c r="D51" s="462"/>
      <c r="E51" s="462"/>
      <c r="F51" s="462"/>
      <c r="G51" s="158"/>
      <c r="H51" s="158"/>
      <c r="I51" s="158"/>
      <c r="J51" s="158"/>
      <c r="K51" s="158"/>
      <c r="L51" s="463" t="s">
        <v>250</v>
      </c>
      <c r="M51" s="463"/>
      <c r="N51" s="463"/>
      <c r="O51" s="463"/>
      <c r="P51" s="463"/>
      <c r="Q51" s="159"/>
      <c r="R51" s="159"/>
      <c r="S51" s="159"/>
      <c r="T51" s="159"/>
      <c r="U51" s="159"/>
      <c r="V51" s="464" t="s">
        <v>374</v>
      </c>
      <c r="W51" s="465"/>
      <c r="X51" s="465"/>
      <c r="Y51" s="465"/>
      <c r="Z51" s="465"/>
    </row>
    <row r="52" spans="1:28" s="4" customFormat="1" ht="19.5" customHeight="1">
      <c r="B52" s="3"/>
      <c r="C52" s="4" t="s">
        <v>79</v>
      </c>
      <c r="E52" s="42"/>
      <c r="F52" s="42"/>
      <c r="G52" s="42"/>
      <c r="H52" s="42"/>
      <c r="I52" s="42"/>
      <c r="J52" s="42"/>
      <c r="K52" s="42"/>
      <c r="M52" s="3"/>
      <c r="N52" s="25" t="s">
        <v>80</v>
      </c>
      <c r="O52" s="3"/>
      <c r="Q52" s="42"/>
      <c r="R52" s="42"/>
      <c r="S52" s="42"/>
      <c r="V52" s="460" t="s">
        <v>134</v>
      </c>
      <c r="W52" s="460"/>
      <c r="X52" s="460"/>
      <c r="Y52" s="460"/>
      <c r="Z52" s="460"/>
    </row>
    <row r="53" spans="1:28" ht="20.100000000000001" customHeight="1">
      <c r="B53" s="34"/>
      <c r="C53" s="34"/>
      <c r="D53" s="34"/>
      <c r="E53" s="34"/>
      <c r="F53" s="34"/>
      <c r="G53" s="34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34"/>
      <c r="U53" s="34"/>
      <c r="AB53" s="1">
        <v>1</v>
      </c>
    </row>
    <row r="54" spans="1:28" ht="20.100000000000001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8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8">
      <c r="B56" s="35"/>
    </row>
    <row r="59" spans="1:28" ht="19.5">
      <c r="B59" s="36"/>
    </row>
    <row r="60" spans="1:28" ht="19.5">
      <c r="B60" s="36"/>
    </row>
    <row r="61" spans="1:28" ht="19.5">
      <c r="B61" s="36"/>
    </row>
    <row r="62" spans="1:28" ht="19.5">
      <c r="B62" s="36"/>
    </row>
    <row r="63" spans="1:28" ht="19.5">
      <c r="B63" s="36"/>
    </row>
    <row r="64" spans="1:28" ht="19.5">
      <c r="B64" s="36"/>
    </row>
    <row r="65" spans="2:2" ht="19.5">
      <c r="B65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39">
    <mergeCell ref="G12:L12"/>
    <mergeCell ref="M12:P12"/>
    <mergeCell ref="T12:V12"/>
    <mergeCell ref="W12:Y12"/>
    <mergeCell ref="AC10:AE10"/>
    <mergeCell ref="AC12:AE12"/>
    <mergeCell ref="B30:F30"/>
    <mergeCell ref="Q39:R39"/>
    <mergeCell ref="S41:T41"/>
    <mergeCell ref="O38:P38"/>
    <mergeCell ref="I36:J38"/>
    <mergeCell ref="K37:L38"/>
    <mergeCell ref="G20:P20"/>
    <mergeCell ref="G36:H38"/>
    <mergeCell ref="C12:F12"/>
    <mergeCell ref="AD21:AE21"/>
    <mergeCell ref="AB21:AC21"/>
    <mergeCell ref="Z21:AA21"/>
    <mergeCell ref="X21:Y21"/>
    <mergeCell ref="AB22:AC22"/>
    <mergeCell ref="AD22:AE22"/>
    <mergeCell ref="X22:Y22"/>
    <mergeCell ref="V22:W22"/>
    <mergeCell ref="Z22:AA22"/>
    <mergeCell ref="M43:N43"/>
    <mergeCell ref="O43:P43"/>
    <mergeCell ref="M42:N42"/>
    <mergeCell ref="C43:D43"/>
    <mergeCell ref="E43:F43"/>
    <mergeCell ref="E41:F41"/>
    <mergeCell ref="C39:D39"/>
    <mergeCell ref="E39:F39"/>
    <mergeCell ref="C41:D41"/>
    <mergeCell ref="C40:D40"/>
    <mergeCell ref="E40:F40"/>
    <mergeCell ref="C42:D42"/>
    <mergeCell ref="E42:F42"/>
    <mergeCell ref="O39:P39"/>
    <mergeCell ref="G40:H40"/>
    <mergeCell ref="I39:J39"/>
    <mergeCell ref="K39:L39"/>
    <mergeCell ref="K40:L40"/>
    <mergeCell ref="G41:H41"/>
    <mergeCell ref="O42:P42"/>
    <mergeCell ref="G39:H39"/>
    <mergeCell ref="I41:J41"/>
    <mergeCell ref="I40:J40"/>
    <mergeCell ref="G43:H43"/>
    <mergeCell ref="E47:F47"/>
    <mergeCell ref="G47:H47"/>
    <mergeCell ref="I46:J46"/>
    <mergeCell ref="E45:F45"/>
    <mergeCell ref="Z41:AE41"/>
    <mergeCell ref="U39:Y39"/>
    <mergeCell ref="U40:Y40"/>
    <mergeCell ref="U41:Y41"/>
    <mergeCell ref="M47:N47"/>
    <mergeCell ref="G46:H46"/>
    <mergeCell ref="K46:L46"/>
    <mergeCell ref="O47:P47"/>
    <mergeCell ref="I47:J47"/>
    <mergeCell ref="S39:T39"/>
    <mergeCell ref="Q43:R43"/>
    <mergeCell ref="Z42:AE42"/>
    <mergeCell ref="I45:J45"/>
    <mergeCell ref="K43:L43"/>
    <mergeCell ref="K42:L42"/>
    <mergeCell ref="O44:P44"/>
    <mergeCell ref="Q42:R42"/>
    <mergeCell ref="Z45:AE45"/>
    <mergeCell ref="Z39:AE39"/>
    <mergeCell ref="Z40:AE40"/>
    <mergeCell ref="Q44:R44"/>
    <mergeCell ref="K45:L45"/>
    <mergeCell ref="K44:L44"/>
    <mergeCell ref="M45:N45"/>
    <mergeCell ref="O45:P45"/>
    <mergeCell ref="Q45:R45"/>
    <mergeCell ref="C44:D44"/>
    <mergeCell ref="M44:N44"/>
    <mergeCell ref="E44:F44"/>
    <mergeCell ref="G44:H44"/>
    <mergeCell ref="I44:J44"/>
    <mergeCell ref="C45:D45"/>
    <mergeCell ref="G45:H45"/>
    <mergeCell ref="I43:J43"/>
    <mergeCell ref="Q5:S5"/>
    <mergeCell ref="AC5:AE5"/>
    <mergeCell ref="AC9:AE9"/>
    <mergeCell ref="T9:V9"/>
    <mergeCell ref="W9:Y9"/>
    <mergeCell ref="Z19:AA19"/>
    <mergeCell ref="AB19:AC19"/>
    <mergeCell ref="Z13:AB13"/>
    <mergeCell ref="Z11:AB11"/>
    <mergeCell ref="Z9:AB9"/>
    <mergeCell ref="X19:Y19"/>
    <mergeCell ref="W8:Y8"/>
    <mergeCell ref="T8:V8"/>
    <mergeCell ref="T13:V13"/>
    <mergeCell ref="Q7:S7"/>
    <mergeCell ref="W11:Y11"/>
    <mergeCell ref="W13:Y13"/>
    <mergeCell ref="Q11:S11"/>
    <mergeCell ref="Q8:S8"/>
    <mergeCell ref="Q17:U19"/>
    <mergeCell ref="T11:V11"/>
    <mergeCell ref="Z6:AB6"/>
    <mergeCell ref="W6:Y6"/>
    <mergeCell ref="T6:V6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AC11:AE11"/>
    <mergeCell ref="AC13:AE13"/>
    <mergeCell ref="AD19:AE19"/>
    <mergeCell ref="X18:AE18"/>
    <mergeCell ref="A13:L13"/>
    <mergeCell ref="M13:P13"/>
    <mergeCell ref="Q13:S13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A17:A19"/>
    <mergeCell ref="B17:B19"/>
    <mergeCell ref="C17:F19"/>
    <mergeCell ref="G17:P19"/>
    <mergeCell ref="V17:AE17"/>
    <mergeCell ref="V18:W19"/>
    <mergeCell ref="C21:F21"/>
    <mergeCell ref="G21:P21"/>
    <mergeCell ref="Q21:U21"/>
    <mergeCell ref="V21:W21"/>
    <mergeCell ref="AB20:AC20"/>
    <mergeCell ref="AD20:AE20"/>
    <mergeCell ref="X20:Y20"/>
    <mergeCell ref="V20:W20"/>
    <mergeCell ref="Q20:U20"/>
    <mergeCell ref="C20:F20"/>
    <mergeCell ref="Z20:AA20"/>
    <mergeCell ref="Q40:R40"/>
    <mergeCell ref="U36:Y38"/>
    <mergeCell ref="K36:T36"/>
    <mergeCell ref="S26:V26"/>
    <mergeCell ref="B26:F27"/>
    <mergeCell ref="A31:F31"/>
    <mergeCell ref="A26:A27"/>
    <mergeCell ref="B28:F28"/>
    <mergeCell ref="B36:B38"/>
    <mergeCell ref="C36:D38"/>
    <mergeCell ref="E36:F38"/>
    <mergeCell ref="B29:F29"/>
    <mergeCell ref="A32:F32"/>
    <mergeCell ref="A36:A38"/>
    <mergeCell ref="O37:T37"/>
    <mergeCell ref="Q38:R38"/>
    <mergeCell ref="G26:J26"/>
    <mergeCell ref="K41:L41"/>
    <mergeCell ref="AB1:AE1"/>
    <mergeCell ref="Q46:R46"/>
    <mergeCell ref="S42:T42"/>
    <mergeCell ref="U42:Y42"/>
    <mergeCell ref="S44:T44"/>
    <mergeCell ref="U44:Y44"/>
    <mergeCell ref="S40:T40"/>
    <mergeCell ref="A22:U22"/>
    <mergeCell ref="O46:P46"/>
    <mergeCell ref="S46:T46"/>
    <mergeCell ref="U46:Y46"/>
    <mergeCell ref="Z43:AE43"/>
    <mergeCell ref="S43:T43"/>
    <mergeCell ref="U43:Y43"/>
    <mergeCell ref="S45:T45"/>
    <mergeCell ref="U45:Y45"/>
    <mergeCell ref="Z44:AE44"/>
    <mergeCell ref="M41:N41"/>
    <mergeCell ref="M40:N40"/>
    <mergeCell ref="M37:N38"/>
    <mergeCell ref="S38:T38"/>
    <mergeCell ref="M39:N39"/>
    <mergeCell ref="Q41:R41"/>
    <mergeCell ref="Z12:AB12"/>
    <mergeCell ref="Q12:S12"/>
    <mergeCell ref="V52:Z52"/>
    <mergeCell ref="B51:F51"/>
    <mergeCell ref="L51:P51"/>
    <mergeCell ref="V51:Z51"/>
    <mergeCell ref="W26:Z26"/>
    <mergeCell ref="K26:N26"/>
    <mergeCell ref="O26:R26"/>
    <mergeCell ref="Z47:AE47"/>
    <mergeCell ref="A47:D47"/>
    <mergeCell ref="C46:D46"/>
    <mergeCell ref="E46:F46"/>
    <mergeCell ref="M46:N46"/>
    <mergeCell ref="Z46:AE46"/>
    <mergeCell ref="Q47:R47"/>
    <mergeCell ref="K47:L47"/>
    <mergeCell ref="S47:T47"/>
    <mergeCell ref="U47:Y47"/>
    <mergeCell ref="O40:P40"/>
    <mergeCell ref="O41:P41"/>
    <mergeCell ref="G42:H42"/>
    <mergeCell ref="I42:J42"/>
    <mergeCell ref="Z36:AE38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AG71"/>
  <sheetViews>
    <sheetView topLeftCell="M10" workbookViewId="0">
      <selection sqref="A1:XFD1048576"/>
    </sheetView>
  </sheetViews>
  <sheetFormatPr defaultRowHeight="12.75"/>
  <cols>
    <col min="1" max="1" width="4" style="310" customWidth="1"/>
    <col min="2" max="2" width="21.28515625" style="310" customWidth="1"/>
    <col min="3" max="4" width="9.140625" style="310"/>
    <col min="5" max="21" width="9.140625" style="310" customWidth="1"/>
    <col min="22" max="22" width="17.42578125" style="310" customWidth="1"/>
    <col min="23" max="23" width="12.42578125" style="310" customWidth="1"/>
    <col min="24" max="24" width="11.85546875" style="310" customWidth="1"/>
    <col min="25" max="25" width="12.5703125" style="310" customWidth="1"/>
    <col min="26" max="26" width="12.28515625" style="310" customWidth="1"/>
    <col min="27" max="31" width="9.140625" style="310"/>
    <col min="32" max="32" width="11.28515625" style="311" bestFit="1" customWidth="1"/>
    <col min="33" max="33" width="9.7109375" style="310" bestFit="1" customWidth="1"/>
    <col min="34" max="16384" width="9.140625" style="310"/>
  </cols>
  <sheetData>
    <row r="3" spans="1:32" ht="22.5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305" t="s">
        <v>468</v>
      </c>
      <c r="M3" s="306"/>
      <c r="N3" s="306"/>
      <c r="O3" s="306"/>
      <c r="P3" s="307"/>
      <c r="Q3" s="307"/>
      <c r="R3" s="307"/>
      <c r="S3" s="307"/>
      <c r="T3" s="308"/>
      <c r="U3" s="309"/>
    </row>
    <row r="4" spans="1:32" ht="15.75">
      <c r="A4" s="521" t="s">
        <v>469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307" t="s">
        <v>470</v>
      </c>
      <c r="M4" s="307"/>
      <c r="N4" s="307"/>
      <c r="O4" s="307"/>
      <c r="P4" s="307"/>
      <c r="Q4" s="307"/>
      <c r="R4" s="307"/>
      <c r="S4" s="307"/>
      <c r="T4" s="308"/>
      <c r="U4" s="312"/>
    </row>
    <row r="5" spans="1:32" ht="15.75">
      <c r="A5" s="521" t="s">
        <v>471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307" t="s">
        <v>472</v>
      </c>
      <c r="M5" s="307"/>
      <c r="N5" s="307" t="s">
        <v>473</v>
      </c>
      <c r="O5" s="307"/>
      <c r="P5" s="307"/>
      <c r="Q5" s="307" t="s">
        <v>473</v>
      </c>
      <c r="R5" s="307"/>
      <c r="S5" s="307" t="s">
        <v>473</v>
      </c>
      <c r="T5" s="308"/>
      <c r="U5" s="309"/>
    </row>
    <row r="6" spans="1:32">
      <c r="A6" s="522" t="s">
        <v>474</v>
      </c>
      <c r="B6" s="520" t="s">
        <v>475</v>
      </c>
      <c r="C6" s="520" t="s">
        <v>476</v>
      </c>
      <c r="D6" s="520" t="s">
        <v>477</v>
      </c>
      <c r="E6" s="523" t="s">
        <v>478</v>
      </c>
      <c r="F6" s="520" t="s">
        <v>479</v>
      </c>
      <c r="G6" s="520" t="s">
        <v>480</v>
      </c>
      <c r="H6" s="520" t="s">
        <v>481</v>
      </c>
      <c r="I6" s="520" t="s">
        <v>482</v>
      </c>
      <c r="J6" s="313"/>
      <c r="K6" s="520" t="s">
        <v>483</v>
      </c>
      <c r="L6" s="520" t="s">
        <v>484</v>
      </c>
      <c r="M6" s="520" t="s">
        <v>485</v>
      </c>
      <c r="N6" s="520" t="s">
        <v>486</v>
      </c>
      <c r="O6" s="520" t="s">
        <v>487</v>
      </c>
      <c r="P6" s="520" t="s">
        <v>488</v>
      </c>
      <c r="Q6" s="520" t="s">
        <v>488</v>
      </c>
      <c r="R6" s="520" t="s">
        <v>489</v>
      </c>
      <c r="S6" s="520" t="s">
        <v>489</v>
      </c>
      <c r="T6" s="520" t="s">
        <v>490</v>
      </c>
      <c r="U6" s="520" t="s">
        <v>491</v>
      </c>
    </row>
    <row r="7" spans="1:32">
      <c r="A7" s="522"/>
      <c r="B7" s="520"/>
      <c r="C7" s="520"/>
      <c r="D7" s="520"/>
      <c r="E7" s="524"/>
      <c r="F7" s="520"/>
      <c r="G7" s="520"/>
      <c r="H7" s="520"/>
      <c r="I7" s="520"/>
      <c r="J7" s="313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7"/>
    </row>
    <row r="8" spans="1:32">
      <c r="A8" s="522"/>
      <c r="B8" s="520"/>
      <c r="C8" s="520"/>
      <c r="D8" s="520"/>
      <c r="E8" s="525"/>
      <c r="F8" s="520"/>
      <c r="G8" s="520"/>
      <c r="H8" s="520"/>
      <c r="I8" s="520"/>
      <c r="J8" s="313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7"/>
    </row>
    <row r="9" spans="1:32" ht="25.5">
      <c r="A9" s="522"/>
      <c r="B9" s="520"/>
      <c r="C9" s="520"/>
      <c r="D9" s="520"/>
      <c r="E9" s="526"/>
      <c r="F9" s="520"/>
      <c r="G9" s="520"/>
      <c r="H9" s="520"/>
      <c r="I9" s="520"/>
      <c r="J9" s="313" t="s">
        <v>492</v>
      </c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7"/>
      <c r="W9" s="310" t="s">
        <v>493</v>
      </c>
      <c r="X9" s="310" t="s">
        <v>494</v>
      </c>
      <c r="Y9" s="310" t="s">
        <v>495</v>
      </c>
      <c r="Z9" s="310" t="s">
        <v>494</v>
      </c>
      <c r="AA9" s="310" t="s">
        <v>496</v>
      </c>
      <c r="AB9" s="310" t="s">
        <v>494</v>
      </c>
      <c r="AC9" s="310" t="s">
        <v>497</v>
      </c>
      <c r="AD9" s="310" t="s">
        <v>494</v>
      </c>
      <c r="AE9" s="310" t="s">
        <v>498</v>
      </c>
      <c r="AF9" s="311" t="s">
        <v>499</v>
      </c>
    </row>
    <row r="10" spans="1:32" s="319" customFormat="1" ht="15">
      <c r="A10" s="314">
        <v>1</v>
      </c>
      <c r="B10" s="315" t="s">
        <v>500</v>
      </c>
      <c r="C10" s="316">
        <v>1</v>
      </c>
      <c r="D10" s="317">
        <v>22325</v>
      </c>
      <c r="E10" s="317">
        <f>C10*D10</f>
        <v>22325</v>
      </c>
      <c r="F10" s="317"/>
      <c r="G10" s="317"/>
      <c r="H10" s="317"/>
      <c r="I10" s="317"/>
      <c r="J10" s="317"/>
      <c r="K10" s="317">
        <f t="shared" ref="K10:K32" si="0">E10+F10+G10+H10+I10+J10</f>
        <v>22325</v>
      </c>
      <c r="L10" s="317">
        <f>K10*12</f>
        <v>267900</v>
      </c>
      <c r="M10" s="317">
        <f>N10*12</f>
        <v>10764</v>
      </c>
      <c r="N10" s="317">
        <v>897</v>
      </c>
      <c r="O10" s="317">
        <f>L10+M10</f>
        <v>278664</v>
      </c>
      <c r="P10" s="317"/>
      <c r="Q10" s="317"/>
      <c r="R10" s="317">
        <v>17325</v>
      </c>
      <c r="S10" s="317">
        <f>R10/12</f>
        <v>1443.75</v>
      </c>
      <c r="T10" s="317">
        <f>P10+R10</f>
        <v>17325</v>
      </c>
      <c r="U10" s="318">
        <f>O10+T10</f>
        <v>295989</v>
      </c>
      <c r="V10" s="310"/>
      <c r="W10" s="319">
        <f>E10*3</f>
        <v>66975</v>
      </c>
      <c r="X10" s="319">
        <f>($F10+$G10+$H10+$I10+$N10+$Q10+$S10)*3</f>
        <v>7022.25</v>
      </c>
      <c r="Y10" s="319">
        <f>E10*6</f>
        <v>133950</v>
      </c>
      <c r="Z10" s="319">
        <f t="shared" ref="Z10:Z32" si="1">($F10+$G10+$H10+$I10+$N10+$Q10+$S10)*6</f>
        <v>14044.5</v>
      </c>
      <c r="AA10" s="319">
        <f>E10*9</f>
        <v>200925</v>
      </c>
      <c r="AB10" s="319">
        <f t="shared" ref="AB10:AB32" si="2">($F10+$G10+$H10+$I10+$N10+$Q10+$S10)*9</f>
        <v>21066.75</v>
      </c>
      <c r="AC10" s="319">
        <f>E10*12</f>
        <v>267900</v>
      </c>
      <c r="AD10" s="319">
        <f t="shared" ref="AD10:AD32" si="3">($F10+$G10+$H10+$I10+$N10+$Q10+$S10)*12</f>
        <v>28089</v>
      </c>
      <c r="AE10" s="319">
        <f>AD10+AC10</f>
        <v>295989</v>
      </c>
      <c r="AF10" s="320">
        <f>(AC10+AD10)/12/C10</f>
        <v>24665.75</v>
      </c>
    </row>
    <row r="11" spans="1:32" s="319" customFormat="1" ht="45">
      <c r="A11" s="314">
        <v>2</v>
      </c>
      <c r="B11" s="321" t="s">
        <v>501</v>
      </c>
      <c r="C11" s="316">
        <v>1</v>
      </c>
      <c r="D11" s="317">
        <f>D10*95%</f>
        <v>21208.75</v>
      </c>
      <c r="E11" s="317">
        <f t="shared" ref="E11:E30" si="4">C11*D11</f>
        <v>21208.75</v>
      </c>
      <c r="F11" s="317"/>
      <c r="G11" s="317"/>
      <c r="H11" s="317"/>
      <c r="I11" s="317"/>
      <c r="J11" s="317"/>
      <c r="K11" s="317">
        <f t="shared" si="0"/>
        <v>21208.75</v>
      </c>
      <c r="L11" s="317">
        <f t="shared" ref="L11:L32" si="5">K11*12</f>
        <v>254505</v>
      </c>
      <c r="M11" s="317">
        <f t="shared" ref="M11:M18" si="6">N11*12</f>
        <v>10764</v>
      </c>
      <c r="N11" s="317">
        <v>897</v>
      </c>
      <c r="O11" s="317">
        <f>L11+M11</f>
        <v>265269</v>
      </c>
      <c r="P11" s="317"/>
      <c r="Q11" s="317"/>
      <c r="R11" s="317">
        <f>R10*95%</f>
        <v>16458.75</v>
      </c>
      <c r="S11" s="317">
        <f t="shared" ref="S11:S32" si="7">R11/12</f>
        <v>1371.5625</v>
      </c>
      <c r="T11" s="317">
        <f t="shared" ref="T11:T32" si="8">P11+R11</f>
        <v>16458.75</v>
      </c>
      <c r="U11" s="318">
        <f t="shared" ref="U11:U31" si="9">O11+T11</f>
        <v>281727.75</v>
      </c>
      <c r="V11" s="310"/>
      <c r="W11" s="319">
        <f t="shared" ref="W11:W32" si="10">E11*3</f>
        <v>63626.25</v>
      </c>
      <c r="X11" s="319">
        <f t="shared" ref="X11:X32" si="11">($F11+$G11+$H11+$I11+$N11+$Q11+$S11)*3</f>
        <v>6805.6875</v>
      </c>
      <c r="Y11" s="319">
        <f t="shared" ref="Y11:Y31" si="12">E11*6</f>
        <v>127252.5</v>
      </c>
      <c r="Z11" s="319">
        <f t="shared" si="1"/>
        <v>13611.375</v>
      </c>
      <c r="AA11" s="319">
        <f t="shared" ref="AA11:AA32" si="13">E11*9</f>
        <v>190878.75</v>
      </c>
      <c r="AB11" s="319">
        <f t="shared" si="2"/>
        <v>20417.0625</v>
      </c>
      <c r="AC11" s="319">
        <f t="shared" ref="AC11:AC32" si="14">E11*12</f>
        <v>254505</v>
      </c>
      <c r="AD11" s="319">
        <f t="shared" si="3"/>
        <v>27222.75</v>
      </c>
      <c r="AE11" s="319">
        <f>AD11+AC11</f>
        <v>281727.75</v>
      </c>
      <c r="AF11" s="320">
        <f t="shared" ref="AF11:AF31" si="15">(AC11+AD11)/12/C11</f>
        <v>23477.3125</v>
      </c>
    </row>
    <row r="12" spans="1:32" s="319" customFormat="1" ht="56.25">
      <c r="A12" s="314">
        <v>3</v>
      </c>
      <c r="B12" s="315" t="s">
        <v>502</v>
      </c>
      <c r="C12" s="316">
        <v>1</v>
      </c>
      <c r="D12" s="317">
        <f>D10*95%</f>
        <v>21208.75</v>
      </c>
      <c r="E12" s="317">
        <f t="shared" si="4"/>
        <v>21208.75</v>
      </c>
      <c r="F12" s="317"/>
      <c r="G12" s="317"/>
      <c r="H12" s="317"/>
      <c r="I12" s="317"/>
      <c r="J12" s="317"/>
      <c r="K12" s="317">
        <f t="shared" si="0"/>
        <v>21208.75</v>
      </c>
      <c r="L12" s="317">
        <f t="shared" si="5"/>
        <v>254505</v>
      </c>
      <c r="M12" s="317">
        <f t="shared" si="6"/>
        <v>10764</v>
      </c>
      <c r="N12" s="317">
        <v>897</v>
      </c>
      <c r="O12" s="317">
        <f t="shared" ref="O12:O30" si="16">L12+M12</f>
        <v>265269</v>
      </c>
      <c r="P12" s="317"/>
      <c r="Q12" s="317"/>
      <c r="R12" s="317">
        <f>R10*95%</f>
        <v>16458.75</v>
      </c>
      <c r="S12" s="317">
        <f>R12/12</f>
        <v>1371.5625</v>
      </c>
      <c r="T12" s="317">
        <f>P12+R12</f>
        <v>16458.75</v>
      </c>
      <c r="U12" s="318">
        <f t="shared" si="9"/>
        <v>281727.75</v>
      </c>
      <c r="V12" s="310"/>
      <c r="W12" s="319">
        <f t="shared" si="10"/>
        <v>63626.25</v>
      </c>
      <c r="X12" s="319">
        <f t="shared" si="11"/>
        <v>6805.6875</v>
      </c>
      <c r="Y12" s="319">
        <f t="shared" si="12"/>
        <v>127252.5</v>
      </c>
      <c r="Z12" s="319">
        <f t="shared" si="1"/>
        <v>13611.375</v>
      </c>
      <c r="AA12" s="319">
        <f t="shared" si="13"/>
        <v>190878.75</v>
      </c>
      <c r="AB12" s="319">
        <f t="shared" si="2"/>
        <v>20417.0625</v>
      </c>
      <c r="AC12" s="319">
        <f t="shared" si="14"/>
        <v>254505</v>
      </c>
      <c r="AD12" s="319">
        <f t="shared" si="3"/>
        <v>27222.75</v>
      </c>
      <c r="AE12" s="319">
        <f t="shared" ref="AE12:AE31" si="17">AD12+AC12</f>
        <v>281727.75</v>
      </c>
      <c r="AF12" s="320">
        <f t="shared" si="15"/>
        <v>23477.3125</v>
      </c>
    </row>
    <row r="13" spans="1:32" s="319" customFormat="1" ht="15">
      <c r="A13" s="314">
        <v>4</v>
      </c>
      <c r="B13" s="322" t="s">
        <v>503</v>
      </c>
      <c r="C13" s="316">
        <v>1</v>
      </c>
      <c r="D13" s="317">
        <f>D10*90%</f>
        <v>20092.5</v>
      </c>
      <c r="E13" s="317">
        <f t="shared" si="4"/>
        <v>20092.5</v>
      </c>
      <c r="F13" s="317"/>
      <c r="G13" s="317"/>
      <c r="H13" s="317"/>
      <c r="I13" s="317"/>
      <c r="J13" s="317"/>
      <c r="K13" s="317">
        <f t="shared" si="0"/>
        <v>20092.5</v>
      </c>
      <c r="L13" s="317">
        <f t="shared" si="5"/>
        <v>241110</v>
      </c>
      <c r="M13" s="317">
        <f t="shared" si="6"/>
        <v>10764</v>
      </c>
      <c r="N13" s="317">
        <v>897</v>
      </c>
      <c r="O13" s="317">
        <f t="shared" si="16"/>
        <v>251874</v>
      </c>
      <c r="P13" s="317"/>
      <c r="Q13" s="317"/>
      <c r="R13" s="317">
        <f>R10*90%</f>
        <v>15592.5</v>
      </c>
      <c r="S13" s="317">
        <f t="shared" si="7"/>
        <v>1299.375</v>
      </c>
      <c r="T13" s="317">
        <f t="shared" si="8"/>
        <v>15592.5</v>
      </c>
      <c r="U13" s="318">
        <f t="shared" si="9"/>
        <v>267466.5</v>
      </c>
      <c r="V13" s="310"/>
      <c r="W13" s="319">
        <f t="shared" si="10"/>
        <v>60277.5</v>
      </c>
      <c r="X13" s="319">
        <f t="shared" si="11"/>
        <v>6589.125</v>
      </c>
      <c r="Y13" s="319">
        <f t="shared" si="12"/>
        <v>120555</v>
      </c>
      <c r="Z13" s="319">
        <f t="shared" si="1"/>
        <v>13178.25</v>
      </c>
      <c r="AA13" s="319">
        <f t="shared" si="13"/>
        <v>180832.5</v>
      </c>
      <c r="AB13" s="319">
        <f t="shared" si="2"/>
        <v>19767.375</v>
      </c>
      <c r="AC13" s="319">
        <f t="shared" si="14"/>
        <v>241110</v>
      </c>
      <c r="AD13" s="319">
        <f t="shared" si="3"/>
        <v>26356.5</v>
      </c>
      <c r="AE13" s="319">
        <f t="shared" si="17"/>
        <v>267466.5</v>
      </c>
      <c r="AF13" s="320">
        <f t="shared" si="15"/>
        <v>22288.875</v>
      </c>
    </row>
    <row r="14" spans="1:32" s="319" customFormat="1" ht="45">
      <c r="A14" s="314">
        <v>5</v>
      </c>
      <c r="B14" s="323" t="s">
        <v>504</v>
      </c>
      <c r="C14" s="316">
        <v>1</v>
      </c>
      <c r="D14" s="317">
        <v>15628</v>
      </c>
      <c r="E14" s="317">
        <f t="shared" si="4"/>
        <v>15628</v>
      </c>
      <c r="F14" s="317"/>
      <c r="G14" s="317"/>
      <c r="H14" s="317"/>
      <c r="I14" s="317"/>
      <c r="J14" s="317"/>
      <c r="K14" s="317">
        <f t="shared" si="0"/>
        <v>15628</v>
      </c>
      <c r="L14" s="317">
        <f t="shared" si="5"/>
        <v>187536</v>
      </c>
      <c r="M14" s="317">
        <f t="shared" si="6"/>
        <v>10764</v>
      </c>
      <c r="N14" s="317">
        <v>897</v>
      </c>
      <c r="O14" s="317">
        <f t="shared" si="16"/>
        <v>198300</v>
      </c>
      <c r="P14" s="317"/>
      <c r="Q14" s="317"/>
      <c r="R14" s="317">
        <v>13270</v>
      </c>
      <c r="S14" s="317">
        <f t="shared" si="7"/>
        <v>1105.8333333333333</v>
      </c>
      <c r="T14" s="317">
        <f t="shared" si="8"/>
        <v>13270</v>
      </c>
      <c r="U14" s="318">
        <f t="shared" si="9"/>
        <v>211570</v>
      </c>
      <c r="V14" s="310"/>
      <c r="W14" s="319">
        <f t="shared" si="10"/>
        <v>46884</v>
      </c>
      <c r="X14" s="319">
        <f t="shared" si="11"/>
        <v>6008.5</v>
      </c>
      <c r="Y14" s="319">
        <f t="shared" si="12"/>
        <v>93768</v>
      </c>
      <c r="Z14" s="319">
        <f t="shared" si="1"/>
        <v>12017</v>
      </c>
      <c r="AA14" s="319">
        <f t="shared" si="13"/>
        <v>140652</v>
      </c>
      <c r="AB14" s="319">
        <f t="shared" si="2"/>
        <v>18025.5</v>
      </c>
      <c r="AC14" s="319">
        <f t="shared" si="14"/>
        <v>187536</v>
      </c>
      <c r="AD14" s="319">
        <f t="shared" si="3"/>
        <v>24034</v>
      </c>
      <c r="AE14" s="319">
        <f t="shared" si="17"/>
        <v>211570</v>
      </c>
      <c r="AF14" s="320">
        <f t="shared" si="15"/>
        <v>17630.833333333332</v>
      </c>
    </row>
    <row r="15" spans="1:32" s="319" customFormat="1" ht="15">
      <c r="A15" s="314">
        <v>6</v>
      </c>
      <c r="B15" s="322" t="s">
        <v>505</v>
      </c>
      <c r="C15" s="316">
        <v>1</v>
      </c>
      <c r="D15" s="317">
        <v>4859</v>
      </c>
      <c r="E15" s="317">
        <v>4859</v>
      </c>
      <c r="F15" s="317"/>
      <c r="G15" s="317">
        <f>E15/2</f>
        <v>2429.5</v>
      </c>
      <c r="H15" s="317"/>
      <c r="I15" s="317"/>
      <c r="J15" s="317"/>
      <c r="K15" s="317">
        <f t="shared" si="0"/>
        <v>7288.5</v>
      </c>
      <c r="L15" s="317">
        <f t="shared" si="5"/>
        <v>87462</v>
      </c>
      <c r="M15" s="317">
        <f t="shared" si="6"/>
        <v>10764</v>
      </c>
      <c r="N15" s="317">
        <v>897</v>
      </c>
      <c r="O15" s="317">
        <f t="shared" si="16"/>
        <v>98226</v>
      </c>
      <c r="P15" s="317">
        <v>7200.1</v>
      </c>
      <c r="Q15" s="317">
        <f>P15/12</f>
        <v>600.00833333333333</v>
      </c>
      <c r="R15" s="317">
        <v>3826</v>
      </c>
      <c r="S15" s="317">
        <f t="shared" si="7"/>
        <v>318.83333333333331</v>
      </c>
      <c r="T15" s="317">
        <f>P15+R15</f>
        <v>11026.1</v>
      </c>
      <c r="U15" s="318">
        <f>O15+T15</f>
        <v>109252.1</v>
      </c>
      <c r="V15" s="310"/>
      <c r="W15" s="319">
        <f t="shared" si="10"/>
        <v>14577</v>
      </c>
      <c r="X15" s="319">
        <f t="shared" si="11"/>
        <v>12736.024999999998</v>
      </c>
      <c r="Y15" s="319">
        <f t="shared" si="12"/>
        <v>29154</v>
      </c>
      <c r="Z15" s="319">
        <f t="shared" si="1"/>
        <v>25472.049999999996</v>
      </c>
      <c r="AA15" s="319">
        <f t="shared" si="13"/>
        <v>43731</v>
      </c>
      <c r="AB15" s="319">
        <f t="shared" si="2"/>
        <v>38208.074999999997</v>
      </c>
      <c r="AC15" s="319">
        <f t="shared" si="14"/>
        <v>58308</v>
      </c>
      <c r="AD15" s="319">
        <f t="shared" si="3"/>
        <v>50944.099999999991</v>
      </c>
      <c r="AE15" s="319">
        <f t="shared" si="17"/>
        <v>109252.09999999999</v>
      </c>
      <c r="AF15" s="320">
        <f>(AC15+AD15)/12/C15</f>
        <v>9104.3416666666653</v>
      </c>
    </row>
    <row r="16" spans="1:32" s="319" customFormat="1" ht="15">
      <c r="A16" s="314">
        <v>7</v>
      </c>
      <c r="B16" s="322" t="s">
        <v>506</v>
      </c>
      <c r="C16" s="316">
        <v>1</v>
      </c>
      <c r="D16" s="317">
        <v>4859</v>
      </c>
      <c r="E16" s="317">
        <v>4859</v>
      </c>
      <c r="F16" s="317"/>
      <c r="G16" s="317">
        <f t="shared" ref="G16:G28" si="18">E16/2</f>
        <v>2429.5</v>
      </c>
      <c r="H16" s="317"/>
      <c r="I16" s="317"/>
      <c r="J16" s="317"/>
      <c r="K16" s="317">
        <f t="shared" si="0"/>
        <v>7288.5</v>
      </c>
      <c r="L16" s="317">
        <f t="shared" si="5"/>
        <v>87462</v>
      </c>
      <c r="M16" s="317">
        <f t="shared" si="6"/>
        <v>10764</v>
      </c>
      <c r="N16" s="317">
        <v>897</v>
      </c>
      <c r="O16" s="317">
        <f t="shared" si="16"/>
        <v>98226</v>
      </c>
      <c r="P16" s="317">
        <v>7200</v>
      </c>
      <c r="Q16" s="317">
        <f t="shared" ref="Q16:Q31" si="19">P16/12</f>
        <v>600</v>
      </c>
      <c r="R16" s="317">
        <v>3826</v>
      </c>
      <c r="S16" s="317">
        <f t="shared" si="7"/>
        <v>318.83333333333331</v>
      </c>
      <c r="T16" s="317">
        <f t="shared" si="8"/>
        <v>11026</v>
      </c>
      <c r="U16" s="318">
        <f t="shared" si="9"/>
        <v>109252</v>
      </c>
      <c r="V16" s="310"/>
      <c r="W16" s="319">
        <f t="shared" si="10"/>
        <v>14577</v>
      </c>
      <c r="X16" s="319">
        <f t="shared" si="11"/>
        <v>12736</v>
      </c>
      <c r="Y16" s="319">
        <f t="shared" si="12"/>
        <v>29154</v>
      </c>
      <c r="Z16" s="319">
        <f t="shared" si="1"/>
        <v>25472</v>
      </c>
      <c r="AA16" s="319">
        <f t="shared" si="13"/>
        <v>43731</v>
      </c>
      <c r="AB16" s="319">
        <f t="shared" si="2"/>
        <v>38208</v>
      </c>
      <c r="AC16" s="319">
        <f t="shared" si="14"/>
        <v>58308</v>
      </c>
      <c r="AD16" s="319">
        <f t="shared" si="3"/>
        <v>50944</v>
      </c>
      <c r="AE16" s="319">
        <f t="shared" si="17"/>
        <v>109252</v>
      </c>
      <c r="AF16" s="320">
        <f t="shared" si="15"/>
        <v>9104.3333333333339</v>
      </c>
    </row>
    <row r="17" spans="1:32" s="319" customFormat="1" ht="15">
      <c r="A17" s="314">
        <v>8</v>
      </c>
      <c r="B17" s="322" t="s">
        <v>507</v>
      </c>
      <c r="C17" s="316">
        <v>1</v>
      </c>
      <c r="D17" s="317">
        <v>4859</v>
      </c>
      <c r="E17" s="317">
        <v>4859</v>
      </c>
      <c r="F17" s="317"/>
      <c r="G17" s="317">
        <f t="shared" si="18"/>
        <v>2429.5</v>
      </c>
      <c r="H17" s="317"/>
      <c r="I17" s="317"/>
      <c r="J17" s="317"/>
      <c r="K17" s="317">
        <f t="shared" si="0"/>
        <v>7288.5</v>
      </c>
      <c r="L17" s="317">
        <f t="shared" si="5"/>
        <v>87462</v>
      </c>
      <c r="M17" s="317">
        <f t="shared" si="6"/>
        <v>10764</v>
      </c>
      <c r="N17" s="317">
        <v>897</v>
      </c>
      <c r="O17" s="317">
        <f t="shared" si="16"/>
        <v>98226</v>
      </c>
      <c r="P17" s="317">
        <v>7200</v>
      </c>
      <c r="Q17" s="317">
        <f t="shared" si="19"/>
        <v>600</v>
      </c>
      <c r="R17" s="317">
        <v>3826</v>
      </c>
      <c r="S17" s="317">
        <f t="shared" si="7"/>
        <v>318.83333333333331</v>
      </c>
      <c r="T17" s="317">
        <f t="shared" si="8"/>
        <v>11026</v>
      </c>
      <c r="U17" s="318">
        <f t="shared" si="9"/>
        <v>109252</v>
      </c>
      <c r="V17" s="310"/>
      <c r="W17" s="319">
        <f t="shared" si="10"/>
        <v>14577</v>
      </c>
      <c r="X17" s="319">
        <f t="shared" si="11"/>
        <v>12736</v>
      </c>
      <c r="Y17" s="319">
        <f t="shared" si="12"/>
        <v>29154</v>
      </c>
      <c r="Z17" s="319">
        <f t="shared" si="1"/>
        <v>25472</v>
      </c>
      <c r="AA17" s="319">
        <f t="shared" si="13"/>
        <v>43731</v>
      </c>
      <c r="AB17" s="319">
        <f t="shared" si="2"/>
        <v>38208</v>
      </c>
      <c r="AC17" s="319">
        <f t="shared" si="14"/>
        <v>58308</v>
      </c>
      <c r="AD17" s="319">
        <f t="shared" si="3"/>
        <v>50944</v>
      </c>
      <c r="AE17" s="319">
        <f t="shared" si="17"/>
        <v>109252</v>
      </c>
      <c r="AF17" s="320">
        <f t="shared" si="15"/>
        <v>9104.3333333333339</v>
      </c>
    </row>
    <row r="18" spans="1:32" s="319" customFormat="1" ht="15">
      <c r="A18" s="314">
        <v>9</v>
      </c>
      <c r="B18" s="322" t="s">
        <v>508</v>
      </c>
      <c r="C18" s="316">
        <v>1</v>
      </c>
      <c r="D18" s="317">
        <v>4859</v>
      </c>
      <c r="E18" s="317">
        <v>4859</v>
      </c>
      <c r="F18" s="317"/>
      <c r="G18" s="317">
        <f>E18/2</f>
        <v>2429.5</v>
      </c>
      <c r="H18" s="317"/>
      <c r="I18" s="317"/>
      <c r="J18" s="317"/>
      <c r="K18" s="317">
        <f t="shared" si="0"/>
        <v>7288.5</v>
      </c>
      <c r="L18" s="317">
        <f t="shared" si="5"/>
        <v>87462</v>
      </c>
      <c r="M18" s="317">
        <f t="shared" si="6"/>
        <v>10764</v>
      </c>
      <c r="N18" s="317">
        <v>897</v>
      </c>
      <c r="O18" s="317">
        <f t="shared" si="16"/>
        <v>98226</v>
      </c>
      <c r="P18" s="317">
        <v>7200</v>
      </c>
      <c r="Q18" s="317">
        <f t="shared" si="19"/>
        <v>600</v>
      </c>
      <c r="R18" s="317">
        <v>3826</v>
      </c>
      <c r="S18" s="317">
        <f>R18/12</f>
        <v>318.83333333333331</v>
      </c>
      <c r="T18" s="317">
        <f t="shared" si="8"/>
        <v>11026</v>
      </c>
      <c r="U18" s="318">
        <f t="shared" si="9"/>
        <v>109252</v>
      </c>
      <c r="V18" s="310"/>
      <c r="W18" s="319">
        <f t="shared" si="10"/>
        <v>14577</v>
      </c>
      <c r="X18" s="319">
        <f t="shared" si="11"/>
        <v>12736</v>
      </c>
      <c r="Y18" s="319">
        <f t="shared" si="12"/>
        <v>29154</v>
      </c>
      <c r="Z18" s="319">
        <f t="shared" si="1"/>
        <v>25472</v>
      </c>
      <c r="AA18" s="319">
        <f t="shared" si="13"/>
        <v>43731</v>
      </c>
      <c r="AB18" s="319">
        <f t="shared" si="2"/>
        <v>38208</v>
      </c>
      <c r="AC18" s="319">
        <f t="shared" si="14"/>
        <v>58308</v>
      </c>
      <c r="AD18" s="319">
        <f t="shared" si="3"/>
        <v>50944</v>
      </c>
      <c r="AE18" s="319">
        <f t="shared" si="17"/>
        <v>109252</v>
      </c>
      <c r="AF18" s="320">
        <f t="shared" si="15"/>
        <v>9104.3333333333339</v>
      </c>
    </row>
    <row r="19" spans="1:32" s="319" customFormat="1" ht="15">
      <c r="A19" s="314">
        <v>10</v>
      </c>
      <c r="B19" s="323" t="s">
        <v>509</v>
      </c>
      <c r="C19" s="316">
        <v>2</v>
      </c>
      <c r="D19" s="317">
        <v>4619</v>
      </c>
      <c r="E19" s="317">
        <f>C19*D19</f>
        <v>9238</v>
      </c>
      <c r="F19" s="317"/>
      <c r="G19" s="317">
        <f>E19/2</f>
        <v>4619</v>
      </c>
      <c r="H19" s="317"/>
      <c r="I19" s="317"/>
      <c r="J19" s="317"/>
      <c r="K19" s="317">
        <f t="shared" si="0"/>
        <v>13857</v>
      </c>
      <c r="L19" s="317">
        <f t="shared" si="5"/>
        <v>166284</v>
      </c>
      <c r="M19" s="317">
        <f>N19*12</f>
        <v>52176</v>
      </c>
      <c r="N19" s="317">
        <v>4348</v>
      </c>
      <c r="O19" s="317">
        <f>L19+M19</f>
        <v>218460</v>
      </c>
      <c r="P19" s="317">
        <v>7200</v>
      </c>
      <c r="Q19" s="317">
        <f t="shared" si="19"/>
        <v>600</v>
      </c>
      <c r="R19" s="317">
        <v>3636</v>
      </c>
      <c r="S19" s="317">
        <f t="shared" si="7"/>
        <v>303</v>
      </c>
      <c r="T19" s="317">
        <f t="shared" si="8"/>
        <v>10836</v>
      </c>
      <c r="U19" s="318">
        <f t="shared" si="9"/>
        <v>229296</v>
      </c>
      <c r="V19" s="310"/>
      <c r="W19" s="319">
        <f t="shared" si="10"/>
        <v>27714</v>
      </c>
      <c r="X19" s="319">
        <f t="shared" si="11"/>
        <v>29610</v>
      </c>
      <c r="Y19" s="319">
        <f t="shared" si="12"/>
        <v>55428</v>
      </c>
      <c r="Z19" s="319">
        <f t="shared" si="1"/>
        <v>59220</v>
      </c>
      <c r="AA19" s="319">
        <f t="shared" si="13"/>
        <v>83142</v>
      </c>
      <c r="AB19" s="319">
        <f t="shared" si="2"/>
        <v>88830</v>
      </c>
      <c r="AC19" s="319">
        <f t="shared" si="14"/>
        <v>110856</v>
      </c>
      <c r="AD19" s="319">
        <f t="shared" si="3"/>
        <v>118440</v>
      </c>
      <c r="AE19" s="319">
        <f t="shared" si="17"/>
        <v>229296</v>
      </c>
      <c r="AF19" s="320">
        <f t="shared" si="15"/>
        <v>9554</v>
      </c>
    </row>
    <row r="20" spans="1:32" ht="33.75">
      <c r="A20" s="324">
        <v>11</v>
      </c>
      <c r="B20" s="325" t="s">
        <v>510</v>
      </c>
      <c r="C20" s="326">
        <v>1</v>
      </c>
      <c r="D20" s="327">
        <v>4859</v>
      </c>
      <c r="E20" s="327">
        <f t="shared" si="4"/>
        <v>4859</v>
      </c>
      <c r="F20" s="327"/>
      <c r="G20" s="327">
        <f t="shared" si="18"/>
        <v>2429.5</v>
      </c>
      <c r="H20" s="327"/>
      <c r="I20" s="327"/>
      <c r="J20" s="327"/>
      <c r="K20" s="317">
        <f t="shared" si="0"/>
        <v>7288.5</v>
      </c>
      <c r="L20" s="327">
        <f t="shared" si="5"/>
        <v>87462</v>
      </c>
      <c r="M20" s="327">
        <f>N20*12</f>
        <v>10764</v>
      </c>
      <c r="N20" s="327">
        <v>897</v>
      </c>
      <c r="O20" s="327">
        <f t="shared" si="16"/>
        <v>98226</v>
      </c>
      <c r="P20" s="327">
        <v>7200</v>
      </c>
      <c r="Q20" s="327">
        <f t="shared" si="19"/>
        <v>600</v>
      </c>
      <c r="R20" s="327">
        <v>3826</v>
      </c>
      <c r="S20" s="327">
        <f t="shared" si="7"/>
        <v>318.83333333333331</v>
      </c>
      <c r="T20" s="327">
        <f t="shared" si="8"/>
        <v>11026</v>
      </c>
      <c r="U20" s="328">
        <f t="shared" si="9"/>
        <v>109252</v>
      </c>
      <c r="W20" s="310">
        <f t="shared" si="10"/>
        <v>14577</v>
      </c>
      <c r="X20" s="310">
        <f t="shared" si="11"/>
        <v>12736</v>
      </c>
      <c r="Y20" s="310">
        <f t="shared" si="12"/>
        <v>29154</v>
      </c>
      <c r="Z20" s="310">
        <f t="shared" si="1"/>
        <v>25472</v>
      </c>
      <c r="AA20" s="310">
        <f t="shared" si="13"/>
        <v>43731</v>
      </c>
      <c r="AB20" s="310">
        <f t="shared" si="2"/>
        <v>38208</v>
      </c>
      <c r="AC20" s="310">
        <f t="shared" si="14"/>
        <v>58308</v>
      </c>
      <c r="AD20" s="310">
        <f t="shared" si="3"/>
        <v>50944</v>
      </c>
      <c r="AE20" s="310">
        <f t="shared" si="17"/>
        <v>109252</v>
      </c>
      <c r="AF20" s="320">
        <f t="shared" si="15"/>
        <v>9104.3333333333339</v>
      </c>
    </row>
    <row r="21" spans="1:32" ht="45">
      <c r="A21" s="324">
        <v>12</v>
      </c>
      <c r="B21" s="323" t="s">
        <v>511</v>
      </c>
      <c r="C21" s="326">
        <v>1</v>
      </c>
      <c r="D21" s="327">
        <v>4619</v>
      </c>
      <c r="E21" s="327">
        <f t="shared" si="4"/>
        <v>4619</v>
      </c>
      <c r="F21" s="327"/>
      <c r="G21" s="327">
        <f t="shared" si="18"/>
        <v>2309.5</v>
      </c>
      <c r="H21" s="327"/>
      <c r="I21" s="327"/>
      <c r="J21" s="327"/>
      <c r="K21" s="317">
        <f t="shared" si="0"/>
        <v>6928.5</v>
      </c>
      <c r="L21" s="327">
        <f t="shared" si="5"/>
        <v>83142</v>
      </c>
      <c r="M21" s="327">
        <f t="shared" ref="M21:M32" si="20">N21*12</f>
        <v>13044</v>
      </c>
      <c r="N21" s="327">
        <v>1087</v>
      </c>
      <c r="O21" s="327">
        <f t="shared" si="16"/>
        <v>96186</v>
      </c>
      <c r="P21" s="327">
        <v>14400</v>
      </c>
      <c r="Q21" s="327">
        <f t="shared" si="19"/>
        <v>1200</v>
      </c>
      <c r="R21" s="327">
        <v>3636</v>
      </c>
      <c r="S21" s="327">
        <f t="shared" si="7"/>
        <v>303</v>
      </c>
      <c r="T21" s="327">
        <f t="shared" si="8"/>
        <v>18036</v>
      </c>
      <c r="U21" s="328">
        <f t="shared" si="9"/>
        <v>114222</v>
      </c>
      <c r="W21" s="310">
        <f t="shared" si="10"/>
        <v>13857</v>
      </c>
      <c r="X21" s="310">
        <f t="shared" si="11"/>
        <v>14698.5</v>
      </c>
      <c r="Y21" s="310">
        <f t="shared" si="12"/>
        <v>27714</v>
      </c>
      <c r="Z21" s="310">
        <f t="shared" si="1"/>
        <v>29397</v>
      </c>
      <c r="AA21" s="310">
        <f t="shared" si="13"/>
        <v>41571</v>
      </c>
      <c r="AB21" s="310">
        <f t="shared" si="2"/>
        <v>44095.5</v>
      </c>
      <c r="AC21" s="310">
        <f t="shared" si="14"/>
        <v>55428</v>
      </c>
      <c r="AD21" s="310">
        <f t="shared" si="3"/>
        <v>58794</v>
      </c>
      <c r="AE21" s="310">
        <f t="shared" si="17"/>
        <v>114222</v>
      </c>
      <c r="AF21" s="320">
        <f t="shared" si="15"/>
        <v>9518.5</v>
      </c>
    </row>
    <row r="22" spans="1:32" ht="15">
      <c r="A22" s="324">
        <v>13</v>
      </c>
      <c r="B22" s="325" t="s">
        <v>512</v>
      </c>
      <c r="C22" s="326">
        <v>4</v>
      </c>
      <c r="D22" s="327">
        <v>4379</v>
      </c>
      <c r="E22" s="327">
        <f t="shared" si="4"/>
        <v>17516</v>
      </c>
      <c r="F22" s="327"/>
      <c r="G22" s="327">
        <f>E22/2</f>
        <v>8758</v>
      </c>
      <c r="H22" s="327"/>
      <c r="I22" s="327"/>
      <c r="J22" s="327"/>
      <c r="K22" s="317">
        <f t="shared" si="0"/>
        <v>26274</v>
      </c>
      <c r="L22" s="327">
        <f t="shared" si="5"/>
        <v>315288</v>
      </c>
      <c r="M22" s="327">
        <f>N22*12</f>
        <v>61248</v>
      </c>
      <c r="N22" s="327">
        <v>5104</v>
      </c>
      <c r="O22" s="327">
        <f t="shared" si="16"/>
        <v>376536</v>
      </c>
      <c r="P22" s="327">
        <v>7200</v>
      </c>
      <c r="Q22" s="327">
        <f t="shared" si="19"/>
        <v>600</v>
      </c>
      <c r="R22" s="327">
        <v>3447</v>
      </c>
      <c r="S22" s="327">
        <f t="shared" si="7"/>
        <v>287.25</v>
      </c>
      <c r="T22" s="327">
        <f t="shared" si="8"/>
        <v>10647</v>
      </c>
      <c r="U22" s="328">
        <f t="shared" si="9"/>
        <v>387183</v>
      </c>
      <c r="W22" s="310">
        <f>E22*3</f>
        <v>52548</v>
      </c>
      <c r="X22" s="310">
        <f t="shared" si="11"/>
        <v>44247.75</v>
      </c>
      <c r="Y22" s="310">
        <f t="shared" si="12"/>
        <v>105096</v>
      </c>
      <c r="Z22" s="310">
        <f t="shared" si="1"/>
        <v>88495.5</v>
      </c>
      <c r="AA22" s="310">
        <f t="shared" si="13"/>
        <v>157644</v>
      </c>
      <c r="AB22" s="310">
        <f t="shared" si="2"/>
        <v>132743.25</v>
      </c>
      <c r="AC22" s="310">
        <f t="shared" si="14"/>
        <v>210192</v>
      </c>
      <c r="AD22" s="310">
        <f t="shared" si="3"/>
        <v>176991</v>
      </c>
      <c r="AE22" s="310">
        <f t="shared" si="17"/>
        <v>387183</v>
      </c>
      <c r="AF22" s="320">
        <f t="shared" si="15"/>
        <v>8066.3125</v>
      </c>
    </row>
    <row r="23" spans="1:32" ht="15">
      <c r="A23" s="324">
        <v>14</v>
      </c>
      <c r="B23" s="325" t="s">
        <v>513</v>
      </c>
      <c r="C23" s="326">
        <v>1</v>
      </c>
      <c r="D23" s="327">
        <v>4112</v>
      </c>
      <c r="E23" s="327">
        <f t="shared" si="4"/>
        <v>4112</v>
      </c>
      <c r="F23" s="327"/>
      <c r="G23" s="327">
        <f t="shared" si="18"/>
        <v>2056</v>
      </c>
      <c r="H23" s="327"/>
      <c r="I23" s="327"/>
      <c r="J23" s="327"/>
      <c r="K23" s="317">
        <f t="shared" si="0"/>
        <v>6168</v>
      </c>
      <c r="L23" s="327">
        <f t="shared" si="5"/>
        <v>74016</v>
      </c>
      <c r="M23" s="327">
        <f t="shared" si="20"/>
        <v>17832</v>
      </c>
      <c r="N23" s="327">
        <v>1486</v>
      </c>
      <c r="O23" s="327">
        <f t="shared" si="16"/>
        <v>91848</v>
      </c>
      <c r="P23" s="327">
        <v>21600</v>
      </c>
      <c r="Q23" s="327">
        <f t="shared" si="19"/>
        <v>1800</v>
      </c>
      <c r="R23" s="327">
        <v>3237</v>
      </c>
      <c r="S23" s="327">
        <f t="shared" si="7"/>
        <v>269.75</v>
      </c>
      <c r="T23" s="327">
        <f t="shared" si="8"/>
        <v>24837</v>
      </c>
      <c r="U23" s="328">
        <f t="shared" si="9"/>
        <v>116685</v>
      </c>
      <c r="W23" s="310">
        <f t="shared" si="10"/>
        <v>12336</v>
      </c>
      <c r="X23" s="310">
        <f t="shared" si="11"/>
        <v>16835.25</v>
      </c>
      <c r="Y23" s="310">
        <f t="shared" si="12"/>
        <v>24672</v>
      </c>
      <c r="Z23" s="310">
        <f t="shared" si="1"/>
        <v>33670.5</v>
      </c>
      <c r="AA23" s="310">
        <f t="shared" si="13"/>
        <v>37008</v>
      </c>
      <c r="AB23" s="310">
        <f t="shared" si="2"/>
        <v>50505.75</v>
      </c>
      <c r="AC23" s="310">
        <f t="shared" si="14"/>
        <v>49344</v>
      </c>
      <c r="AD23" s="310">
        <f t="shared" si="3"/>
        <v>67341</v>
      </c>
      <c r="AE23" s="310">
        <f t="shared" si="17"/>
        <v>116685</v>
      </c>
      <c r="AF23" s="320">
        <f t="shared" si="15"/>
        <v>9723.75</v>
      </c>
    </row>
    <row r="24" spans="1:32" s="319" customFormat="1" ht="15">
      <c r="A24" s="314">
        <v>15</v>
      </c>
      <c r="B24" s="323" t="s">
        <v>514</v>
      </c>
      <c r="C24" s="316">
        <v>1</v>
      </c>
      <c r="D24" s="317">
        <v>4112</v>
      </c>
      <c r="E24" s="317">
        <f t="shared" si="4"/>
        <v>4112</v>
      </c>
      <c r="F24" s="317"/>
      <c r="G24" s="317">
        <f t="shared" si="18"/>
        <v>2056</v>
      </c>
      <c r="H24" s="317"/>
      <c r="I24" s="317"/>
      <c r="J24" s="317"/>
      <c r="K24" s="317">
        <f t="shared" si="0"/>
        <v>6168</v>
      </c>
      <c r="L24" s="317">
        <f t="shared" si="5"/>
        <v>74016</v>
      </c>
      <c r="M24" s="317">
        <f t="shared" si="20"/>
        <v>17832</v>
      </c>
      <c r="N24" s="317">
        <v>1486</v>
      </c>
      <c r="O24" s="317">
        <f t="shared" si="16"/>
        <v>91848</v>
      </c>
      <c r="P24" s="317">
        <v>7200</v>
      </c>
      <c r="Q24" s="317">
        <f t="shared" si="19"/>
        <v>600</v>
      </c>
      <c r="R24" s="317">
        <v>3237</v>
      </c>
      <c r="S24" s="317">
        <f t="shared" si="7"/>
        <v>269.75</v>
      </c>
      <c r="T24" s="317">
        <f t="shared" si="8"/>
        <v>10437</v>
      </c>
      <c r="U24" s="318">
        <f t="shared" si="9"/>
        <v>102285</v>
      </c>
      <c r="V24" s="310"/>
      <c r="W24" s="319">
        <f t="shared" si="10"/>
        <v>12336</v>
      </c>
      <c r="X24" s="319">
        <f t="shared" si="11"/>
        <v>13235.25</v>
      </c>
      <c r="Y24" s="319">
        <f t="shared" si="12"/>
        <v>24672</v>
      </c>
      <c r="Z24" s="319">
        <f t="shared" si="1"/>
        <v>26470.5</v>
      </c>
      <c r="AA24" s="319">
        <f t="shared" si="13"/>
        <v>37008</v>
      </c>
      <c r="AB24" s="319">
        <f t="shared" si="2"/>
        <v>39705.75</v>
      </c>
      <c r="AC24" s="319">
        <f t="shared" si="14"/>
        <v>49344</v>
      </c>
      <c r="AD24" s="319">
        <f t="shared" si="3"/>
        <v>52941</v>
      </c>
      <c r="AE24" s="319">
        <f t="shared" si="17"/>
        <v>102285</v>
      </c>
      <c r="AF24" s="320">
        <f t="shared" si="15"/>
        <v>8523.75</v>
      </c>
    </row>
    <row r="25" spans="1:32" ht="15">
      <c r="A25" s="324">
        <v>16</v>
      </c>
      <c r="B25" s="325" t="s">
        <v>515</v>
      </c>
      <c r="C25" s="326">
        <v>1</v>
      </c>
      <c r="D25" s="327">
        <v>4112</v>
      </c>
      <c r="E25" s="327">
        <f t="shared" si="4"/>
        <v>4112</v>
      </c>
      <c r="F25" s="327"/>
      <c r="G25" s="327">
        <f t="shared" si="18"/>
        <v>2056</v>
      </c>
      <c r="H25" s="327"/>
      <c r="I25" s="327"/>
      <c r="J25" s="327"/>
      <c r="K25" s="317">
        <f t="shared" si="0"/>
        <v>6168</v>
      </c>
      <c r="L25" s="327">
        <f t="shared" si="5"/>
        <v>74016</v>
      </c>
      <c r="M25" s="327">
        <f t="shared" si="20"/>
        <v>17832</v>
      </c>
      <c r="N25" s="327">
        <v>1486</v>
      </c>
      <c r="O25" s="327">
        <f t="shared" si="16"/>
        <v>91848</v>
      </c>
      <c r="P25" s="327">
        <v>7200</v>
      </c>
      <c r="Q25" s="327">
        <f t="shared" si="19"/>
        <v>600</v>
      </c>
      <c r="R25" s="327">
        <v>3237</v>
      </c>
      <c r="S25" s="327">
        <f t="shared" si="7"/>
        <v>269.75</v>
      </c>
      <c r="T25" s="327">
        <f t="shared" si="8"/>
        <v>10437</v>
      </c>
      <c r="U25" s="328">
        <f t="shared" si="9"/>
        <v>102285</v>
      </c>
      <c r="W25" s="310">
        <f t="shared" si="10"/>
        <v>12336</v>
      </c>
      <c r="X25" s="310">
        <f t="shared" si="11"/>
        <v>13235.25</v>
      </c>
      <c r="Y25" s="310">
        <f t="shared" si="12"/>
        <v>24672</v>
      </c>
      <c r="Z25" s="310">
        <f t="shared" si="1"/>
        <v>26470.5</v>
      </c>
      <c r="AA25" s="310">
        <f t="shared" si="13"/>
        <v>37008</v>
      </c>
      <c r="AB25" s="310">
        <f t="shared" si="2"/>
        <v>39705.75</v>
      </c>
      <c r="AC25" s="310">
        <f t="shared" si="14"/>
        <v>49344</v>
      </c>
      <c r="AD25" s="310">
        <f t="shared" si="3"/>
        <v>52941</v>
      </c>
      <c r="AE25" s="310">
        <f t="shared" si="17"/>
        <v>102285</v>
      </c>
      <c r="AF25" s="320">
        <f t="shared" si="15"/>
        <v>8523.75</v>
      </c>
    </row>
    <row r="26" spans="1:32" ht="33.75">
      <c r="A26" s="324">
        <v>17</v>
      </c>
      <c r="B26" s="325" t="s">
        <v>516</v>
      </c>
      <c r="C26" s="326">
        <v>1</v>
      </c>
      <c r="D26" s="327">
        <v>4112</v>
      </c>
      <c r="E26" s="327">
        <f t="shared" si="4"/>
        <v>4112</v>
      </c>
      <c r="F26" s="327"/>
      <c r="G26" s="327">
        <f t="shared" si="18"/>
        <v>2056</v>
      </c>
      <c r="H26" s="327"/>
      <c r="I26" s="327"/>
      <c r="J26" s="327"/>
      <c r="K26" s="317">
        <f t="shared" si="0"/>
        <v>6168</v>
      </c>
      <c r="L26" s="327">
        <f t="shared" si="5"/>
        <v>74016</v>
      </c>
      <c r="M26" s="327">
        <f t="shared" si="20"/>
        <v>17832</v>
      </c>
      <c r="N26" s="327">
        <v>1486</v>
      </c>
      <c r="O26" s="327">
        <f t="shared" si="16"/>
        <v>91848</v>
      </c>
      <c r="P26" s="327">
        <v>7200</v>
      </c>
      <c r="Q26" s="327">
        <f t="shared" si="19"/>
        <v>600</v>
      </c>
      <c r="R26" s="327">
        <v>3237</v>
      </c>
      <c r="S26" s="327">
        <f t="shared" si="7"/>
        <v>269.75</v>
      </c>
      <c r="T26" s="327">
        <f t="shared" si="8"/>
        <v>10437</v>
      </c>
      <c r="U26" s="328">
        <f t="shared" si="9"/>
        <v>102285</v>
      </c>
      <c r="W26" s="310">
        <f t="shared" si="10"/>
        <v>12336</v>
      </c>
      <c r="X26" s="310">
        <f t="shared" si="11"/>
        <v>13235.25</v>
      </c>
      <c r="Y26" s="310">
        <f t="shared" si="12"/>
        <v>24672</v>
      </c>
      <c r="Z26" s="310">
        <f t="shared" si="1"/>
        <v>26470.5</v>
      </c>
      <c r="AA26" s="310">
        <f t="shared" si="13"/>
        <v>37008</v>
      </c>
      <c r="AB26" s="310">
        <f t="shared" si="2"/>
        <v>39705.75</v>
      </c>
      <c r="AC26" s="310">
        <f t="shared" si="14"/>
        <v>49344</v>
      </c>
      <c r="AD26" s="310">
        <f t="shared" si="3"/>
        <v>52941</v>
      </c>
      <c r="AE26" s="310">
        <f t="shared" si="17"/>
        <v>102285</v>
      </c>
      <c r="AF26" s="320">
        <f t="shared" si="15"/>
        <v>8523.75</v>
      </c>
    </row>
    <row r="27" spans="1:32" ht="15">
      <c r="A27" s="324">
        <v>18</v>
      </c>
      <c r="B27" s="325" t="s">
        <v>517</v>
      </c>
      <c r="C27" s="326">
        <v>2</v>
      </c>
      <c r="D27" s="327">
        <v>3631</v>
      </c>
      <c r="E27" s="327">
        <f t="shared" si="4"/>
        <v>7262</v>
      </c>
      <c r="F27" s="327"/>
      <c r="G27" s="327">
        <f t="shared" si="18"/>
        <v>3631</v>
      </c>
      <c r="H27" s="327"/>
      <c r="I27" s="327"/>
      <c r="J27" s="327">
        <v>1107</v>
      </c>
      <c r="K27" s="317">
        <f t="shared" si="0"/>
        <v>12000</v>
      </c>
      <c r="L27" s="327">
        <f t="shared" si="5"/>
        <v>144000</v>
      </c>
      <c r="M27" s="327">
        <f t="shared" si="20"/>
        <v>45960</v>
      </c>
      <c r="N27" s="327">
        <v>3830</v>
      </c>
      <c r="O27" s="327">
        <f t="shared" si="16"/>
        <v>189960</v>
      </c>
      <c r="P27" s="327">
        <v>7200</v>
      </c>
      <c r="Q27" s="327">
        <f t="shared" si="19"/>
        <v>600</v>
      </c>
      <c r="R27" s="327">
        <v>2859</v>
      </c>
      <c r="S27" s="327">
        <f t="shared" si="7"/>
        <v>238.25</v>
      </c>
      <c r="T27" s="327">
        <f t="shared" si="8"/>
        <v>10059</v>
      </c>
      <c r="U27" s="328">
        <f t="shared" si="9"/>
        <v>200019</v>
      </c>
      <c r="W27" s="310">
        <f t="shared" si="10"/>
        <v>21786</v>
      </c>
      <c r="X27" s="310">
        <f t="shared" si="11"/>
        <v>24897.75</v>
      </c>
      <c r="Y27" s="310">
        <f t="shared" si="12"/>
        <v>43572</v>
      </c>
      <c r="Z27" s="310">
        <f t="shared" si="1"/>
        <v>49795.5</v>
      </c>
      <c r="AA27" s="310">
        <f t="shared" si="13"/>
        <v>65358</v>
      </c>
      <c r="AB27" s="310">
        <f t="shared" si="2"/>
        <v>74693.25</v>
      </c>
      <c r="AC27" s="310">
        <f t="shared" si="14"/>
        <v>87144</v>
      </c>
      <c r="AD27" s="310">
        <f t="shared" si="3"/>
        <v>99591</v>
      </c>
      <c r="AE27" s="310">
        <f t="shared" si="17"/>
        <v>186735</v>
      </c>
      <c r="AF27" s="320">
        <f t="shared" si="15"/>
        <v>7780.625</v>
      </c>
    </row>
    <row r="28" spans="1:32" ht="15">
      <c r="A28" s="324">
        <v>19</v>
      </c>
      <c r="B28" s="325" t="s">
        <v>518</v>
      </c>
      <c r="C28" s="326">
        <v>1</v>
      </c>
      <c r="D28" s="327">
        <v>4859</v>
      </c>
      <c r="E28" s="327">
        <f t="shared" si="4"/>
        <v>4859</v>
      </c>
      <c r="F28" s="327"/>
      <c r="G28" s="327">
        <f t="shared" si="18"/>
        <v>2429.5</v>
      </c>
      <c r="H28" s="327"/>
      <c r="I28" s="327"/>
      <c r="J28" s="327"/>
      <c r="K28" s="317">
        <f t="shared" si="0"/>
        <v>7288.5</v>
      </c>
      <c r="L28" s="327">
        <f t="shared" si="5"/>
        <v>87462</v>
      </c>
      <c r="M28" s="327">
        <f t="shared" si="20"/>
        <v>27072</v>
      </c>
      <c r="N28" s="327">
        <v>2256</v>
      </c>
      <c r="O28" s="327">
        <f t="shared" si="16"/>
        <v>114534</v>
      </c>
      <c r="P28" s="327">
        <v>17496</v>
      </c>
      <c r="Q28" s="327">
        <f t="shared" si="19"/>
        <v>1458</v>
      </c>
      <c r="R28" s="327">
        <v>3826</v>
      </c>
      <c r="S28" s="327">
        <f t="shared" si="7"/>
        <v>318.83333333333331</v>
      </c>
      <c r="T28" s="327">
        <f t="shared" si="8"/>
        <v>21322</v>
      </c>
      <c r="U28" s="328">
        <f t="shared" si="9"/>
        <v>135856</v>
      </c>
      <c r="W28" s="310">
        <f t="shared" si="10"/>
        <v>14577</v>
      </c>
      <c r="X28" s="310">
        <f t="shared" si="11"/>
        <v>19387</v>
      </c>
      <c r="Y28" s="310">
        <f t="shared" si="12"/>
        <v>29154</v>
      </c>
      <c r="Z28" s="310">
        <f t="shared" si="1"/>
        <v>38774</v>
      </c>
      <c r="AA28" s="310">
        <f t="shared" si="13"/>
        <v>43731</v>
      </c>
      <c r="AB28" s="310">
        <f t="shared" si="2"/>
        <v>58161</v>
      </c>
      <c r="AC28" s="310">
        <f t="shared" si="14"/>
        <v>58308</v>
      </c>
      <c r="AD28" s="310">
        <f t="shared" si="3"/>
        <v>77548</v>
      </c>
      <c r="AE28" s="310">
        <f t="shared" si="17"/>
        <v>135856</v>
      </c>
      <c r="AF28" s="320">
        <f t="shared" si="15"/>
        <v>11321.333333333334</v>
      </c>
    </row>
    <row r="29" spans="1:32" ht="22.5">
      <c r="A29" s="324">
        <v>20</v>
      </c>
      <c r="B29" s="325" t="s">
        <v>519</v>
      </c>
      <c r="C29" s="326">
        <v>3</v>
      </c>
      <c r="D29" s="327">
        <v>3391</v>
      </c>
      <c r="E29" s="327">
        <f t="shared" si="4"/>
        <v>10173</v>
      </c>
      <c r="F29" s="327"/>
      <c r="G29" s="327">
        <f>E29/2</f>
        <v>5086.5</v>
      </c>
      <c r="H29" s="327">
        <v>3560.55</v>
      </c>
      <c r="I29" s="327"/>
      <c r="J29" s="327"/>
      <c r="K29" s="317">
        <f t="shared" si="0"/>
        <v>18820.05</v>
      </c>
      <c r="L29" s="327">
        <f t="shared" si="5"/>
        <v>225840.59999999998</v>
      </c>
      <c r="M29" s="327">
        <f t="shared" si="20"/>
        <v>73896</v>
      </c>
      <c r="N29" s="327">
        <v>6158</v>
      </c>
      <c r="O29" s="327">
        <f t="shared" si="16"/>
        <v>299736.59999999998</v>
      </c>
      <c r="P29" s="327">
        <v>23184</v>
      </c>
      <c r="Q29" s="327">
        <f t="shared" si="19"/>
        <v>1932</v>
      </c>
      <c r="R29" s="327">
        <v>2670</v>
      </c>
      <c r="S29" s="327">
        <f t="shared" si="7"/>
        <v>222.5</v>
      </c>
      <c r="T29" s="327">
        <f t="shared" si="8"/>
        <v>25854</v>
      </c>
      <c r="U29" s="328">
        <f t="shared" si="9"/>
        <v>325590.59999999998</v>
      </c>
      <c r="W29" s="310">
        <f t="shared" si="10"/>
        <v>30519</v>
      </c>
      <c r="X29" s="310">
        <f t="shared" si="11"/>
        <v>50878.649999999994</v>
      </c>
      <c r="Y29" s="310">
        <f t="shared" si="12"/>
        <v>61038</v>
      </c>
      <c r="Z29" s="310">
        <f t="shared" si="1"/>
        <v>101757.29999999999</v>
      </c>
      <c r="AA29" s="310">
        <f t="shared" si="13"/>
        <v>91557</v>
      </c>
      <c r="AB29" s="310">
        <f t="shared" si="2"/>
        <v>152635.94999999998</v>
      </c>
      <c r="AC29" s="310">
        <f t="shared" si="14"/>
        <v>122076</v>
      </c>
      <c r="AD29" s="310">
        <f t="shared" si="3"/>
        <v>203514.59999999998</v>
      </c>
      <c r="AE29" s="310">
        <f t="shared" si="17"/>
        <v>325590.59999999998</v>
      </c>
      <c r="AF29" s="320">
        <f t="shared" si="15"/>
        <v>9044.1833333333325</v>
      </c>
    </row>
    <row r="30" spans="1:32" ht="22.5">
      <c r="A30" s="324">
        <v>21</v>
      </c>
      <c r="B30" s="325" t="s">
        <v>520</v>
      </c>
      <c r="C30" s="326">
        <v>1</v>
      </c>
      <c r="D30" s="327">
        <v>2910</v>
      </c>
      <c r="E30" s="327">
        <f t="shared" si="4"/>
        <v>2910</v>
      </c>
      <c r="F30" s="327"/>
      <c r="G30" s="327"/>
      <c r="H30" s="327"/>
      <c r="I30" s="327">
        <f>E30*10%</f>
        <v>291</v>
      </c>
      <c r="J30" s="327">
        <v>3090</v>
      </c>
      <c r="K30" s="317">
        <f t="shared" si="0"/>
        <v>6291</v>
      </c>
      <c r="L30" s="327">
        <f t="shared" si="5"/>
        <v>75492</v>
      </c>
      <c r="M30" s="327">
        <f>N30*12</f>
        <v>29185.800000000003</v>
      </c>
      <c r="N30" s="327">
        <v>2432.15</v>
      </c>
      <c r="O30" s="327">
        <f t="shared" si="16"/>
        <v>104677.8</v>
      </c>
      <c r="P30" s="327">
        <v>25199.8</v>
      </c>
      <c r="Q30" s="327">
        <f t="shared" si="19"/>
        <v>2099.9833333333331</v>
      </c>
      <c r="R30" s="327">
        <v>2291</v>
      </c>
      <c r="S30" s="327">
        <f t="shared" si="7"/>
        <v>190.91666666666666</v>
      </c>
      <c r="T30" s="327">
        <f t="shared" si="8"/>
        <v>27490.799999999999</v>
      </c>
      <c r="U30" s="328">
        <f t="shared" si="9"/>
        <v>132168.6</v>
      </c>
      <c r="W30" s="310">
        <f>E30*3</f>
        <v>8730</v>
      </c>
      <c r="X30" s="310">
        <f t="shared" si="11"/>
        <v>15042.150000000001</v>
      </c>
      <c r="Y30" s="310">
        <f t="shared" si="12"/>
        <v>17460</v>
      </c>
      <c r="Z30" s="310">
        <f t="shared" si="1"/>
        <v>30084.300000000003</v>
      </c>
      <c r="AA30" s="310">
        <f t="shared" si="13"/>
        <v>26190</v>
      </c>
      <c r="AB30" s="310">
        <f t="shared" si="2"/>
        <v>45126.450000000004</v>
      </c>
      <c r="AC30" s="310">
        <f t="shared" si="14"/>
        <v>34920</v>
      </c>
      <c r="AD30" s="310">
        <f t="shared" si="3"/>
        <v>60168.600000000006</v>
      </c>
      <c r="AE30" s="310">
        <f t="shared" si="17"/>
        <v>95088.6</v>
      </c>
      <c r="AF30" s="320">
        <f t="shared" si="15"/>
        <v>7924.05</v>
      </c>
    </row>
    <row r="31" spans="1:32" ht="15">
      <c r="A31" s="324">
        <v>22</v>
      </c>
      <c r="B31" s="325" t="s">
        <v>521</v>
      </c>
      <c r="C31" s="326">
        <v>12</v>
      </c>
      <c r="D31" s="327">
        <v>2910</v>
      </c>
      <c r="E31" s="327">
        <f>C31*D31</f>
        <v>34920</v>
      </c>
      <c r="F31" s="327">
        <f>590*12</f>
        <v>7080</v>
      </c>
      <c r="G31" s="327"/>
      <c r="H31" s="327"/>
      <c r="I31" s="327"/>
      <c r="J31" s="327">
        <v>37080</v>
      </c>
      <c r="K31" s="317">
        <f t="shared" si="0"/>
        <v>79080</v>
      </c>
      <c r="L31" s="327">
        <f t="shared" si="5"/>
        <v>948960</v>
      </c>
      <c r="M31" s="327">
        <f t="shared" si="20"/>
        <v>197112</v>
      </c>
      <c r="N31" s="327">
        <v>16426</v>
      </c>
      <c r="O31" s="327">
        <f>L31+M31</f>
        <v>1146072</v>
      </c>
      <c r="P31" s="327">
        <v>28824</v>
      </c>
      <c r="Q31" s="327">
        <f t="shared" si="19"/>
        <v>2402</v>
      </c>
      <c r="R31" s="327">
        <v>2291</v>
      </c>
      <c r="S31" s="327">
        <f t="shared" si="7"/>
        <v>190.91666666666666</v>
      </c>
      <c r="T31" s="327">
        <f t="shared" si="8"/>
        <v>31115</v>
      </c>
      <c r="U31" s="328">
        <f t="shared" si="9"/>
        <v>1177187</v>
      </c>
      <c r="W31" s="310">
        <f t="shared" si="10"/>
        <v>104760</v>
      </c>
      <c r="X31" s="310">
        <f>($F31+$G31+$H31+$I31+$N31+$Q31+$S31)*3</f>
        <v>78296.75</v>
      </c>
      <c r="Y31" s="310">
        <f t="shared" si="12"/>
        <v>209520</v>
      </c>
      <c r="Z31" s="310">
        <f t="shared" si="1"/>
        <v>156593.5</v>
      </c>
      <c r="AA31" s="310">
        <f t="shared" si="13"/>
        <v>314280</v>
      </c>
      <c r="AB31" s="310">
        <f t="shared" si="2"/>
        <v>234890.25</v>
      </c>
      <c r="AC31" s="310">
        <f t="shared" si="14"/>
        <v>419040</v>
      </c>
      <c r="AD31" s="310">
        <f>($F31+$G31+$H31+$I31+$N31+$Q31+$S31)*12</f>
        <v>313187</v>
      </c>
      <c r="AE31" s="310">
        <f t="shared" si="17"/>
        <v>732227</v>
      </c>
      <c r="AF31" s="320">
        <f t="shared" si="15"/>
        <v>5084.9097222222217</v>
      </c>
    </row>
    <row r="32" spans="1:32" ht="15">
      <c r="A32" s="324">
        <v>23</v>
      </c>
      <c r="B32" s="325" t="s">
        <v>522</v>
      </c>
      <c r="C32" s="326">
        <v>2</v>
      </c>
      <c r="D32" s="327">
        <v>2670</v>
      </c>
      <c r="E32" s="327">
        <f>C32*D32</f>
        <v>5340</v>
      </c>
      <c r="F32" s="327"/>
      <c r="G32" s="327"/>
      <c r="H32" s="327"/>
      <c r="I32" s="327">
        <f>D32*10%*2</f>
        <v>534</v>
      </c>
      <c r="J32" s="327">
        <v>6660</v>
      </c>
      <c r="K32" s="317">
        <f t="shared" si="0"/>
        <v>12534</v>
      </c>
      <c r="L32" s="327">
        <f t="shared" si="5"/>
        <v>150408</v>
      </c>
      <c r="M32" s="327">
        <f t="shared" si="20"/>
        <v>0</v>
      </c>
      <c r="N32" s="327"/>
      <c r="O32" s="327">
        <f>L32+M32</f>
        <v>150408</v>
      </c>
      <c r="P32" s="327"/>
      <c r="Q32" s="327">
        <f>P32/12</f>
        <v>0</v>
      </c>
      <c r="R32" s="327">
        <v>5340</v>
      </c>
      <c r="S32" s="327">
        <f t="shared" si="7"/>
        <v>445</v>
      </c>
      <c r="T32" s="327">
        <f t="shared" si="8"/>
        <v>5340</v>
      </c>
      <c r="U32" s="328">
        <f>O32+T32</f>
        <v>155748</v>
      </c>
      <c r="W32" s="329">
        <f t="shared" si="10"/>
        <v>16020</v>
      </c>
      <c r="X32" s="329">
        <f t="shared" si="11"/>
        <v>2937</v>
      </c>
      <c r="Y32" s="329">
        <f>E32*6</f>
        <v>32040</v>
      </c>
      <c r="Z32" s="329">
        <f t="shared" si="1"/>
        <v>5874</v>
      </c>
      <c r="AA32" s="329">
        <f t="shared" si="13"/>
        <v>48060</v>
      </c>
      <c r="AB32" s="329">
        <f t="shared" si="2"/>
        <v>8811</v>
      </c>
      <c r="AC32" s="329">
        <f t="shared" si="14"/>
        <v>64080</v>
      </c>
      <c r="AD32" s="329">
        <f t="shared" si="3"/>
        <v>11748</v>
      </c>
      <c r="AE32" s="329">
        <f>AD32+AC32</f>
        <v>75828</v>
      </c>
      <c r="AF32" s="330">
        <f>(AC32+AD32)/12/C32</f>
        <v>3159.5</v>
      </c>
    </row>
    <row r="33" spans="1:33" ht="15">
      <c r="A33" s="324"/>
      <c r="B33" s="331" t="s">
        <v>468</v>
      </c>
      <c r="C33" s="332">
        <f>SUM(C10:C32)</f>
        <v>42</v>
      </c>
      <c r="D33" s="328">
        <f>SUM(D10:D32)</f>
        <v>175194</v>
      </c>
      <c r="E33" s="333">
        <f>SUM(E10:E32)</f>
        <v>238043</v>
      </c>
      <c r="F33" s="333">
        <f>SUM(F10:F32)</f>
        <v>7080</v>
      </c>
      <c r="G33" s="333">
        <f t="shared" ref="G33:O33" si="21">SUM(G10:G32)</f>
        <v>47205</v>
      </c>
      <c r="H33" s="333">
        <f t="shared" si="21"/>
        <v>3560.55</v>
      </c>
      <c r="I33" s="333">
        <f t="shared" si="21"/>
        <v>825</v>
      </c>
      <c r="J33" s="333">
        <f>SUM(J10:J32)</f>
        <v>47937</v>
      </c>
      <c r="K33" s="333">
        <f t="shared" si="21"/>
        <v>344650.55</v>
      </c>
      <c r="L33" s="333">
        <f t="shared" si="21"/>
        <v>4135806.6</v>
      </c>
      <c r="M33" s="333">
        <f t="shared" si="21"/>
        <v>678661.8</v>
      </c>
      <c r="N33" s="333">
        <f t="shared" si="21"/>
        <v>56555.15</v>
      </c>
      <c r="O33" s="333">
        <f t="shared" si="21"/>
        <v>4814468.4000000004</v>
      </c>
      <c r="P33" s="333">
        <v>1022934.9</v>
      </c>
      <c r="Q33" s="333"/>
      <c r="R33" s="333">
        <f>SUM(R10:R32)</f>
        <v>141179</v>
      </c>
      <c r="S33" s="333"/>
      <c r="T33" s="327">
        <f>SUM(T10:T32)</f>
        <v>351082.89999999997</v>
      </c>
      <c r="U33" s="328">
        <f>SUM(U10:U32)</f>
        <v>5165551.3000000007</v>
      </c>
      <c r="W33" s="334">
        <f t="shared" ref="W33:AE33" si="22">SUM(W10:W32)</f>
        <v>714129</v>
      </c>
      <c r="X33" s="334">
        <f t="shared" si="22"/>
        <v>433447.82500000007</v>
      </c>
      <c r="Y33" s="334">
        <f t="shared" si="22"/>
        <v>1428258</v>
      </c>
      <c r="Z33" s="334">
        <f t="shared" si="22"/>
        <v>866895.65000000014</v>
      </c>
      <c r="AA33" s="334">
        <f t="shared" si="22"/>
        <v>2142387</v>
      </c>
      <c r="AB33" s="334">
        <f t="shared" si="22"/>
        <v>1300343.4749999999</v>
      </c>
      <c r="AC33" s="334">
        <f t="shared" si="22"/>
        <v>2856516</v>
      </c>
      <c r="AD33" s="334">
        <f t="shared" si="22"/>
        <v>1733791.3000000003</v>
      </c>
      <c r="AE33" s="334">
        <f t="shared" si="22"/>
        <v>4590307.3000000007</v>
      </c>
      <c r="AG33" s="335"/>
    </row>
    <row r="34" spans="1:33">
      <c r="F34" s="336"/>
      <c r="K34" s="310">
        <f>K32/2</f>
        <v>6267</v>
      </c>
    </row>
    <row r="35" spans="1:33">
      <c r="F35" s="337" t="s">
        <v>523</v>
      </c>
      <c r="K35" s="337" t="s">
        <v>524</v>
      </c>
      <c r="M35" s="336">
        <f>L33+M33</f>
        <v>4814468.4000000004</v>
      </c>
    </row>
    <row r="36" spans="1:33">
      <c r="K36" s="336"/>
    </row>
    <row r="37" spans="1:33">
      <c r="K37" s="336"/>
    </row>
    <row r="38" spans="1:33">
      <c r="K38" s="336"/>
      <c r="W38" s="310" t="s">
        <v>493</v>
      </c>
      <c r="X38" s="310" t="s">
        <v>495</v>
      </c>
      <c r="Y38" s="310" t="s">
        <v>496</v>
      </c>
      <c r="Z38" s="310" t="s">
        <v>497</v>
      </c>
    </row>
    <row r="39" spans="1:33">
      <c r="K39" s="336"/>
      <c r="L39" s="310">
        <v>3663831</v>
      </c>
      <c r="V39" s="310" t="s">
        <v>525</v>
      </c>
      <c r="W39" s="338">
        <f>SUM(W20:X23,W25:X32)</f>
        <v>620809.30000000005</v>
      </c>
      <c r="X39" s="338">
        <f>SUM(Y20:Z23,Y25:Z32)</f>
        <v>1241618.6000000001</v>
      </c>
      <c r="Y39" s="338">
        <f>SUM(AA20:AB23,AA25:AB32)</f>
        <v>1862427.9</v>
      </c>
      <c r="Z39" s="338">
        <f>SUM(AC20:AD23,AC25:AD32)</f>
        <v>2483237.2000000002</v>
      </c>
    </row>
    <row r="40" spans="1:33">
      <c r="K40" s="336"/>
      <c r="V40" s="310" t="s">
        <v>407</v>
      </c>
      <c r="W40" s="338">
        <f>(W39-W45)*22%+W45*8.41%</f>
        <v>132697.35355</v>
      </c>
      <c r="X40" s="338">
        <f>(X39-X45)*22%+X45*8.41%</f>
        <v>265394.7071</v>
      </c>
      <c r="Y40" s="338">
        <f t="shared" ref="Y40:Z40" si="23">(Y39-Y45)*22%+Y45*8.41%</f>
        <v>398092.06065</v>
      </c>
      <c r="Z40" s="338">
        <f t="shared" si="23"/>
        <v>530789.4142</v>
      </c>
    </row>
    <row r="41" spans="1:33">
      <c r="K41" s="336"/>
      <c r="W41" s="338"/>
      <c r="X41" s="338"/>
      <c r="Y41" s="338"/>
      <c r="Z41" s="338"/>
    </row>
    <row r="42" spans="1:33">
      <c r="K42" s="336"/>
      <c r="V42" s="310" t="s">
        <v>526</v>
      </c>
      <c r="W42" s="338">
        <f>SUM(W10:X19,W24:X24)</f>
        <v>526767.52500000002</v>
      </c>
      <c r="X42" s="338">
        <f>SUM(Y10:Z19,Y24:Z24)</f>
        <v>1053535.05</v>
      </c>
      <c r="Y42" s="338">
        <f>SUM(AA10:AB19,AA24:AB24)</f>
        <v>1580302.575</v>
      </c>
      <c r="Z42" s="338">
        <f>SUM(AC10:AD19,AC24:AD24)</f>
        <v>2107070.1</v>
      </c>
    </row>
    <row r="43" spans="1:33">
      <c r="K43" s="336"/>
      <c r="V43" s="310" t="s">
        <v>407</v>
      </c>
      <c r="W43" s="338">
        <f>(W42-W46)*22%+W46*8.41%</f>
        <v>101330.46607500002</v>
      </c>
      <c r="X43" s="338">
        <f>(X42-X46)*22%+X46*8.41%</f>
        <v>202660.93215000004</v>
      </c>
      <c r="Y43" s="338">
        <f t="shared" ref="Y43" si="24">(Y42-Y46)*22%+Y46*8.41%</f>
        <v>303991.39822500001</v>
      </c>
      <c r="Z43" s="338">
        <f>(Z42-Z46)*22%+Z46*8.41%</f>
        <v>405321.86430000007</v>
      </c>
    </row>
    <row r="44" spans="1:33">
      <c r="K44" s="336"/>
      <c r="W44" s="338"/>
      <c r="X44" s="338"/>
      <c r="Y44" s="338"/>
      <c r="Z44" s="338"/>
    </row>
    <row r="45" spans="1:33">
      <c r="K45" s="336"/>
      <c r="V45" s="310" t="s">
        <v>527</v>
      </c>
      <c r="W45" s="339">
        <f>SUM(W21:X21)</f>
        <v>28555.5</v>
      </c>
      <c r="X45" s="339">
        <f>SUM(Y21:Z21)</f>
        <v>57111</v>
      </c>
      <c r="Y45" s="339">
        <f>SUM(AA21:AB21)</f>
        <v>85666.5</v>
      </c>
      <c r="Z45" s="339">
        <f>SUM(AC21:AD21)</f>
        <v>114222</v>
      </c>
    </row>
    <row r="46" spans="1:33">
      <c r="K46" s="336"/>
      <c r="V46" s="310" t="s">
        <v>528</v>
      </c>
      <c r="W46" s="338">
        <f>W24+X24+W14+X14+(W19+X19)/2</f>
        <v>107125.75</v>
      </c>
      <c r="X46" s="338">
        <f>Y24+Z24+Y14+Z14+(Y19+Z19)/2</f>
        <v>214251.5</v>
      </c>
      <c r="Y46" s="338">
        <f>AA24+AB24+AA14+AB14+(AA19+AB19)/2</f>
        <v>321377.25</v>
      </c>
      <c r="Z46" s="338">
        <f>AC24+AD24+AC14+AD14+(AC19+AD19)/2</f>
        <v>428503</v>
      </c>
    </row>
    <row r="47" spans="1:33">
      <c r="K47" s="336"/>
      <c r="W47" s="338"/>
      <c r="X47" s="338"/>
      <c r="Y47" s="338"/>
      <c r="Z47" s="338"/>
    </row>
    <row r="48" spans="1:33">
      <c r="K48" s="336"/>
      <c r="V48" s="310" t="s">
        <v>529</v>
      </c>
      <c r="W48" s="338">
        <f t="shared" ref="W48:Z49" si="25">W39+W42</f>
        <v>1147576.8250000002</v>
      </c>
      <c r="X48" s="338">
        <f t="shared" si="25"/>
        <v>2295153.6500000004</v>
      </c>
      <c r="Y48" s="338">
        <f t="shared" si="25"/>
        <v>3442730.4749999996</v>
      </c>
      <c r="Z48" s="338">
        <f t="shared" si="25"/>
        <v>4590307.3000000007</v>
      </c>
    </row>
    <row r="49" spans="11:26">
      <c r="K49" s="336"/>
      <c r="V49" s="310" t="s">
        <v>530</v>
      </c>
      <c r="W49" s="338">
        <f t="shared" si="25"/>
        <v>234027.819625</v>
      </c>
      <c r="X49" s="338">
        <f t="shared" si="25"/>
        <v>468055.63925000001</v>
      </c>
      <c r="Y49" s="338">
        <f t="shared" si="25"/>
        <v>702083.45887500001</v>
      </c>
      <c r="Z49" s="338">
        <f t="shared" si="25"/>
        <v>936111.27850000001</v>
      </c>
    </row>
    <row r="50" spans="11:26">
      <c r="K50" s="336"/>
    </row>
    <row r="51" spans="11:26">
      <c r="K51" s="336"/>
      <c r="V51" s="310" t="s">
        <v>531</v>
      </c>
    </row>
    <row r="52" spans="11:26">
      <c r="K52" s="336"/>
    </row>
    <row r="53" spans="11:26">
      <c r="K53" s="336"/>
      <c r="V53" s="310" t="s">
        <v>532</v>
      </c>
    </row>
    <row r="54" spans="11:26">
      <c r="K54" s="336"/>
      <c r="V54" s="310" t="s">
        <v>257</v>
      </c>
      <c r="W54" s="338">
        <f>AE10</f>
        <v>295989</v>
      </c>
      <c r="X54" s="338"/>
      <c r="Y54" s="335">
        <f>W54/4*3</f>
        <v>221991.75</v>
      </c>
    </row>
    <row r="55" spans="11:26">
      <c r="K55" s="336"/>
      <c r="V55" s="310" t="s">
        <v>533</v>
      </c>
      <c r="W55" s="338">
        <f>Z42-W54</f>
        <v>1811081.1</v>
      </c>
      <c r="X55" s="338"/>
      <c r="Y55" s="335">
        <f t="shared" ref="Y55:Y56" si="26">W55/4*3</f>
        <v>1358310.8250000002</v>
      </c>
    </row>
    <row r="56" spans="11:26">
      <c r="K56" s="336"/>
      <c r="V56" s="310" t="s">
        <v>258</v>
      </c>
      <c r="W56" s="338">
        <f>Z39</f>
        <v>2483237.2000000002</v>
      </c>
      <c r="X56" s="338"/>
      <c r="Y56" s="335">
        <f t="shared" si="26"/>
        <v>1862427.9000000001</v>
      </c>
    </row>
    <row r="57" spans="11:26">
      <c r="K57" s="336"/>
      <c r="W57" s="338"/>
      <c r="X57" s="338"/>
    </row>
    <row r="58" spans="11:26">
      <c r="K58" s="336"/>
      <c r="V58" s="310" t="s">
        <v>534</v>
      </c>
      <c r="W58" s="338"/>
      <c r="X58" s="338"/>
    </row>
    <row r="59" spans="11:26">
      <c r="K59" s="336"/>
      <c r="V59" s="310" t="s">
        <v>257</v>
      </c>
      <c r="W59" s="338">
        <f>W54*1.22</f>
        <v>361106.58</v>
      </c>
      <c r="X59" s="338"/>
      <c r="Y59" s="335">
        <f>W59/4*3</f>
        <v>270829.935</v>
      </c>
    </row>
    <row r="60" spans="11:26">
      <c r="K60" s="336"/>
      <c r="V60" s="310" t="s">
        <v>533</v>
      </c>
      <c r="W60" s="338">
        <f>Z42+Z43-W59</f>
        <v>2151285.3843</v>
      </c>
      <c r="X60" s="338"/>
      <c r="Y60" s="335">
        <f t="shared" ref="Y60:Y61" si="27">W60/4*3</f>
        <v>1613464.038225</v>
      </c>
    </row>
    <row r="61" spans="11:26">
      <c r="K61" s="336"/>
      <c r="V61" s="310" t="s">
        <v>258</v>
      </c>
      <c r="W61" s="338">
        <f>Z39+Z40</f>
        <v>3014026.6142000002</v>
      </c>
      <c r="X61" s="338"/>
      <c r="Y61" s="335">
        <f t="shared" si="27"/>
        <v>2260519.9606500003</v>
      </c>
    </row>
    <row r="62" spans="11:26">
      <c r="K62" s="336"/>
      <c r="W62" s="338"/>
      <c r="X62" s="338"/>
    </row>
    <row r="63" spans="11:26">
      <c r="K63" s="336"/>
      <c r="V63" s="310" t="s">
        <v>535</v>
      </c>
      <c r="W63" s="338"/>
      <c r="X63" s="338"/>
    </row>
    <row r="64" spans="11:26">
      <c r="K64" s="336"/>
      <c r="U64" s="310">
        <v>1</v>
      </c>
      <c r="V64" s="310" t="s">
        <v>257</v>
      </c>
      <c r="W64" s="338">
        <f>D10</f>
        <v>22325</v>
      </c>
      <c r="X64" s="338"/>
      <c r="Y64" s="335">
        <f>W64/4*3</f>
        <v>16743.75</v>
      </c>
    </row>
    <row r="65" spans="11:25">
      <c r="K65" s="336"/>
      <c r="U65" s="310">
        <v>8</v>
      </c>
      <c r="V65" s="310" t="s">
        <v>533</v>
      </c>
      <c r="W65" s="338">
        <f>SUM(AC11:AC19,AC24)/8/12</f>
        <v>13865.5</v>
      </c>
      <c r="X65" s="338"/>
      <c r="Y65" s="335">
        <f t="shared" ref="Y65" si="28">W65/4*3</f>
        <v>10399.125</v>
      </c>
    </row>
    <row r="66" spans="11:25">
      <c r="K66" s="336"/>
      <c r="U66" s="310">
        <v>33</v>
      </c>
      <c r="V66" s="310" t="s">
        <v>258</v>
      </c>
      <c r="W66" s="338">
        <f>SUM(AC20:AC23,AC25:AC32)/33/12</f>
        <v>3175.5757575757575</v>
      </c>
      <c r="Y66" s="335">
        <f>W66/4*3</f>
        <v>2381.681818181818</v>
      </c>
    </row>
    <row r="67" spans="11:25">
      <c r="K67" s="336"/>
      <c r="W67" s="338"/>
    </row>
    <row r="68" spans="11:25">
      <c r="K68" s="336"/>
      <c r="V68" s="310" t="s">
        <v>536</v>
      </c>
      <c r="W68" s="338"/>
    </row>
    <row r="69" spans="11:25">
      <c r="K69" s="336"/>
      <c r="U69" s="310">
        <v>1</v>
      </c>
      <c r="V69" s="310" t="s">
        <v>257</v>
      </c>
      <c r="W69" s="338">
        <f>AE10/12</f>
        <v>24665.75</v>
      </c>
      <c r="Y69" s="335">
        <f>W69/4*3</f>
        <v>18499.3125</v>
      </c>
    </row>
    <row r="70" spans="11:25">
      <c r="U70" s="310">
        <v>8</v>
      </c>
      <c r="V70" s="310" t="s">
        <v>533</v>
      </c>
      <c r="W70" s="338">
        <f>SUM(AC11:AD19,AC24:AD24)/8/12</f>
        <v>18865.428125000002</v>
      </c>
      <c r="Y70" s="335">
        <f t="shared" ref="Y70:Y71" si="29">W70/4*3</f>
        <v>14149.071093750001</v>
      </c>
    </row>
    <row r="71" spans="11:25">
      <c r="U71" s="310">
        <v>33</v>
      </c>
      <c r="V71" s="310" t="s">
        <v>258</v>
      </c>
      <c r="W71" s="338">
        <f>SUM(AC20:AD23,AC25:AD32)/33/12</f>
        <v>6270.8010101010104</v>
      </c>
      <c r="Y71" s="335">
        <f t="shared" si="29"/>
        <v>4703.1007575757576</v>
      </c>
    </row>
  </sheetData>
  <mergeCells count="23">
    <mergeCell ref="U6:U9"/>
    <mergeCell ref="O6:O9"/>
    <mergeCell ref="P6:P9"/>
    <mergeCell ref="Q6:Q9"/>
    <mergeCell ref="R6:R9"/>
    <mergeCell ref="S6:S9"/>
    <mergeCell ref="T6:T9"/>
    <mergeCell ref="N6:N9"/>
    <mergeCell ref="A3:K3"/>
    <mergeCell ref="A4:K4"/>
    <mergeCell ref="A5:K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K6:K9"/>
    <mergeCell ref="L6:L9"/>
    <mergeCell ref="M6:M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Лист1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UserNEW</cp:lastModifiedBy>
  <cp:lastPrinted>2021-05-18T07:32:03Z</cp:lastPrinted>
  <dcterms:created xsi:type="dcterms:W3CDTF">2003-03-13T16:00:22Z</dcterms:created>
  <dcterms:modified xsi:type="dcterms:W3CDTF">2021-07-28T07:23:19Z</dcterms:modified>
</cp:coreProperties>
</file>