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2021 год\ФИН ПЛАН 2024\За 1 квартал 2024\"/>
    </mc:Choice>
  </mc:AlternateContent>
  <bookViews>
    <workbookView xWindow="0" yWindow="0" windowWidth="18630" windowHeight="14510" tabRatio="909" activeTab="7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Коефіцієнти'!$A$1:$F$27</definedName>
    <definedName name="_xlnm.Print_Area" localSheetId="1">'1. Фін результат'!$A$1:$H$191</definedName>
    <definedName name="_xlnm.Print_Area" localSheetId="2">'2. Розрахунки з бюджетом'!$A$2:$G$42</definedName>
    <definedName name="_xlnm.Print_Area" localSheetId="3">'3. Рух грошових коштів'!$A$1:$G$96</definedName>
    <definedName name="_xlnm.Print_Area" localSheetId="4">'4. Кап. інвестиції'!$A$1:$G$19</definedName>
    <definedName name="_xlnm.Print_Area" localSheetId="6">'6.1. Інша інфо_1'!$A$1:$T$78</definedName>
    <definedName name="_xlnm.Print_Area" localSheetId="7">'6.2. Інша інфо_2'!$A$1:$AF$61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8" l="1"/>
  <c r="C18" i="19"/>
  <c r="C10" i="19"/>
  <c r="C180" i="2"/>
  <c r="H25" i="10" l="1"/>
  <c r="H21" i="10"/>
  <c r="E19" i="18"/>
  <c r="E69" i="18" l="1"/>
  <c r="C162" i="2"/>
  <c r="C44" i="14" s="1"/>
  <c r="C170" i="2"/>
  <c r="C171" i="2"/>
  <c r="E170" i="2"/>
  <c r="E186" i="2"/>
  <c r="C163" i="2"/>
  <c r="E26" i="18" l="1"/>
  <c r="H22" i="10"/>
  <c r="J25" i="10" l="1"/>
  <c r="J21" i="10"/>
  <c r="E185" i="2"/>
  <c r="E184" i="2"/>
  <c r="E183" i="2"/>
  <c r="E20" i="2"/>
  <c r="E18" i="2"/>
  <c r="E17" i="2"/>
  <c r="E82" i="2"/>
  <c r="E81" i="2"/>
  <c r="E80" i="2"/>
  <c r="E73" i="2"/>
  <c r="J28" i="10"/>
  <c r="H34" i="10" l="1"/>
  <c r="H30" i="10"/>
  <c r="H29" i="10"/>
  <c r="H33" i="10" s="1"/>
  <c r="H28" i="10"/>
  <c r="H32" i="10" s="1"/>
  <c r="H26" i="10"/>
  <c r="G49" i="10"/>
  <c r="E19" i="11"/>
  <c r="D76" i="14"/>
  <c r="D73" i="14"/>
  <c r="D72" i="14"/>
  <c r="D71" i="14"/>
  <c r="D68" i="14"/>
  <c r="D67" i="14"/>
  <c r="D47" i="14"/>
  <c r="E9" i="3" l="1"/>
  <c r="E21" i="18"/>
  <c r="E56" i="18"/>
  <c r="E45" i="18"/>
  <c r="V35" i="9" l="1"/>
  <c r="V36" i="9" s="1"/>
  <c r="W36" i="9" s="1"/>
  <c r="F9" i="3"/>
  <c r="E6" i="3"/>
  <c r="E23" i="19"/>
  <c r="E182" i="2"/>
  <c r="E149" i="2"/>
  <c r="E144" i="2"/>
  <c r="E14" i="2" l="1"/>
  <c r="E115" i="2"/>
  <c r="E90" i="2"/>
  <c r="E86" i="2"/>
  <c r="E92" i="2"/>
  <c r="G47" i="2"/>
  <c r="E32" i="2"/>
  <c r="E31" i="2"/>
  <c r="E23" i="2"/>
  <c r="D50" i="10" l="1"/>
  <c r="D21" i="2"/>
  <c r="D13" i="2" s="1"/>
  <c r="D9" i="2"/>
  <c r="D19" i="11"/>
  <c r="C185" i="2" l="1"/>
  <c r="C184" i="2"/>
  <c r="C183" i="2"/>
  <c r="C144" i="2"/>
  <c r="C115" i="2"/>
  <c r="E17" i="18" l="1"/>
  <c r="E14" i="11" l="1"/>
  <c r="E73" i="14"/>
  <c r="E70" i="14"/>
  <c r="J26" i="10"/>
  <c r="J29" i="10" l="1"/>
  <c r="J33" i="10" s="1"/>
  <c r="E181" i="2"/>
  <c r="E180" i="2" s="1"/>
  <c r="E37" i="19" l="1"/>
  <c r="E11" i="18"/>
  <c r="E15" i="18" s="1"/>
  <c r="E14" i="18" s="1"/>
  <c r="E20" i="18" s="1"/>
  <c r="E31" i="18" s="1"/>
  <c r="G92" i="2"/>
  <c r="F92" i="2"/>
  <c r="E21" i="2"/>
  <c r="E13" i="2" l="1"/>
  <c r="D45" i="18"/>
  <c r="D94" i="2"/>
  <c r="D72" i="2" s="1"/>
  <c r="C174" i="2" l="1"/>
  <c r="C21" i="2"/>
  <c r="D70" i="14" l="1"/>
  <c r="E61" i="2" l="1"/>
  <c r="J22" i="10" l="1"/>
  <c r="J30" i="10" s="1"/>
  <c r="J34" i="10" s="1"/>
  <c r="D115" i="2" l="1"/>
  <c r="D49" i="10" l="1"/>
  <c r="G51" i="10" l="1"/>
  <c r="E94" i="2"/>
  <c r="E72" i="2" s="1"/>
  <c r="G90" i="2"/>
  <c r="F90" i="2"/>
  <c r="F54" i="2"/>
  <c r="F53" i="2"/>
  <c r="F52" i="2"/>
  <c r="F58" i="2"/>
  <c r="F35" i="2"/>
  <c r="G46" i="2"/>
  <c r="E9" i="2"/>
  <c r="C182" i="2" l="1"/>
  <c r="C149" i="2"/>
  <c r="C94" i="2"/>
  <c r="D110" i="2"/>
  <c r="D61" i="2"/>
  <c r="E60" i="2" l="1"/>
  <c r="H24" i="10"/>
  <c r="N9" i="9" l="1"/>
  <c r="N8" i="9"/>
  <c r="J32" i="10"/>
  <c r="N10" i="9" l="1"/>
  <c r="G101" i="2" l="1"/>
  <c r="F101" i="2"/>
  <c r="C73" i="14"/>
  <c r="C70" i="14"/>
  <c r="D33" i="10"/>
  <c r="D34" i="10"/>
  <c r="D32" i="10"/>
  <c r="C10" i="3"/>
  <c r="C6" i="3" s="1"/>
  <c r="C83" i="18"/>
  <c r="C69" i="18"/>
  <c r="C50" i="18"/>
  <c r="C56" i="18" s="1"/>
  <c r="C29" i="19"/>
  <c r="E35" i="19"/>
  <c r="C181" i="2"/>
  <c r="E169" i="2"/>
  <c r="U10" i="9"/>
  <c r="E174" i="2" l="1"/>
  <c r="E29" i="19"/>
  <c r="E26" i="19" s="1"/>
  <c r="E50" i="18" l="1"/>
  <c r="E110" i="2" l="1"/>
  <c r="F134" i="2"/>
  <c r="G134" i="2"/>
  <c r="E167" i="2" l="1"/>
  <c r="E7" i="11"/>
  <c r="D15" i="11"/>
  <c r="D14" i="11" l="1"/>
  <c r="C26" i="18"/>
  <c r="C110" i="2"/>
  <c r="C13" i="2"/>
  <c r="D69" i="18" l="1"/>
  <c r="D26" i="18"/>
  <c r="D180" i="2"/>
  <c r="D187" i="2" s="1"/>
  <c r="D149" i="2"/>
  <c r="D144" i="2"/>
  <c r="D41" i="14" l="1"/>
  <c r="R10" i="9"/>
  <c r="X10" i="9"/>
  <c r="D17" i="18" l="1"/>
  <c r="C21" i="18" l="1"/>
  <c r="C17" i="18"/>
  <c r="C14" i="18" s="1"/>
  <c r="G180" i="2" l="1"/>
  <c r="G14" i="2"/>
  <c r="F174" i="2"/>
  <c r="E41" i="14"/>
  <c r="G69" i="2"/>
  <c r="F69" i="2"/>
  <c r="F31" i="2"/>
  <c r="G50" i="2"/>
  <c r="G51" i="2"/>
  <c r="F51" i="2"/>
  <c r="G50" i="10"/>
  <c r="I50" i="10" s="1"/>
  <c r="N49" i="10"/>
  <c r="C72" i="2"/>
  <c r="C34" i="14" s="1"/>
  <c r="F43" i="2"/>
  <c r="G43" i="2"/>
  <c r="E15" i="11"/>
  <c r="C169" i="2"/>
  <c r="C41" i="14" s="1"/>
  <c r="C61" i="2"/>
  <c r="C65" i="14"/>
  <c r="C11" i="18"/>
  <c r="G29" i="19"/>
  <c r="C9" i="2"/>
  <c r="C31" i="14" s="1"/>
  <c r="AA10" i="9"/>
  <c r="F94" i="2"/>
  <c r="U36" i="9"/>
  <c r="K50" i="10"/>
  <c r="D14" i="18"/>
  <c r="F51" i="18"/>
  <c r="F52" i="18"/>
  <c r="F50" i="18"/>
  <c r="F88" i="18"/>
  <c r="G88" i="18"/>
  <c r="G8" i="19"/>
  <c r="F8" i="19"/>
  <c r="E58" i="14"/>
  <c r="E54" i="14"/>
  <c r="E49" i="14"/>
  <c r="E65" i="14"/>
  <c r="F59" i="2"/>
  <c r="F49" i="2"/>
  <c r="F50" i="2"/>
  <c r="G76" i="14"/>
  <c r="F72" i="14"/>
  <c r="D61" i="14"/>
  <c r="D56" i="18"/>
  <c r="D56" i="14" s="1"/>
  <c r="G86" i="2"/>
  <c r="G23" i="2"/>
  <c r="D54" i="14"/>
  <c r="D51" i="14"/>
  <c r="D49" i="14"/>
  <c r="K49" i="10"/>
  <c r="F50" i="10"/>
  <c r="D35" i="19"/>
  <c r="D26" i="19" s="1"/>
  <c r="D60" i="2"/>
  <c r="D139" i="2" s="1"/>
  <c r="D58" i="14"/>
  <c r="F15" i="2"/>
  <c r="G59" i="2"/>
  <c r="F41" i="2"/>
  <c r="F47" i="2"/>
  <c r="G36" i="2"/>
  <c r="G38" i="2"/>
  <c r="G39" i="2"/>
  <c r="F42" i="2"/>
  <c r="G42" i="2"/>
  <c r="F44" i="2"/>
  <c r="G44" i="2"/>
  <c r="F45" i="2"/>
  <c r="G45" i="2"/>
  <c r="F46" i="2"/>
  <c r="C35" i="19"/>
  <c r="D51" i="10"/>
  <c r="AC32" i="9"/>
  <c r="AC33" i="9"/>
  <c r="L13" i="10"/>
  <c r="N13" i="10"/>
  <c r="L14" i="10"/>
  <c r="N14" i="10"/>
  <c r="L15" i="10"/>
  <c r="N15" i="10"/>
  <c r="L16" i="10"/>
  <c r="N16" i="10"/>
  <c r="L17" i="10"/>
  <c r="N17" i="10"/>
  <c r="L18" i="10"/>
  <c r="N18" i="10"/>
  <c r="N20" i="10"/>
  <c r="D11" i="18"/>
  <c r="F24" i="19"/>
  <c r="G24" i="19"/>
  <c r="F30" i="19"/>
  <c r="G30" i="19"/>
  <c r="F36" i="19"/>
  <c r="G36" i="19"/>
  <c r="F37" i="19"/>
  <c r="G37" i="19"/>
  <c r="F10" i="2"/>
  <c r="G10" i="2"/>
  <c r="G11" i="2"/>
  <c r="F12" i="2"/>
  <c r="G15" i="2"/>
  <c r="F16" i="2"/>
  <c r="F22" i="2"/>
  <c r="G22" i="2"/>
  <c r="F23" i="2"/>
  <c r="F24" i="2"/>
  <c r="G24" i="2"/>
  <c r="F25" i="2"/>
  <c r="G25" i="2"/>
  <c r="F26" i="2"/>
  <c r="F27" i="2"/>
  <c r="G27" i="2"/>
  <c r="F28" i="2"/>
  <c r="G28" i="2"/>
  <c r="F29" i="2"/>
  <c r="G29" i="2"/>
  <c r="F30" i="2"/>
  <c r="G30" i="2"/>
  <c r="G31" i="2"/>
  <c r="F33" i="2"/>
  <c r="G33" i="2"/>
  <c r="F36" i="2"/>
  <c r="F37" i="2"/>
  <c r="F38" i="2"/>
  <c r="F39" i="2"/>
  <c r="F40" i="2"/>
  <c r="G40" i="2"/>
  <c r="F62" i="2"/>
  <c r="G62" i="2"/>
  <c r="F70" i="2"/>
  <c r="F78" i="2"/>
  <c r="G78" i="2"/>
  <c r="F79" i="2"/>
  <c r="G79" i="2"/>
  <c r="F81" i="2"/>
  <c r="F87" i="2"/>
  <c r="G87" i="2"/>
  <c r="F93" i="2"/>
  <c r="F95" i="2"/>
  <c r="G95" i="2"/>
  <c r="F96" i="2"/>
  <c r="G96" i="2"/>
  <c r="F97" i="2"/>
  <c r="G97" i="2"/>
  <c r="F98" i="2"/>
  <c r="G98" i="2"/>
  <c r="G99" i="2"/>
  <c r="F100" i="2"/>
  <c r="F117" i="2"/>
  <c r="G117" i="2"/>
  <c r="F129" i="2"/>
  <c r="F130" i="2"/>
  <c r="F156" i="2"/>
  <c r="G156" i="2"/>
  <c r="C168" i="2"/>
  <c r="D168" i="2"/>
  <c r="E168" i="2"/>
  <c r="F182" i="2"/>
  <c r="G182" i="2"/>
  <c r="F184" i="2"/>
  <c r="G184" i="2"/>
  <c r="F185" i="2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7" i="14"/>
  <c r="B48" i="14"/>
  <c r="C49" i="14"/>
  <c r="B50" i="14"/>
  <c r="B51" i="14"/>
  <c r="C51" i="14"/>
  <c r="E51" i="14"/>
  <c r="B52" i="14"/>
  <c r="B54" i="14"/>
  <c r="C54" i="14"/>
  <c r="B55" i="14"/>
  <c r="B56" i="14"/>
  <c r="B57" i="14"/>
  <c r="B58" i="14"/>
  <c r="C58" i="14"/>
  <c r="B59" i="14"/>
  <c r="B61" i="14"/>
  <c r="B63" i="14"/>
  <c r="B64" i="14"/>
  <c r="B65" i="14"/>
  <c r="F67" i="14"/>
  <c r="G67" i="14"/>
  <c r="F68" i="14"/>
  <c r="G68" i="14"/>
  <c r="F71" i="14"/>
  <c r="G72" i="14"/>
  <c r="F76" i="14"/>
  <c r="D22" i="19"/>
  <c r="D74" i="18" s="1"/>
  <c r="F99" i="2"/>
  <c r="G32" i="2"/>
  <c r="F14" i="2"/>
  <c r="F86" i="2"/>
  <c r="F82" i="2"/>
  <c r="G82" i="2"/>
  <c r="G81" i="2"/>
  <c r="G73" i="2"/>
  <c r="F73" i="2"/>
  <c r="F32" i="2"/>
  <c r="L20" i="10"/>
  <c r="G71" i="14"/>
  <c r="F115" i="2"/>
  <c r="G115" i="2"/>
  <c r="N50" i="10"/>
  <c r="D32" i="14"/>
  <c r="N21" i="10"/>
  <c r="L21" i="10"/>
  <c r="F17" i="2"/>
  <c r="F80" i="2"/>
  <c r="G80" i="2"/>
  <c r="F180" i="2"/>
  <c r="F29" i="19"/>
  <c r="G149" i="2"/>
  <c r="G17" i="2"/>
  <c r="G12" i="2"/>
  <c r="F11" i="2"/>
  <c r="J51" i="10" l="1"/>
  <c r="D52" i="10"/>
  <c r="G52" i="10"/>
  <c r="F51" i="14"/>
  <c r="I49" i="10"/>
  <c r="I52" i="10" s="1"/>
  <c r="M51" i="10"/>
  <c r="AC36" i="9"/>
  <c r="M37" i="9" s="1"/>
  <c r="F61" i="2"/>
  <c r="D36" i="14"/>
  <c r="J50" i="10"/>
  <c r="G61" i="2"/>
  <c r="F35" i="19"/>
  <c r="G35" i="19"/>
  <c r="M50" i="10"/>
  <c r="L50" i="10"/>
  <c r="E31" i="14"/>
  <c r="E18" i="11" s="1"/>
  <c r="F49" i="14"/>
  <c r="F9" i="2"/>
  <c r="G9" i="2"/>
  <c r="F149" i="2"/>
  <c r="G94" i="2"/>
  <c r="G174" i="2"/>
  <c r="E50" i="14"/>
  <c r="D31" i="14"/>
  <c r="D33" i="14" s="1"/>
  <c r="D173" i="2"/>
  <c r="D178" i="2" s="1"/>
  <c r="C60" i="2"/>
  <c r="D170" i="2"/>
  <c r="G170" i="2" s="1"/>
  <c r="J49" i="10"/>
  <c r="G11" i="18"/>
  <c r="G185" i="2"/>
  <c r="G181" i="2"/>
  <c r="F181" i="2"/>
  <c r="C56" i="14"/>
  <c r="C167" i="2"/>
  <c r="C36" i="14" s="1"/>
  <c r="C26" i="19"/>
  <c r="C50" i="14" s="1"/>
  <c r="M49" i="10"/>
  <c r="F15" i="18"/>
  <c r="F54" i="14"/>
  <c r="D50" i="14"/>
  <c r="F26" i="19"/>
  <c r="F73" i="14"/>
  <c r="G21" i="2"/>
  <c r="G26" i="19"/>
  <c r="G51" i="14"/>
  <c r="G54" i="14"/>
  <c r="F56" i="18"/>
  <c r="E56" i="14"/>
  <c r="F56" i="14" s="1"/>
  <c r="G70" i="14"/>
  <c r="F70" i="14"/>
  <c r="G18" i="2"/>
  <c r="F18" i="2"/>
  <c r="F169" i="2"/>
  <c r="G169" i="2"/>
  <c r="G110" i="2"/>
  <c r="F110" i="2"/>
  <c r="C32" i="14"/>
  <c r="C33" i="14" s="1"/>
  <c r="D34" i="14"/>
  <c r="L28" i="10"/>
  <c r="N32" i="10"/>
  <c r="F20" i="2"/>
  <c r="G20" i="2"/>
  <c r="N29" i="10"/>
  <c r="L29" i="10"/>
  <c r="N22" i="10"/>
  <c r="N28" i="10"/>
  <c r="G49" i="14"/>
  <c r="F49" i="10"/>
  <c r="F52" i="10" s="1"/>
  <c r="F11" i="18"/>
  <c r="D17" i="11"/>
  <c r="D18" i="11"/>
  <c r="C61" i="14"/>
  <c r="E61" i="14"/>
  <c r="F61" i="14" s="1"/>
  <c r="E17" i="11"/>
  <c r="F6" i="3"/>
  <c r="V34" i="9"/>
  <c r="W34" i="9" s="1"/>
  <c r="V33" i="9"/>
  <c r="Q37" i="9" l="1"/>
  <c r="F50" i="14"/>
  <c r="F170" i="2"/>
  <c r="F31" i="14"/>
  <c r="G72" i="2"/>
  <c r="G31" i="14"/>
  <c r="G73" i="14"/>
  <c r="G50" i="14"/>
  <c r="F21" i="2"/>
  <c r="F183" i="2"/>
  <c r="G183" i="2"/>
  <c r="L22" i="10"/>
  <c r="N26" i="10"/>
  <c r="L26" i="10"/>
  <c r="F72" i="2"/>
  <c r="E34" i="14"/>
  <c r="G34" i="14" s="1"/>
  <c r="D65" i="14"/>
  <c r="F65" i="14" s="1"/>
  <c r="D38" i="14"/>
  <c r="D39" i="14" s="1"/>
  <c r="D37" i="14"/>
  <c r="L32" i="10"/>
  <c r="N24" i="10"/>
  <c r="L24" i="10"/>
  <c r="N25" i="10"/>
  <c r="L25" i="10"/>
  <c r="G41" i="14"/>
  <c r="F41" i="14"/>
  <c r="L49" i="10"/>
  <c r="N33" i="10"/>
  <c r="L33" i="10"/>
  <c r="D7" i="11"/>
  <c r="C139" i="2"/>
  <c r="F167" i="2"/>
  <c r="E36" i="14"/>
  <c r="G167" i="2"/>
  <c r="AD33" i="9"/>
  <c r="AD36" i="9" s="1"/>
  <c r="D160" i="2" l="1"/>
  <c r="D171" i="2" s="1"/>
  <c r="E32" i="14"/>
  <c r="F32" i="14" s="1"/>
  <c r="F13" i="2"/>
  <c r="G13" i="2"/>
  <c r="G65" i="14"/>
  <c r="N30" i="10"/>
  <c r="L30" i="10"/>
  <c r="F34" i="14"/>
  <c r="F14" i="18"/>
  <c r="E139" i="2"/>
  <c r="E173" i="2" s="1"/>
  <c r="F60" i="2"/>
  <c r="G60" i="2"/>
  <c r="F36" i="14"/>
  <c r="G36" i="14"/>
  <c r="C37" i="14"/>
  <c r="C173" i="2"/>
  <c r="C178" i="2" s="1"/>
  <c r="C159" i="2"/>
  <c r="D42" i="14"/>
  <c r="D9" i="18"/>
  <c r="D20" i="18" s="1"/>
  <c r="C9" i="19" l="1"/>
  <c r="C160" i="2"/>
  <c r="D162" i="2"/>
  <c r="D10" i="19" s="1"/>
  <c r="E33" i="14"/>
  <c r="F33" i="14" s="1"/>
  <c r="G32" i="14"/>
  <c r="D31" i="18"/>
  <c r="N34" i="10"/>
  <c r="L34" i="10"/>
  <c r="D163" i="2"/>
  <c r="D164" i="2"/>
  <c r="C9" i="18"/>
  <c r="C20" i="18" s="1"/>
  <c r="C42" i="14"/>
  <c r="C186" i="2"/>
  <c r="G139" i="2"/>
  <c r="E37" i="14"/>
  <c r="F139" i="2"/>
  <c r="E159" i="2"/>
  <c r="E9" i="18" s="1"/>
  <c r="D32" i="18"/>
  <c r="D43" i="14"/>
  <c r="D23" i="19"/>
  <c r="D48" i="14" s="1"/>
  <c r="C38" i="14"/>
  <c r="D13" i="11" s="1"/>
  <c r="D8" i="11"/>
  <c r="D44" i="14" l="1"/>
  <c r="D63" i="14" s="1"/>
  <c r="G33" i="14"/>
  <c r="C187" i="2"/>
  <c r="C31" i="18"/>
  <c r="D33" i="18"/>
  <c r="F37" i="14"/>
  <c r="G37" i="14"/>
  <c r="C39" i="14"/>
  <c r="F159" i="2"/>
  <c r="E42" i="14"/>
  <c r="G159" i="2"/>
  <c r="G173" i="2"/>
  <c r="E178" i="2"/>
  <c r="E8" i="11" s="1"/>
  <c r="F173" i="2"/>
  <c r="C32" i="18"/>
  <c r="C48" i="14"/>
  <c r="C43" i="14"/>
  <c r="D9" i="19"/>
  <c r="D21" i="19"/>
  <c r="E32" i="18" l="1"/>
  <c r="D55" i="14"/>
  <c r="E162" i="2"/>
  <c r="D9" i="11"/>
  <c r="C63" i="14" s="1"/>
  <c r="E171" i="2"/>
  <c r="E187" i="2" s="1"/>
  <c r="C33" i="18"/>
  <c r="D10" i="11"/>
  <c r="C64" i="14" s="1"/>
  <c r="C164" i="2"/>
  <c r="D11" i="11"/>
  <c r="C45" i="14" s="1"/>
  <c r="C22" i="19"/>
  <c r="C74" i="18" s="1"/>
  <c r="D73" i="18"/>
  <c r="D86" i="18" s="1"/>
  <c r="D91" i="18" s="1"/>
  <c r="D20" i="19"/>
  <c r="D38" i="19" s="1"/>
  <c r="E38" i="14"/>
  <c r="E13" i="11" s="1"/>
  <c r="F178" i="2"/>
  <c r="G178" i="2"/>
  <c r="F9" i="18"/>
  <c r="G9" i="18"/>
  <c r="F160" i="2"/>
  <c r="E43" i="14"/>
  <c r="F42" i="14"/>
  <c r="G42" i="14"/>
  <c r="E164" i="2" l="1"/>
  <c r="E18" i="19"/>
  <c r="C55" i="14"/>
  <c r="D90" i="18"/>
  <c r="D59" i="14" s="1"/>
  <c r="D69" i="14" s="1"/>
  <c r="E73" i="18"/>
  <c r="E11" i="11"/>
  <c r="E45" i="14" s="1"/>
  <c r="E9" i="11"/>
  <c r="E63" i="14" s="1"/>
  <c r="F63" i="14" s="1"/>
  <c r="E44" i="14"/>
  <c r="F44" i="14" s="1"/>
  <c r="E10" i="11"/>
  <c r="E64" i="14" s="1"/>
  <c r="G64" i="14" s="1"/>
  <c r="F162" i="2"/>
  <c r="G162" i="2"/>
  <c r="E163" i="2"/>
  <c r="F163" i="2" s="1"/>
  <c r="E33" i="18"/>
  <c r="C21" i="19"/>
  <c r="C73" i="18" s="1"/>
  <c r="C86" i="18" s="1"/>
  <c r="C90" i="18" s="1"/>
  <c r="F171" i="2"/>
  <c r="G171" i="2"/>
  <c r="F32" i="18"/>
  <c r="G32" i="18"/>
  <c r="D52" i="14"/>
  <c r="E48" i="14"/>
  <c r="F48" i="14" s="1"/>
  <c r="F23" i="19"/>
  <c r="G20" i="18"/>
  <c r="F20" i="18"/>
  <c r="E39" i="14"/>
  <c r="F39" i="14" s="1"/>
  <c r="G38" i="14"/>
  <c r="F38" i="14"/>
  <c r="D57" i="14"/>
  <c r="C91" i="18" l="1"/>
  <c r="E9" i="19"/>
  <c r="G10" i="19"/>
  <c r="F45" i="14"/>
  <c r="G63" i="14"/>
  <c r="G44" i="14"/>
  <c r="G186" i="2"/>
  <c r="F186" i="2"/>
  <c r="F64" i="14"/>
  <c r="G163" i="2"/>
  <c r="F10" i="19"/>
  <c r="E55" i="14"/>
  <c r="E21" i="19"/>
  <c r="C20" i="19"/>
  <c r="C38" i="19" s="1"/>
  <c r="C52" i="14" s="1"/>
  <c r="F187" i="2"/>
  <c r="G187" i="2"/>
  <c r="C57" i="14"/>
  <c r="G69" i="14"/>
  <c r="F69" i="14"/>
  <c r="F31" i="18"/>
  <c r="G31" i="18"/>
  <c r="G21" i="19" l="1"/>
  <c r="G73" i="18"/>
  <c r="F73" i="18"/>
  <c r="F21" i="19"/>
  <c r="E74" i="18"/>
  <c r="E86" i="18" s="1"/>
  <c r="F11" i="19"/>
  <c r="G11" i="19"/>
  <c r="E22" i="19"/>
  <c r="E20" i="19" s="1"/>
  <c r="C47" i="14"/>
  <c r="C59" i="14"/>
  <c r="G33" i="18"/>
  <c r="F33" i="18"/>
  <c r="E91" i="18" l="1"/>
  <c r="E90" i="18"/>
  <c r="G92" i="18" s="1"/>
  <c r="G9" i="19"/>
  <c r="F9" i="19"/>
  <c r="G22" i="19"/>
  <c r="F22" i="19"/>
  <c r="F74" i="18"/>
  <c r="G74" i="18"/>
  <c r="G55" i="14"/>
  <c r="F55" i="14"/>
  <c r="G86" i="18" l="1"/>
  <c r="E57" i="14"/>
  <c r="F86" i="18"/>
  <c r="E38" i="19"/>
  <c r="E47" i="14"/>
  <c r="F20" i="19"/>
  <c r="G20" i="19"/>
  <c r="F18" i="19"/>
  <c r="G18" i="19"/>
  <c r="E52" i="14" l="1"/>
  <c r="F38" i="19"/>
  <c r="G38" i="19"/>
  <c r="F47" i="14"/>
  <c r="G47" i="14"/>
  <c r="F91" i="18"/>
  <c r="G91" i="18"/>
  <c r="G57" i="14"/>
  <c r="F57" i="14"/>
  <c r="F90" i="18"/>
  <c r="G90" i="18"/>
  <c r="E59" i="14"/>
  <c r="F59" i="14" l="1"/>
  <c r="G59" i="14"/>
  <c r="F52" i="14"/>
  <c r="G52" i="14"/>
</calcChain>
</file>

<file path=xl/sharedStrings.xml><?xml version="1.0" encoding="utf-8"?>
<sst xmlns="http://schemas.openxmlformats.org/spreadsheetml/2006/main" count="816" uniqueCount="636">
  <si>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</si>
  <si>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</si>
  <si>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</si>
  <si>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</si>
  <si>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</si>
  <si>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</si>
  <si>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</si>
  <si>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</si>
  <si>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</si>
  <si>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</si>
  <si>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</si>
  <si>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</si>
  <si>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</si>
  <si>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</si>
  <si>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</si>
  <si>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</si>
  <si>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</si>
  <si>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</si>
  <si>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</si>
  <si>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</si>
  <si>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</si>
  <si>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</si>
  <si>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</si>
  <si>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</si>
  <si>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</si>
  <si>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</si>
  <si>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</si>
  <si>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</si>
  <si>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</si>
  <si>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</si>
  <si>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</si>
  <si>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</si>
  <si>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</si>
  <si>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</si>
  <si>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</si>
  <si>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</si>
  <si>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</si>
  <si>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</si>
  <si>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</si>
  <si>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</si>
  <si>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</si>
  <si>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</si>
  <si>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</si>
  <si>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</si>
  <si>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</si>
  <si>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</si>
  <si>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</si>
  <si>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</si>
  <si>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</si>
  <si>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</si>
  <si>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</si>
  <si>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</si>
  <si>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</si>
  <si>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</si>
  <si>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</si>
  <si>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</si>
  <si>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</si>
  <si>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</si>
  <si>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</si>
  <si>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</si>
  <si>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</si>
  <si>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</si>
  <si>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</si>
  <si>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</si>
  <si>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</si>
  <si>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</si>
  <si>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</si>
  <si>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</si>
  <si>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</si>
  <si>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</si>
  <si>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</si>
  <si>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</si>
  <si>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</si>
  <si>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</si>
  <si>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</si>
  <si>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</si>
  <si>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</si>
  <si>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</si>
  <si>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</si>
  <si>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</si>
  <si>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</si>
  <si>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</si>
  <si>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</si>
  <si>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</si>
  <si>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</si>
  <si>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</si>
  <si>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</si>
  <si>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</si>
  <si>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</si>
  <si>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</si>
  <si>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</si>
  <si>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</si>
  <si>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</si>
  <si>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</si>
  <si>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</si>
  <si>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</si>
  <si>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</si>
  <si>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</si>
  <si>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</si>
  <si>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</si>
  <si>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</si>
  <si>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</si>
  <si>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</si>
  <si>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</si>
  <si>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</si>
  <si>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</si>
  <si>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</si>
  <si>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</si>
  <si>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</si>
  <si>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</si>
  <si>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</si>
  <si>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</si>
  <si>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</si>
  <si>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</si>
  <si>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</si>
  <si>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</si>
  <si>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</si>
  <si>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</si>
  <si>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</si>
  <si>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</si>
  <si>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</si>
  <si>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</si>
  <si>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</si>
  <si>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</si>
  <si>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</si>
  <si>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</si>
  <si>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</si>
  <si>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</si>
  <si>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</si>
  <si>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</si>
  <si>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</si>
  <si>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</si>
  <si>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</si>
  <si>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</si>
  <si>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</si>
  <si>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</si>
  <si>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</si>
  <si>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</si>
  <si>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</si>
  <si>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</si>
  <si>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</si>
  <si>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</si>
  <si>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</si>
  <si>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</si>
  <si>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</si>
  <si>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</si>
  <si>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</si>
  <si>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</si>
  <si>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</si>
  <si>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</si>
  <si>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</si>
  <si>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</si>
  <si>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</si>
  <si>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</si>
  <si>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</si>
  <si>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</si>
  <si>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</si>
  <si>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</si>
  <si>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</si>
  <si>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</si>
  <si>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</si>
  <si>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</si>
  <si>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</si>
  <si>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</si>
  <si>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</si>
  <si>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</si>
  <si>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</si>
  <si>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</si>
  <si>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</si>
  <si>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</si>
  <si>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</si>
  <si>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</si>
  <si>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</si>
  <si>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</si>
  <si>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</si>
  <si>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</si>
  <si>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</si>
  <si>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</si>
  <si>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</si>
  <si>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</si>
  <si>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</si>
  <si>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</si>
  <si>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</si>
  <si>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</si>
  <si>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</si>
  <si>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</si>
  <si>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</si>
  <si>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</si>
  <si>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</si>
  <si>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</si>
  <si>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</si>
  <si>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</si>
  <si>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</si>
  <si>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</si>
  <si>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</si>
  <si>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</si>
  <si>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</si>
  <si>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</si>
  <si>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</si>
  <si>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</si>
  <si>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</si>
  <si>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</si>
  <si>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</si>
  <si>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</si>
  <si>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</si>
  <si>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</si>
  <si>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</si>
  <si>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</si>
  <si>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</si>
  <si>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</si>
  <si>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</si>
  <si>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</si>
  <si>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</si>
  <si>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</si>
  <si>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</si>
  <si>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</si>
  <si>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</si>
  <si>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</si>
  <si>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</si>
  <si>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</si>
  <si>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</si>
  <si>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</si>
  <si>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</si>
  <si>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</si>
  <si>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</si>
  <si>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</si>
  <si>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</si>
  <si>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</si>
  <si>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</si>
  <si>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</si>
  <si>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</si>
  <si>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</si>
  <si>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</si>
  <si>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</si>
  <si>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</si>
  <si>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</si>
  <si>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</si>
  <si>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</si>
  <si>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</si>
  <si>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</si>
  <si>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</si>
  <si>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</si>
  <si>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</si>
  <si>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</si>
  <si>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</si>
  <si>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</si>
  <si>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</si>
  <si>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</si>
  <si>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</si>
  <si>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</si>
  <si>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</si>
  <si>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</si>
  <si>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</si>
  <si>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</si>
  <si>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</si>
  <si>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</si>
  <si>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</si>
  <si>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</si>
  <si>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</si>
  <si>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</si>
  <si>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</si>
  <si>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</si>
  <si>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</si>
  <si>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</si>
  <si>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</si>
  <si>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</si>
  <si>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</si>
  <si>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</si>
  <si>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</si>
  <si>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</si>
  <si>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</si>
  <si>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</si>
  <si>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</si>
  <si>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</si>
  <si>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</si>
  <si>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</si>
  <si>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</si>
  <si>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</si>
  <si>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</si>
  <si>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</si>
  <si>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</si>
  <si>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</si>
  <si>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</si>
  <si>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</si>
  <si>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</si>
  <si>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</si>
  <si>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</si>
  <si>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</si>
  <si>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</si>
  <si>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</si>
  <si>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</si>
  <si>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</si>
  <si>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</si>
  <si>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</si>
  <si>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</si>
  <si>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</si>
  <si>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</si>
  <si>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</si>
  <si>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</si>
  <si>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</si>
  <si>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</si>
  <si>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</si>
  <si>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</si>
  <si>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</si>
  <si>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</si>
  <si>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</si>
  <si>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</si>
  <si>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</si>
  <si>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</si>
  <si>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</si>
  <si>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</si>
  <si>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</si>
  <si>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</si>
  <si>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</si>
  <si>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</si>
  <si>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</si>
  <si>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</si>
  <si>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</si>
  <si>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</si>
  <si>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</si>
  <si>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</si>
  <si>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</si>
  <si>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</si>
  <si>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</si>
  <si>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</si>
  <si>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</si>
  <si>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</si>
  <si>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</si>
  <si>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</si>
  <si>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</si>
  <si>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</si>
  <si>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</si>
  <si>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</si>
  <si>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</si>
  <si>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</si>
  <si>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</si>
  <si>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</si>
  <si>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</si>
  <si>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</si>
  <si>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</si>
  <si>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</si>
  <si>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</si>
  <si>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</si>
  <si>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</si>
  <si>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</si>
  <si>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</si>
  <si>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</si>
  <si>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</si>
  <si>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</si>
  <si>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</si>
  <si>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</si>
  <si>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</si>
  <si>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</si>
  <si>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</si>
  <si>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</si>
  <si>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</si>
  <si>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</si>
  <si>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</si>
  <si>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</si>
  <si>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</si>
  <si>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</si>
  <si>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</si>
  <si>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</si>
  <si>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</si>
  <si>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</si>
  <si>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</si>
  <si>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</si>
  <si>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</si>
  <si>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</si>
  <si>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</si>
  <si>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</si>
  <si>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</si>
  <si>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</si>
  <si>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</si>
  <si>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</si>
  <si>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</si>
  <si>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</si>
  <si>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</si>
  <si>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</si>
  <si>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</si>
  <si>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</si>
  <si>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</si>
  <si>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</si>
  <si>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</si>
  <si>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</si>
  <si>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</si>
  <si>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</si>
  <si>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Комунальна</t>
  </si>
  <si>
    <t>Міські, районні у містах ради та їх виконавчі органи</t>
  </si>
  <si>
    <t>без десяткових знаків</t>
  </si>
  <si>
    <t>792-17-19</t>
  </si>
  <si>
    <t>1000/1</t>
  </si>
  <si>
    <t>1000/2</t>
  </si>
  <si>
    <t>1000/3</t>
  </si>
  <si>
    <t>використання електропор,електромонтажні роботи,випробування засобів захисту</t>
  </si>
  <si>
    <t>1018/1</t>
  </si>
  <si>
    <t>Зв'язок</t>
  </si>
  <si>
    <t>Вода, опалення, електроенергія на виробничі потреби</t>
  </si>
  <si>
    <t>1018/2</t>
  </si>
  <si>
    <t>1018/3</t>
  </si>
  <si>
    <t>1018/4</t>
  </si>
  <si>
    <t>1018/5</t>
  </si>
  <si>
    <t>1018/6</t>
  </si>
  <si>
    <t>1018/7</t>
  </si>
  <si>
    <t>1018/8</t>
  </si>
  <si>
    <t>1018/9</t>
  </si>
  <si>
    <t>Використання електромереж, технічна перевірка лічильників</t>
  </si>
  <si>
    <t>Повірка інструментів</t>
  </si>
  <si>
    <t>Послуги з приєднання до електричних мереж</t>
  </si>
  <si>
    <t>Підвищення кваліфікації</t>
  </si>
  <si>
    <t>1018/10</t>
  </si>
  <si>
    <t>1018/11</t>
  </si>
  <si>
    <t>1018/12</t>
  </si>
  <si>
    <t>1018/13</t>
  </si>
  <si>
    <t>1018/14</t>
  </si>
  <si>
    <t>1018/15</t>
  </si>
  <si>
    <t>1018/16</t>
  </si>
  <si>
    <t>1018/17</t>
  </si>
  <si>
    <t>1018/18</t>
  </si>
  <si>
    <t>Інформаційні послуги</t>
  </si>
  <si>
    <t>Витрати на страхування транспортних засобів</t>
  </si>
  <si>
    <t>Нараховані податки (податок на землю, на воду, на радіочастоти)</t>
  </si>
  <si>
    <t>нараховані (сплачені) відсотки банком на РКО</t>
  </si>
  <si>
    <t>1018/19</t>
  </si>
  <si>
    <t>1030/1</t>
  </si>
  <si>
    <t>1030/2</t>
  </si>
  <si>
    <t>1030/3</t>
  </si>
  <si>
    <t>1030/4</t>
  </si>
  <si>
    <t>1030/5</t>
  </si>
  <si>
    <t>1030/6</t>
  </si>
  <si>
    <t>1030/7</t>
  </si>
  <si>
    <t>1030/8</t>
  </si>
  <si>
    <t>визнані штрафи, пені , неустойки</t>
  </si>
  <si>
    <t>розрахункове касове обслуговування</t>
  </si>
  <si>
    <t>податки(земля, вода, радіочастоти)</t>
  </si>
  <si>
    <t>1062/1</t>
  </si>
  <si>
    <t>1062/2</t>
  </si>
  <si>
    <t>1062/3</t>
  </si>
  <si>
    <t>1062/4</t>
  </si>
  <si>
    <t>1062/5</t>
  </si>
  <si>
    <t>1076/1</t>
  </si>
  <si>
    <t>1085/1</t>
  </si>
  <si>
    <t>1085/2</t>
  </si>
  <si>
    <t>1085/3</t>
  </si>
  <si>
    <t>1085/4</t>
  </si>
  <si>
    <t>1085/5</t>
  </si>
  <si>
    <t>1085/6</t>
  </si>
  <si>
    <t>1085/7</t>
  </si>
  <si>
    <t>1085/8</t>
  </si>
  <si>
    <t>1085/9</t>
  </si>
  <si>
    <t>1085/10</t>
  </si>
  <si>
    <t>1085/11</t>
  </si>
  <si>
    <t>1085/12</t>
  </si>
  <si>
    <t>1085/13</t>
  </si>
  <si>
    <t>1085/14</t>
  </si>
  <si>
    <t>1085/15</t>
  </si>
  <si>
    <t>1085/16</t>
  </si>
  <si>
    <t>судові витрати</t>
  </si>
  <si>
    <t>проведення мед. огляду</t>
  </si>
  <si>
    <t>нестачі і втрати від псування ціностей</t>
  </si>
  <si>
    <t>отримання витягів  та виписок  для участі у тендері</t>
  </si>
  <si>
    <t>Ритуальні послуги</t>
  </si>
  <si>
    <t xml:space="preserve">Амортизація </t>
  </si>
  <si>
    <t>1150/1</t>
  </si>
  <si>
    <t>1150/2</t>
  </si>
  <si>
    <t>знос об'єктів зовнішнього освітлення</t>
  </si>
  <si>
    <t>1160/1</t>
  </si>
  <si>
    <t>1160/2</t>
  </si>
  <si>
    <t>1160/3</t>
  </si>
  <si>
    <t>передача автомобіля згідно рішення</t>
  </si>
  <si>
    <t xml:space="preserve">нестачі та втрати від псування цінностей  та мобілізаційні перерахування пенсійного фонду </t>
  </si>
  <si>
    <t>профспілкові 2,5% кульмасові роботи</t>
  </si>
  <si>
    <t>2147/1</t>
  </si>
  <si>
    <t>Військовий збір</t>
  </si>
  <si>
    <t>3270/1</t>
  </si>
  <si>
    <t>3270/2</t>
  </si>
  <si>
    <t>транспортні засоби</t>
  </si>
  <si>
    <t>обладнання для матеріально-технічної бази</t>
  </si>
  <si>
    <t>3290/1</t>
  </si>
  <si>
    <t>програма обліку світлоточок</t>
  </si>
  <si>
    <t>3480/1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</si>
  <si>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</si>
  <si>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3570/1</t>
  </si>
  <si>
    <t>3570/2</t>
  </si>
  <si>
    <t>Короткострокова кредиторська заборгованість</t>
  </si>
  <si>
    <t>зменшення додаткового капіталу</t>
  </si>
  <si>
    <t>Опель Вектра</t>
  </si>
  <si>
    <t>службові відрядження</t>
  </si>
  <si>
    <t>Автопослуги та ремонт транспортних зсобів</t>
  </si>
  <si>
    <t>Собівартість реалізованих активів (провід, кабель)</t>
  </si>
  <si>
    <t>ритуальні послуги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</si>
  <si>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</si>
  <si>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</si>
  <si>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</si>
  <si>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1018/20</t>
  </si>
  <si>
    <t>1018/21</t>
  </si>
  <si>
    <t>1018/22</t>
  </si>
  <si>
    <t>Нарахування резерву відпусток (з відрахуванням на соціальні заходи)</t>
  </si>
  <si>
    <t>1018/23</t>
  </si>
  <si>
    <t>1018/24</t>
  </si>
  <si>
    <t>Поточний ремонт, утримання та технічне обслуговування зовнішнього освітлення субпідрядником</t>
  </si>
  <si>
    <t>Дохід залишків матеріальних цінностей при інвентарізації</t>
  </si>
  <si>
    <t>1030/9</t>
  </si>
  <si>
    <t>1062/6</t>
  </si>
  <si>
    <t>1160/5</t>
  </si>
  <si>
    <t>розробка тезнічної документації</t>
  </si>
  <si>
    <t>запаси</t>
  </si>
  <si>
    <t>3050/1</t>
  </si>
  <si>
    <t>3050/2</t>
  </si>
  <si>
    <t>3050/3</t>
  </si>
  <si>
    <t>дебіторська заборгованість</t>
  </si>
  <si>
    <t>витрати майбутніх періодів</t>
  </si>
  <si>
    <t>кредиторська заборгованість за товари, роботи, послуги</t>
  </si>
  <si>
    <t>інші поточні зобв'язання</t>
  </si>
  <si>
    <t>1018/25</t>
  </si>
  <si>
    <t>1018/26</t>
  </si>
  <si>
    <t>1018/27</t>
  </si>
  <si>
    <t>3030/1</t>
  </si>
  <si>
    <t>3030/2</t>
  </si>
  <si>
    <t>3030/3</t>
  </si>
  <si>
    <t>Коригування на суму амортизації</t>
  </si>
  <si>
    <t>коригування на суму непрокитого збитку</t>
  </si>
  <si>
    <t xml:space="preserve">Ремонт та технічне обслуговування транспортних засобів, інструментальний контроль, технічна діагностика, витрати на паливо </t>
  </si>
  <si>
    <t>інші оборотні активи</t>
  </si>
  <si>
    <t>3050/4</t>
  </si>
  <si>
    <t>3061/1</t>
  </si>
  <si>
    <t>3061/2</t>
  </si>
  <si>
    <t>3270/3</t>
  </si>
  <si>
    <t>Комунальне підприємство "Міськсвітло" Дніпровської міської ради</t>
  </si>
  <si>
    <t>Придбання (виготовлення) основних засобів (мережі зовнішнього освітлення)</t>
  </si>
  <si>
    <t>Придбання (виготовлення) основних засобів (транспортні засоби)</t>
  </si>
  <si>
    <t>Підписка, службові відрядження, експлуатація приміщення, канцтовари</t>
  </si>
  <si>
    <t>Ремонт та технічне обслуговування транспортних засобів</t>
  </si>
  <si>
    <t>1085/17</t>
  </si>
  <si>
    <t>1085/18</t>
  </si>
  <si>
    <t>Спецодяг</t>
  </si>
  <si>
    <t>електроенергія, водопостачання</t>
  </si>
  <si>
    <t>Списання необоротніх активів недоамортизованої суми, ПММ</t>
  </si>
  <si>
    <t xml:space="preserve">КП "Міськсвітло" </t>
  </si>
  <si>
    <t>03341598</t>
  </si>
  <si>
    <t>Охорона праці (дезинфекція, вивезення ТПВ, спецодяг)</t>
  </si>
  <si>
    <t>Визнані (нараховані) штрафи, пені, неустойки</t>
  </si>
  <si>
    <t xml:space="preserve">Собівартість металолому </t>
  </si>
  <si>
    <t>1085/19</t>
  </si>
  <si>
    <t>1085/20</t>
  </si>
  <si>
    <t>Списання недоамартизованої суми демонтованих та оприбуткованих для подальшого використання необоротних активів</t>
  </si>
  <si>
    <t>3290/2</t>
  </si>
  <si>
    <t>Шкода Рапід</t>
  </si>
  <si>
    <t xml:space="preserve">Оцінка мереж зовнішнього освітлення </t>
  </si>
  <si>
    <t>1018/28</t>
  </si>
  <si>
    <t>Освітлювальне обладнання по вул. Набережна Перемоги (р-н скверу Прибрежний)</t>
  </si>
  <si>
    <t>33.14</t>
  </si>
  <si>
    <t>Ремонт та технічне обслуговування електричного устаткування</t>
  </si>
  <si>
    <t>Утилізація ламп, опор</t>
  </si>
  <si>
    <t>Списання недоамортизованих активів</t>
  </si>
  <si>
    <t>1018/29</t>
  </si>
  <si>
    <t>1018/30</t>
  </si>
  <si>
    <t>1018/31</t>
  </si>
  <si>
    <t>дохід від демонтажу електромереж зовнішнього освітлення</t>
  </si>
  <si>
    <t>Дохід від реалізації металобрухту (безкоштовно переданий)</t>
  </si>
  <si>
    <t>1085/21</t>
  </si>
  <si>
    <t>Послуги з утримання та технічного обслуговування об’єктів вуличного освітлення міста</t>
  </si>
  <si>
    <t>Послуги з поточного ремонту мереж зовнішнього освітлення (ДСТУ Б.Д.1.1-1:2013)</t>
  </si>
  <si>
    <t xml:space="preserve">Придбання (створення) нематеріальних активів </t>
  </si>
  <si>
    <t>страхування транспортних засобів та працівників</t>
  </si>
  <si>
    <t xml:space="preserve">Придбання (виготовлення) інших необоротних матеріальних активів </t>
  </si>
  <si>
    <t>кульмасові роботи</t>
  </si>
  <si>
    <t>Інші виплати працівникам підприємства (лікарняні 5днів, матеріальна допомога, компенсації за відпустки, разові премії</t>
  </si>
  <si>
    <t>Втрати від знецінення запасів</t>
  </si>
  <si>
    <t>1018/32</t>
  </si>
  <si>
    <t>1018/33</t>
  </si>
  <si>
    <t>ДП "Оператор ринку" - фіксований платіж</t>
  </si>
  <si>
    <t>Суборенда приміщення</t>
  </si>
  <si>
    <t>Дохід від переданих безкоштовно активів</t>
  </si>
  <si>
    <t>3061/3</t>
  </si>
  <si>
    <t>доходи майбутніх періодів</t>
  </si>
  <si>
    <t>3030/4</t>
  </si>
  <si>
    <t>отримані на баланс ОЗ</t>
  </si>
  <si>
    <t>Директор</t>
  </si>
  <si>
    <t>зменшення боргу розрахунків за електроенергію міста</t>
  </si>
  <si>
    <t>3061/4</t>
  </si>
  <si>
    <t>внески органів місцевого самоврядування до статуного капіталу</t>
  </si>
  <si>
    <t>Медичне добровільне страхування працівників</t>
  </si>
  <si>
    <t>Розподіл електроенергії</t>
  </si>
  <si>
    <t>Обов'язкове страхування транспортних засобів</t>
  </si>
  <si>
    <t>Нараховано зобов'язання на страховий випадок</t>
  </si>
  <si>
    <t>відшкодування витрат за реактивну електроенергію та розподіл електричної енергії</t>
  </si>
  <si>
    <t>Оплата за арендовані мережі, оренда приміщення</t>
  </si>
  <si>
    <t>1062/7</t>
  </si>
  <si>
    <t>Олександр ОЛЕФІРЕНКО</t>
  </si>
  <si>
    <t xml:space="preserve">Послуги з поточного ремонту мереж зовнішнього освітлення </t>
  </si>
  <si>
    <t>-</t>
  </si>
  <si>
    <t>Ремонт та обслуговування оргтехніки, ОЗ</t>
  </si>
  <si>
    <t>Невикористаний резерв відпусток, та ЕСВ на нього</t>
  </si>
  <si>
    <t xml:space="preserve">Компенсаційне ПДВ на використання в негосподаській діяльності </t>
  </si>
  <si>
    <t>канцтовари, бланки</t>
  </si>
  <si>
    <t>Реалізація матеріалів робітникам підприємства</t>
  </si>
  <si>
    <t>Матеріали використані в негосподарській діяльності</t>
  </si>
  <si>
    <t>1018/34</t>
  </si>
  <si>
    <t>1018/35</t>
  </si>
  <si>
    <t>1085/22</t>
  </si>
  <si>
    <t>1085/23</t>
  </si>
  <si>
    <t>1018/36</t>
  </si>
  <si>
    <t>49111, м. Дніпро, вул. Шинна, 26</t>
  </si>
  <si>
    <t>Ремонт обладанння, будівель (виконавчого пункту, генератора)</t>
  </si>
  <si>
    <t>Списання шин, акумуляторів</t>
  </si>
  <si>
    <t>1018/37</t>
  </si>
  <si>
    <t>Перший заступник директора</t>
  </si>
  <si>
    <t>Ремонт основних засобів будівельні матеріали, тех. Інвентиразація</t>
  </si>
  <si>
    <t>Січовий Микола Юрійович</t>
  </si>
  <si>
    <t>Оцінка майна</t>
  </si>
  <si>
    <t>1018/38</t>
  </si>
  <si>
    <t>1150/3</t>
  </si>
  <si>
    <t>Дохід від відшкодування страхового випадку</t>
  </si>
  <si>
    <t>списані основні засоби</t>
  </si>
  <si>
    <t>Штраф за несвоєчасне подання ПН</t>
  </si>
  <si>
    <t>Списання податкового кредиту, відшкодованого на р/р по ршенню суду, списання сумнівної заборгованості</t>
  </si>
  <si>
    <t xml:space="preserve">                  </t>
  </si>
  <si>
    <t>незавершені капітальні інвестиції</t>
  </si>
  <si>
    <t>3030/5</t>
  </si>
  <si>
    <t>за І квартал 2024 рік</t>
  </si>
  <si>
    <t>Таблиця VI. Інформація до фінансового плану за І квартал 2024 року</t>
  </si>
  <si>
    <t>Службові відрядження, маршрутні листи, траспортно-експедиторські послуги, компенсація витрат матеріалів та відпускних працівникам п-ва згідно кол. договора</t>
  </si>
  <si>
    <t>Судовий збір</t>
  </si>
  <si>
    <t>Підрядні послуги (обслуговування генераторів у пунктах незламності)</t>
  </si>
  <si>
    <t>Дохід сума ПДВ кредиту повернута шляхом взаємозаліком</t>
  </si>
  <si>
    <t>Дохід оприбутковано відшкодування по нестачі</t>
  </si>
  <si>
    <t>витрати на утримання основних фондів, інших необоротних активів загальногосподарського використання</t>
  </si>
  <si>
    <t>Компенсаційне ПДВ по страховому випадку</t>
  </si>
  <si>
    <t>Взаємозалік по відшкодуваню податкового кредиту</t>
  </si>
  <si>
    <t>Компенсаційне ПДВ по матеріалам використаним в негосподарській діяльності</t>
  </si>
  <si>
    <t>1160/4</t>
  </si>
  <si>
    <t>Реконструкція зовнішнього освітлення площі Успенська у м.Дніпро</t>
  </si>
  <si>
    <t xml:space="preserve">      Загальна інформація про підприємство (резюме) КП "Міськсвітло" створено до наказу Міністра комунального господарства України від 13 грудня 1956р. №276 та рішення виконавчого комітету Дніпропетровської міської ради від 3 листопада 1956 року та зареєстрованим № 515 від 16.06.1992рр.(реєстраційний №2930 від 16.06.1992р.) ідентифікаційний код 03341598. Фонд оплати праці фактично 8804,0 тис. гривень. Середньомісячна заробітна плата фактично 22065,16 гривень. Середньооблікова кількість усіх працівників в еквіваленті повної зайнятості за 1 квартал 2024 року - 133 особи, у тому числі  АУП - 22 особи.</t>
  </si>
  <si>
    <t>збільшення додаткового капіталу</t>
  </si>
  <si>
    <t>3480/2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</si>
</sst>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#,##0.000"/>
    <numFmt numFmtId="179" formatCode="#,##0.0000"/>
    <numFmt numFmtId="180" formatCode="#,##0.00000"/>
  </numFmts>
  <fonts count="9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66">
    <xf numFmtId="0" fontId="0" fillId="0" borderId="0" xfId="0"/>
    <xf numFmtId="0" fontId="64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/>
    </xf>
    <xf numFmtId="3" fontId="65" fillId="0" borderId="3" xfId="0" applyNumberFormat="1" applyFont="1" applyBorder="1" applyAlignment="1">
      <alignment horizontal="center" vertical="center" wrapText="1"/>
    </xf>
    <xf numFmtId="0" fontId="70" fillId="0" borderId="0" xfId="0" applyFont="1" applyAlignment="1">
      <alignment vertical="center"/>
    </xf>
    <xf numFmtId="0" fontId="65" fillId="0" borderId="3" xfId="0" applyFont="1" applyBorder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left" vertical="center" wrapText="1" shrinkToFit="1"/>
    </xf>
    <xf numFmtId="0" fontId="68" fillId="0" borderId="0" xfId="0" applyFont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8" fillId="0" borderId="15" xfId="0" applyFont="1" applyBorder="1" applyAlignment="1">
      <alignment horizontal="left" vertical="center" wrapText="1"/>
    </xf>
    <xf numFmtId="0" fontId="65" fillId="0" borderId="3" xfId="0" applyFont="1" applyBorder="1" applyAlignment="1">
      <alignment horizontal="center" vertical="center" wrapText="1" shrinkToFit="1"/>
    </xf>
    <xf numFmtId="169" fontId="68" fillId="0" borderId="0" xfId="0" applyNumberFormat="1" applyFont="1" applyAlignment="1">
      <alignment horizontal="right" vertical="center" wrapText="1"/>
    </xf>
    <xf numFmtId="3" fontId="65" fillId="0" borderId="3" xfId="0" applyNumberFormat="1" applyFont="1" applyBorder="1" applyAlignment="1">
      <alignment horizontal="center" vertical="center" wrapText="1" shrinkToFit="1"/>
    </xf>
    <xf numFmtId="0" fontId="65" fillId="0" borderId="15" xfId="0" applyFont="1" applyBorder="1" applyAlignment="1">
      <alignment vertical="center"/>
    </xf>
    <xf numFmtId="0" fontId="65" fillId="0" borderId="15" xfId="0" applyFont="1" applyBorder="1" applyAlignment="1">
      <alignment horizontal="center" vertical="center"/>
    </xf>
    <xf numFmtId="170" fontId="72" fillId="0" borderId="3" xfId="0" applyNumberFormat="1" applyFont="1" applyBorder="1" applyAlignment="1">
      <alignment horizontal="center" vertical="center" wrapText="1"/>
    </xf>
    <xf numFmtId="169" fontId="68" fillId="0" borderId="0" xfId="0" applyNumberFormat="1" applyFont="1" applyAlignment="1">
      <alignment horizontal="right" vertical="center"/>
    </xf>
    <xf numFmtId="0" fontId="66" fillId="0" borderId="0" xfId="0" applyFont="1" applyAlignment="1">
      <alignment vertical="center"/>
    </xf>
    <xf numFmtId="0" fontId="66" fillId="0" borderId="0" xfId="0" applyFont="1"/>
    <xf numFmtId="0" fontId="66" fillId="0" borderId="0" xfId="0" applyFont="1" applyAlignment="1">
      <alignment horizontal="center" vertical="center"/>
    </xf>
    <xf numFmtId="0" fontId="65" fillId="0" borderId="3" xfId="0" applyFont="1" applyBorder="1"/>
    <xf numFmtId="0" fontId="68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vertical="center" wrapText="1" shrinkToFit="1"/>
    </xf>
    <xf numFmtId="0" fontId="67" fillId="0" borderId="0" xfId="0" applyFont="1" applyAlignment="1">
      <alignment vertical="center"/>
    </xf>
    <xf numFmtId="0" fontId="73" fillId="0" borderId="0" xfId="0" applyFont="1" applyAlignment="1">
      <alignment horizontal="left" vertical="center"/>
    </xf>
    <xf numFmtId="169" fontId="73" fillId="0" borderId="0" xfId="0" applyNumberFormat="1" applyFont="1" applyAlignment="1">
      <alignment horizontal="right" vertical="center"/>
    </xf>
    <xf numFmtId="0" fontId="70" fillId="0" borderId="3" xfId="182" applyFont="1" applyFill="1" applyBorder="1" applyAlignment="1">
      <alignment horizontal="left" vertical="center" wrapText="1"/>
      <protection locked="0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80" fillId="0" borderId="0" xfId="0" applyFont="1" applyAlignment="1">
      <alignment vertical="center"/>
    </xf>
    <xf numFmtId="0" fontId="65" fillId="0" borderId="0" xfId="0" quotePrefix="1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81" fillId="0" borderId="3" xfId="182" applyFont="1" applyFill="1" applyBorder="1" applyAlignment="1">
      <alignment horizontal="left" vertical="center" wrapText="1"/>
      <protection locked="0"/>
    </xf>
    <xf numFmtId="0" fontId="65" fillId="29" borderId="0" xfId="0" applyFont="1" applyFill="1" applyAlignment="1">
      <alignment vertical="center"/>
    </xf>
    <xf numFmtId="0" fontId="65" fillId="29" borderId="0" xfId="0" applyFont="1" applyFill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/>
    </xf>
    <xf numFmtId="0" fontId="65" fillId="29" borderId="0" xfId="0" applyFont="1" applyFill="1"/>
    <xf numFmtId="0" fontId="65" fillId="29" borderId="0" xfId="0" applyFont="1" applyFill="1" applyAlignment="1">
      <alignment horizontal="left" vertical="center" wrapText="1" shrinkToFit="1"/>
    </xf>
    <xf numFmtId="0" fontId="65" fillId="29" borderId="14" xfId="0" applyFont="1" applyFill="1" applyBorder="1" applyAlignment="1">
      <alignment horizontal="center" vertical="center"/>
    </xf>
    <xf numFmtId="49" fontId="65" fillId="29" borderId="0" xfId="0" applyNumberFormat="1" applyFont="1" applyFill="1" applyAlignment="1">
      <alignment horizontal="center" vertical="center" wrapText="1"/>
    </xf>
    <xf numFmtId="49" fontId="65" fillId="29" borderId="0" xfId="0" applyNumberFormat="1" applyFont="1" applyFill="1" applyAlignment="1">
      <alignment horizontal="left" vertical="center" wrapText="1"/>
    </xf>
    <xf numFmtId="0" fontId="65" fillId="29" borderId="0" xfId="0" applyFont="1" applyFill="1" applyAlignment="1">
      <alignment horizontal="right" vertical="center"/>
    </xf>
    <xf numFmtId="1" fontId="65" fillId="29" borderId="0" xfId="0" applyNumberFormat="1" applyFont="1" applyFill="1" applyAlignment="1">
      <alignment horizontal="center" vertical="center"/>
    </xf>
    <xf numFmtId="0" fontId="68" fillId="29" borderId="0" xfId="0" applyFont="1" applyFill="1" applyAlignment="1">
      <alignment horizontal="center" vertical="center"/>
    </xf>
    <xf numFmtId="0" fontId="68" fillId="29" borderId="0" xfId="0" applyFont="1" applyFill="1" applyAlignment="1">
      <alignment vertical="center"/>
    </xf>
    <xf numFmtId="49" fontId="65" fillId="29" borderId="3" xfId="0" applyNumberFormat="1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left" vertical="center"/>
    </xf>
    <xf numFmtId="0" fontId="68" fillId="29" borderId="0" xfId="0" applyFont="1" applyFill="1" applyAlignment="1">
      <alignment horizontal="right" vertical="center"/>
    </xf>
    <xf numFmtId="170" fontId="65" fillId="29" borderId="0" xfId="0" applyNumberFormat="1" applyFont="1" applyFill="1" applyAlignment="1">
      <alignment vertical="center"/>
    </xf>
    <xf numFmtId="0" fontId="68" fillId="29" borderId="15" xfId="0" applyFont="1" applyFill="1" applyBorder="1" applyAlignment="1">
      <alignment horizontal="left" vertical="center" wrapText="1"/>
    </xf>
    <xf numFmtId="170" fontId="68" fillId="29" borderId="0" xfId="0" applyNumberFormat="1" applyFont="1" applyFill="1" applyAlignment="1">
      <alignment horizontal="center" vertical="center" wrapText="1"/>
    </xf>
    <xf numFmtId="0" fontId="68" fillId="29" borderId="0" xfId="0" applyFont="1" applyFill="1" applyAlignment="1">
      <alignment horizontal="left" vertical="center"/>
    </xf>
    <xf numFmtId="0" fontId="65" fillId="29" borderId="15" xfId="0" applyFont="1" applyFill="1" applyBorder="1" applyAlignment="1">
      <alignment horizontal="center" vertical="center"/>
    </xf>
    <xf numFmtId="170" fontId="65" fillId="29" borderId="3" xfId="0" applyNumberFormat="1" applyFont="1" applyFill="1" applyBorder="1" applyAlignment="1">
      <alignment horizontal="center" vertical="center" wrapText="1"/>
    </xf>
    <xf numFmtId="169" fontId="68" fillId="29" borderId="0" xfId="0" applyNumberFormat="1" applyFont="1" applyFill="1" applyAlignment="1">
      <alignment horizontal="right" vertical="center"/>
    </xf>
    <xf numFmtId="0" fontId="66" fillId="29" borderId="0" xfId="0" applyFont="1" applyFill="1" applyAlignment="1">
      <alignment vertical="center"/>
    </xf>
    <xf numFmtId="169" fontId="73" fillId="29" borderId="0" xfId="0" applyNumberFormat="1" applyFont="1" applyFill="1" applyAlignment="1">
      <alignment horizontal="right" vertical="center"/>
    </xf>
    <xf numFmtId="0" fontId="65" fillId="29" borderId="0" xfId="0" applyFont="1" applyFill="1" applyAlignment="1">
      <alignment vertical="center" wrapText="1" shrinkToFit="1"/>
    </xf>
    <xf numFmtId="169" fontId="68" fillId="29" borderId="0" xfId="0" applyNumberFormat="1" applyFont="1" applyFill="1" applyAlignment="1">
      <alignment horizontal="center" vertical="center" wrapText="1"/>
    </xf>
    <xf numFmtId="170" fontId="68" fillId="29" borderId="0" xfId="0" applyNumberFormat="1" applyFont="1" applyFill="1" applyAlignment="1">
      <alignment horizontal="center" vertical="center"/>
    </xf>
    <xf numFmtId="0" fontId="65" fillId="29" borderId="15" xfId="0" applyFont="1" applyFill="1" applyBorder="1" applyAlignment="1">
      <alignment vertical="center"/>
    </xf>
    <xf numFmtId="170" fontId="72" fillId="29" borderId="3" xfId="0" applyNumberFormat="1" applyFont="1" applyFill="1" applyBorder="1" applyAlignment="1">
      <alignment horizontal="center" vertical="center" wrapText="1"/>
    </xf>
    <xf numFmtId="170" fontId="68" fillId="29" borderId="0" xfId="0" applyNumberFormat="1" applyFont="1" applyFill="1" applyAlignment="1">
      <alignment vertical="center"/>
    </xf>
    <xf numFmtId="0" fontId="68" fillId="0" borderId="0" xfId="0" applyFont="1" applyAlignment="1">
      <alignment vertical="center"/>
    </xf>
    <xf numFmtId="0" fontId="65" fillId="0" borderId="0" xfId="0" applyFont="1" applyAlignment="1">
      <alignment horizontal="left" vertical="center" wrapText="1"/>
    </xf>
    <xf numFmtId="49" fontId="65" fillId="0" borderId="0" xfId="0" applyNumberFormat="1" applyFont="1" applyAlignment="1">
      <alignment horizontal="center" vertical="center" wrapText="1"/>
    </xf>
    <xf numFmtId="1" fontId="65" fillId="0" borderId="0" xfId="0" applyNumberFormat="1" applyFont="1" applyAlignment="1">
      <alignment horizontal="center" vertical="center"/>
    </xf>
    <xf numFmtId="170" fontId="65" fillId="0" borderId="0" xfId="0" applyNumberFormat="1" applyFont="1" applyAlignment="1">
      <alignment vertical="center"/>
    </xf>
    <xf numFmtId="3" fontId="65" fillId="0" borderId="0" xfId="0" applyNumberFormat="1" applyFont="1" applyAlignment="1">
      <alignment horizontal="center" vertical="center" wrapText="1"/>
    </xf>
    <xf numFmtId="170" fontId="65" fillId="0" borderId="0" xfId="0" applyNumberFormat="1" applyFont="1" applyAlignment="1">
      <alignment horizontal="center" vertical="center" wrapText="1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right" vertical="center"/>
    </xf>
    <xf numFmtId="0" fontId="80" fillId="0" borderId="0" xfId="0" applyFont="1" applyFill="1" applyAlignment="1">
      <alignment vertical="center"/>
    </xf>
    <xf numFmtId="0" fontId="80" fillId="0" borderId="0" xfId="0" applyFont="1" applyFill="1" applyAlignment="1">
      <alignment horizontal="center" vertical="center" wrapText="1"/>
    </xf>
    <xf numFmtId="0" fontId="79" fillId="0" borderId="0" xfId="0" applyFont="1" applyFill="1" applyAlignment="1">
      <alignment vertical="center"/>
    </xf>
    <xf numFmtId="0" fontId="81" fillId="0" borderId="3" xfId="0" applyFont="1" applyFill="1" applyBorder="1" applyAlignment="1">
      <alignment horizontal="left" vertical="center" wrapText="1"/>
    </xf>
    <xf numFmtId="0" fontId="81" fillId="0" borderId="3" xfId="0" quotePrefix="1" applyFont="1" applyFill="1" applyBorder="1" applyAlignment="1">
      <alignment horizontal="center" vertical="center"/>
    </xf>
    <xf numFmtId="3" fontId="81" fillId="0" borderId="3" xfId="0" quotePrefix="1" applyNumberFormat="1" applyFont="1" applyFill="1" applyBorder="1" applyAlignment="1">
      <alignment horizontal="center" vertical="center" wrapText="1"/>
    </xf>
    <xf numFmtId="170" fontId="81" fillId="0" borderId="3" xfId="0" quotePrefix="1" applyNumberFormat="1" applyFont="1" applyFill="1" applyBorder="1" applyAlignment="1">
      <alignment horizontal="center" vertical="center" wrapText="1"/>
    </xf>
    <xf numFmtId="49" fontId="84" fillId="0" borderId="3" xfId="0" applyNumberFormat="1" applyFont="1" applyFill="1" applyBorder="1" applyAlignment="1">
      <alignment vertical="center" wrapText="1"/>
    </xf>
    <xf numFmtId="1" fontId="81" fillId="0" borderId="3" xfId="0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21" xfId="0" applyFont="1" applyFill="1" applyBorder="1" applyAlignment="1">
      <alignment horizontal="left" vertical="center" wrapText="1"/>
    </xf>
    <xf numFmtId="49" fontId="81" fillId="0" borderId="3" xfId="0" applyNumberFormat="1" applyFont="1" applyFill="1" applyBorder="1" applyAlignment="1">
      <alignment vertical="center" wrapText="1"/>
    </xf>
    <xf numFmtId="49" fontId="84" fillId="0" borderId="3" xfId="0" quotePrefix="1" applyNumberFormat="1" applyFont="1" applyFill="1" applyBorder="1" applyAlignment="1">
      <alignment horizontal="left" vertical="center" wrapText="1"/>
    </xf>
    <xf numFmtId="3" fontId="81" fillId="0" borderId="3" xfId="0" applyNumberFormat="1" applyFont="1" applyFill="1" applyBorder="1" applyAlignment="1">
      <alignment horizontal="center" vertical="center" wrapText="1"/>
    </xf>
    <xf numFmtId="49" fontId="81" fillId="0" borderId="3" xfId="0" applyNumberFormat="1" applyFont="1" applyFill="1" applyBorder="1" applyAlignment="1">
      <alignment horizontal="left" vertical="center" wrapText="1"/>
    </xf>
    <xf numFmtId="170" fontId="81" fillId="0" borderId="3" xfId="0" applyNumberFormat="1" applyFont="1" applyFill="1" applyBorder="1" applyAlignment="1">
      <alignment horizontal="center" vertical="center" wrapText="1"/>
    </xf>
    <xf numFmtId="49" fontId="84" fillId="0" borderId="3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 wrapText="1"/>
    </xf>
    <xf numFmtId="0" fontId="81" fillId="0" borderId="20" xfId="0" applyFont="1" applyFill="1" applyBorder="1" applyAlignment="1">
      <alignment horizontal="left" vertical="center" wrapText="1"/>
    </xf>
    <xf numFmtId="0" fontId="83" fillId="0" borderId="3" xfId="0" applyFont="1" applyFill="1" applyBorder="1" applyAlignment="1">
      <alignment horizontal="left" vertical="center" wrapText="1"/>
    </xf>
    <xf numFmtId="0" fontId="83" fillId="0" borderId="3" xfId="0" quotePrefix="1" applyFont="1" applyFill="1" applyBorder="1" applyAlignment="1">
      <alignment horizontal="center" vertical="center"/>
    </xf>
    <xf numFmtId="3" fontId="83" fillId="0" borderId="3" xfId="0" quotePrefix="1" applyNumberFormat="1" applyFont="1" applyFill="1" applyBorder="1" applyAlignment="1">
      <alignment horizontal="center" vertical="center" wrapText="1"/>
    </xf>
    <xf numFmtId="170" fontId="83" fillId="0" borderId="3" xfId="0" quotePrefix="1" applyNumberFormat="1" applyFont="1" applyFill="1" applyBorder="1" applyAlignment="1">
      <alignment horizontal="center" vertical="center" wrapText="1"/>
    </xf>
    <xf numFmtId="49" fontId="83" fillId="0" borderId="3" xfId="0" quotePrefix="1" applyNumberFormat="1" applyFont="1" applyFill="1" applyBorder="1" applyAlignment="1">
      <alignment horizontal="left" vertical="center" wrapText="1"/>
    </xf>
    <xf numFmtId="49" fontId="81" fillId="0" borderId="3" xfId="0" quotePrefix="1" applyNumberFormat="1" applyFont="1" applyFill="1" applyBorder="1" applyAlignment="1">
      <alignment horizontal="left" vertical="center" wrapText="1"/>
    </xf>
    <xf numFmtId="0" fontId="81" fillId="0" borderId="19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 shrinkToFit="1"/>
    </xf>
    <xf numFmtId="0" fontId="81" fillId="0" borderId="3" xfId="0" applyFont="1" applyFill="1" applyBorder="1" applyAlignment="1" applyProtection="1">
      <alignment horizontal="left" vertical="center" wrapText="1"/>
      <protection locked="0"/>
    </xf>
    <xf numFmtId="0" fontId="81" fillId="0" borderId="3" xfId="0" applyFont="1" applyFill="1" applyBorder="1" applyAlignment="1">
      <alignment horizontal="center"/>
    </xf>
    <xf numFmtId="0" fontId="81" fillId="0" borderId="3" xfId="0" quotePrefix="1" applyFont="1" applyFill="1" applyBorder="1" applyAlignment="1">
      <alignment horizontal="center"/>
    </xf>
    <xf numFmtId="0" fontId="83" fillId="0" borderId="3" xfId="0" quotePrefix="1" applyFont="1" applyFill="1" applyBorder="1" applyAlignment="1">
      <alignment horizontal="center"/>
    </xf>
    <xf numFmtId="0" fontId="79" fillId="0" borderId="0" xfId="0" applyFont="1" applyFill="1" applyAlignment="1">
      <alignment horizontal="left" vertical="center" wrapText="1"/>
    </xf>
    <xf numFmtId="0" fontId="79" fillId="0" borderId="0" xfId="0" quotePrefix="1" applyFont="1" applyFill="1" applyAlignment="1">
      <alignment horizontal="center"/>
    </xf>
    <xf numFmtId="0" fontId="79" fillId="0" borderId="0" xfId="0" applyFont="1" applyFill="1" applyAlignment="1">
      <alignment horizontal="center" vertical="top"/>
    </xf>
    <xf numFmtId="0" fontId="69" fillId="0" borderId="0" xfId="0" applyFont="1" applyFill="1" applyAlignment="1">
      <alignment horizontal="center" vertical="center" wrapText="1"/>
    </xf>
    <xf numFmtId="0" fontId="65" fillId="0" borderId="0" xfId="0" quotePrefix="1" applyFont="1" applyFill="1" applyAlignment="1">
      <alignment horizontal="center" vertical="center"/>
    </xf>
    <xf numFmtId="3" fontId="65" fillId="0" borderId="0" xfId="0" applyNumberFormat="1" applyFont="1" applyFill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65" fillId="0" borderId="0" xfId="0" applyFont="1" applyFill="1" applyAlignment="1">
      <alignment vertical="center" wrapText="1"/>
    </xf>
    <xf numFmtId="3" fontId="65" fillId="0" borderId="3" xfId="245" applyNumberFormat="1" applyFont="1" applyFill="1" applyBorder="1" applyAlignment="1">
      <alignment horizontal="center" vertical="center" wrapText="1"/>
    </xf>
    <xf numFmtId="0" fontId="65" fillId="0" borderId="0" xfId="245" applyFont="1" applyFill="1" applyAlignment="1">
      <alignment vertical="center"/>
    </xf>
    <xf numFmtId="0" fontId="65" fillId="0" borderId="0" xfId="245" applyFont="1" applyFill="1" applyAlignment="1">
      <alignment horizontal="center" vertic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8" fillId="0" borderId="0" xfId="245" applyFont="1" applyFill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3" fontId="65" fillId="0" borderId="0" xfId="245" applyNumberFormat="1" applyFont="1" applyFill="1" applyAlignment="1">
      <alignment vertical="center"/>
    </xf>
    <xf numFmtId="170" fontId="65" fillId="0" borderId="3" xfId="245" applyNumberFormat="1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68" fillId="0" borderId="3" xfId="245" applyFont="1" applyFill="1" applyBorder="1" applyAlignment="1">
      <alignment horizontal="center" vertical="center"/>
    </xf>
    <xf numFmtId="3" fontId="68" fillId="0" borderId="3" xfId="245" applyNumberFormat="1" applyFont="1" applyFill="1" applyBorder="1" applyAlignment="1">
      <alignment horizontal="center" vertical="center" wrapText="1"/>
    </xf>
    <xf numFmtId="0" fontId="68" fillId="0" borderId="0" xfId="245" applyFont="1" applyFill="1" applyAlignment="1">
      <alignment horizontal="center" vertical="center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Alignment="1">
      <alignment horizontal="left" vertical="center" wrapText="1"/>
    </xf>
    <xf numFmtId="0" fontId="68" fillId="0" borderId="0" xfId="0" applyFont="1" applyFill="1" applyAlignment="1">
      <alignment horizontal="center" vertical="center" wrapText="1"/>
    </xf>
    <xf numFmtId="0" fontId="65" fillId="0" borderId="0" xfId="245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9" fillId="0" borderId="0" xfId="245" applyFont="1" applyFill="1"/>
    <xf numFmtId="0" fontId="5" fillId="0" borderId="3" xfId="0" quotePrefix="1" applyFont="1" applyFill="1" applyBorder="1" applyAlignment="1">
      <alignment horizontal="center" vertical="center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6" fillId="0" borderId="0" xfId="0" applyFont="1" applyFill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Fill="1" applyAlignment="1">
      <alignment vertical="center"/>
    </xf>
    <xf numFmtId="0" fontId="65" fillId="0" borderId="3" xfId="0" quotePrefix="1" applyFont="1" applyFill="1" applyBorder="1" applyAlignment="1">
      <alignment horizontal="center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0" fontId="68" fillId="0" borderId="0" xfId="0" applyFont="1" applyFill="1" applyAlignment="1">
      <alignment vertical="center"/>
    </xf>
    <xf numFmtId="0" fontId="65" fillId="0" borderId="3" xfId="237" applyFont="1" applyFill="1" applyBorder="1" applyAlignment="1">
      <alignment horizontal="center" vertical="center"/>
    </xf>
    <xf numFmtId="0" fontId="65" fillId="0" borderId="3" xfId="237" applyFont="1" applyFill="1" applyBorder="1" applyAlignment="1">
      <alignment horizontal="center" vertical="center" wrapText="1"/>
    </xf>
    <xf numFmtId="1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Font="1" applyFill="1" applyBorder="1" applyAlignment="1">
      <alignment horizontal="left" vertical="center" wrapText="1"/>
    </xf>
    <xf numFmtId="0" fontId="65" fillId="0" borderId="3" xfId="237" applyFont="1" applyFill="1" applyBorder="1" applyAlignment="1">
      <alignment horizontal="left" vertical="top" wrapText="1"/>
    </xf>
    <xf numFmtId="179" fontId="65" fillId="0" borderId="3" xfId="237" applyNumberFormat="1" applyFont="1" applyFill="1" applyBorder="1" applyAlignment="1">
      <alignment horizontal="center" vertical="center" wrapText="1"/>
    </xf>
    <xf numFmtId="4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49" fontId="65" fillId="0" borderId="3" xfId="237" applyNumberFormat="1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0" xfId="0" applyFont="1" applyFill="1" applyAlignment="1">
      <alignment horizontal="left" vertical="center" wrapText="1" shrinkToFit="1"/>
    </xf>
    <xf numFmtId="3" fontId="65" fillId="0" borderId="0" xfId="0" applyNumberFormat="1" applyFont="1" applyFill="1" applyAlignment="1">
      <alignment horizontal="center" vertical="center" wrapText="1"/>
    </xf>
    <xf numFmtId="3" fontId="65" fillId="0" borderId="16" xfId="0" applyNumberFormat="1" applyFont="1" applyFill="1" applyBorder="1" applyAlignment="1">
      <alignment vertical="center" wrapText="1"/>
    </xf>
    <xf numFmtId="0" fontId="65" fillId="0" borderId="0" xfId="0" applyFont="1" applyFill="1" applyAlignment="1">
      <alignment horizontal="left" vertical="center"/>
    </xf>
    <xf numFmtId="0" fontId="70" fillId="0" borderId="17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3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" fontId="4" fillId="0" borderId="0" xfId="0" quotePrefix="1" applyNumberFormat="1" applyFont="1" applyFill="1" applyAlignment="1">
      <alignment horizontal="center" vertical="center"/>
    </xf>
    <xf numFmtId="3" fontId="79" fillId="0" borderId="0" xfId="0" applyNumberFormat="1" applyFont="1" applyFill="1" applyAlignment="1">
      <alignment vertical="center"/>
    </xf>
    <xf numFmtId="3" fontId="80" fillId="0" borderId="0" xfId="0" applyNumberFormat="1" applyFont="1" applyFill="1" applyAlignment="1">
      <alignment vertical="center"/>
    </xf>
    <xf numFmtId="0" fontId="79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right" vertical="center"/>
    </xf>
    <xf numFmtId="0" fontId="74" fillId="0" borderId="0" xfId="0" applyFont="1" applyFill="1"/>
    <xf numFmtId="0" fontId="75" fillId="0" borderId="0" xfId="0" applyFont="1" applyFill="1" applyAlignment="1">
      <alignment vertical="center"/>
    </xf>
    <xf numFmtId="0" fontId="70" fillId="0" borderId="0" xfId="0" applyFont="1" applyFill="1" applyAlignment="1">
      <alignment vertical="center" wrapText="1"/>
    </xf>
    <xf numFmtId="0" fontId="70" fillId="0" borderId="14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49" fontId="70" fillId="0" borderId="3" xfId="0" applyNumberFormat="1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179" fontId="70" fillId="0" borderId="3" xfId="0" applyNumberFormat="1" applyFont="1" applyFill="1" applyBorder="1" applyAlignment="1">
      <alignment horizontal="center" vertical="center" wrapText="1"/>
    </xf>
    <xf numFmtId="0" fontId="87" fillId="0" borderId="0" xfId="0" applyFont="1" applyFill="1" applyAlignment="1">
      <alignment vertical="center"/>
    </xf>
    <xf numFmtId="0" fontId="73" fillId="0" borderId="0" xfId="0" applyFont="1" applyFill="1" applyAlignment="1">
      <alignment vertical="center"/>
    </xf>
    <xf numFmtId="0" fontId="70" fillId="0" borderId="0" xfId="0" applyFont="1" applyFill="1" applyAlignment="1">
      <alignment horizontal="left" vertical="center" wrapText="1"/>
    </xf>
    <xf numFmtId="0" fontId="70" fillId="0" borderId="0" xfId="0" quotePrefix="1" applyFont="1" applyFill="1" applyAlignment="1">
      <alignment horizontal="center" vertical="center"/>
    </xf>
    <xf numFmtId="0" fontId="89" fillId="0" borderId="0" xfId="0" applyFont="1" applyFill="1" applyAlignment="1">
      <alignment vertical="center"/>
    </xf>
    <xf numFmtId="0" fontId="90" fillId="0" borderId="3" xfId="245" applyFont="1" applyFill="1" applyBorder="1" applyAlignment="1">
      <alignment horizontal="left" vertical="center" wrapText="1"/>
    </xf>
    <xf numFmtId="3" fontId="90" fillId="0" borderId="3" xfId="0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68" fillId="0" borderId="0" xfId="245" applyFont="1" applyFill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left" vertical="center"/>
    </xf>
    <xf numFmtId="178" fontId="70" fillId="0" borderId="3" xfId="0" applyNumberFormat="1" applyFont="1" applyFill="1" applyBorder="1" applyAlignment="1">
      <alignment horizontal="center" vertical="center" wrapText="1"/>
    </xf>
    <xf numFmtId="180" fontId="70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quotePrefix="1" applyFont="1" applyFill="1" applyAlignment="1">
      <alignment horizontal="center" vertical="center"/>
    </xf>
    <xf numFmtId="170" fontId="5" fillId="0" borderId="0" xfId="0" quotePrefix="1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88" fillId="0" borderId="0" xfId="0" applyFont="1" applyFill="1" applyAlignment="1">
      <alignment vertical="center"/>
    </xf>
    <xf numFmtId="1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/>
    </xf>
    <xf numFmtId="1" fontId="65" fillId="0" borderId="3" xfId="0" applyNumberFormat="1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77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4" fillId="0" borderId="17" xfId="0" applyFont="1" applyFill="1" applyBorder="1" applyAlignment="1">
      <alignment horizontal="left" vertical="center" wrapText="1"/>
    </xf>
    <xf numFmtId="0" fontId="73" fillId="0" borderId="3" xfId="237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8" fillId="0" borderId="0" xfId="0" applyFont="1" applyFill="1" applyAlignment="1">
      <alignment horizontal="left" vertical="center" wrapText="1"/>
    </xf>
    <xf numFmtId="0" fontId="70" fillId="0" borderId="0" xfId="0" applyFont="1" applyFill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0" xfId="0" applyFont="1" applyFill="1" applyAlignment="1">
      <alignment horizontal="center" vertical="center"/>
    </xf>
    <xf numFmtId="0" fontId="70" fillId="0" borderId="3" xfId="245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left" vertical="center" wrapText="1"/>
    </xf>
    <xf numFmtId="0" fontId="83" fillId="0" borderId="14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7" xfId="0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left" vertical="center"/>
    </xf>
    <xf numFmtId="0" fontId="79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81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0" fontId="82" fillId="0" borderId="0" xfId="0" applyFont="1" applyAlignment="1">
      <alignment horizontal="left" vertical="center" wrapText="1"/>
    </xf>
    <xf numFmtId="0" fontId="65" fillId="0" borderId="0" xfId="0" applyFont="1" applyAlignment="1">
      <alignment horizontal="center" vertical="center"/>
    </xf>
    <xf numFmtId="0" fontId="68" fillId="0" borderId="0" xfId="237" applyFont="1" applyAlignment="1">
      <alignment horizontal="center" vertical="center" wrapText="1"/>
    </xf>
    <xf numFmtId="0" fontId="65" fillId="0" borderId="13" xfId="237" applyFont="1" applyFill="1" applyBorder="1" applyAlignment="1">
      <alignment horizontal="center" vertical="center" wrapText="1"/>
    </xf>
    <xf numFmtId="0" fontId="65" fillId="0" borderId="21" xfId="237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center" vertical="center" wrapText="1"/>
    </xf>
    <xf numFmtId="0" fontId="5" fillId="29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29" borderId="14" xfId="0" applyFont="1" applyFill="1" applyBorder="1" applyAlignment="1">
      <alignment horizontal="center" vertical="center"/>
    </xf>
    <xf numFmtId="0" fontId="65" fillId="29" borderId="18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6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8" fillId="29" borderId="0" xfId="0" applyFont="1" applyFill="1" applyAlignment="1">
      <alignment horizontal="center" vertical="center"/>
    </xf>
    <xf numFmtId="0" fontId="65" fillId="29" borderId="18" xfId="0" applyFont="1" applyFill="1" applyBorder="1" applyAlignment="1">
      <alignment horizontal="center" vertical="center" wrapText="1"/>
    </xf>
    <xf numFmtId="49" fontId="65" fillId="29" borderId="3" xfId="0" applyNumberFormat="1" applyFont="1" applyFill="1" applyBorder="1" applyAlignment="1">
      <alignment horizontal="left" vertical="center" wrapText="1"/>
    </xf>
    <xf numFmtId="49" fontId="65" fillId="29" borderId="14" xfId="0" applyNumberFormat="1" applyFont="1" applyFill="1" applyBorder="1" applyAlignment="1">
      <alignment horizontal="center" vertical="center" wrapText="1"/>
    </xf>
    <xf numFmtId="49" fontId="65" fillId="29" borderId="18" xfId="0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49" fontId="65" fillId="29" borderId="16" xfId="0" applyNumberFormat="1" applyFont="1" applyFill="1" applyBorder="1" applyAlignment="1">
      <alignment horizontal="right" vertical="center" wrapText="1"/>
    </xf>
    <xf numFmtId="49" fontId="65" fillId="29" borderId="0" xfId="0" applyNumberFormat="1" applyFont="1" applyFill="1" applyAlignment="1">
      <alignment horizontal="righ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Border="1" applyAlignment="1">
      <alignment horizontal="center" vertical="center" wrapText="1"/>
    </xf>
    <xf numFmtId="49" fontId="65" fillId="29" borderId="14" xfId="0" applyNumberFormat="1" applyFont="1" applyFill="1" applyBorder="1" applyAlignment="1">
      <alignment horizontal="left" vertical="center" wrapText="1"/>
    </xf>
    <xf numFmtId="49" fontId="65" fillId="29" borderId="17" xfId="0" applyNumberFormat="1" applyFont="1" applyFill="1" applyBorder="1" applyAlignment="1">
      <alignment horizontal="left" vertical="center" wrapText="1"/>
    </xf>
    <xf numFmtId="3" fontId="65" fillId="0" borderId="14" xfId="0" applyNumberFormat="1" applyFont="1" applyBorder="1" applyAlignment="1">
      <alignment horizontal="center" vertical="center" wrapText="1"/>
    </xf>
    <xf numFmtId="3" fontId="65" fillId="0" borderId="17" xfId="0" applyNumberFormat="1" applyFont="1" applyBorder="1" applyAlignment="1">
      <alignment horizontal="center" vertical="center" wrapText="1"/>
    </xf>
    <xf numFmtId="3" fontId="65" fillId="29" borderId="18" xfId="0" applyNumberFormat="1" applyFont="1" applyFill="1" applyBorder="1" applyAlignment="1">
      <alignment horizontal="center" vertical="center" wrapText="1"/>
    </xf>
    <xf numFmtId="0" fontId="68" fillId="29" borderId="15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left" vertical="center" wrapText="1"/>
    </xf>
    <xf numFmtId="170" fontId="65" fillId="29" borderId="14" xfId="0" applyNumberFormat="1" applyFont="1" applyFill="1" applyBorder="1" applyAlignment="1">
      <alignment horizontal="center" vertical="center" wrapText="1"/>
    </xf>
    <xf numFmtId="170" fontId="65" fillId="29" borderId="17" xfId="0" applyNumberFormat="1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49" fontId="65" fillId="29" borderId="17" xfId="0" applyNumberFormat="1" applyFont="1" applyFill="1" applyBorder="1" applyAlignment="1">
      <alignment horizontal="center" vertical="center" wrapText="1"/>
    </xf>
    <xf numFmtId="0" fontId="65" fillId="0" borderId="14" xfId="0" applyFont="1" applyBorder="1" applyAlignment="1">
      <alignment horizontal="center" vertical="center" wrapText="1"/>
    </xf>
    <xf numFmtId="0" fontId="65" fillId="0" borderId="17" xfId="0" applyFont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justify" vertical="center" wrapText="1" shrinkToFit="1"/>
    </xf>
    <xf numFmtId="0" fontId="65" fillId="29" borderId="0" xfId="0" applyFont="1" applyFill="1" applyAlignment="1">
      <alignment horizontal="right" vertical="center" wrapText="1"/>
    </xf>
    <xf numFmtId="0" fontId="65" fillId="29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2" fontId="65" fillId="29" borderId="13" xfId="0" applyNumberFormat="1" applyFont="1" applyFill="1" applyBorder="1" applyAlignment="1">
      <alignment horizontal="center" vertical="center" wrapText="1"/>
    </xf>
    <xf numFmtId="2" fontId="65" fillId="29" borderId="21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3" fontId="65" fillId="0" borderId="3" xfId="0" applyNumberFormat="1" applyFont="1" applyBorder="1" applyAlignment="1">
      <alignment horizontal="center" vertical="center" wrapText="1" shrinkToFit="1"/>
    </xf>
    <xf numFmtId="0" fontId="65" fillId="0" borderId="3" xfId="0" applyFont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25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3" fontId="65" fillId="0" borderId="14" xfId="0" applyNumberFormat="1" applyFont="1" applyBorder="1" applyAlignment="1">
      <alignment horizontal="center" vertical="center" wrapText="1" shrinkToFit="1"/>
    </xf>
    <xf numFmtId="3" fontId="65" fillId="0" borderId="17" xfId="0" applyNumberFormat="1" applyFont="1" applyBorder="1" applyAlignment="1">
      <alignment horizontal="center" vertical="center" wrapText="1" shrinkToFit="1"/>
    </xf>
    <xf numFmtId="2" fontId="65" fillId="29" borderId="14" xfId="0" applyNumberFormat="1" applyFont="1" applyFill="1" applyBorder="1" applyAlignment="1">
      <alignment horizontal="center" vertical="center" wrapText="1"/>
    </xf>
    <xf numFmtId="2" fontId="65" fillId="29" borderId="18" xfId="0" applyNumberFormat="1" applyFont="1" applyFill="1" applyBorder="1" applyAlignment="1">
      <alignment horizontal="center" vertical="center" wrapText="1"/>
    </xf>
    <xf numFmtId="2" fontId="65" fillId="29" borderId="17" xfId="0" applyNumberFormat="1" applyFont="1" applyFill="1" applyBorder="1" applyAlignment="1">
      <alignment horizontal="center" vertical="center" wrapText="1"/>
    </xf>
    <xf numFmtId="14" fontId="65" fillId="0" borderId="14" xfId="0" applyNumberFormat="1" applyFont="1" applyFill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 wrapText="1" shrinkToFit="1"/>
    </xf>
    <xf numFmtId="0" fontId="65" fillId="0" borderId="22" xfId="0" applyFont="1" applyBorder="1" applyAlignment="1">
      <alignment horizontal="center" vertical="center" wrapText="1" shrinkToFit="1"/>
    </xf>
    <xf numFmtId="0" fontId="65" fillId="0" borderId="21" xfId="0" applyFont="1" applyBorder="1" applyAlignment="1">
      <alignment horizontal="center" vertical="center" wrapText="1" shrinkToFit="1"/>
    </xf>
    <xf numFmtId="0" fontId="70" fillId="0" borderId="25" xfId="0" applyFont="1" applyBorder="1" applyAlignment="1">
      <alignment horizontal="center" vertical="center" wrapText="1" shrinkToFit="1"/>
    </xf>
    <xf numFmtId="0" fontId="70" fillId="0" borderId="16" xfId="0" applyFont="1" applyBorder="1" applyAlignment="1">
      <alignment horizontal="center" vertical="center" wrapText="1" shrinkToFit="1"/>
    </xf>
    <xf numFmtId="0" fontId="70" fillId="0" borderId="23" xfId="0" applyFont="1" applyBorder="1" applyAlignment="1">
      <alignment horizontal="center" vertical="center" wrapText="1" shrinkToFit="1"/>
    </xf>
    <xf numFmtId="0" fontId="70" fillId="0" borderId="27" xfId="0" applyFont="1" applyBorder="1" applyAlignment="1">
      <alignment horizontal="center" vertical="center" wrapText="1" shrinkToFit="1"/>
    </xf>
    <xf numFmtId="0" fontId="70" fillId="0" borderId="0" xfId="0" applyFont="1" applyAlignment="1">
      <alignment horizontal="center" vertical="center" wrapText="1" shrinkToFit="1"/>
    </xf>
    <xf numFmtId="0" fontId="70" fillId="0" borderId="28" xfId="0" applyFont="1" applyBorder="1" applyAlignment="1">
      <alignment horizontal="center" vertical="center" wrapText="1" shrinkToFit="1"/>
    </xf>
    <xf numFmtId="0" fontId="70" fillId="0" borderId="26" xfId="0" applyFont="1" applyBorder="1" applyAlignment="1">
      <alignment horizontal="center" vertical="center" wrapText="1" shrinkToFit="1"/>
    </xf>
    <xf numFmtId="0" fontId="70" fillId="0" borderId="15" xfId="0" applyFont="1" applyBorder="1" applyAlignment="1">
      <alignment horizontal="center" vertical="center" wrapText="1" shrinkToFit="1"/>
    </xf>
    <xf numFmtId="0" fontId="70" fillId="0" borderId="24" xfId="0" applyFont="1" applyBorder="1" applyAlignment="1">
      <alignment horizontal="center" vertical="center" wrapText="1" shrinkToFit="1"/>
    </xf>
    <xf numFmtId="2" fontId="65" fillId="0" borderId="13" xfId="0" applyNumberFormat="1" applyFont="1" applyBorder="1" applyAlignment="1">
      <alignment horizontal="center" vertical="center" wrapText="1"/>
    </xf>
    <xf numFmtId="2" fontId="65" fillId="0" borderId="21" xfId="0" applyNumberFormat="1" applyFont="1" applyBorder="1" applyAlignment="1">
      <alignment horizontal="center" vertical="center" wrapText="1"/>
    </xf>
    <xf numFmtId="49" fontId="65" fillId="0" borderId="3" xfId="0" applyNumberFormat="1" applyFont="1" applyBorder="1" applyAlignment="1">
      <alignment horizontal="left" vertical="center" wrapText="1"/>
    </xf>
    <xf numFmtId="0" fontId="70" fillId="29" borderId="3" xfId="0" applyFont="1" applyFill="1" applyBorder="1" applyAlignment="1">
      <alignment horizontal="center" vertical="center" wrapText="1"/>
    </xf>
    <xf numFmtId="177" fontId="65" fillId="29" borderId="3" xfId="0" applyNumberFormat="1" applyFont="1" applyFill="1" applyBorder="1" applyAlignment="1">
      <alignment horizontal="center" vertical="center" wrapText="1"/>
    </xf>
    <xf numFmtId="0" fontId="65" fillId="0" borderId="14" xfId="0" applyFont="1" applyBorder="1" applyAlignment="1">
      <alignment horizontal="left" vertical="center" wrapText="1" shrinkToFit="1"/>
    </xf>
    <xf numFmtId="0" fontId="65" fillId="0" borderId="18" xfId="0" applyFont="1" applyBorder="1" applyAlignment="1">
      <alignment horizontal="left" vertical="center" wrapText="1" shrinkToFit="1"/>
    </xf>
    <xf numFmtId="0" fontId="65" fillId="0" borderId="17" xfId="0" applyFont="1" applyBorder="1" applyAlignment="1">
      <alignment horizontal="left" vertical="center" wrapText="1" shrinkToFit="1"/>
    </xf>
    <xf numFmtId="0" fontId="70" fillId="0" borderId="25" xfId="0" applyFont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70" fillId="0" borderId="27" xfId="0" applyFont="1" applyBorder="1" applyAlignment="1">
      <alignment horizontal="center" vertical="center" wrapText="1"/>
    </xf>
    <xf numFmtId="0" fontId="70" fillId="0" borderId="28" xfId="0" applyFont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 wrapText="1"/>
    </xf>
    <xf numFmtId="0" fontId="70" fillId="0" borderId="24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 shrinkToFit="1"/>
    </xf>
    <xf numFmtId="0" fontId="70" fillId="29" borderId="3" xfId="0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 wrapText="1"/>
    </xf>
    <xf numFmtId="0" fontId="70" fillId="29" borderId="25" xfId="0" applyFont="1" applyFill="1" applyBorder="1" applyAlignment="1">
      <alignment horizontal="center" vertical="center" wrapText="1"/>
    </xf>
    <xf numFmtId="0" fontId="70" fillId="29" borderId="23" xfId="0" applyFont="1" applyFill="1" applyBorder="1" applyAlignment="1">
      <alignment horizontal="center" vertical="center" wrapText="1"/>
    </xf>
    <xf numFmtId="0" fontId="70" fillId="29" borderId="26" xfId="0" applyFont="1" applyFill="1" applyBorder="1" applyAlignment="1">
      <alignment horizontal="center" vertical="center" wrapText="1"/>
    </xf>
    <xf numFmtId="0" fontId="70" fillId="29" borderId="24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3" fontId="65" fillId="29" borderId="3" xfId="0" applyNumberFormat="1" applyFont="1" applyFill="1" applyBorder="1" applyAlignment="1">
      <alignment horizontal="left" vertical="center" wrapText="1"/>
    </xf>
    <xf numFmtId="0" fontId="65" fillId="0" borderId="14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2" fontId="65" fillId="0" borderId="14" xfId="0" applyNumberFormat="1" applyFont="1" applyBorder="1" applyAlignment="1">
      <alignment horizontal="center" vertical="center" wrapText="1"/>
    </xf>
    <xf numFmtId="2" fontId="65" fillId="0" borderId="18" xfId="0" applyNumberFormat="1" applyFont="1" applyBorder="1" applyAlignment="1">
      <alignment horizontal="center" vertical="center" wrapText="1"/>
    </xf>
    <xf numFmtId="2" fontId="65" fillId="0" borderId="17" xfId="0" applyNumberFormat="1" applyFont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right" vertical="center"/>
    </xf>
    <xf numFmtId="0" fontId="65" fillId="29" borderId="0" xfId="0" applyFont="1" applyFill="1" applyAlignment="1">
      <alignment horizontal="right" vertical="center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65" fillId="0" borderId="14" xfId="0" applyFont="1" applyBorder="1" applyAlignment="1">
      <alignment horizontal="center" vertical="center" wrapText="1" shrinkToFit="1"/>
    </xf>
    <xf numFmtId="0" fontId="65" fillId="0" borderId="17" xfId="0" applyFont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169" fontId="73" fillId="0" borderId="0" xfId="0" applyNumberFormat="1" applyFont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65" fillId="0" borderId="14" xfId="0" applyFont="1" applyBorder="1" applyAlignment="1">
      <alignment horizontal="left"/>
    </xf>
    <xf numFmtId="0" fontId="65" fillId="0" borderId="18" xfId="0" applyFont="1" applyBorder="1" applyAlignment="1">
      <alignment horizontal="left"/>
    </xf>
    <xf numFmtId="0" fontId="65" fillId="0" borderId="17" xfId="0" applyFont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056" name="Line 1">
          <a:extLst>
            <a:ext uri="{FF2B5EF4-FFF2-40B4-BE49-F238E27FC236}">
              <a16:creationId xmlns:a16="http://schemas.microsoft.com/office/drawing/2014/main" id="{00000000-0008-0000-0000-0000387D0000}"/>
            </a:ext>
          </a:extLst>
        </xdr:cNvPr>
        <xdr:cNvSpPr>
          <a:spLocks noChangeShapeType="1"/>
        </xdr:cNvSpPr>
      </xdr:nvSpPr>
      <xdr:spPr bwMode="auto">
        <a:xfrm>
          <a:off x="1352550" y="289655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057" name="Line 2">
          <a:extLst>
            <a:ext uri="{FF2B5EF4-FFF2-40B4-BE49-F238E27FC236}">
              <a16:creationId xmlns:a16="http://schemas.microsoft.com/office/drawing/2014/main" id="{00000000-0008-0000-0000-0000397D0000}"/>
            </a:ext>
          </a:extLst>
        </xdr:cNvPr>
        <xdr:cNvSpPr>
          <a:spLocks noChangeShapeType="1"/>
        </xdr:cNvSpPr>
      </xdr:nvSpPr>
      <xdr:spPr bwMode="auto">
        <a:xfrm>
          <a:off x="6096000" y="2896552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058" name="Line 3">
          <a:extLst>
            <a:ext uri="{FF2B5EF4-FFF2-40B4-BE49-F238E27FC236}">
              <a16:creationId xmlns:a16="http://schemas.microsoft.com/office/drawing/2014/main" id="{00000000-0008-0000-0000-00003A7D0000}"/>
            </a:ext>
          </a:extLst>
        </xdr:cNvPr>
        <xdr:cNvSpPr>
          <a:spLocks noChangeShapeType="1"/>
        </xdr:cNvSpPr>
      </xdr:nvSpPr>
      <xdr:spPr bwMode="auto">
        <a:xfrm>
          <a:off x="10915650" y="2896552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189</xdr:row>
      <xdr:rowOff>0</xdr:rowOff>
    </xdr:from>
    <xdr:to>
      <xdr:col>0</xdr:col>
      <xdr:colOff>4838700</xdr:colOff>
      <xdr:row>189</xdr:row>
      <xdr:rowOff>0</xdr:rowOff>
    </xdr:to>
    <xdr:sp macro="" textlink="">
      <xdr:nvSpPr>
        <xdr:cNvPr id="31076" name="Line 1">
          <a:extLst>
            <a:ext uri="{FF2B5EF4-FFF2-40B4-BE49-F238E27FC236}">
              <a16:creationId xmlns:a16="http://schemas.microsoft.com/office/drawing/2014/main" id="{00000000-0008-0000-0100-000064790000}"/>
            </a:ext>
          </a:extLst>
        </xdr:cNvPr>
        <xdr:cNvSpPr>
          <a:spLocks noChangeShapeType="1"/>
        </xdr:cNvSpPr>
      </xdr:nvSpPr>
      <xdr:spPr bwMode="auto">
        <a:xfrm>
          <a:off x="1295400" y="62531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189</xdr:row>
      <xdr:rowOff>0</xdr:rowOff>
    </xdr:from>
    <xdr:to>
      <xdr:col>4</xdr:col>
      <xdr:colOff>552450</xdr:colOff>
      <xdr:row>189</xdr:row>
      <xdr:rowOff>0</xdr:rowOff>
    </xdr:to>
    <xdr:sp macro="" textlink="">
      <xdr:nvSpPr>
        <xdr:cNvPr id="31077" name="Line 2">
          <a:extLst>
            <a:ext uri="{FF2B5EF4-FFF2-40B4-BE49-F238E27FC236}">
              <a16:creationId xmlns:a16="http://schemas.microsoft.com/office/drawing/2014/main" id="{00000000-0008-0000-0100-000065790000}"/>
            </a:ext>
          </a:extLst>
        </xdr:cNvPr>
        <xdr:cNvSpPr>
          <a:spLocks noChangeShapeType="1"/>
        </xdr:cNvSpPr>
      </xdr:nvSpPr>
      <xdr:spPr bwMode="auto">
        <a:xfrm>
          <a:off x="5619750" y="6253162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189</xdr:row>
      <xdr:rowOff>0</xdr:rowOff>
    </xdr:from>
    <xdr:to>
      <xdr:col>7</xdr:col>
      <xdr:colOff>1619250</xdr:colOff>
      <xdr:row>189</xdr:row>
      <xdr:rowOff>0</xdr:rowOff>
    </xdr:to>
    <xdr:sp macro="" textlink="">
      <xdr:nvSpPr>
        <xdr:cNvPr id="31078" name="Line 3">
          <a:extLst>
            <a:ext uri="{FF2B5EF4-FFF2-40B4-BE49-F238E27FC236}">
              <a16:creationId xmlns:a16="http://schemas.microsoft.com/office/drawing/2014/main" id="{00000000-0008-0000-0100-000066790000}"/>
            </a:ext>
          </a:extLst>
        </xdr:cNvPr>
        <xdr:cNvSpPr>
          <a:spLocks noChangeShapeType="1"/>
        </xdr:cNvSpPr>
      </xdr:nvSpPr>
      <xdr:spPr bwMode="auto">
        <a:xfrm>
          <a:off x="9315450" y="625316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33080" name="Line 1">
          <a:extLst>
            <a:ext uri="{FF2B5EF4-FFF2-40B4-BE49-F238E27FC236}">
              <a16:creationId xmlns:a16="http://schemas.microsoft.com/office/drawing/2014/main" id="{00000000-0008-0000-0200-000038810000}"/>
            </a:ext>
          </a:extLst>
        </xdr:cNvPr>
        <xdr:cNvSpPr>
          <a:spLocks noChangeShapeType="1"/>
        </xdr:cNvSpPr>
      </xdr:nvSpPr>
      <xdr:spPr bwMode="auto">
        <a:xfrm>
          <a:off x="1228725" y="169830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33081" name="Line 2">
          <a:extLst>
            <a:ext uri="{FF2B5EF4-FFF2-40B4-BE49-F238E27FC236}">
              <a16:creationId xmlns:a16="http://schemas.microsoft.com/office/drawing/2014/main" id="{00000000-0008-0000-0200-000039810000}"/>
            </a:ext>
          </a:extLst>
        </xdr:cNvPr>
        <xdr:cNvSpPr>
          <a:spLocks noChangeShapeType="1"/>
        </xdr:cNvSpPr>
      </xdr:nvSpPr>
      <xdr:spPr bwMode="auto">
        <a:xfrm>
          <a:off x="5295900" y="169830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33082" name="Line 3">
          <a:extLst>
            <a:ext uri="{FF2B5EF4-FFF2-40B4-BE49-F238E27FC236}">
              <a16:creationId xmlns:a16="http://schemas.microsoft.com/office/drawing/2014/main" id="{00000000-0008-0000-0200-00003A810000}"/>
            </a:ext>
          </a:extLst>
        </xdr:cNvPr>
        <xdr:cNvSpPr>
          <a:spLocks noChangeShapeType="1"/>
        </xdr:cNvSpPr>
      </xdr:nvSpPr>
      <xdr:spPr bwMode="auto">
        <a:xfrm>
          <a:off x="8439150" y="169830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94</xdr:row>
      <xdr:rowOff>0</xdr:rowOff>
    </xdr:from>
    <xdr:to>
      <xdr:col>0</xdr:col>
      <xdr:colOff>3971925</xdr:colOff>
      <xdr:row>94</xdr:row>
      <xdr:rowOff>0</xdr:rowOff>
    </xdr:to>
    <xdr:sp macro="" textlink="">
      <xdr:nvSpPr>
        <xdr:cNvPr id="34104" name="Line 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>
          <a:spLocks noChangeShapeType="1"/>
        </xdr:cNvSpPr>
      </xdr:nvSpPr>
      <xdr:spPr bwMode="auto">
        <a:xfrm>
          <a:off x="1019175" y="293370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3</xdr:col>
      <xdr:colOff>723900</xdr:colOff>
      <xdr:row>94</xdr:row>
      <xdr:rowOff>0</xdr:rowOff>
    </xdr:to>
    <xdr:sp macro="" textlink="">
      <xdr:nvSpPr>
        <xdr:cNvPr id="34105" name="Line 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>
          <a:spLocks noChangeShapeType="1"/>
        </xdr:cNvSpPr>
      </xdr:nvSpPr>
      <xdr:spPr bwMode="auto">
        <a:xfrm>
          <a:off x="4810125" y="293370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94</xdr:row>
      <xdr:rowOff>0</xdr:rowOff>
    </xdr:from>
    <xdr:to>
      <xdr:col>7</xdr:col>
      <xdr:colOff>38100</xdr:colOff>
      <xdr:row>94</xdr:row>
      <xdr:rowOff>0</xdr:rowOff>
    </xdr:to>
    <xdr:sp macro="" textlink="">
      <xdr:nvSpPr>
        <xdr:cNvPr id="34106" name="Line 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>
          <a:spLocks noChangeShapeType="1"/>
        </xdr:cNvSpPr>
      </xdr:nvSpPr>
      <xdr:spPr bwMode="auto">
        <a:xfrm>
          <a:off x="7477125" y="293370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35128" name="Line 1">
          <a:extLst>
            <a:ext uri="{FF2B5EF4-FFF2-40B4-BE49-F238E27FC236}">
              <a16:creationId xmlns:a16="http://schemas.microsoft.com/office/drawing/2014/main" id="{00000000-0008-0000-0400-000038890000}"/>
            </a:ext>
          </a:extLst>
        </xdr:cNvPr>
        <xdr:cNvSpPr>
          <a:spLocks noChangeShapeType="1"/>
        </xdr:cNvSpPr>
      </xdr:nvSpPr>
      <xdr:spPr bwMode="auto">
        <a:xfrm>
          <a:off x="1019175" y="84867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35129" name="Line 2">
          <a:extLst>
            <a:ext uri="{FF2B5EF4-FFF2-40B4-BE49-F238E27FC236}">
              <a16:creationId xmlns:a16="http://schemas.microsoft.com/office/drawing/2014/main" id="{00000000-0008-0000-0400-000039890000}"/>
            </a:ext>
          </a:extLst>
        </xdr:cNvPr>
        <xdr:cNvSpPr>
          <a:spLocks noChangeShapeType="1"/>
        </xdr:cNvSpPr>
      </xdr:nvSpPr>
      <xdr:spPr bwMode="auto">
        <a:xfrm>
          <a:off x="4724400" y="84867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35130" name="Line 3">
          <a:extLst>
            <a:ext uri="{FF2B5EF4-FFF2-40B4-BE49-F238E27FC236}">
              <a16:creationId xmlns:a16="http://schemas.microsoft.com/office/drawing/2014/main" id="{00000000-0008-0000-0400-00003A890000}"/>
            </a:ext>
          </a:extLst>
        </xdr:cNvPr>
        <xdr:cNvSpPr>
          <a:spLocks noChangeShapeType="1"/>
        </xdr:cNvSpPr>
      </xdr:nvSpPr>
      <xdr:spPr bwMode="auto">
        <a:xfrm>
          <a:off x="7667625" y="8486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36152" name="Line 1">
          <a:extLst>
            <a:ext uri="{FF2B5EF4-FFF2-40B4-BE49-F238E27FC236}">
              <a16:creationId xmlns:a16="http://schemas.microsoft.com/office/drawing/2014/main" id="{00000000-0008-0000-0500-0000388D0000}"/>
            </a:ext>
          </a:extLst>
        </xdr:cNvPr>
        <xdr:cNvSpPr>
          <a:spLocks noChangeShapeType="1"/>
        </xdr:cNvSpPr>
      </xdr:nvSpPr>
      <xdr:spPr bwMode="auto">
        <a:xfrm>
          <a:off x="1485900" y="18059400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36153" name="Line 2">
          <a:extLst>
            <a:ext uri="{FF2B5EF4-FFF2-40B4-BE49-F238E27FC236}">
              <a16:creationId xmlns:a16="http://schemas.microsoft.com/office/drawing/2014/main" id="{00000000-0008-0000-0500-0000398D0000}"/>
            </a:ext>
          </a:extLst>
        </xdr:cNvPr>
        <xdr:cNvSpPr>
          <a:spLocks noChangeShapeType="1"/>
        </xdr:cNvSpPr>
      </xdr:nvSpPr>
      <xdr:spPr bwMode="auto">
        <a:xfrm>
          <a:off x="6696075" y="1805940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36154" name="Line 3">
          <a:extLst>
            <a:ext uri="{FF2B5EF4-FFF2-40B4-BE49-F238E27FC236}">
              <a16:creationId xmlns:a16="http://schemas.microsoft.com/office/drawing/2014/main" id="{00000000-0008-0000-0500-00003A8D0000}"/>
            </a:ext>
          </a:extLst>
        </xdr:cNvPr>
        <xdr:cNvSpPr>
          <a:spLocks noChangeShapeType="1"/>
        </xdr:cNvSpPr>
      </xdr:nvSpPr>
      <xdr:spPr bwMode="auto">
        <a:xfrm>
          <a:off x="9858375" y="18059400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0</xdr:rowOff>
    </xdr:from>
    <xdr:to>
      <xdr:col>9</xdr:col>
      <xdr:colOff>266700</xdr:colOff>
      <xdr:row>58</xdr:row>
      <xdr:rowOff>0</xdr:rowOff>
    </xdr:to>
    <xdr:sp macro="" textlink="">
      <xdr:nvSpPr>
        <xdr:cNvPr id="37176" name="Line 1">
          <a:extLst>
            <a:ext uri="{FF2B5EF4-FFF2-40B4-BE49-F238E27FC236}">
              <a16:creationId xmlns:a16="http://schemas.microsoft.com/office/drawing/2014/main" id="{00000000-0008-0000-0700-000038910000}"/>
            </a:ext>
          </a:extLst>
        </xdr:cNvPr>
        <xdr:cNvSpPr>
          <a:spLocks noChangeShapeType="1"/>
        </xdr:cNvSpPr>
      </xdr:nvSpPr>
      <xdr:spPr bwMode="auto">
        <a:xfrm>
          <a:off x="2552700" y="17230725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58</xdr:row>
      <xdr:rowOff>0</xdr:rowOff>
    </xdr:from>
    <xdr:to>
      <xdr:col>19</xdr:col>
      <xdr:colOff>800100</xdr:colOff>
      <xdr:row>58</xdr:row>
      <xdr:rowOff>0</xdr:rowOff>
    </xdr:to>
    <xdr:sp macro="" textlink="">
      <xdr:nvSpPr>
        <xdr:cNvPr id="37177" name="Line 2">
          <a:extLst>
            <a:ext uri="{FF2B5EF4-FFF2-40B4-BE49-F238E27FC236}">
              <a16:creationId xmlns:a16="http://schemas.microsoft.com/office/drawing/2014/main" id="{00000000-0008-0000-0700-000039910000}"/>
            </a:ext>
          </a:extLst>
        </xdr:cNvPr>
        <xdr:cNvSpPr>
          <a:spLocks noChangeShapeType="1"/>
        </xdr:cNvSpPr>
      </xdr:nvSpPr>
      <xdr:spPr bwMode="auto">
        <a:xfrm flipV="1">
          <a:off x="9858375" y="17230725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58</xdr:row>
      <xdr:rowOff>0</xdr:rowOff>
    </xdr:from>
    <xdr:to>
      <xdr:col>31</xdr:col>
      <xdr:colOff>904875</xdr:colOff>
      <xdr:row>58</xdr:row>
      <xdr:rowOff>0</xdr:rowOff>
    </xdr:to>
    <xdr:sp macro="" textlink="">
      <xdr:nvSpPr>
        <xdr:cNvPr id="37178" name="Line 3">
          <a:extLst>
            <a:ext uri="{FF2B5EF4-FFF2-40B4-BE49-F238E27FC236}">
              <a16:creationId xmlns:a16="http://schemas.microsoft.com/office/drawing/2014/main" id="{00000000-0008-0000-0700-00003A910000}"/>
            </a:ext>
          </a:extLst>
        </xdr:cNvPr>
        <xdr:cNvSpPr>
          <a:spLocks noChangeShapeType="1"/>
        </xdr:cNvSpPr>
      </xdr:nvSpPr>
      <xdr:spPr bwMode="auto">
        <a:xfrm>
          <a:off x="20802600" y="172307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попер_роз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4"/>
      <sheetName val="L10"/>
      <sheetName val="KOEF"/>
      <sheetName val="База"/>
      <sheetName val="попер_ро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  <sheetName val="Правила ДДС"/>
      <sheetName val="_ф3"/>
      <sheetName val="_Ф4"/>
      <sheetName val="_Ф5"/>
      <sheetName val="Ф7_цены"/>
      <sheetName val="Ф8_цены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база  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  <sheetName val="попер_роз"/>
      <sheetName val="Inform"/>
      <sheetName val="Лист1"/>
      <sheetName val="МТР все 2"/>
      <sheetName val="МТР_Газ_України"/>
      <sheetName val="Assumptions and 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Inform"/>
      <sheetName val="база  "/>
      <sheetName val="Лист1"/>
      <sheetName val="МТР все 2"/>
      <sheetName val="МТР_Газ_України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  <sheetName val="МТР Газ Україн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  <sheetName val="7  Інші витрати"/>
      <sheetName val="812"/>
      <sheetName val="Ф2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  <sheetName val="Inform"/>
      <sheetName val="МТР Газ України"/>
      <sheetName val="BGVN1"/>
      <sheetName val="д17-1"/>
      <sheetName val="Лист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Правила ДДС"/>
      <sheetName val="7  інші витрати"/>
      <sheetName val="1993"/>
      <sheetName val="п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  <sheetName val="МТР Газ України"/>
      <sheetName val="7  Інші витрати"/>
      <sheetName val="скрыть"/>
      <sheetName val="попер_роз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  <sheetName val="до викупа"/>
      <sheetName val="gdp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Ener "/>
      <sheetName val="додаток 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банк"/>
      <sheetName val="дез"/>
      <sheetName val="связь"/>
      <sheetName val="компод"/>
      <sheetName val="пож"/>
      <sheetName val="проезд"/>
      <sheetName val="страх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gdp"/>
      <sheetName val="7  інші витрати"/>
      <sheetName val="Ener "/>
      <sheetName val="1993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  <sheetName val="7  інші витрат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  <sheetName val="gdp"/>
      <sheetName val="7  інші витрати"/>
      <sheetName val="com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Ener "/>
      <sheetName val="ТРП"/>
      <sheetName val="Current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zoomScale="60" zoomScaleNormal="60" workbookViewId="0">
      <selection activeCell="T58" sqref="T58"/>
    </sheetView>
  </sheetViews>
  <sheetFormatPr defaultColWidth="9.1796875" defaultRowHeight="23"/>
  <cols>
    <col min="1" max="1" width="72.54296875" style="122" customWidth="1"/>
    <col min="2" max="2" width="17.1796875" style="189" customWidth="1"/>
    <col min="3" max="4" width="25.26953125" style="189" customWidth="1"/>
    <col min="5" max="5" width="23.453125" style="189" customWidth="1"/>
    <col min="6" max="6" width="23.81640625" style="189" customWidth="1"/>
    <col min="7" max="7" width="22.453125" style="189" customWidth="1"/>
    <col min="8" max="8" width="10" style="122" customWidth="1"/>
    <col min="9" max="9" width="9.54296875" style="122" customWidth="1"/>
    <col min="10" max="16384" width="9.1796875" style="122"/>
  </cols>
  <sheetData>
    <row r="1" spans="1:11" ht="23.25" customHeight="1">
      <c r="B1" s="199"/>
      <c r="D1" s="122"/>
      <c r="E1" s="122" t="s">
        <v>237</v>
      </c>
      <c r="F1" s="122"/>
      <c r="G1" s="122"/>
      <c r="H1" s="200"/>
      <c r="I1" s="200"/>
      <c r="J1" s="200"/>
      <c r="K1" s="200"/>
    </row>
    <row r="2" spans="1:11" ht="18.75" customHeight="1">
      <c r="A2" s="201"/>
      <c r="D2" s="202"/>
      <c r="E2" s="261" t="s">
        <v>354</v>
      </c>
      <c r="F2" s="261"/>
      <c r="G2" s="261"/>
      <c r="H2" s="200"/>
      <c r="I2" s="200"/>
      <c r="J2" s="200"/>
      <c r="K2" s="200"/>
    </row>
    <row r="3" spans="1:11" ht="18.75" customHeight="1">
      <c r="A3" s="189"/>
      <c r="C3" s="202"/>
      <c r="D3" s="202"/>
      <c r="E3" s="261"/>
      <c r="F3" s="261"/>
      <c r="G3" s="261"/>
      <c r="H3" s="200"/>
      <c r="I3" s="200"/>
      <c r="J3" s="200"/>
      <c r="K3" s="200"/>
    </row>
    <row r="4" spans="1:11" ht="18.75" customHeight="1">
      <c r="A4" s="189"/>
      <c r="C4" s="202"/>
      <c r="D4" s="202"/>
      <c r="E4" s="261"/>
      <c r="F4" s="261"/>
      <c r="G4" s="261"/>
      <c r="H4" s="200"/>
      <c r="I4" s="200"/>
      <c r="J4" s="200"/>
      <c r="K4" s="200"/>
    </row>
    <row r="5" spans="1:11" ht="71.25" customHeight="1">
      <c r="E5" s="262"/>
      <c r="F5" s="262"/>
      <c r="G5" s="262"/>
    </row>
    <row r="6" spans="1:11" ht="25.5" customHeight="1">
      <c r="A6" s="203"/>
      <c r="B6" s="250"/>
      <c r="C6" s="250"/>
      <c r="D6" s="250"/>
      <c r="E6" s="182"/>
      <c r="F6" s="204" t="s">
        <v>136</v>
      </c>
      <c r="G6" s="82" t="s">
        <v>258</v>
      </c>
    </row>
    <row r="7" spans="1:11" ht="25.5" customHeight="1">
      <c r="A7" s="205" t="s">
        <v>14</v>
      </c>
      <c r="B7" s="250" t="s">
        <v>538</v>
      </c>
      <c r="C7" s="250"/>
      <c r="D7" s="250"/>
      <c r="E7" s="183"/>
      <c r="F7" s="206" t="s">
        <v>129</v>
      </c>
      <c r="G7" s="207" t="s">
        <v>539</v>
      </c>
    </row>
    <row r="8" spans="1:11" ht="25.5" customHeight="1">
      <c r="A8" s="203" t="s">
        <v>15</v>
      </c>
      <c r="B8" s="250" t="s">
        <v>387</v>
      </c>
      <c r="C8" s="250"/>
      <c r="D8" s="250"/>
      <c r="E8" s="182"/>
      <c r="F8" s="206" t="s">
        <v>128</v>
      </c>
      <c r="G8" s="82"/>
    </row>
    <row r="9" spans="1:11" ht="25.5" customHeight="1">
      <c r="A9" s="203" t="s">
        <v>19</v>
      </c>
      <c r="B9" s="250"/>
      <c r="C9" s="250"/>
      <c r="D9" s="250"/>
      <c r="E9" s="182"/>
      <c r="F9" s="206" t="s">
        <v>127</v>
      </c>
      <c r="G9" s="82">
        <v>1210136600</v>
      </c>
    </row>
    <row r="10" spans="1:11" ht="25.5" customHeight="1">
      <c r="A10" s="205" t="s">
        <v>378</v>
      </c>
      <c r="B10" s="250" t="s">
        <v>388</v>
      </c>
      <c r="C10" s="250"/>
      <c r="D10" s="250"/>
      <c r="E10" s="268"/>
      <c r="F10" s="206" t="s">
        <v>9</v>
      </c>
      <c r="G10" s="82">
        <v>1009</v>
      </c>
    </row>
    <row r="11" spans="1:11" ht="25.5" customHeight="1">
      <c r="A11" s="205" t="s">
        <v>17</v>
      </c>
      <c r="B11" s="250"/>
      <c r="C11" s="250"/>
      <c r="D11" s="250"/>
      <c r="E11" s="183"/>
      <c r="F11" s="206" t="s">
        <v>8</v>
      </c>
      <c r="G11" s="82">
        <v>90219</v>
      </c>
    </row>
    <row r="12" spans="1:11" ht="48.75" customHeight="1">
      <c r="A12" s="205" t="s">
        <v>16</v>
      </c>
      <c r="B12" s="250" t="s">
        <v>552</v>
      </c>
      <c r="C12" s="250"/>
      <c r="D12" s="250"/>
      <c r="E12" s="268"/>
      <c r="F12" s="206" t="s">
        <v>10</v>
      </c>
      <c r="G12" s="82" t="s">
        <v>551</v>
      </c>
    </row>
    <row r="13" spans="1:11" ht="25.5" customHeight="1">
      <c r="A13" s="205" t="s">
        <v>325</v>
      </c>
      <c r="B13" s="250" t="s">
        <v>389</v>
      </c>
      <c r="C13" s="250"/>
      <c r="D13" s="250"/>
      <c r="E13" s="250" t="s">
        <v>191</v>
      </c>
      <c r="F13" s="268"/>
      <c r="G13" s="208"/>
    </row>
    <row r="14" spans="1:11" ht="25.5" customHeight="1">
      <c r="A14" s="205" t="s">
        <v>20</v>
      </c>
      <c r="B14" s="250" t="s">
        <v>387</v>
      </c>
      <c r="C14" s="250"/>
      <c r="D14" s="250"/>
      <c r="E14" s="250" t="s">
        <v>192</v>
      </c>
      <c r="F14" s="251"/>
      <c r="G14" s="208"/>
    </row>
    <row r="15" spans="1:11" ht="25.5" customHeight="1">
      <c r="A15" s="205" t="s">
        <v>103</v>
      </c>
      <c r="B15" s="250">
        <v>133</v>
      </c>
      <c r="C15" s="250"/>
      <c r="D15" s="250"/>
      <c r="E15" s="184"/>
      <c r="F15" s="184"/>
      <c r="G15" s="184"/>
    </row>
    <row r="16" spans="1:11" ht="25.5" customHeight="1">
      <c r="A16" s="203" t="s">
        <v>11</v>
      </c>
      <c r="B16" s="250" t="s">
        <v>603</v>
      </c>
      <c r="C16" s="250"/>
      <c r="D16" s="250"/>
      <c r="E16" s="185"/>
      <c r="F16" s="185"/>
      <c r="G16" s="185"/>
    </row>
    <row r="17" spans="1:17" ht="25.5" customHeight="1">
      <c r="A17" s="205" t="s">
        <v>12</v>
      </c>
      <c r="B17" s="250" t="s">
        <v>390</v>
      </c>
      <c r="C17" s="250"/>
      <c r="D17" s="250"/>
      <c r="E17" s="184"/>
      <c r="F17" s="184"/>
      <c r="G17" s="184"/>
    </row>
    <row r="18" spans="1:17" ht="25.5" customHeight="1">
      <c r="A18" s="203" t="s">
        <v>13</v>
      </c>
      <c r="B18" s="250" t="s">
        <v>609</v>
      </c>
      <c r="C18" s="250"/>
      <c r="D18" s="250"/>
      <c r="E18" s="185"/>
      <c r="F18" s="185"/>
      <c r="G18" s="185"/>
    </row>
    <row r="19" spans="1:17" ht="13.5" customHeight="1">
      <c r="A19" s="187"/>
      <c r="B19" s="122"/>
      <c r="C19" s="122"/>
      <c r="D19" s="122"/>
      <c r="E19" s="122"/>
      <c r="F19" s="122"/>
      <c r="G19" s="122"/>
    </row>
    <row r="20" spans="1:17" ht="46.5" customHeight="1">
      <c r="A20" s="248" t="s">
        <v>238</v>
      </c>
      <c r="B20" s="248"/>
      <c r="C20" s="248"/>
      <c r="D20" s="248"/>
      <c r="E20" s="248"/>
      <c r="F20" s="248"/>
      <c r="G20" s="248"/>
    </row>
    <row r="21" spans="1:17" ht="27.5">
      <c r="A21" s="248" t="s">
        <v>377</v>
      </c>
      <c r="B21" s="248"/>
      <c r="C21" s="248"/>
      <c r="D21" s="248"/>
      <c r="E21" s="248"/>
      <c r="F21" s="248"/>
      <c r="G21" s="248"/>
    </row>
    <row r="22" spans="1:17">
      <c r="A22" s="265" t="s">
        <v>620</v>
      </c>
      <c r="B22" s="265"/>
      <c r="C22" s="265"/>
      <c r="D22" s="265"/>
      <c r="E22" s="265"/>
      <c r="F22" s="265"/>
      <c r="G22" s="265"/>
    </row>
    <row r="23" spans="1:17">
      <c r="A23" s="249" t="s">
        <v>352</v>
      </c>
      <c r="B23" s="249"/>
      <c r="C23" s="249"/>
      <c r="D23" s="249"/>
      <c r="E23" s="249"/>
      <c r="F23" s="249"/>
      <c r="G23" s="249"/>
    </row>
    <row r="24" spans="1:17" ht="9" customHeight="1">
      <c r="A24" s="186"/>
      <c r="B24" s="186"/>
      <c r="C24" s="186"/>
      <c r="D24" s="186"/>
      <c r="E24" s="186"/>
      <c r="F24" s="186"/>
      <c r="G24" s="186"/>
    </row>
    <row r="25" spans="1:17">
      <c r="A25" s="265" t="s">
        <v>204</v>
      </c>
      <c r="B25" s="265"/>
      <c r="C25" s="265"/>
      <c r="D25" s="265"/>
      <c r="E25" s="265"/>
      <c r="F25" s="265"/>
      <c r="G25" s="265"/>
    </row>
    <row r="26" spans="1:17" ht="12" customHeight="1">
      <c r="B26" s="187"/>
      <c r="C26" s="187"/>
      <c r="D26" s="187"/>
      <c r="E26" s="187"/>
      <c r="F26" s="187"/>
      <c r="G26" s="187"/>
    </row>
    <row r="27" spans="1:17" ht="43.5" customHeight="1">
      <c r="A27" s="267" t="s">
        <v>285</v>
      </c>
      <c r="B27" s="264" t="s">
        <v>18</v>
      </c>
      <c r="C27" s="258" t="s">
        <v>353</v>
      </c>
      <c r="D27" s="266" t="s">
        <v>351</v>
      </c>
      <c r="E27" s="266"/>
      <c r="F27" s="266"/>
      <c r="G27" s="266"/>
      <c r="Q27" s="122" t="s">
        <v>370</v>
      </c>
    </row>
    <row r="28" spans="1:17" ht="44.25" customHeight="1">
      <c r="A28" s="267"/>
      <c r="B28" s="264"/>
      <c r="C28" s="259"/>
      <c r="D28" s="188" t="s">
        <v>263</v>
      </c>
      <c r="E28" s="188" t="s">
        <v>246</v>
      </c>
      <c r="F28" s="188" t="s">
        <v>273</v>
      </c>
      <c r="G28" s="188" t="s">
        <v>274</v>
      </c>
    </row>
    <row r="29" spans="1:17" ht="30" customHeight="1">
      <c r="A29" s="82">
        <v>1</v>
      </c>
      <c r="B29" s="198">
        <v>2</v>
      </c>
      <c r="C29" s="82">
        <v>3</v>
      </c>
      <c r="D29" s="82">
        <v>4</v>
      </c>
      <c r="E29" s="198">
        <v>5</v>
      </c>
      <c r="F29" s="82">
        <v>6</v>
      </c>
      <c r="G29" s="198">
        <v>7</v>
      </c>
    </row>
    <row r="30" spans="1:17" ht="25" customHeight="1">
      <c r="A30" s="263" t="s">
        <v>96</v>
      </c>
      <c r="B30" s="263"/>
      <c r="C30" s="263"/>
      <c r="D30" s="263"/>
      <c r="E30" s="263"/>
      <c r="F30" s="263"/>
      <c r="G30" s="263"/>
    </row>
    <row r="31" spans="1:17" ht="46">
      <c r="A31" s="30" t="s">
        <v>205</v>
      </c>
      <c r="B31" s="218">
        <f>'1. Фін результат'!B9</f>
        <v>1000</v>
      </c>
      <c r="C31" s="75">
        <f>'1. Фін результат'!C9</f>
        <v>47572</v>
      </c>
      <c r="D31" s="75">
        <f>'1. Фін результат'!D9</f>
        <v>115299</v>
      </c>
      <c r="E31" s="75">
        <f>'1. Фін результат'!E9</f>
        <v>69787</v>
      </c>
      <c r="F31" s="75">
        <f>E31-D31</f>
        <v>-45512</v>
      </c>
      <c r="G31" s="76">
        <f>E31/D31*100</f>
        <v>60.526977684108275</v>
      </c>
    </row>
    <row r="32" spans="1:17" ht="46">
      <c r="A32" s="30" t="s">
        <v>174</v>
      </c>
      <c r="B32" s="218">
        <f>'1. Фін результат'!B13</f>
        <v>1010</v>
      </c>
      <c r="C32" s="75">
        <f>'1. Фін результат'!C13</f>
        <v>44942</v>
      </c>
      <c r="D32" s="75">
        <f>'1. Фін результат'!D13</f>
        <v>113483</v>
      </c>
      <c r="E32" s="75">
        <f>'1. Фін результат'!E13</f>
        <v>69845</v>
      </c>
      <c r="F32" s="75">
        <f t="shared" ref="F32:F44" si="0">E32-D32</f>
        <v>-43638</v>
      </c>
      <c r="G32" s="76">
        <f t="shared" ref="G32:G44" si="1">E32/D32*100</f>
        <v>61.546663376893449</v>
      </c>
    </row>
    <row r="33" spans="1:7">
      <c r="A33" s="31" t="s">
        <v>264</v>
      </c>
      <c r="B33" s="218">
        <f>'1. Фін результат'!B60</f>
        <v>1020</v>
      </c>
      <c r="C33" s="75">
        <f>C31-C32</f>
        <v>2630</v>
      </c>
      <c r="D33" s="75">
        <f>D31-D32</f>
        <v>1816</v>
      </c>
      <c r="E33" s="75">
        <f>E31-E32</f>
        <v>-58</v>
      </c>
      <c r="F33" s="75">
        <f t="shared" si="0"/>
        <v>-1874</v>
      </c>
      <c r="G33" s="76">
        <f t="shared" si="1"/>
        <v>-3.1938325991189425</v>
      </c>
    </row>
    <row r="34" spans="1:7">
      <c r="A34" s="30" t="s">
        <v>140</v>
      </c>
      <c r="B34" s="218">
        <f>'1. Фін результат'!B72</f>
        <v>1040</v>
      </c>
      <c r="C34" s="75">
        <f>'1. Фін результат'!C72</f>
        <v>3013</v>
      </c>
      <c r="D34" s="75">
        <f>'1. Фін результат'!D72</f>
        <v>2773</v>
      </c>
      <c r="E34" s="75">
        <f>'1. Фін результат'!E72</f>
        <v>3199</v>
      </c>
      <c r="F34" s="75">
        <f t="shared" si="0"/>
        <v>426</v>
      </c>
      <c r="G34" s="76">
        <f t="shared" si="1"/>
        <v>115.36242336819329</v>
      </c>
    </row>
    <row r="35" spans="1:7">
      <c r="A35" s="30" t="s">
        <v>137</v>
      </c>
      <c r="B35" s="218">
        <f>'1. Фін результат'!B102</f>
        <v>1070</v>
      </c>
      <c r="C35" s="75"/>
      <c r="D35" s="75"/>
      <c r="E35" s="75"/>
      <c r="F35" s="75"/>
      <c r="G35" s="76"/>
    </row>
    <row r="36" spans="1:7">
      <c r="A36" s="30" t="s">
        <v>141</v>
      </c>
      <c r="B36" s="218">
        <f>'1. Фін результат'!B167</f>
        <v>1300</v>
      </c>
      <c r="C36" s="75">
        <f>'1. Фін результат'!C167</f>
        <v>870</v>
      </c>
      <c r="D36" s="75">
        <f>'1. Фін результат'!D167</f>
        <v>987</v>
      </c>
      <c r="E36" s="75">
        <f>'1. Фін результат'!E167</f>
        <v>1164</v>
      </c>
      <c r="F36" s="75">
        <f t="shared" si="0"/>
        <v>177</v>
      </c>
      <c r="G36" s="76">
        <f t="shared" si="1"/>
        <v>117.93313069908815</v>
      </c>
    </row>
    <row r="37" spans="1:7" ht="45">
      <c r="A37" s="77" t="s">
        <v>4</v>
      </c>
      <c r="B37" s="218">
        <f>'1. Фін результат'!B139</f>
        <v>1100</v>
      </c>
      <c r="C37" s="75">
        <f>'1. Фін результат'!C139</f>
        <v>487</v>
      </c>
      <c r="D37" s="75">
        <f>'1. Фін результат'!D139</f>
        <v>30</v>
      </c>
      <c r="E37" s="75">
        <f>'1. Фін результат'!E139</f>
        <v>-2093</v>
      </c>
      <c r="F37" s="75">
        <f t="shared" si="0"/>
        <v>-2123</v>
      </c>
      <c r="G37" s="76">
        <f t="shared" si="1"/>
        <v>-6976.666666666667</v>
      </c>
    </row>
    <row r="38" spans="1:7">
      <c r="A38" s="78" t="s">
        <v>142</v>
      </c>
      <c r="B38" s="218">
        <f>'1. Фін результат'!B178</f>
        <v>1410</v>
      </c>
      <c r="C38" s="75">
        <f>'1. Фін результат'!C178</f>
        <v>1354</v>
      </c>
      <c r="D38" s="75">
        <f>'1. Фін результат'!D178</f>
        <v>1253</v>
      </c>
      <c r="E38" s="75">
        <f>'1. Фін результат'!E178</f>
        <v>-1158</v>
      </c>
      <c r="F38" s="75">
        <f t="shared" si="0"/>
        <v>-2411</v>
      </c>
      <c r="G38" s="76">
        <f t="shared" si="1"/>
        <v>-92.418196328810851</v>
      </c>
    </row>
    <row r="39" spans="1:7">
      <c r="A39" s="79" t="s">
        <v>228</v>
      </c>
      <c r="B39" s="218">
        <f>' 5. Коефіцієнти'!B8</f>
        <v>5010</v>
      </c>
      <c r="C39" s="209">
        <f>C38*100/C31</f>
        <v>2.8462120575128225</v>
      </c>
      <c r="D39" s="209">
        <f>D38*100/D31</f>
        <v>1.0867396941864196</v>
      </c>
      <c r="E39" s="209">
        <f>E38*100/E31</f>
        <v>-1.6593348331351112</v>
      </c>
      <c r="F39" s="75">
        <f>E39-D39</f>
        <v>-2.7460745273215306</v>
      </c>
      <c r="G39" s="76"/>
    </row>
    <row r="40" spans="1:7" ht="46">
      <c r="A40" s="79" t="s">
        <v>143</v>
      </c>
      <c r="B40" s="218">
        <f>'1. Фін результат'!B168</f>
        <v>1310</v>
      </c>
      <c r="C40" s="75"/>
      <c r="D40" s="75"/>
      <c r="E40" s="75"/>
      <c r="F40" s="75"/>
      <c r="G40" s="76"/>
    </row>
    <row r="41" spans="1:7">
      <c r="A41" s="30" t="s">
        <v>232</v>
      </c>
      <c r="B41" s="218">
        <f>'1. Фін результат'!B169</f>
        <v>1320</v>
      </c>
      <c r="C41" s="75">
        <f>'1. Фін результат'!C169</f>
        <v>-130</v>
      </c>
      <c r="D41" s="75">
        <f>'1. Фін результат'!D169</f>
        <v>133</v>
      </c>
      <c r="E41" s="75">
        <f>'1. Фін результат'!E169</f>
        <v>-34</v>
      </c>
      <c r="F41" s="75">
        <f t="shared" si="0"/>
        <v>-167</v>
      </c>
      <c r="G41" s="76">
        <f t="shared" si="1"/>
        <v>-25.563909774436087</v>
      </c>
    </row>
    <row r="42" spans="1:7">
      <c r="A42" s="78" t="s">
        <v>94</v>
      </c>
      <c r="B42" s="218">
        <f>'1. Фін результат'!B159</f>
        <v>1170</v>
      </c>
      <c r="C42" s="75">
        <f>'1. Фін результат'!C159</f>
        <v>357</v>
      </c>
      <c r="D42" s="75">
        <f>'1. Фін результат'!D159</f>
        <v>163</v>
      </c>
      <c r="E42" s="75">
        <f>'1. Фін результат'!E159</f>
        <v>-2127</v>
      </c>
      <c r="F42" s="75">
        <f t="shared" si="0"/>
        <v>-2290</v>
      </c>
      <c r="G42" s="76">
        <f t="shared" si="1"/>
        <v>-1304.9079754601228</v>
      </c>
    </row>
    <row r="43" spans="1:7">
      <c r="A43" s="80" t="s">
        <v>138</v>
      </c>
      <c r="B43" s="218">
        <f>'1. Фін результат'!B160</f>
        <v>1180</v>
      </c>
      <c r="C43" s="75">
        <f>'1. Фін результат'!C160</f>
        <v>64.259999999999991</v>
      </c>
      <c r="D43" s="75">
        <f>'1. Фін результат'!D160</f>
        <v>29.34</v>
      </c>
      <c r="E43" s="75">
        <f>'1. Фін результат'!E160</f>
        <v>0</v>
      </c>
      <c r="F43" s="75"/>
      <c r="G43" s="76"/>
    </row>
    <row r="44" spans="1:7">
      <c r="A44" s="77" t="s">
        <v>229</v>
      </c>
      <c r="B44" s="218">
        <f>'1. Фін результат'!B162</f>
        <v>1200</v>
      </c>
      <c r="C44" s="75">
        <f>'1. Фін результат'!C162</f>
        <v>292.74</v>
      </c>
      <c r="D44" s="75">
        <f>'1. Фін результат'!D162</f>
        <v>133.66</v>
      </c>
      <c r="E44" s="75">
        <f>'1. Фін результат'!E162</f>
        <v>-2127</v>
      </c>
      <c r="F44" s="75">
        <f t="shared" si="0"/>
        <v>-2260.66</v>
      </c>
      <c r="G44" s="76">
        <f t="shared" si="1"/>
        <v>-1591.3511895855156</v>
      </c>
    </row>
    <row r="45" spans="1:7">
      <c r="A45" s="79" t="s">
        <v>230</v>
      </c>
      <c r="B45" s="218">
        <f>' 5. Коефіцієнти'!B11</f>
        <v>5040</v>
      </c>
      <c r="C45" s="235">
        <f>' 5. Коефіцієнти'!D11</f>
        <v>6.1536197763390234E-3</v>
      </c>
      <c r="D45" s="210">
        <v>1.1999999999999999E-3</v>
      </c>
      <c r="E45" s="210">
        <f>' 5. Коефіцієнти'!E11</f>
        <v>-3.0478455872870305E-2</v>
      </c>
      <c r="F45" s="75">
        <f>E45-D45</f>
        <v>-3.1678455872870305E-2</v>
      </c>
      <c r="G45" s="76"/>
    </row>
    <row r="46" spans="1:7">
      <c r="A46" s="253" t="s">
        <v>155</v>
      </c>
      <c r="B46" s="254"/>
      <c r="C46" s="254"/>
      <c r="D46" s="254"/>
      <c r="E46" s="254"/>
      <c r="F46" s="254"/>
      <c r="G46" s="255"/>
    </row>
    <row r="47" spans="1:7">
      <c r="A47" s="79" t="s">
        <v>355</v>
      </c>
      <c r="B47" s="218">
        <f>'2. Розрахунки з бюджетом'!B20</f>
        <v>2100</v>
      </c>
      <c r="C47" s="75">
        <f>'2. Розрахунки з бюджетом'!C20</f>
        <v>192.911</v>
      </c>
      <c r="D47" s="75">
        <f>'2. Розрахунки з бюджетом'!D20</f>
        <v>88.049000000000007</v>
      </c>
      <c r="E47" s="75">
        <f>'2. Розрахунки з бюджетом'!E20</f>
        <v>0</v>
      </c>
      <c r="F47" s="75">
        <f t="shared" ref="F47:F52" si="2">E47-D47</f>
        <v>-88.049000000000007</v>
      </c>
      <c r="G47" s="76">
        <f t="shared" ref="G47:G52" si="3">E47/D47*100</f>
        <v>0</v>
      </c>
    </row>
    <row r="48" spans="1:7">
      <c r="A48" s="81" t="s">
        <v>154</v>
      </c>
      <c r="B48" s="218">
        <f>'2. Розрахунки з бюджетом'!B23</f>
        <v>2110</v>
      </c>
      <c r="C48" s="75">
        <f>'2. Розрахунки з бюджетом'!C23</f>
        <v>64</v>
      </c>
      <c r="D48" s="75">
        <f>'2. Розрахунки з бюджетом'!D23</f>
        <v>29.34</v>
      </c>
      <c r="E48" s="75">
        <f>'2. Розрахунки з бюджетом'!E23</f>
        <v>0</v>
      </c>
      <c r="F48" s="75">
        <f t="shared" si="2"/>
        <v>-29.34</v>
      </c>
      <c r="G48" s="76"/>
    </row>
    <row r="49" spans="1:7" ht="46">
      <c r="A49" s="81" t="s">
        <v>346</v>
      </c>
      <c r="B49" s="218" t="s">
        <v>318</v>
      </c>
      <c r="C49" s="75">
        <f>'2. Розрахунки з бюджетом'!C24</f>
        <v>4236</v>
      </c>
      <c r="D49" s="75">
        <f>'2. Розрахунки з бюджетом'!D24</f>
        <v>1875</v>
      </c>
      <c r="E49" s="75">
        <f>'2. Розрахунки з бюджетом'!E24</f>
        <v>2155</v>
      </c>
      <c r="F49" s="75">
        <f t="shared" si="2"/>
        <v>280</v>
      </c>
      <c r="G49" s="76">
        <f t="shared" si="3"/>
        <v>114.93333333333334</v>
      </c>
    </row>
    <row r="50" spans="1:7" ht="46">
      <c r="A50" s="79" t="s">
        <v>256</v>
      </c>
      <c r="B50" s="218">
        <f>'2. Розрахунки з бюджетом'!B26</f>
        <v>2140</v>
      </c>
      <c r="C50" s="75">
        <f>'2. Розрахунки з бюджетом'!C26</f>
        <v>1848</v>
      </c>
      <c r="D50" s="75">
        <f>'2. Розрахунки з бюджетом'!D26</f>
        <v>1999</v>
      </c>
      <c r="E50" s="75">
        <f>'2. Розрахунки з бюджетом'!E26</f>
        <v>1858</v>
      </c>
      <c r="F50" s="75">
        <f t="shared" si="2"/>
        <v>-141</v>
      </c>
      <c r="G50" s="76">
        <f t="shared" si="3"/>
        <v>92.946473236618317</v>
      </c>
    </row>
    <row r="51" spans="1:7" ht="46">
      <c r="A51" s="79" t="s">
        <v>81</v>
      </c>
      <c r="B51" s="218">
        <f>'2. Розрахунки з бюджетом'!B37</f>
        <v>2150</v>
      </c>
      <c r="C51" s="75">
        <f>'2. Розрахунки з бюджетом'!C37</f>
        <v>1882</v>
      </c>
      <c r="D51" s="75">
        <f>'2. Розрахунки з бюджетом'!D37</f>
        <v>1945</v>
      </c>
      <c r="E51" s="75">
        <f>'2. Розрахунки з бюджетом'!E37</f>
        <v>1967</v>
      </c>
      <c r="F51" s="75">
        <f t="shared" si="2"/>
        <v>22</v>
      </c>
      <c r="G51" s="76">
        <f t="shared" si="3"/>
        <v>101.13110539845758</v>
      </c>
    </row>
    <row r="52" spans="1:7">
      <c r="A52" s="78" t="s">
        <v>265</v>
      </c>
      <c r="B52" s="218">
        <f>'2. Розрахунки з бюджетом'!B38</f>
        <v>2200</v>
      </c>
      <c r="C52" s="75">
        <f>'2. Розрахунки з бюджетом'!C38</f>
        <v>8222.9110000000001</v>
      </c>
      <c r="D52" s="75">
        <f>'2. Розрахунки з бюджетом'!D38</f>
        <v>5936.3890000000001</v>
      </c>
      <c r="E52" s="75">
        <f>'2. Розрахунки з бюджетом'!E38</f>
        <v>5980</v>
      </c>
      <c r="F52" s="75">
        <f t="shared" si="2"/>
        <v>43.610999999999876</v>
      </c>
      <c r="G52" s="76">
        <f t="shared" si="3"/>
        <v>100.7346385150973</v>
      </c>
    </row>
    <row r="53" spans="1:7">
      <c r="A53" s="253" t="s">
        <v>153</v>
      </c>
      <c r="B53" s="254"/>
      <c r="C53" s="254"/>
      <c r="D53" s="254"/>
      <c r="E53" s="254"/>
      <c r="F53" s="254"/>
      <c r="G53" s="255"/>
    </row>
    <row r="54" spans="1:7">
      <c r="A54" s="78" t="s">
        <v>144</v>
      </c>
      <c r="B54" s="218">
        <f>'3. Рух грошових коштів'!B88</f>
        <v>3600</v>
      </c>
      <c r="C54" s="75">
        <f>'3. Рух грошових коштів'!C88</f>
        <v>27620</v>
      </c>
      <c r="D54" s="75">
        <f>'3. Рух грошових коштів'!D88</f>
        <v>24710</v>
      </c>
      <c r="E54" s="75">
        <f>'3. Рух грошових коштів'!E88</f>
        <v>72172</v>
      </c>
      <c r="F54" s="75">
        <f>E54-D54</f>
        <v>47462</v>
      </c>
      <c r="G54" s="76">
        <f>E54/D54*100</f>
        <v>292.076082557669</v>
      </c>
    </row>
    <row r="55" spans="1:7" ht="46">
      <c r="A55" s="79" t="s">
        <v>145</v>
      </c>
      <c r="B55" s="218">
        <f>'3. Рух грошових коштів'!B33</f>
        <v>3090</v>
      </c>
      <c r="C55" s="75">
        <f>'3. Рух грошових коштів'!C33</f>
        <v>-15054.26</v>
      </c>
      <c r="D55" s="75">
        <f>'3. Рух грошових коштів'!D33</f>
        <v>1355.66</v>
      </c>
      <c r="E55" s="75">
        <f>'3. Рух грошових коштів'!E33</f>
        <v>-56313</v>
      </c>
      <c r="F55" s="75">
        <f>E55-D55</f>
        <v>-57668.66</v>
      </c>
      <c r="G55" s="76">
        <f>E55/D55*100</f>
        <v>-4153.9176489680303</v>
      </c>
    </row>
    <row r="56" spans="1:7" ht="46">
      <c r="A56" s="79" t="s">
        <v>233</v>
      </c>
      <c r="B56" s="218">
        <f>'3. Рух грошових коштів'!B56</f>
        <v>3320</v>
      </c>
      <c r="C56" s="75">
        <f>'3. Рух грошових коштів'!C56</f>
        <v>0</v>
      </c>
      <c r="D56" s="75">
        <f>'3. Рух грошових коштів'!D56</f>
        <v>0</v>
      </c>
      <c r="E56" s="75">
        <f>'3. Рух грошових коштів'!E56</f>
        <v>-42427</v>
      </c>
      <c r="F56" s="75">
        <f>E56-D56</f>
        <v>-42427</v>
      </c>
      <c r="G56" s="76"/>
    </row>
    <row r="57" spans="1:7" ht="46">
      <c r="A57" s="79" t="s">
        <v>146</v>
      </c>
      <c r="B57" s="218">
        <f>'3. Рух грошових коштів'!B86</f>
        <v>3580</v>
      </c>
      <c r="C57" s="75">
        <f>'3. Рух грошових коштів'!C86</f>
        <v>12743.089</v>
      </c>
      <c r="D57" s="75">
        <f>'3. Рух грошових коштів'!D86</f>
        <v>-88.049000000000007</v>
      </c>
      <c r="E57" s="75">
        <f>'3. Рух грошових коштів'!E86</f>
        <v>52674</v>
      </c>
      <c r="F57" s="75">
        <f>E57-D57</f>
        <v>52762.048999999999</v>
      </c>
      <c r="G57" s="76">
        <f>E57/D57*100</f>
        <v>-59823.507365217083</v>
      </c>
    </row>
    <row r="58" spans="1:7" ht="54" customHeight="1">
      <c r="A58" s="79" t="s">
        <v>169</v>
      </c>
      <c r="B58" s="218">
        <f>'3. Рух грошових коштів'!B89</f>
        <v>3610</v>
      </c>
      <c r="C58" s="75">
        <f>'3. Рух грошових коштів'!C89</f>
        <v>0</v>
      </c>
      <c r="D58" s="75">
        <f>'3. Рух грошових коштів'!D89</f>
        <v>0</v>
      </c>
      <c r="E58" s="75">
        <f>'3. Рух грошових коштів'!E89</f>
        <v>0</v>
      </c>
      <c r="F58" s="75"/>
      <c r="G58" s="76"/>
    </row>
    <row r="59" spans="1:7" ht="38.25" customHeight="1">
      <c r="A59" s="78" t="s">
        <v>147</v>
      </c>
      <c r="B59" s="218">
        <f>'3. Рух грошових коштів'!B90</f>
        <v>3620</v>
      </c>
      <c r="C59" s="75">
        <f>'3. Рух грошових коштів'!C90</f>
        <v>25308.828999999998</v>
      </c>
      <c r="D59" s="75">
        <f>'3. Рух грошових коштів'!D90</f>
        <v>25977.611000000001</v>
      </c>
      <c r="E59" s="75">
        <f>'3. Рух грошових коштів'!E90</f>
        <v>26106</v>
      </c>
      <c r="F59" s="75">
        <f>E59-D59</f>
        <v>128.38899999999921</v>
      </c>
      <c r="G59" s="76">
        <f>E59/D59*100</f>
        <v>100.49422943472362</v>
      </c>
    </row>
    <row r="60" spans="1:7">
      <c r="A60" s="256" t="s">
        <v>212</v>
      </c>
      <c r="B60" s="257"/>
      <c r="C60" s="257"/>
      <c r="D60" s="257"/>
      <c r="E60" s="257"/>
      <c r="F60" s="257"/>
      <c r="G60" s="257"/>
    </row>
    <row r="61" spans="1:7">
      <c r="A61" s="79" t="s">
        <v>211</v>
      </c>
      <c r="B61" s="219">
        <f>'4. Кап. інвестиції'!B6</f>
        <v>4000</v>
      </c>
      <c r="C61" s="209">
        <f>'4. Кап. інвестиції'!C6</f>
        <v>0</v>
      </c>
      <c r="D61" s="209">
        <f>'4. Кап. інвестиції'!D6</f>
        <v>0</v>
      </c>
      <c r="E61" s="75">
        <f>'4. Кап. інвестиції'!E6</f>
        <v>35355.833333333336</v>
      </c>
      <c r="F61" s="75">
        <f>E61-D61</f>
        <v>35355.833333333336</v>
      </c>
      <c r="G61" s="76"/>
    </row>
    <row r="62" spans="1:7">
      <c r="A62" s="252" t="s">
        <v>214</v>
      </c>
      <c r="B62" s="252"/>
      <c r="C62" s="252"/>
      <c r="D62" s="252"/>
      <c r="E62" s="252"/>
      <c r="F62" s="252"/>
      <c r="G62" s="252"/>
    </row>
    <row r="63" spans="1:7">
      <c r="A63" s="79" t="s">
        <v>172</v>
      </c>
      <c r="B63" s="219">
        <f>' 5. Коефіцієнти'!B9</f>
        <v>5020</v>
      </c>
      <c r="C63" s="210">
        <f>' 5. Коефіцієнти'!D9</f>
        <v>5.7645729048926204E-4</v>
      </c>
      <c r="D63" s="236">
        <f>D44/D70</f>
        <v>7.3759013971224274E-4</v>
      </c>
      <c r="E63" s="210">
        <f>' 5. Коефіцієнти'!E9</f>
        <v>-3.378990210936681E-3</v>
      </c>
      <c r="F63" s="75">
        <f>E63-D63</f>
        <v>-4.1165803506489239E-3</v>
      </c>
      <c r="G63" s="76">
        <f>E63/D63*100</f>
        <v>-458.11217219564952</v>
      </c>
    </row>
    <row r="64" spans="1:7">
      <c r="A64" s="79" t="s">
        <v>168</v>
      </c>
      <c r="B64" s="219">
        <f>' 5. Коефіцієнти'!B10</f>
        <v>5030</v>
      </c>
      <c r="C64" s="210">
        <f>' 5. Коефіцієнти'!D10</f>
        <v>6.1831369376638245E-4</v>
      </c>
      <c r="D64" s="210">
        <v>8.0000000000000004E-4</v>
      </c>
      <c r="E64" s="210">
        <f>' 5. Коефіцієнти'!E10</f>
        <v>-3.5600113813245853E-3</v>
      </c>
      <c r="F64" s="75">
        <f>E64-D64</f>
        <v>-4.3600113813245852E-3</v>
      </c>
      <c r="G64" s="76">
        <f>E64/D64*100</f>
        <v>-445.0014226655731</v>
      </c>
    </row>
    <row r="65" spans="1:8">
      <c r="A65" s="79" t="s">
        <v>231</v>
      </c>
      <c r="B65" s="219">
        <f>' 5. Коефіцієнти'!B14</f>
        <v>5110</v>
      </c>
      <c r="C65" s="209">
        <f>' 5. Коефіцієнти'!D14</f>
        <v>18.323038817291692</v>
      </c>
      <c r="D65" s="209">
        <f>D76/D73</f>
        <v>22.344508856682769</v>
      </c>
      <c r="E65" s="209">
        <f>' 5. Коефіцієнти'!E14</f>
        <v>23.396248580491051</v>
      </c>
      <c r="F65" s="75">
        <f>E65-D65</f>
        <v>1.0517397238082822</v>
      </c>
      <c r="G65" s="76">
        <f>E65/D65*100</f>
        <v>104.70692701528648</v>
      </c>
    </row>
    <row r="66" spans="1:8">
      <c r="A66" s="253" t="s">
        <v>213</v>
      </c>
      <c r="B66" s="254"/>
      <c r="C66" s="254"/>
      <c r="D66" s="254"/>
      <c r="E66" s="254"/>
      <c r="F66" s="254"/>
      <c r="G66" s="255"/>
    </row>
    <row r="67" spans="1:8">
      <c r="A67" s="79" t="s">
        <v>148</v>
      </c>
      <c r="B67" s="219">
        <v>6000</v>
      </c>
      <c r="C67" s="75">
        <v>445353</v>
      </c>
      <c r="D67" s="75">
        <f>643039/4</f>
        <v>160759.75</v>
      </c>
      <c r="E67" s="75">
        <v>555259</v>
      </c>
      <c r="F67" s="75">
        <f>E67-D67</f>
        <v>394499.25</v>
      </c>
      <c r="G67" s="76">
        <f>E67/D67*100</f>
        <v>345.39677997757525</v>
      </c>
      <c r="H67" s="211"/>
    </row>
    <row r="68" spans="1:8">
      <c r="A68" s="79" t="s">
        <v>149</v>
      </c>
      <c r="B68" s="219">
        <v>6010</v>
      </c>
      <c r="C68" s="75">
        <v>62473</v>
      </c>
      <c r="D68" s="75">
        <f>81808/4</f>
        <v>20452</v>
      </c>
      <c r="E68" s="75">
        <v>74219</v>
      </c>
      <c r="F68" s="75">
        <f>E68-D68</f>
        <v>53767</v>
      </c>
      <c r="G68" s="76">
        <f>E68/D68*100</f>
        <v>362.89360453745354</v>
      </c>
      <c r="H68" s="211"/>
    </row>
    <row r="69" spans="1:8">
      <c r="A69" s="79" t="s">
        <v>268</v>
      </c>
      <c r="B69" s="219">
        <v>6020</v>
      </c>
      <c r="C69" s="75">
        <v>25309</v>
      </c>
      <c r="D69" s="75">
        <f>D59</f>
        <v>25977.611000000001</v>
      </c>
      <c r="E69" s="75">
        <v>26106</v>
      </c>
      <c r="F69" s="75">
        <f>E69-D69</f>
        <v>128.38899999999921</v>
      </c>
      <c r="G69" s="76">
        <f>E69/D69*100</f>
        <v>100.49422943472362</v>
      </c>
      <c r="H69" s="211"/>
    </row>
    <row r="70" spans="1:8" s="212" customFormat="1">
      <c r="A70" s="78" t="s">
        <v>266</v>
      </c>
      <c r="B70" s="219">
        <v>6030</v>
      </c>
      <c r="C70" s="75">
        <f>C67+C68</f>
        <v>507826</v>
      </c>
      <c r="D70" s="75">
        <f>D67+D68</f>
        <v>181211.75</v>
      </c>
      <c r="E70" s="75">
        <f>E67+E68</f>
        <v>629478</v>
      </c>
      <c r="F70" s="75">
        <f t="shared" ref="F70:F76" si="4">E70-D70</f>
        <v>448266.25</v>
      </c>
      <c r="G70" s="76">
        <f t="shared" ref="G70:G76" si="5">E70/D70*100</f>
        <v>347.37151426438959</v>
      </c>
    </row>
    <row r="71" spans="1:8">
      <c r="A71" s="79" t="s">
        <v>170</v>
      </c>
      <c r="B71" s="219">
        <v>6040</v>
      </c>
      <c r="C71" s="75">
        <v>8538</v>
      </c>
      <c r="D71" s="75">
        <f>1550/4</f>
        <v>387.5</v>
      </c>
      <c r="E71" s="75">
        <v>6471</v>
      </c>
      <c r="F71" s="75">
        <f>E71-D71</f>
        <v>6083.5</v>
      </c>
      <c r="G71" s="76">
        <f>E71/D71*100</f>
        <v>1669.9354838709678</v>
      </c>
    </row>
    <row r="72" spans="1:8">
      <c r="A72" s="79" t="s">
        <v>171</v>
      </c>
      <c r="B72" s="219">
        <v>6050</v>
      </c>
      <c r="C72" s="75">
        <v>25839</v>
      </c>
      <c r="D72" s="75">
        <f>29500/4</f>
        <v>7375</v>
      </c>
      <c r="E72" s="75">
        <v>25537</v>
      </c>
      <c r="F72" s="75">
        <f t="shared" si="4"/>
        <v>18162</v>
      </c>
      <c r="G72" s="76">
        <f t="shared" si="5"/>
        <v>346.26440677966104</v>
      </c>
    </row>
    <row r="73" spans="1:8" s="212" customFormat="1">
      <c r="A73" s="78" t="s">
        <v>267</v>
      </c>
      <c r="B73" s="219">
        <v>6060</v>
      </c>
      <c r="C73" s="75">
        <f>C72+C71</f>
        <v>34377</v>
      </c>
      <c r="D73" s="75">
        <f>D72+D71</f>
        <v>7762.5</v>
      </c>
      <c r="E73" s="75">
        <f>E72+E71</f>
        <v>32008</v>
      </c>
      <c r="F73" s="75">
        <f t="shared" si="4"/>
        <v>24245.5</v>
      </c>
      <c r="G73" s="76">
        <f t="shared" si="5"/>
        <v>412.34138486312401</v>
      </c>
    </row>
    <row r="74" spans="1:8">
      <c r="A74" s="79" t="s">
        <v>269</v>
      </c>
      <c r="B74" s="219">
        <v>6070</v>
      </c>
      <c r="C74" s="75"/>
      <c r="D74" s="75"/>
      <c r="E74" s="75"/>
      <c r="F74" s="75"/>
      <c r="G74" s="76"/>
    </row>
    <row r="75" spans="1:8">
      <c r="A75" s="79" t="s">
        <v>270</v>
      </c>
      <c r="B75" s="219">
        <v>6080</v>
      </c>
      <c r="C75" s="75"/>
      <c r="D75" s="75"/>
      <c r="E75" s="75"/>
      <c r="F75" s="75"/>
      <c r="G75" s="76"/>
    </row>
    <row r="76" spans="1:8" s="212" customFormat="1">
      <c r="A76" s="78" t="s">
        <v>150</v>
      </c>
      <c r="B76" s="219">
        <v>6090</v>
      </c>
      <c r="C76" s="75">
        <v>473449</v>
      </c>
      <c r="D76" s="75">
        <f>693797/4</f>
        <v>173449.25</v>
      </c>
      <c r="E76" s="75">
        <v>597470</v>
      </c>
      <c r="F76" s="75">
        <f t="shared" si="4"/>
        <v>424020.75</v>
      </c>
      <c r="G76" s="76">
        <f t="shared" si="5"/>
        <v>344.46387055579657</v>
      </c>
    </row>
    <row r="77" spans="1:8" ht="83.25" customHeight="1">
      <c r="A77" s="213"/>
    </row>
    <row r="78" spans="1:8" ht="30" customHeight="1">
      <c r="A78" s="119" t="s">
        <v>607</v>
      </c>
      <c r="B78" s="214"/>
      <c r="C78" s="122"/>
      <c r="D78" s="122"/>
      <c r="E78" s="122"/>
      <c r="F78" s="249" t="s">
        <v>589</v>
      </c>
      <c r="G78" s="249"/>
    </row>
    <row r="79" spans="1:8">
      <c r="A79" s="187" t="s">
        <v>384</v>
      </c>
      <c r="B79" s="122"/>
      <c r="C79" s="249" t="s">
        <v>76</v>
      </c>
      <c r="D79" s="249"/>
      <c r="E79" s="122"/>
      <c r="F79" s="122" t="s">
        <v>100</v>
      </c>
      <c r="G79" s="122"/>
    </row>
    <row r="81" spans="1:7" ht="42.75" customHeight="1">
      <c r="A81" s="202"/>
    </row>
    <row r="82" spans="1:7" ht="113.25" customHeight="1">
      <c r="A82" s="260"/>
      <c r="B82" s="260"/>
      <c r="C82" s="260"/>
      <c r="D82" s="260"/>
      <c r="E82" s="260"/>
      <c r="F82" s="260"/>
      <c r="G82" s="260"/>
    </row>
    <row r="83" spans="1:7">
      <c r="A83" s="202"/>
    </row>
    <row r="84" spans="1:7">
      <c r="A84" s="202"/>
    </row>
    <row r="85" spans="1:7">
      <c r="A85" s="202"/>
    </row>
    <row r="86" spans="1:7">
      <c r="A86" s="202"/>
    </row>
    <row r="87" spans="1:7">
      <c r="A87" s="202"/>
    </row>
    <row r="88" spans="1:7">
      <c r="A88" s="202"/>
    </row>
    <row r="89" spans="1:7">
      <c r="A89" s="202"/>
    </row>
    <row r="90" spans="1:7">
      <c r="A90" s="202"/>
    </row>
    <row r="91" spans="1:7">
      <c r="A91" s="202"/>
    </row>
    <row r="92" spans="1:7">
      <c r="A92" s="202"/>
    </row>
    <row r="93" spans="1:7">
      <c r="A93" s="202"/>
    </row>
    <row r="94" spans="1:7">
      <c r="A94" s="202"/>
    </row>
    <row r="95" spans="1:7">
      <c r="A95" s="202"/>
    </row>
    <row r="96" spans="1:7">
      <c r="A96" s="202"/>
    </row>
    <row r="97" spans="1:1">
      <c r="A97" s="202"/>
    </row>
    <row r="98" spans="1:1">
      <c r="A98" s="202"/>
    </row>
    <row r="99" spans="1:1">
      <c r="A99" s="202"/>
    </row>
    <row r="100" spans="1:1">
      <c r="A100" s="202"/>
    </row>
    <row r="101" spans="1:1">
      <c r="A101" s="202"/>
    </row>
    <row r="102" spans="1:1">
      <c r="A102" s="202"/>
    </row>
    <row r="103" spans="1:1">
      <c r="A103" s="202"/>
    </row>
    <row r="104" spans="1:1">
      <c r="A104" s="202"/>
    </row>
    <row r="105" spans="1:1">
      <c r="A105" s="202"/>
    </row>
    <row r="106" spans="1:1">
      <c r="A106" s="202"/>
    </row>
    <row r="107" spans="1:1">
      <c r="A107" s="202"/>
    </row>
    <row r="108" spans="1:1">
      <c r="A108" s="202"/>
    </row>
    <row r="109" spans="1:1">
      <c r="A109" s="202"/>
    </row>
    <row r="110" spans="1:1">
      <c r="A110" s="202"/>
    </row>
    <row r="111" spans="1:1">
      <c r="A111" s="202"/>
    </row>
    <row r="112" spans="1:1">
      <c r="A112" s="202"/>
    </row>
    <row r="113" spans="1:1">
      <c r="A113" s="202"/>
    </row>
    <row r="114" spans="1:1">
      <c r="A114" s="202"/>
    </row>
    <row r="115" spans="1:1">
      <c r="A115" s="202"/>
    </row>
    <row r="116" spans="1:1">
      <c r="A116" s="202"/>
    </row>
    <row r="117" spans="1:1">
      <c r="A117" s="202"/>
    </row>
    <row r="118" spans="1:1">
      <c r="A118" s="202"/>
    </row>
    <row r="119" spans="1:1">
      <c r="A119" s="202"/>
    </row>
    <row r="120" spans="1:1">
      <c r="A120" s="202"/>
    </row>
    <row r="121" spans="1:1">
      <c r="A121" s="202"/>
    </row>
    <row r="122" spans="1:1">
      <c r="A122" s="202"/>
    </row>
    <row r="123" spans="1:1">
      <c r="A123" s="202"/>
    </row>
    <row r="124" spans="1:1">
      <c r="A124" s="202"/>
    </row>
    <row r="125" spans="1:1">
      <c r="A125" s="202"/>
    </row>
    <row r="126" spans="1:1">
      <c r="A126" s="202"/>
    </row>
    <row r="127" spans="1:1">
      <c r="A127" s="202"/>
    </row>
    <row r="128" spans="1:1">
      <c r="A128" s="202"/>
    </row>
    <row r="129" spans="1:1">
      <c r="A129" s="202"/>
    </row>
    <row r="130" spans="1:1">
      <c r="A130" s="202"/>
    </row>
    <row r="131" spans="1:1">
      <c r="A131" s="202"/>
    </row>
    <row r="132" spans="1:1">
      <c r="A132" s="202"/>
    </row>
    <row r="133" spans="1:1">
      <c r="A133" s="202"/>
    </row>
    <row r="134" spans="1:1">
      <c r="A134" s="202"/>
    </row>
    <row r="135" spans="1:1">
      <c r="A135" s="202"/>
    </row>
    <row r="136" spans="1:1">
      <c r="A136" s="202"/>
    </row>
    <row r="137" spans="1:1">
      <c r="A137" s="202"/>
    </row>
    <row r="138" spans="1:1">
      <c r="A138" s="202"/>
    </row>
    <row r="139" spans="1:1">
      <c r="A139" s="202"/>
    </row>
    <row r="140" spans="1:1">
      <c r="A140" s="202"/>
    </row>
    <row r="141" spans="1:1">
      <c r="A141" s="202"/>
    </row>
    <row r="142" spans="1:1">
      <c r="A142" s="202"/>
    </row>
    <row r="143" spans="1:1">
      <c r="A143" s="202"/>
    </row>
    <row r="144" spans="1:1">
      <c r="A144" s="202"/>
    </row>
    <row r="145" spans="1:1">
      <c r="A145" s="202"/>
    </row>
    <row r="146" spans="1:1">
      <c r="A146" s="202"/>
    </row>
    <row r="147" spans="1:1">
      <c r="A147" s="202"/>
    </row>
    <row r="148" spans="1:1">
      <c r="A148" s="202"/>
    </row>
    <row r="149" spans="1:1">
      <c r="A149" s="202"/>
    </row>
    <row r="150" spans="1:1">
      <c r="A150" s="202"/>
    </row>
    <row r="151" spans="1:1">
      <c r="A151" s="202"/>
    </row>
    <row r="152" spans="1:1">
      <c r="A152" s="202"/>
    </row>
    <row r="153" spans="1:1">
      <c r="A153" s="202"/>
    </row>
    <row r="154" spans="1:1">
      <c r="A154" s="202"/>
    </row>
    <row r="155" spans="1:1">
      <c r="A155" s="202"/>
    </row>
    <row r="156" spans="1:1">
      <c r="A156" s="202"/>
    </row>
    <row r="157" spans="1:1">
      <c r="A157" s="202"/>
    </row>
    <row r="158" spans="1:1">
      <c r="A158" s="202"/>
    </row>
    <row r="159" spans="1:1">
      <c r="A159" s="202"/>
    </row>
    <row r="160" spans="1:1">
      <c r="A160" s="202"/>
    </row>
    <row r="161" spans="1:1">
      <c r="A161" s="202"/>
    </row>
    <row r="162" spans="1:1">
      <c r="A162" s="202"/>
    </row>
    <row r="163" spans="1:1">
      <c r="A163" s="202"/>
    </row>
    <row r="164" spans="1:1">
      <c r="A164" s="202"/>
    </row>
    <row r="165" spans="1:1">
      <c r="A165" s="202"/>
    </row>
    <row r="166" spans="1:1">
      <c r="A166" s="202"/>
    </row>
    <row r="167" spans="1:1">
      <c r="A167" s="202"/>
    </row>
    <row r="168" spans="1:1">
      <c r="A168" s="202"/>
    </row>
    <row r="169" spans="1:1">
      <c r="A169" s="202"/>
    </row>
    <row r="170" spans="1:1">
      <c r="A170" s="202"/>
    </row>
    <row r="171" spans="1:1">
      <c r="A171" s="202"/>
    </row>
    <row r="172" spans="1:1">
      <c r="A172" s="202"/>
    </row>
    <row r="173" spans="1:1">
      <c r="A173" s="202"/>
    </row>
    <row r="174" spans="1:1">
      <c r="A174" s="202"/>
    </row>
    <row r="175" spans="1:1">
      <c r="A175" s="202"/>
    </row>
    <row r="176" spans="1:1">
      <c r="A176" s="202"/>
    </row>
    <row r="177" spans="1:1">
      <c r="A177" s="202"/>
    </row>
    <row r="178" spans="1:1">
      <c r="A178" s="202"/>
    </row>
    <row r="179" spans="1:1">
      <c r="A179" s="202"/>
    </row>
    <row r="180" spans="1:1">
      <c r="A180" s="202"/>
    </row>
    <row r="181" spans="1:1">
      <c r="A181" s="202"/>
    </row>
    <row r="182" spans="1:1">
      <c r="A182" s="202"/>
    </row>
    <row r="183" spans="1:1">
      <c r="A183" s="202"/>
    </row>
    <row r="184" spans="1:1">
      <c r="A184" s="202"/>
    </row>
    <row r="185" spans="1:1">
      <c r="A185" s="202"/>
    </row>
    <row r="186" spans="1:1">
      <c r="A186" s="202"/>
    </row>
    <row r="187" spans="1:1">
      <c r="A187" s="202"/>
    </row>
    <row r="188" spans="1:1">
      <c r="A188" s="202"/>
    </row>
    <row r="189" spans="1:1">
      <c r="A189" s="202"/>
    </row>
    <row r="190" spans="1:1">
      <c r="A190" s="202"/>
    </row>
    <row r="191" spans="1:1">
      <c r="A191" s="202"/>
    </row>
    <row r="192" spans="1:1">
      <c r="A192" s="202"/>
    </row>
    <row r="193" spans="1:1">
      <c r="A193" s="202"/>
    </row>
    <row r="194" spans="1:1">
      <c r="A194" s="202"/>
    </row>
    <row r="195" spans="1:1">
      <c r="A195" s="202"/>
    </row>
    <row r="196" spans="1:1">
      <c r="A196" s="202"/>
    </row>
    <row r="197" spans="1:1">
      <c r="A197" s="202"/>
    </row>
    <row r="198" spans="1:1">
      <c r="A198" s="202"/>
    </row>
    <row r="199" spans="1:1">
      <c r="A199" s="202"/>
    </row>
    <row r="200" spans="1:1">
      <c r="A200" s="202"/>
    </row>
    <row r="201" spans="1:1">
      <c r="A201" s="202"/>
    </row>
    <row r="202" spans="1:1">
      <c r="A202" s="202"/>
    </row>
    <row r="203" spans="1:1">
      <c r="A203" s="202"/>
    </row>
    <row r="204" spans="1:1">
      <c r="A204" s="202"/>
    </row>
    <row r="205" spans="1:1">
      <c r="A205" s="202"/>
    </row>
    <row r="206" spans="1:1">
      <c r="A206" s="202"/>
    </row>
    <row r="207" spans="1:1">
      <c r="A207" s="202"/>
    </row>
    <row r="208" spans="1:1">
      <c r="A208" s="202"/>
    </row>
    <row r="209" spans="1:1">
      <c r="A209" s="202"/>
    </row>
    <row r="210" spans="1:1">
      <c r="A210" s="202"/>
    </row>
    <row r="211" spans="1:1">
      <c r="A211" s="202"/>
    </row>
    <row r="212" spans="1:1">
      <c r="A212" s="202"/>
    </row>
    <row r="213" spans="1:1">
      <c r="A213" s="202"/>
    </row>
    <row r="214" spans="1:1">
      <c r="A214" s="202"/>
    </row>
    <row r="215" spans="1:1">
      <c r="A215" s="202"/>
    </row>
    <row r="216" spans="1:1">
      <c r="A216" s="202"/>
    </row>
    <row r="217" spans="1:1">
      <c r="A217" s="202"/>
    </row>
    <row r="218" spans="1:1">
      <c r="A218" s="202"/>
    </row>
    <row r="219" spans="1:1">
      <c r="A219" s="202"/>
    </row>
    <row r="220" spans="1:1">
      <c r="A220" s="202"/>
    </row>
    <row r="221" spans="1:1">
      <c r="A221" s="202"/>
    </row>
    <row r="222" spans="1:1">
      <c r="A222" s="202"/>
    </row>
    <row r="223" spans="1:1">
      <c r="A223" s="202"/>
    </row>
    <row r="224" spans="1:1">
      <c r="A224" s="202"/>
    </row>
    <row r="225" spans="1:1">
      <c r="A225" s="202"/>
    </row>
    <row r="226" spans="1:1">
      <c r="A226" s="202"/>
    </row>
    <row r="227" spans="1:1">
      <c r="A227" s="202"/>
    </row>
    <row r="228" spans="1:1">
      <c r="A228" s="202"/>
    </row>
    <row r="229" spans="1:1">
      <c r="A229" s="202"/>
    </row>
    <row r="230" spans="1:1">
      <c r="A230" s="202"/>
    </row>
    <row r="231" spans="1:1">
      <c r="A231" s="202"/>
    </row>
    <row r="232" spans="1:1">
      <c r="A232" s="202"/>
    </row>
    <row r="233" spans="1:1">
      <c r="A233" s="202"/>
    </row>
    <row r="234" spans="1:1">
      <c r="A234" s="202"/>
    </row>
    <row r="235" spans="1:1">
      <c r="A235" s="202"/>
    </row>
    <row r="236" spans="1:1">
      <c r="A236" s="202"/>
    </row>
    <row r="237" spans="1:1">
      <c r="A237" s="202"/>
    </row>
    <row r="238" spans="1:1">
      <c r="A238" s="202"/>
    </row>
    <row r="239" spans="1:1">
      <c r="A239" s="202"/>
    </row>
    <row r="240" spans="1:1">
      <c r="A240" s="202"/>
    </row>
    <row r="241" spans="1:1">
      <c r="A241" s="202"/>
    </row>
    <row r="242" spans="1:1">
      <c r="A242" s="202"/>
    </row>
    <row r="243" spans="1:1">
      <c r="A243" s="202"/>
    </row>
    <row r="244" spans="1:1">
      <c r="A244" s="202"/>
    </row>
    <row r="245" spans="1:1">
      <c r="A245" s="202"/>
    </row>
    <row r="246" spans="1:1">
      <c r="A246" s="202"/>
    </row>
    <row r="247" spans="1:1">
      <c r="A247" s="202"/>
    </row>
    <row r="248" spans="1:1">
      <c r="A248" s="202"/>
    </row>
  </sheetData>
  <mergeCells count="34">
    <mergeCell ref="B11:D11"/>
    <mergeCell ref="B10:E10"/>
    <mergeCell ref="B9:D9"/>
    <mergeCell ref="E13:F13"/>
    <mergeCell ref="B12:E12"/>
    <mergeCell ref="B13:D13"/>
    <mergeCell ref="A82:G82"/>
    <mergeCell ref="E2:G5"/>
    <mergeCell ref="A66:G66"/>
    <mergeCell ref="A30:G30"/>
    <mergeCell ref="B27:B28"/>
    <mergeCell ref="B6:D6"/>
    <mergeCell ref="B15:D15"/>
    <mergeCell ref="B16:D16"/>
    <mergeCell ref="A25:G25"/>
    <mergeCell ref="A21:G21"/>
    <mergeCell ref="B7:D7"/>
    <mergeCell ref="B8:D8"/>
    <mergeCell ref="D27:G27"/>
    <mergeCell ref="A46:G46"/>
    <mergeCell ref="A22:G22"/>
    <mergeCell ref="A27:A28"/>
    <mergeCell ref="C79:D79"/>
    <mergeCell ref="A23:G23"/>
    <mergeCell ref="A62:G62"/>
    <mergeCell ref="A53:G53"/>
    <mergeCell ref="A60:G60"/>
    <mergeCell ref="C27:C28"/>
    <mergeCell ref="A20:G20"/>
    <mergeCell ref="F78:G78"/>
    <mergeCell ref="B14:D14"/>
    <mergeCell ref="E14:F14"/>
    <mergeCell ref="B17:D17"/>
    <mergeCell ref="B18:D18"/>
  </mergeCells>
  <phoneticPr fontId="3" type="noConversion"/>
  <printOptions horizontalCentered="1"/>
  <pageMargins left="0.39370078740157483" right="0.19685039370078741" top="0.59055118110236227" bottom="0.39370078740157483" header="0.31496062992125984" footer="0.19685039370078741"/>
  <pageSetup paperSize="9" scale="41" orientation="portrait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415"/>
  <sheetViews>
    <sheetView view="pageBreakPreview" topLeftCell="A3" zoomScale="70" zoomScaleNormal="75" zoomScaleSheetLayoutView="70" workbookViewId="0">
      <selection activeCell="H59" sqref="H59"/>
    </sheetView>
  </sheetViews>
  <sheetFormatPr defaultColWidth="9.1796875" defaultRowHeight="20.5" outlineLevelRow="1"/>
  <cols>
    <col min="1" max="1" width="72.54296875" style="197" customWidth="1"/>
    <col min="2" max="2" width="12" style="195" customWidth="1"/>
    <col min="3" max="3" width="17" style="195" customWidth="1"/>
    <col min="4" max="4" width="12.7265625" style="195" customWidth="1"/>
    <col min="5" max="5" width="13.54296875" style="195" customWidth="1"/>
    <col min="6" max="6" width="11.81640625" style="195" customWidth="1"/>
    <col min="7" max="7" width="15.1796875" style="195" customWidth="1"/>
    <col min="8" max="8" width="29.453125" style="195" customWidth="1"/>
    <col min="9" max="9" width="9.1796875" style="197"/>
    <col min="10" max="10" width="10.81640625" style="197" bestFit="1" customWidth="1"/>
    <col min="11" max="11" width="10" style="197" bestFit="1" customWidth="1"/>
    <col min="12" max="16384" width="9.1796875" style="197"/>
  </cols>
  <sheetData>
    <row r="1" spans="1:11" hidden="1" outlineLevel="1">
      <c r="B1" s="181"/>
      <c r="C1" s="181"/>
      <c r="D1" s="181"/>
      <c r="E1" s="181"/>
      <c r="F1" s="181"/>
      <c r="G1" s="181"/>
      <c r="H1" s="84" t="s">
        <v>239</v>
      </c>
    </row>
    <row r="2" spans="1:11" hidden="1" outlineLevel="1">
      <c r="B2" s="181"/>
      <c r="C2" s="181"/>
      <c r="D2" s="181"/>
      <c r="E2" s="181"/>
      <c r="F2" s="181"/>
      <c r="G2" s="181"/>
      <c r="H2" s="84" t="s">
        <v>223</v>
      </c>
    </row>
    <row r="3" spans="1:11" s="85" customFormat="1" ht="21.5" collapsed="1">
      <c r="A3" s="273" t="s">
        <v>371</v>
      </c>
      <c r="B3" s="273"/>
      <c r="C3" s="273"/>
      <c r="D3" s="273"/>
      <c r="E3" s="273"/>
      <c r="F3" s="273"/>
      <c r="G3" s="273"/>
      <c r="H3" s="273"/>
    </row>
    <row r="4" spans="1:11" s="85" customFormat="1" ht="12.75" customHeight="1">
      <c r="A4" s="194"/>
      <c r="B4" s="86"/>
      <c r="C4" s="86"/>
      <c r="D4" s="86"/>
      <c r="E4" s="86"/>
      <c r="F4" s="86"/>
      <c r="G4" s="86"/>
      <c r="H4" s="86"/>
    </row>
    <row r="5" spans="1:11" s="85" customFormat="1" ht="25.5" customHeight="1">
      <c r="A5" s="278" t="s">
        <v>285</v>
      </c>
      <c r="B5" s="279" t="s">
        <v>18</v>
      </c>
      <c r="C5" s="280" t="s">
        <v>380</v>
      </c>
      <c r="D5" s="278" t="s">
        <v>351</v>
      </c>
      <c r="E5" s="278"/>
      <c r="F5" s="278"/>
      <c r="G5" s="278"/>
      <c r="H5" s="278"/>
    </row>
    <row r="6" spans="1:11" s="85" customFormat="1" ht="95">
      <c r="A6" s="278"/>
      <c r="B6" s="279"/>
      <c r="C6" s="281"/>
      <c r="D6" s="222" t="s">
        <v>263</v>
      </c>
      <c r="E6" s="222" t="s">
        <v>246</v>
      </c>
      <c r="F6" s="223" t="s">
        <v>379</v>
      </c>
      <c r="G6" s="223" t="s">
        <v>274</v>
      </c>
      <c r="H6" s="222" t="s">
        <v>272</v>
      </c>
    </row>
    <row r="7" spans="1:11" s="85" customFormat="1" ht="21.5">
      <c r="A7" s="221">
        <v>1</v>
      </c>
      <c r="B7" s="222">
        <v>2</v>
      </c>
      <c r="C7" s="222">
        <v>3</v>
      </c>
      <c r="D7" s="222">
        <v>4</v>
      </c>
      <c r="E7" s="222">
        <v>5</v>
      </c>
      <c r="F7" s="222">
        <v>6</v>
      </c>
      <c r="G7" s="222">
        <v>7</v>
      </c>
      <c r="H7" s="222">
        <v>8</v>
      </c>
    </row>
    <row r="8" spans="1:11" s="87" customFormat="1" ht="26.25" customHeight="1">
      <c r="A8" s="269" t="s">
        <v>271</v>
      </c>
      <c r="B8" s="270"/>
      <c r="C8" s="270"/>
      <c r="D8" s="270"/>
      <c r="E8" s="270"/>
      <c r="F8" s="270"/>
      <c r="G8" s="270"/>
      <c r="H8" s="271"/>
    </row>
    <row r="9" spans="1:11" s="87" customFormat="1" ht="43.5" customHeight="1">
      <c r="A9" s="88" t="s">
        <v>105</v>
      </c>
      <c r="B9" s="89">
        <v>1000</v>
      </c>
      <c r="C9" s="90">
        <f>C10+C11+C12</f>
        <v>47572</v>
      </c>
      <c r="D9" s="90">
        <f>D10+D11+D12-1</f>
        <v>115299</v>
      </c>
      <c r="E9" s="90">
        <f>E10+E11+E12</f>
        <v>69787</v>
      </c>
      <c r="F9" s="90">
        <f>E9-D9</f>
        <v>-45512</v>
      </c>
      <c r="G9" s="91">
        <f>E9/D9*100</f>
        <v>60.526977684108275</v>
      </c>
      <c r="H9" s="92"/>
      <c r="J9" s="192"/>
      <c r="K9" s="192"/>
    </row>
    <row r="10" spans="1:11" s="87" customFormat="1" ht="38">
      <c r="A10" s="88" t="s">
        <v>590</v>
      </c>
      <c r="B10" s="89" t="s">
        <v>391</v>
      </c>
      <c r="C10" s="90">
        <v>17948</v>
      </c>
      <c r="D10" s="93">
        <v>29313</v>
      </c>
      <c r="E10" s="90">
        <v>21466</v>
      </c>
      <c r="F10" s="90">
        <f t="shared" ref="F10:F18" si="0">E10-D10</f>
        <v>-7847</v>
      </c>
      <c r="G10" s="91">
        <f t="shared" ref="G10:G18" si="1">E10/D10*100</f>
        <v>73.230307372155707</v>
      </c>
      <c r="H10" s="92"/>
    </row>
    <row r="11" spans="1:11" s="87" customFormat="1" ht="38">
      <c r="A11" s="88" t="s">
        <v>561</v>
      </c>
      <c r="B11" s="89" t="s">
        <v>392</v>
      </c>
      <c r="C11" s="90">
        <v>28343</v>
      </c>
      <c r="D11" s="94">
        <v>84987</v>
      </c>
      <c r="E11" s="90">
        <v>47603</v>
      </c>
      <c r="F11" s="90">
        <f t="shared" si="0"/>
        <v>-37384</v>
      </c>
      <c r="G11" s="91">
        <f t="shared" si="1"/>
        <v>56.012095967618578</v>
      </c>
      <c r="H11" s="92"/>
    </row>
    <row r="12" spans="1:11" s="87" customFormat="1" ht="38">
      <c r="A12" s="95" t="s">
        <v>394</v>
      </c>
      <c r="B12" s="89" t="s">
        <v>393</v>
      </c>
      <c r="C12" s="90">
        <v>1281</v>
      </c>
      <c r="D12" s="94">
        <v>1000</v>
      </c>
      <c r="E12" s="90">
        <v>718</v>
      </c>
      <c r="F12" s="90">
        <f t="shared" si="0"/>
        <v>-282</v>
      </c>
      <c r="G12" s="91">
        <f t="shared" si="1"/>
        <v>71.8</v>
      </c>
      <c r="H12" s="96"/>
    </row>
    <row r="13" spans="1:11" s="85" customFormat="1" ht="38">
      <c r="A13" s="88" t="s">
        <v>123</v>
      </c>
      <c r="B13" s="89">
        <v>1010</v>
      </c>
      <c r="C13" s="90">
        <f>C14+C15+C17+C18+C19+C20+C21+C16</f>
        <v>44942</v>
      </c>
      <c r="D13" s="90">
        <f>D14-1+D15+D16+D17+D18+D19+D20+D21</f>
        <v>113483</v>
      </c>
      <c r="E13" s="90">
        <f>E14+E15+E17+E18+E19+E20+E21+E16</f>
        <v>69845</v>
      </c>
      <c r="F13" s="90">
        <f t="shared" si="0"/>
        <v>-43638</v>
      </c>
      <c r="G13" s="91">
        <f>E13/D13*100</f>
        <v>61.546663376893449</v>
      </c>
      <c r="H13" s="97"/>
      <c r="J13" s="193"/>
      <c r="K13" s="193"/>
    </row>
    <row r="14" spans="1:11" s="85" customFormat="1" ht="21.5">
      <c r="A14" s="88" t="s">
        <v>284</v>
      </c>
      <c r="B14" s="222">
        <v>1011</v>
      </c>
      <c r="C14" s="98">
        <v>2645</v>
      </c>
      <c r="D14" s="94">
        <v>8955</v>
      </c>
      <c r="E14" s="98">
        <f>31022-E15-E16-467</f>
        <v>3757</v>
      </c>
      <c r="F14" s="90">
        <f t="shared" si="0"/>
        <v>-5198</v>
      </c>
      <c r="G14" s="91">
        <f t="shared" si="1"/>
        <v>41.954215522054717</v>
      </c>
      <c r="H14" s="99"/>
    </row>
    <row r="15" spans="1:11" s="85" customFormat="1" ht="21.5">
      <c r="A15" s="88" t="s">
        <v>64</v>
      </c>
      <c r="B15" s="222">
        <v>1012</v>
      </c>
      <c r="C15" s="98">
        <v>2282</v>
      </c>
      <c r="D15" s="94">
        <v>1363</v>
      </c>
      <c r="E15" s="98">
        <v>1994</v>
      </c>
      <c r="F15" s="90">
        <f t="shared" si="0"/>
        <v>631</v>
      </c>
      <c r="G15" s="91">
        <f t="shared" si="1"/>
        <v>146.2949376375642</v>
      </c>
      <c r="H15" s="99"/>
    </row>
    <row r="16" spans="1:11" s="85" customFormat="1" ht="21.5">
      <c r="A16" s="88" t="s">
        <v>63</v>
      </c>
      <c r="B16" s="222">
        <v>1013</v>
      </c>
      <c r="C16" s="98">
        <v>12842</v>
      </c>
      <c r="D16" s="94">
        <v>63258</v>
      </c>
      <c r="E16" s="98">
        <v>24804</v>
      </c>
      <c r="F16" s="90">
        <f t="shared" si="0"/>
        <v>-38454</v>
      </c>
      <c r="G16" s="91"/>
      <c r="H16" s="99"/>
    </row>
    <row r="17" spans="1:11" s="85" customFormat="1" ht="21.5">
      <c r="A17" s="88" t="s">
        <v>40</v>
      </c>
      <c r="B17" s="222">
        <v>1014</v>
      </c>
      <c r="C17" s="98">
        <v>5979</v>
      </c>
      <c r="D17" s="94">
        <v>8041</v>
      </c>
      <c r="E17" s="98">
        <f>8804-E80-112</f>
        <v>6609</v>
      </c>
      <c r="F17" s="90">
        <f>E17-D17</f>
        <v>-1432</v>
      </c>
      <c r="G17" s="91">
        <f t="shared" si="1"/>
        <v>82.191269742569332</v>
      </c>
      <c r="H17" s="99"/>
    </row>
    <row r="18" spans="1:11" s="85" customFormat="1" ht="21.5">
      <c r="A18" s="88" t="s">
        <v>41</v>
      </c>
      <c r="B18" s="222">
        <v>1015</v>
      </c>
      <c r="C18" s="98">
        <v>1441</v>
      </c>
      <c r="D18" s="94">
        <v>1586</v>
      </c>
      <c r="E18" s="98">
        <f>1967-E81-30</f>
        <v>1508</v>
      </c>
      <c r="F18" s="90">
        <f t="shared" si="0"/>
        <v>-78</v>
      </c>
      <c r="G18" s="91">
        <f t="shared" si="1"/>
        <v>95.081967213114751</v>
      </c>
      <c r="H18" s="99"/>
    </row>
    <row r="19" spans="1:11" s="85" customFormat="1" ht="57">
      <c r="A19" s="88" t="s">
        <v>260</v>
      </c>
      <c r="B19" s="222">
        <v>1016</v>
      </c>
      <c r="C19" s="98"/>
      <c r="D19" s="94"/>
      <c r="E19" s="98"/>
      <c r="F19" s="98"/>
      <c r="G19" s="100"/>
      <c r="H19" s="99"/>
    </row>
    <row r="20" spans="1:11" s="85" customFormat="1" ht="21.5">
      <c r="A20" s="88" t="s">
        <v>62</v>
      </c>
      <c r="B20" s="222">
        <v>1017</v>
      </c>
      <c r="C20" s="98">
        <v>799</v>
      </c>
      <c r="D20" s="94">
        <v>1150</v>
      </c>
      <c r="E20" s="98">
        <f>935-E82-E130-3</f>
        <v>858</v>
      </c>
      <c r="F20" s="90">
        <f t="shared" ref="F20:F25" si="2">E20-D20</f>
        <v>-292</v>
      </c>
      <c r="G20" s="91">
        <f>E20/D20*100</f>
        <v>74.608695652173921</v>
      </c>
      <c r="H20" s="101"/>
    </row>
    <row r="21" spans="1:11" s="85" customFormat="1" ht="21.5">
      <c r="A21" s="88" t="s">
        <v>121</v>
      </c>
      <c r="B21" s="222">
        <v>1018</v>
      </c>
      <c r="C21" s="98">
        <f>C22+C23+C24+C25+C30+C31+C32+C33+C38+C39+C40+C42+C46+C47+C51+C59+C29+C35+C36+C44+C58+C49+C57+C45+C37+C53+C55</f>
        <v>18954</v>
      </c>
      <c r="D21" s="98">
        <f>D22-2+D23+D24+D25+D26+D27+D28+D29+D30+D31+D32+D33+D35+D36+D38+D39+D40+D41+D42+D43+D44+D45+D46+D47+D50+D51+D55+D59</f>
        <v>29131</v>
      </c>
      <c r="E21" s="98">
        <f>E22+E23+E24+E25+E30+E31+E32+E33+E38+E39+E40+E42+E46+E47+E51+E59+E29+E35+E36+E44+E58+E52+E53+E54+E57</f>
        <v>30315</v>
      </c>
      <c r="F21" s="90">
        <f t="shared" si="2"/>
        <v>1184</v>
      </c>
      <c r="G21" s="91">
        <f>E21/D21*100</f>
        <v>104.06439875047199</v>
      </c>
      <c r="H21" s="99"/>
      <c r="J21" s="193"/>
      <c r="K21" s="193"/>
    </row>
    <row r="22" spans="1:11" s="85" customFormat="1" ht="21.5">
      <c r="A22" s="88" t="s">
        <v>396</v>
      </c>
      <c r="B22" s="222" t="s">
        <v>395</v>
      </c>
      <c r="C22" s="98">
        <v>65</v>
      </c>
      <c r="D22" s="98">
        <v>80</v>
      </c>
      <c r="E22" s="98">
        <v>41</v>
      </c>
      <c r="F22" s="90">
        <f t="shared" si="2"/>
        <v>-39</v>
      </c>
      <c r="G22" s="91">
        <f>E22/D22*100</f>
        <v>51.249999999999993</v>
      </c>
      <c r="H22" s="99"/>
    </row>
    <row r="23" spans="1:11" s="85" customFormat="1" ht="21.5">
      <c r="A23" s="88" t="s">
        <v>397</v>
      </c>
      <c r="B23" s="222" t="s">
        <v>398</v>
      </c>
      <c r="C23" s="98">
        <v>69</v>
      </c>
      <c r="D23" s="98">
        <v>70</v>
      </c>
      <c r="E23" s="98">
        <f>49+4</f>
        <v>53</v>
      </c>
      <c r="F23" s="90">
        <f t="shared" si="2"/>
        <v>-17</v>
      </c>
      <c r="G23" s="91">
        <f t="shared" ref="G23:G39" si="3">E23/D23*100</f>
        <v>75.714285714285708</v>
      </c>
      <c r="H23" s="99"/>
    </row>
    <row r="24" spans="1:11" s="85" customFormat="1" ht="21.5">
      <c r="A24" s="88" t="s">
        <v>488</v>
      </c>
      <c r="B24" s="222" t="s">
        <v>399</v>
      </c>
      <c r="C24" s="98">
        <v>228</v>
      </c>
      <c r="D24" s="98">
        <v>500</v>
      </c>
      <c r="E24" s="98">
        <v>252</v>
      </c>
      <c r="F24" s="90">
        <f t="shared" si="2"/>
        <v>-248</v>
      </c>
      <c r="G24" s="91">
        <f t="shared" si="3"/>
        <v>50.4</v>
      </c>
      <c r="H24" s="99"/>
    </row>
    <row r="25" spans="1:11" s="85" customFormat="1" ht="38">
      <c r="A25" s="88" t="s">
        <v>406</v>
      </c>
      <c r="B25" s="222" t="s">
        <v>400</v>
      </c>
      <c r="C25" s="98">
        <v>14</v>
      </c>
      <c r="D25" s="98">
        <v>35</v>
      </c>
      <c r="E25" s="98">
        <v>8</v>
      </c>
      <c r="F25" s="90">
        <f t="shared" si="2"/>
        <v>-27</v>
      </c>
      <c r="G25" s="91">
        <f t="shared" si="3"/>
        <v>22.857142857142858</v>
      </c>
      <c r="H25" s="99"/>
    </row>
    <row r="26" spans="1:11" s="85" customFormat="1" ht="21.5">
      <c r="A26" s="88" t="s">
        <v>407</v>
      </c>
      <c r="B26" s="222" t="s">
        <v>401</v>
      </c>
      <c r="C26" s="98"/>
      <c r="D26" s="98">
        <v>5</v>
      </c>
      <c r="E26" s="98"/>
      <c r="F26" s="90">
        <f t="shared" ref="F26:F33" si="4">E26-D26</f>
        <v>-5</v>
      </c>
      <c r="G26" s="91"/>
      <c r="H26" s="99"/>
    </row>
    <row r="27" spans="1:11" s="85" customFormat="1" ht="21.5">
      <c r="A27" s="88" t="s">
        <v>408</v>
      </c>
      <c r="B27" s="222" t="s">
        <v>402</v>
      </c>
      <c r="C27" s="98"/>
      <c r="D27" s="98">
        <v>5</v>
      </c>
      <c r="E27" s="98"/>
      <c r="F27" s="90">
        <f t="shared" si="4"/>
        <v>-5</v>
      </c>
      <c r="G27" s="91">
        <f t="shared" si="3"/>
        <v>0</v>
      </c>
      <c r="H27" s="99"/>
    </row>
    <row r="28" spans="1:11" s="85" customFormat="1" ht="21.5">
      <c r="A28" s="88" t="s">
        <v>409</v>
      </c>
      <c r="B28" s="222" t="s">
        <v>403</v>
      </c>
      <c r="C28" s="98"/>
      <c r="D28" s="98">
        <v>5</v>
      </c>
      <c r="E28" s="98"/>
      <c r="F28" s="90">
        <f t="shared" si="4"/>
        <v>-5</v>
      </c>
      <c r="G28" s="91">
        <f t="shared" si="3"/>
        <v>0</v>
      </c>
      <c r="H28" s="99"/>
    </row>
    <row r="29" spans="1:11" s="85" customFormat="1" ht="21.5">
      <c r="A29" s="88" t="s">
        <v>592</v>
      </c>
      <c r="B29" s="222" t="s">
        <v>404</v>
      </c>
      <c r="C29" s="98">
        <v>3</v>
      </c>
      <c r="D29" s="98">
        <v>65</v>
      </c>
      <c r="E29" s="98">
        <v>19</v>
      </c>
      <c r="F29" s="90">
        <f t="shared" si="4"/>
        <v>-46</v>
      </c>
      <c r="G29" s="91">
        <f t="shared" si="3"/>
        <v>29.230769230769234</v>
      </c>
      <c r="H29" s="99"/>
    </row>
    <row r="30" spans="1:11" s="85" customFormat="1" ht="21.5">
      <c r="A30" s="88" t="s">
        <v>419</v>
      </c>
      <c r="B30" s="222" t="s">
        <v>405</v>
      </c>
      <c r="C30" s="98">
        <v>31</v>
      </c>
      <c r="D30" s="98">
        <v>38</v>
      </c>
      <c r="E30" s="98">
        <v>14</v>
      </c>
      <c r="F30" s="90">
        <f t="shared" si="4"/>
        <v>-24</v>
      </c>
      <c r="G30" s="91">
        <f t="shared" si="3"/>
        <v>36.84210526315789</v>
      </c>
      <c r="H30" s="99"/>
    </row>
    <row r="31" spans="1:11" s="85" customFormat="1" ht="21.5">
      <c r="A31" s="88" t="s">
        <v>540</v>
      </c>
      <c r="B31" s="222" t="s">
        <v>410</v>
      </c>
      <c r="C31" s="98">
        <v>84</v>
      </c>
      <c r="D31" s="98">
        <v>144</v>
      </c>
      <c r="E31" s="98">
        <f>15+37</f>
        <v>52</v>
      </c>
      <c r="F31" s="90">
        <f t="shared" si="4"/>
        <v>-92</v>
      </c>
      <c r="G31" s="91">
        <f t="shared" si="3"/>
        <v>36.111111111111107</v>
      </c>
      <c r="H31" s="99"/>
    </row>
    <row r="32" spans="1:11" s="85" customFormat="1" ht="38">
      <c r="A32" s="88" t="s">
        <v>531</v>
      </c>
      <c r="B32" s="222" t="s">
        <v>411</v>
      </c>
      <c r="C32" s="98">
        <v>7</v>
      </c>
      <c r="D32" s="98">
        <v>30</v>
      </c>
      <c r="E32" s="98">
        <f>20+3</f>
        <v>23</v>
      </c>
      <c r="F32" s="90">
        <f t="shared" si="4"/>
        <v>-7</v>
      </c>
      <c r="G32" s="91">
        <f t="shared" si="3"/>
        <v>76.666666666666671</v>
      </c>
      <c r="H32" s="99"/>
    </row>
    <row r="33" spans="1:8" s="85" customFormat="1" ht="21.5">
      <c r="A33" s="88" t="s">
        <v>587</v>
      </c>
      <c r="B33" s="222" t="s">
        <v>412</v>
      </c>
      <c r="C33" s="98">
        <v>146</v>
      </c>
      <c r="D33" s="98">
        <v>52</v>
      </c>
      <c r="E33" s="98">
        <v>5</v>
      </c>
      <c r="F33" s="90">
        <f t="shared" si="4"/>
        <v>-47</v>
      </c>
      <c r="G33" s="91">
        <f t="shared" si="3"/>
        <v>9.6153846153846168</v>
      </c>
      <c r="H33" s="99"/>
    </row>
    <row r="34" spans="1:8" s="85" customFormat="1" ht="21.5">
      <c r="A34" s="88" t="s">
        <v>535</v>
      </c>
      <c r="B34" s="222" t="s">
        <v>413</v>
      </c>
      <c r="C34" s="98"/>
      <c r="D34" s="98"/>
      <c r="E34" s="98"/>
      <c r="F34" s="90"/>
      <c r="G34" s="91"/>
      <c r="H34" s="99"/>
    </row>
    <row r="35" spans="1:8" s="85" customFormat="1" ht="21.5">
      <c r="A35" s="88" t="s">
        <v>582</v>
      </c>
      <c r="B35" s="222" t="s">
        <v>414</v>
      </c>
      <c r="C35" s="98"/>
      <c r="D35" s="98"/>
      <c r="E35" s="98"/>
      <c r="F35" s="90">
        <f t="shared" ref="F35" si="5">E35-D35</f>
        <v>0</v>
      </c>
      <c r="G35" s="91"/>
      <c r="H35" s="99"/>
    </row>
    <row r="36" spans="1:8" s="85" customFormat="1" ht="21.5">
      <c r="A36" s="88" t="s">
        <v>420</v>
      </c>
      <c r="B36" s="222" t="s">
        <v>415</v>
      </c>
      <c r="C36" s="98">
        <v>12</v>
      </c>
      <c r="D36" s="98">
        <v>23</v>
      </c>
      <c r="E36" s="98"/>
      <c r="F36" s="90">
        <f t="shared" ref="F36:F43" si="6">E36-D36</f>
        <v>-23</v>
      </c>
      <c r="G36" s="91">
        <f t="shared" si="3"/>
        <v>0</v>
      </c>
      <c r="H36" s="99"/>
    </row>
    <row r="37" spans="1:8" s="85" customFormat="1" ht="21.5">
      <c r="A37" s="88" t="s">
        <v>541</v>
      </c>
      <c r="B37" s="222" t="s">
        <v>416</v>
      </c>
      <c r="C37" s="98"/>
      <c r="D37" s="98"/>
      <c r="E37" s="98"/>
      <c r="F37" s="90">
        <f t="shared" si="6"/>
        <v>0</v>
      </c>
      <c r="G37" s="91"/>
      <c r="H37" s="99"/>
    </row>
    <row r="38" spans="1:8" s="85" customFormat="1" ht="38">
      <c r="A38" s="102" t="s">
        <v>421</v>
      </c>
      <c r="B38" s="222" t="s">
        <v>417</v>
      </c>
      <c r="C38" s="98">
        <v>89</v>
      </c>
      <c r="D38" s="98">
        <v>90</v>
      </c>
      <c r="E38" s="98">
        <v>93</v>
      </c>
      <c r="F38" s="90">
        <f t="shared" si="6"/>
        <v>3</v>
      </c>
      <c r="G38" s="91">
        <f t="shared" si="3"/>
        <v>103.33333333333334</v>
      </c>
      <c r="H38" s="99"/>
    </row>
    <row r="39" spans="1:8" s="85" customFormat="1" ht="21.5">
      <c r="A39" s="103" t="s">
        <v>422</v>
      </c>
      <c r="B39" s="222" t="s">
        <v>418</v>
      </c>
      <c r="C39" s="98">
        <v>15</v>
      </c>
      <c r="D39" s="98">
        <v>15</v>
      </c>
      <c r="E39" s="98">
        <v>12</v>
      </c>
      <c r="F39" s="90">
        <f t="shared" si="6"/>
        <v>-3</v>
      </c>
      <c r="G39" s="91">
        <f t="shared" si="3"/>
        <v>80</v>
      </c>
      <c r="H39" s="99"/>
    </row>
    <row r="40" spans="1:8" s="85" customFormat="1" ht="21.5">
      <c r="A40" s="88" t="s">
        <v>46</v>
      </c>
      <c r="B40" s="222" t="s">
        <v>423</v>
      </c>
      <c r="C40" s="98"/>
      <c r="D40" s="98">
        <v>63</v>
      </c>
      <c r="E40" s="98">
        <v>60</v>
      </c>
      <c r="F40" s="90">
        <f t="shared" si="6"/>
        <v>-3</v>
      </c>
      <c r="G40" s="91">
        <f>E40/D40*100</f>
        <v>95.238095238095227</v>
      </c>
      <c r="H40" s="99"/>
    </row>
    <row r="41" spans="1:8" s="85" customFormat="1" ht="21.5">
      <c r="A41" s="88" t="s">
        <v>461</v>
      </c>
      <c r="B41" s="222" t="s">
        <v>494</v>
      </c>
      <c r="C41" s="98"/>
      <c r="D41" s="98">
        <v>2</v>
      </c>
      <c r="E41" s="98"/>
      <c r="F41" s="90">
        <f t="shared" si="6"/>
        <v>-2</v>
      </c>
      <c r="G41" s="91"/>
      <c r="H41" s="99"/>
    </row>
    <row r="42" spans="1:8" s="85" customFormat="1" ht="38">
      <c r="A42" s="88" t="s">
        <v>497</v>
      </c>
      <c r="B42" s="222" t="s">
        <v>495</v>
      </c>
      <c r="C42" s="98"/>
      <c r="D42" s="98">
        <v>388</v>
      </c>
      <c r="E42" s="98"/>
      <c r="F42" s="90">
        <f t="shared" si="6"/>
        <v>-388</v>
      </c>
      <c r="G42" s="91">
        <f t="shared" ref="G42:G47" si="7">E42/D42*100</f>
        <v>0</v>
      </c>
      <c r="H42" s="99"/>
    </row>
    <row r="43" spans="1:8" s="85" customFormat="1" ht="21.5">
      <c r="A43" s="88" t="s">
        <v>566</v>
      </c>
      <c r="B43" s="222" t="s">
        <v>496</v>
      </c>
      <c r="C43" s="98"/>
      <c r="D43" s="98">
        <v>75</v>
      </c>
      <c r="E43" s="98"/>
      <c r="F43" s="90">
        <f t="shared" si="6"/>
        <v>-75</v>
      </c>
      <c r="G43" s="91">
        <f t="shared" si="7"/>
        <v>0</v>
      </c>
      <c r="H43" s="99"/>
    </row>
    <row r="44" spans="1:8" s="85" customFormat="1" ht="21.5">
      <c r="A44" s="88" t="s">
        <v>553</v>
      </c>
      <c r="B44" s="222" t="s">
        <v>498</v>
      </c>
      <c r="C44" s="98"/>
      <c r="D44" s="98">
        <v>13</v>
      </c>
      <c r="E44" s="98">
        <v>4</v>
      </c>
      <c r="F44" s="90">
        <f>E44-D44</f>
        <v>-9</v>
      </c>
      <c r="G44" s="91">
        <f t="shared" si="7"/>
        <v>30.76923076923077</v>
      </c>
      <c r="H44" s="99"/>
    </row>
    <row r="45" spans="1:8" s="85" customFormat="1" ht="38">
      <c r="A45" s="88" t="s">
        <v>604</v>
      </c>
      <c r="B45" s="222" t="s">
        <v>499</v>
      </c>
      <c r="C45" s="98"/>
      <c r="D45" s="98">
        <v>25</v>
      </c>
      <c r="E45" s="98"/>
      <c r="F45" s="90">
        <f>E45-D45</f>
        <v>-25</v>
      </c>
      <c r="G45" s="91">
        <f t="shared" si="7"/>
        <v>0</v>
      </c>
      <c r="H45" s="99"/>
    </row>
    <row r="46" spans="1:8" s="85" customFormat="1" ht="21.5">
      <c r="A46" s="88" t="s">
        <v>572</v>
      </c>
      <c r="B46" s="222" t="s">
        <v>514</v>
      </c>
      <c r="C46" s="98"/>
      <c r="D46" s="98">
        <v>131</v>
      </c>
      <c r="E46" s="98">
        <v>141</v>
      </c>
      <c r="F46" s="90">
        <f>E46-D46</f>
        <v>10</v>
      </c>
      <c r="G46" s="91">
        <f t="shared" si="7"/>
        <v>107.63358778625954</v>
      </c>
      <c r="H46" s="99"/>
    </row>
    <row r="47" spans="1:8" s="85" customFormat="1" ht="21.5">
      <c r="A47" s="88" t="s">
        <v>571</v>
      </c>
      <c r="B47" s="222" t="s">
        <v>515</v>
      </c>
      <c r="C47" s="98">
        <v>12</v>
      </c>
      <c r="D47" s="98">
        <v>11</v>
      </c>
      <c r="E47" s="98">
        <v>12</v>
      </c>
      <c r="F47" s="90">
        <f>E47-D47</f>
        <v>1</v>
      </c>
      <c r="G47" s="91">
        <f t="shared" si="7"/>
        <v>109.09090909090908</v>
      </c>
      <c r="H47" s="99"/>
    </row>
    <row r="48" spans="1:8" s="85" customFormat="1" ht="21.5">
      <c r="A48" s="88" t="s">
        <v>548</v>
      </c>
      <c r="B48" s="222" t="s">
        <v>516</v>
      </c>
      <c r="C48" s="98"/>
      <c r="D48" s="98"/>
      <c r="E48" s="98"/>
      <c r="F48" s="90"/>
      <c r="G48" s="91"/>
      <c r="H48" s="99"/>
    </row>
    <row r="49" spans="1:8" s="85" customFormat="1" ht="21.5">
      <c r="A49" s="88" t="s">
        <v>605</v>
      </c>
      <c r="B49" s="222" t="s">
        <v>549</v>
      </c>
      <c r="C49" s="98"/>
      <c r="D49" s="98"/>
      <c r="E49" s="98"/>
      <c r="F49" s="90">
        <f t="shared" ref="F49:F62" si="8">E49-D49</f>
        <v>0</v>
      </c>
      <c r="G49" s="91"/>
      <c r="H49" s="99"/>
    </row>
    <row r="50" spans="1:8" s="85" customFormat="1" ht="21.5">
      <c r="A50" s="88" t="s">
        <v>554</v>
      </c>
      <c r="B50" s="222" t="s">
        <v>555</v>
      </c>
      <c r="C50" s="98"/>
      <c r="D50" s="98">
        <v>64</v>
      </c>
      <c r="E50" s="98"/>
      <c r="F50" s="90">
        <f t="shared" si="8"/>
        <v>-64</v>
      </c>
      <c r="G50" s="91">
        <f>E50/D50*100</f>
        <v>0</v>
      </c>
      <c r="H50" s="99"/>
    </row>
    <row r="51" spans="1:8" s="85" customFormat="1" ht="57">
      <c r="A51" s="88" t="s">
        <v>567</v>
      </c>
      <c r="B51" s="222" t="s">
        <v>556</v>
      </c>
      <c r="C51" s="98">
        <v>549</v>
      </c>
      <c r="D51" s="98">
        <v>387</v>
      </c>
      <c r="E51" s="98">
        <v>361</v>
      </c>
      <c r="F51" s="90">
        <f t="shared" si="8"/>
        <v>-26</v>
      </c>
      <c r="G51" s="91">
        <f>E51/D51*100</f>
        <v>93.281653746770019</v>
      </c>
      <c r="H51" s="99"/>
    </row>
    <row r="52" spans="1:8" s="85" customFormat="1" ht="21.5">
      <c r="A52" s="88" t="s">
        <v>593</v>
      </c>
      <c r="B52" s="222" t="s">
        <v>557</v>
      </c>
      <c r="C52" s="98"/>
      <c r="D52" s="98"/>
      <c r="E52" s="98">
        <v>207</v>
      </c>
      <c r="F52" s="90">
        <f t="shared" ref="F52:F58" si="9">E52-D52</f>
        <v>207</v>
      </c>
      <c r="G52" s="91"/>
      <c r="H52" s="99"/>
    </row>
    <row r="53" spans="1:8" s="85" customFormat="1" ht="21.5">
      <c r="A53" s="88" t="s">
        <v>623</v>
      </c>
      <c r="B53" s="222" t="s">
        <v>569</v>
      </c>
      <c r="C53" s="98"/>
      <c r="D53" s="98"/>
      <c r="E53" s="98">
        <v>10</v>
      </c>
      <c r="F53" s="90">
        <f t="shared" si="9"/>
        <v>10</v>
      </c>
      <c r="G53" s="91"/>
      <c r="H53" s="99"/>
    </row>
    <row r="54" spans="1:8" s="85" customFormat="1" ht="38">
      <c r="A54" s="88" t="s">
        <v>594</v>
      </c>
      <c r="B54" s="222" t="s">
        <v>570</v>
      </c>
      <c r="C54" s="98"/>
      <c r="D54" s="98"/>
      <c r="E54" s="98"/>
      <c r="F54" s="90">
        <f t="shared" si="9"/>
        <v>0</v>
      </c>
      <c r="G54" s="91"/>
      <c r="H54" s="99"/>
    </row>
    <row r="55" spans="1:8" s="85" customFormat="1" ht="21.5">
      <c r="A55" s="88" t="s">
        <v>568</v>
      </c>
      <c r="B55" s="222" t="s">
        <v>598</v>
      </c>
      <c r="C55" s="98"/>
      <c r="D55" s="98">
        <v>5</v>
      </c>
      <c r="E55" s="98"/>
      <c r="F55" s="90"/>
      <c r="G55" s="91"/>
      <c r="H55" s="99"/>
    </row>
    <row r="56" spans="1:8" s="85" customFormat="1" ht="21.5">
      <c r="A56" s="88" t="s">
        <v>610</v>
      </c>
      <c r="B56" s="222" t="s">
        <v>599</v>
      </c>
      <c r="C56" s="98"/>
      <c r="D56" s="98"/>
      <c r="E56" s="98"/>
      <c r="F56" s="90"/>
      <c r="G56" s="91"/>
      <c r="H56" s="99"/>
    </row>
    <row r="57" spans="1:8" s="85" customFormat="1" ht="38">
      <c r="A57" s="88" t="s">
        <v>624</v>
      </c>
      <c r="B57" s="222" t="s">
        <v>602</v>
      </c>
      <c r="C57" s="98"/>
      <c r="D57" s="98"/>
      <c r="E57" s="98">
        <v>943</v>
      </c>
      <c r="F57" s="90"/>
      <c r="G57" s="91"/>
      <c r="H57" s="99"/>
    </row>
    <row r="58" spans="1:8" s="85" customFormat="1" ht="21.5">
      <c r="A58" s="88" t="s">
        <v>583</v>
      </c>
      <c r="B58" s="222" t="s">
        <v>606</v>
      </c>
      <c r="C58" s="98">
        <v>2359</v>
      </c>
      <c r="D58" s="98"/>
      <c r="E58" s="98">
        <v>7555</v>
      </c>
      <c r="F58" s="90">
        <f t="shared" si="9"/>
        <v>7555</v>
      </c>
      <c r="G58" s="91"/>
      <c r="H58" s="99"/>
    </row>
    <row r="59" spans="1:8" s="85" customFormat="1" ht="38">
      <c r="A59" s="88" t="s">
        <v>500</v>
      </c>
      <c r="B59" s="222" t="s">
        <v>611</v>
      </c>
      <c r="C59" s="98">
        <v>15271</v>
      </c>
      <c r="D59" s="98">
        <v>26812</v>
      </c>
      <c r="E59" s="98">
        <v>20450</v>
      </c>
      <c r="F59" s="90">
        <f t="shared" si="8"/>
        <v>-6362</v>
      </c>
      <c r="G59" s="91">
        <f>E59/D59*100</f>
        <v>76.27181858869163</v>
      </c>
      <c r="H59" s="101"/>
    </row>
    <row r="60" spans="1:8" s="87" customFormat="1" ht="21">
      <c r="A60" s="104" t="s">
        <v>23</v>
      </c>
      <c r="B60" s="105">
        <v>1020</v>
      </c>
      <c r="C60" s="106">
        <f>C9-C13</f>
        <v>2630</v>
      </c>
      <c r="D60" s="106">
        <f>D9-D13</f>
        <v>1816</v>
      </c>
      <c r="E60" s="106">
        <f>E9-E13</f>
        <v>-58</v>
      </c>
      <c r="F60" s="106">
        <f t="shared" si="8"/>
        <v>-1874</v>
      </c>
      <c r="G60" s="107">
        <f>E60/D60*100</f>
        <v>-3.1938325991189425</v>
      </c>
      <c r="H60" s="108"/>
    </row>
    <row r="61" spans="1:8" s="85" customFormat="1" ht="21.5">
      <c r="A61" s="88" t="s">
        <v>216</v>
      </c>
      <c r="B61" s="89">
        <v>1030</v>
      </c>
      <c r="C61" s="90">
        <f>C62+C63+C64+C65+C66+C67+C68+C69+C70</f>
        <v>914</v>
      </c>
      <c r="D61" s="90">
        <f>D62+D63+D64+D70+D69</f>
        <v>1275</v>
      </c>
      <c r="E61" s="90">
        <f>E62+E63+E64+E65+E66+E67+E68+E69+E70</f>
        <v>1832</v>
      </c>
      <c r="F61" s="90">
        <f t="shared" si="8"/>
        <v>557</v>
      </c>
      <c r="G61" s="91">
        <f>E61/D61*100</f>
        <v>143.68627450980392</v>
      </c>
      <c r="H61" s="109"/>
    </row>
    <row r="62" spans="1:8" s="85" customFormat="1" ht="21.5">
      <c r="A62" s="110" t="s">
        <v>558</v>
      </c>
      <c r="B62" s="89" t="s">
        <v>424</v>
      </c>
      <c r="C62" s="90">
        <v>97</v>
      </c>
      <c r="D62" s="90">
        <v>575</v>
      </c>
      <c r="E62" s="90">
        <v>28</v>
      </c>
      <c r="F62" s="90">
        <f t="shared" si="8"/>
        <v>-547</v>
      </c>
      <c r="G62" s="91">
        <f>E62/D62*100</f>
        <v>4.8695652173913047</v>
      </c>
      <c r="H62" s="109"/>
    </row>
    <row r="63" spans="1:8" s="85" customFormat="1" ht="21.5">
      <c r="A63" s="110" t="s">
        <v>422</v>
      </c>
      <c r="B63" s="89" t="s">
        <v>425</v>
      </c>
      <c r="C63" s="90">
        <v>786</v>
      </c>
      <c r="D63" s="90">
        <v>525</v>
      </c>
      <c r="E63" s="90">
        <v>1149</v>
      </c>
      <c r="F63" s="90"/>
      <c r="G63" s="91"/>
      <c r="H63" s="109"/>
    </row>
    <row r="64" spans="1:8" s="85" customFormat="1" ht="21.5">
      <c r="A64" s="110" t="s">
        <v>625</v>
      </c>
      <c r="B64" s="89" t="s">
        <v>426</v>
      </c>
      <c r="C64" s="90"/>
      <c r="D64" s="90"/>
      <c r="E64" s="90">
        <v>236</v>
      </c>
      <c r="F64" s="90"/>
      <c r="G64" s="91"/>
      <c r="H64" s="109"/>
    </row>
    <row r="65" spans="1:11" s="85" customFormat="1" ht="21.5">
      <c r="A65" s="110" t="s">
        <v>584</v>
      </c>
      <c r="B65" s="89" t="s">
        <v>427</v>
      </c>
      <c r="C65" s="90"/>
      <c r="D65" s="90"/>
      <c r="E65" s="90"/>
      <c r="F65" s="90"/>
      <c r="G65" s="91"/>
      <c r="H65" s="109"/>
    </row>
    <row r="66" spans="1:11" s="85" customFormat="1" ht="21.5">
      <c r="A66" s="110" t="s">
        <v>585</v>
      </c>
      <c r="B66" s="89" t="s">
        <v>428</v>
      </c>
      <c r="C66" s="90"/>
      <c r="D66" s="90"/>
      <c r="E66" s="90"/>
      <c r="F66" s="90"/>
      <c r="G66" s="91"/>
      <c r="H66" s="109"/>
    </row>
    <row r="67" spans="1:11" s="85" customFormat="1" ht="21.5">
      <c r="A67" s="110" t="s">
        <v>432</v>
      </c>
      <c r="B67" s="89" t="s">
        <v>429</v>
      </c>
      <c r="C67" s="90"/>
      <c r="D67" s="90"/>
      <c r="E67" s="90"/>
      <c r="F67" s="90"/>
      <c r="G67" s="91"/>
      <c r="H67" s="109"/>
    </row>
    <row r="68" spans="1:11" s="85" customFormat="1" ht="21.5">
      <c r="A68" s="110" t="s">
        <v>626</v>
      </c>
      <c r="B68" s="89" t="s">
        <v>430</v>
      </c>
      <c r="C68" s="90"/>
      <c r="D68" s="90"/>
      <c r="E68" s="90">
        <v>243</v>
      </c>
      <c r="F68" s="90"/>
      <c r="G68" s="91"/>
      <c r="H68" s="109"/>
    </row>
    <row r="69" spans="1:11" s="85" customFormat="1" ht="21.5">
      <c r="A69" s="110" t="s">
        <v>559</v>
      </c>
      <c r="B69" s="89" t="s">
        <v>431</v>
      </c>
      <c r="C69" s="90">
        <v>31</v>
      </c>
      <c r="D69" s="90">
        <v>175</v>
      </c>
      <c r="E69" s="90">
        <v>176</v>
      </c>
      <c r="F69" s="90">
        <f>E69-D69</f>
        <v>1</v>
      </c>
      <c r="G69" s="91">
        <f>E69/D69*100</f>
        <v>100.57142857142858</v>
      </c>
      <c r="H69" s="109"/>
    </row>
    <row r="70" spans="1:11" s="85" customFormat="1" ht="21.5">
      <c r="A70" s="102" t="s">
        <v>501</v>
      </c>
      <c r="B70" s="89" t="s">
        <v>502</v>
      </c>
      <c r="C70" s="90"/>
      <c r="D70" s="90"/>
      <c r="E70" s="90"/>
      <c r="F70" s="90">
        <f>E70-D70</f>
        <v>0</v>
      </c>
      <c r="G70" s="91"/>
      <c r="H70" s="109"/>
    </row>
    <row r="71" spans="1:11" s="85" customFormat="1" ht="21.5">
      <c r="A71" s="88" t="s">
        <v>217</v>
      </c>
      <c r="B71" s="89">
        <v>1031</v>
      </c>
      <c r="C71" s="90"/>
      <c r="D71" s="90"/>
      <c r="E71" s="90"/>
      <c r="F71" s="90"/>
      <c r="G71" s="91"/>
      <c r="H71" s="109"/>
    </row>
    <row r="72" spans="1:11" s="85" customFormat="1" ht="21.5">
      <c r="A72" s="88" t="s">
        <v>226</v>
      </c>
      <c r="B72" s="89">
        <v>1040</v>
      </c>
      <c r="C72" s="90">
        <f>C73+C74+C75+C76+C77+C78+C79+C80+C81+C82+C87+C93+C94+C86+C90</f>
        <v>3013</v>
      </c>
      <c r="D72" s="90">
        <f>D73-1+D78+D79+D80+D81+D82+D86+D87+D92+D94+D90</f>
        <v>2773</v>
      </c>
      <c r="E72" s="90">
        <f>E73+E76+E78+E79+E80+E81+E82+E86+E87+E88+E90+E91+E92+E94+E93+E84</f>
        <v>3199</v>
      </c>
      <c r="F72" s="90">
        <f>E72-D72</f>
        <v>426</v>
      </c>
      <c r="G72" s="91">
        <f>E72/D72*100</f>
        <v>115.36242336819329</v>
      </c>
      <c r="H72" s="109"/>
      <c r="K72" s="193"/>
    </row>
    <row r="73" spans="1:11" s="85" customFormat="1" ht="38">
      <c r="A73" s="88" t="s">
        <v>104</v>
      </c>
      <c r="B73" s="89">
        <v>1041</v>
      </c>
      <c r="C73" s="90">
        <v>276</v>
      </c>
      <c r="D73" s="90">
        <v>249</v>
      </c>
      <c r="E73" s="90">
        <f>147+145</f>
        <v>292</v>
      </c>
      <c r="F73" s="90">
        <f>E73-D73</f>
        <v>43</v>
      </c>
      <c r="G73" s="91">
        <f>E73/D73*100</f>
        <v>117.26907630522088</v>
      </c>
      <c r="H73" s="109"/>
    </row>
    <row r="74" spans="1:11" s="85" customFormat="1" ht="21.5">
      <c r="A74" s="88" t="s">
        <v>207</v>
      </c>
      <c r="B74" s="89">
        <v>1042</v>
      </c>
      <c r="C74" s="90"/>
      <c r="D74" s="90"/>
      <c r="E74" s="90"/>
      <c r="F74" s="90"/>
      <c r="G74" s="91"/>
      <c r="H74" s="109"/>
    </row>
    <row r="75" spans="1:11" s="85" customFormat="1" ht="21.5">
      <c r="A75" s="88" t="s">
        <v>61</v>
      </c>
      <c r="B75" s="89">
        <v>1043</v>
      </c>
      <c r="C75" s="90"/>
      <c r="D75" s="90"/>
      <c r="E75" s="90"/>
      <c r="F75" s="90"/>
      <c r="G75" s="91"/>
      <c r="H75" s="109"/>
    </row>
    <row r="76" spans="1:11" s="85" customFormat="1" ht="21.5">
      <c r="A76" s="88" t="s">
        <v>21</v>
      </c>
      <c r="B76" s="89">
        <v>1044</v>
      </c>
      <c r="C76" s="90"/>
      <c r="D76" s="90"/>
      <c r="E76" s="90"/>
      <c r="F76" s="90"/>
      <c r="G76" s="91"/>
      <c r="H76" s="109"/>
    </row>
    <row r="77" spans="1:11" s="85" customFormat="1" ht="21.5">
      <c r="A77" s="88" t="s">
        <v>22</v>
      </c>
      <c r="B77" s="89">
        <v>1045</v>
      </c>
      <c r="C77" s="90"/>
      <c r="D77" s="90"/>
      <c r="E77" s="90"/>
      <c r="F77" s="90"/>
      <c r="G77" s="91"/>
      <c r="H77" s="109"/>
    </row>
    <row r="78" spans="1:11" s="85" customFormat="1" ht="21.5">
      <c r="A78" s="88" t="s">
        <v>38</v>
      </c>
      <c r="B78" s="89">
        <v>1046</v>
      </c>
      <c r="C78" s="90"/>
      <c r="D78" s="90">
        <v>6</v>
      </c>
      <c r="E78" s="90">
        <v>3</v>
      </c>
      <c r="F78" s="90">
        <f>E78-D78</f>
        <v>-3</v>
      </c>
      <c r="G78" s="91">
        <f>E78/D78*100</f>
        <v>50</v>
      </c>
      <c r="H78" s="109"/>
    </row>
    <row r="79" spans="1:11" s="85" customFormat="1" ht="21.5">
      <c r="A79" s="88" t="s">
        <v>39</v>
      </c>
      <c r="B79" s="89">
        <v>1047</v>
      </c>
      <c r="C79" s="90">
        <v>7</v>
      </c>
      <c r="D79" s="90">
        <v>15</v>
      </c>
      <c r="E79" s="90">
        <v>5</v>
      </c>
      <c r="F79" s="90">
        <f>E79-D79</f>
        <v>-10</v>
      </c>
      <c r="G79" s="91">
        <f>E79/D79*100</f>
        <v>33.333333333333329</v>
      </c>
      <c r="H79" s="109"/>
    </row>
    <row r="80" spans="1:11" s="85" customFormat="1" ht="21.5">
      <c r="A80" s="88" t="s">
        <v>40</v>
      </c>
      <c r="B80" s="89">
        <v>1048</v>
      </c>
      <c r="C80" s="90">
        <v>1955</v>
      </c>
      <c r="D80" s="90">
        <v>1612</v>
      </c>
      <c r="E80" s="90">
        <f>2195-112</f>
        <v>2083</v>
      </c>
      <c r="F80" s="90">
        <f>E80-D80</f>
        <v>471</v>
      </c>
      <c r="G80" s="91">
        <f>E80/D80*100</f>
        <v>129.21836228287842</v>
      </c>
      <c r="H80" s="109"/>
    </row>
    <row r="81" spans="1:8" s="85" customFormat="1" ht="21.5">
      <c r="A81" s="88" t="s">
        <v>41</v>
      </c>
      <c r="B81" s="89">
        <v>1049</v>
      </c>
      <c r="C81" s="90">
        <v>421</v>
      </c>
      <c r="D81" s="90">
        <v>329</v>
      </c>
      <c r="E81" s="90">
        <f>459-30</f>
        <v>429</v>
      </c>
      <c r="F81" s="90">
        <f>E81-D81</f>
        <v>100</v>
      </c>
      <c r="G81" s="91">
        <f>E81/D81*100</f>
        <v>130.3951367781155</v>
      </c>
      <c r="H81" s="109"/>
    </row>
    <row r="82" spans="1:8" s="85" customFormat="1" ht="38">
      <c r="A82" s="88" t="s">
        <v>42</v>
      </c>
      <c r="B82" s="89">
        <v>1050</v>
      </c>
      <c r="C82" s="90">
        <v>65</v>
      </c>
      <c r="D82" s="90">
        <v>63</v>
      </c>
      <c r="E82" s="90">
        <f>77-3</f>
        <v>74</v>
      </c>
      <c r="F82" s="90">
        <f>E82-D82</f>
        <v>11</v>
      </c>
      <c r="G82" s="91">
        <f>E82/D82*100</f>
        <v>117.46031746031747</v>
      </c>
      <c r="H82" s="109"/>
    </row>
    <row r="83" spans="1:8" s="85" customFormat="1" ht="38">
      <c r="A83" s="88" t="s">
        <v>43</v>
      </c>
      <c r="B83" s="89">
        <v>1051</v>
      </c>
      <c r="C83" s="90"/>
      <c r="D83" s="90"/>
      <c r="E83" s="90"/>
      <c r="F83" s="90"/>
      <c r="G83" s="91"/>
      <c r="H83" s="109"/>
    </row>
    <row r="84" spans="1:8" s="85" customFormat="1" ht="21.5">
      <c r="A84" s="88" t="s">
        <v>623</v>
      </c>
      <c r="B84" s="89">
        <v>1052</v>
      </c>
      <c r="C84" s="90"/>
      <c r="D84" s="90"/>
      <c r="E84" s="90">
        <v>10</v>
      </c>
      <c r="F84" s="90"/>
      <c r="G84" s="91"/>
      <c r="H84" s="109"/>
    </row>
    <row r="85" spans="1:8" s="85" customFormat="1" ht="21.5">
      <c r="A85" s="88" t="s">
        <v>44</v>
      </c>
      <c r="B85" s="89">
        <v>1053</v>
      </c>
      <c r="C85" s="90"/>
      <c r="D85" s="90"/>
      <c r="E85" s="90"/>
      <c r="F85" s="90"/>
      <c r="G85" s="91"/>
      <c r="H85" s="109"/>
    </row>
    <row r="86" spans="1:8" s="85" customFormat="1" ht="21.5">
      <c r="A86" s="88" t="s">
        <v>45</v>
      </c>
      <c r="B86" s="89">
        <v>1054</v>
      </c>
      <c r="C86" s="90">
        <v>3</v>
      </c>
      <c r="D86" s="90">
        <v>11</v>
      </c>
      <c r="E86" s="90">
        <f>2</f>
        <v>2</v>
      </c>
      <c r="F86" s="90">
        <f>E86-D86</f>
        <v>-9</v>
      </c>
      <c r="G86" s="91">
        <f>E86/D86*100</f>
        <v>18.181818181818183</v>
      </c>
      <c r="H86" s="109"/>
    </row>
    <row r="87" spans="1:8" s="85" customFormat="1" ht="21.5">
      <c r="A87" s="88" t="s">
        <v>65</v>
      </c>
      <c r="B87" s="89">
        <v>1055</v>
      </c>
      <c r="C87" s="90">
        <v>14</v>
      </c>
      <c r="D87" s="90">
        <v>38</v>
      </c>
      <c r="E87" s="90">
        <v>13</v>
      </c>
      <c r="F87" s="90">
        <f>E87-D87</f>
        <v>-25</v>
      </c>
      <c r="G87" s="91">
        <f>E87/D87*100</f>
        <v>34.210526315789473</v>
      </c>
      <c r="H87" s="109"/>
    </row>
    <row r="88" spans="1:8" s="85" customFormat="1" ht="21.5">
      <c r="A88" s="88" t="s">
        <v>46</v>
      </c>
      <c r="B88" s="89">
        <v>1056</v>
      </c>
      <c r="C88" s="90"/>
      <c r="D88" s="90"/>
      <c r="E88" s="90"/>
      <c r="F88" s="90"/>
      <c r="G88" s="91"/>
      <c r="H88" s="109"/>
    </row>
    <row r="89" spans="1:8" s="85" customFormat="1" ht="21.5">
      <c r="A89" s="88" t="s">
        <v>47</v>
      </c>
      <c r="B89" s="89">
        <v>1057</v>
      </c>
      <c r="C89" s="90"/>
      <c r="D89" s="90"/>
      <c r="E89" s="90"/>
      <c r="F89" s="90"/>
      <c r="G89" s="91"/>
      <c r="H89" s="109"/>
    </row>
    <row r="90" spans="1:8" s="85" customFormat="1" ht="38">
      <c r="A90" s="88" t="s">
        <v>48</v>
      </c>
      <c r="B90" s="89">
        <v>1058</v>
      </c>
      <c r="C90" s="90">
        <v>10</v>
      </c>
      <c r="D90" s="90">
        <v>28</v>
      </c>
      <c r="E90" s="90">
        <f>6+1</f>
        <v>7</v>
      </c>
      <c r="F90" s="90">
        <f>E90-D90</f>
        <v>-21</v>
      </c>
      <c r="G90" s="91">
        <f>E90/D90*100</f>
        <v>25</v>
      </c>
      <c r="H90" s="109"/>
    </row>
    <row r="91" spans="1:8" s="85" customFormat="1" ht="38">
      <c r="A91" s="88" t="s">
        <v>49</v>
      </c>
      <c r="B91" s="89">
        <v>1059</v>
      </c>
      <c r="C91" s="90"/>
      <c r="D91" s="90"/>
      <c r="E91" s="90"/>
      <c r="F91" s="90"/>
      <c r="G91" s="91"/>
      <c r="H91" s="109"/>
    </row>
    <row r="92" spans="1:8" s="85" customFormat="1" ht="38">
      <c r="A92" s="88" t="s">
        <v>627</v>
      </c>
      <c r="B92" s="89">
        <v>1060</v>
      </c>
      <c r="C92" s="90"/>
      <c r="D92" s="90">
        <v>15</v>
      </c>
      <c r="E92" s="90">
        <f>7</f>
        <v>7</v>
      </c>
      <c r="F92" s="90">
        <f>E92-D92</f>
        <v>-8</v>
      </c>
      <c r="G92" s="91">
        <f>E92/D92*100</f>
        <v>46.666666666666664</v>
      </c>
      <c r="H92" s="109"/>
    </row>
    <row r="93" spans="1:8" s="85" customFormat="1" ht="21.5">
      <c r="A93" s="88" t="s">
        <v>50</v>
      </c>
      <c r="B93" s="89">
        <v>1061</v>
      </c>
      <c r="C93" s="90"/>
      <c r="D93" s="90"/>
      <c r="E93" s="90"/>
      <c r="F93" s="90">
        <f>E93-D93</f>
        <v>0</v>
      </c>
      <c r="G93" s="91"/>
      <c r="H93" s="99"/>
    </row>
    <row r="94" spans="1:8" s="85" customFormat="1" ht="21.5">
      <c r="A94" s="88" t="s">
        <v>108</v>
      </c>
      <c r="B94" s="89">
        <v>1062</v>
      </c>
      <c r="C94" s="90">
        <f>C95+C96+C97+C98+C99+C100+C101</f>
        <v>262</v>
      </c>
      <c r="D94" s="90">
        <f>D95+D96+D97+D98+D99+D100+D101</f>
        <v>408</v>
      </c>
      <c r="E94" s="90">
        <f>E95+E96+E97+E98+E99+E100+E109+E101</f>
        <v>274</v>
      </c>
      <c r="F94" s="90">
        <f t="shared" ref="F94:F99" si="10">E94-D94</f>
        <v>-134</v>
      </c>
      <c r="G94" s="91">
        <f t="shared" ref="G94:G101" si="11">E94/D94*100</f>
        <v>67.156862745098039</v>
      </c>
      <c r="H94" s="109"/>
    </row>
    <row r="95" spans="1:8" s="85" customFormat="1" ht="21.5">
      <c r="A95" s="110" t="s">
        <v>433</v>
      </c>
      <c r="B95" s="89" t="s">
        <v>435</v>
      </c>
      <c r="C95" s="90">
        <v>15</v>
      </c>
      <c r="D95" s="90">
        <v>14</v>
      </c>
      <c r="E95" s="90">
        <v>12</v>
      </c>
      <c r="F95" s="90">
        <f t="shared" si="10"/>
        <v>-2</v>
      </c>
      <c r="G95" s="91">
        <f t="shared" si="11"/>
        <v>85.714285714285708</v>
      </c>
      <c r="H95" s="109"/>
    </row>
    <row r="96" spans="1:8" s="85" customFormat="1" ht="21.5">
      <c r="A96" s="110" t="s">
        <v>595</v>
      </c>
      <c r="B96" s="89" t="s">
        <v>436</v>
      </c>
      <c r="C96" s="90">
        <v>8</v>
      </c>
      <c r="D96" s="90">
        <v>13</v>
      </c>
      <c r="E96" s="90"/>
      <c r="F96" s="90">
        <f t="shared" si="10"/>
        <v>-13</v>
      </c>
      <c r="G96" s="91">
        <f t="shared" si="11"/>
        <v>0</v>
      </c>
      <c r="H96" s="109"/>
    </row>
    <row r="97" spans="1:10" s="85" customFormat="1" ht="21.5">
      <c r="A97" s="110" t="s">
        <v>434</v>
      </c>
      <c r="B97" s="89" t="s">
        <v>437</v>
      </c>
      <c r="C97" s="90">
        <v>88</v>
      </c>
      <c r="D97" s="90">
        <v>90</v>
      </c>
      <c r="E97" s="90">
        <v>93</v>
      </c>
      <c r="F97" s="90">
        <f t="shared" si="10"/>
        <v>3</v>
      </c>
      <c r="G97" s="91">
        <f t="shared" si="11"/>
        <v>103.33333333333334</v>
      </c>
      <c r="H97" s="109"/>
    </row>
    <row r="98" spans="1:10" s="85" customFormat="1" ht="57">
      <c r="A98" s="110" t="s">
        <v>522</v>
      </c>
      <c r="B98" s="89" t="s">
        <v>438</v>
      </c>
      <c r="C98" s="90">
        <v>8</v>
      </c>
      <c r="D98" s="90">
        <v>6</v>
      </c>
      <c r="E98" s="90"/>
      <c r="F98" s="90">
        <f t="shared" si="10"/>
        <v>-6</v>
      </c>
      <c r="G98" s="91">
        <f t="shared" si="11"/>
        <v>0</v>
      </c>
      <c r="H98" s="109"/>
    </row>
    <row r="99" spans="1:10" s="85" customFormat="1" ht="21.5">
      <c r="A99" s="103" t="s">
        <v>536</v>
      </c>
      <c r="B99" s="89" t="s">
        <v>439</v>
      </c>
      <c r="C99" s="90">
        <v>67</v>
      </c>
      <c r="D99" s="90">
        <v>60</v>
      </c>
      <c r="E99" s="90">
        <v>58</v>
      </c>
      <c r="F99" s="90">
        <f t="shared" si="10"/>
        <v>-2</v>
      </c>
      <c r="G99" s="91">
        <f t="shared" si="11"/>
        <v>96.666666666666671</v>
      </c>
      <c r="H99" s="109"/>
    </row>
    <row r="100" spans="1:10" s="85" customFormat="1" ht="38">
      <c r="A100" s="88" t="s">
        <v>497</v>
      </c>
      <c r="B100" s="89" t="s">
        <v>503</v>
      </c>
      <c r="C100" s="90"/>
      <c r="D100" s="90">
        <v>125</v>
      </c>
      <c r="E100" s="90">
        <v>69</v>
      </c>
      <c r="F100" s="90">
        <f>E100-D100</f>
        <v>-56</v>
      </c>
      <c r="G100" s="91"/>
      <c r="H100" s="109"/>
    </row>
    <row r="101" spans="1:10" s="85" customFormat="1" ht="57">
      <c r="A101" s="88" t="s">
        <v>567</v>
      </c>
      <c r="B101" s="89" t="s">
        <v>588</v>
      </c>
      <c r="C101" s="90">
        <v>76</v>
      </c>
      <c r="D101" s="90">
        <v>100</v>
      </c>
      <c r="E101" s="90">
        <v>42</v>
      </c>
      <c r="F101" s="90">
        <f>E101-D101</f>
        <v>-58</v>
      </c>
      <c r="G101" s="91">
        <f t="shared" si="11"/>
        <v>42</v>
      </c>
      <c r="H101" s="109"/>
    </row>
    <row r="102" spans="1:10" s="85" customFormat="1" ht="21.5">
      <c r="A102" s="88" t="s">
        <v>227</v>
      </c>
      <c r="B102" s="89">
        <v>1070</v>
      </c>
      <c r="C102" s="90"/>
      <c r="D102" s="90"/>
      <c r="E102" s="90"/>
      <c r="F102" s="90"/>
      <c r="G102" s="91"/>
      <c r="H102" s="109"/>
    </row>
    <row r="103" spans="1:10" s="85" customFormat="1" ht="21.5">
      <c r="A103" s="88" t="s">
        <v>186</v>
      </c>
      <c r="B103" s="89">
        <v>1071</v>
      </c>
      <c r="C103" s="90"/>
      <c r="D103" s="90"/>
      <c r="E103" s="90"/>
      <c r="F103" s="90"/>
      <c r="G103" s="91"/>
      <c r="H103" s="109"/>
    </row>
    <row r="104" spans="1:10" s="85" customFormat="1" ht="21.5">
      <c r="A104" s="88" t="s">
        <v>187</v>
      </c>
      <c r="B104" s="89">
        <v>1072</v>
      </c>
      <c r="C104" s="90"/>
      <c r="D104" s="90"/>
      <c r="E104" s="90"/>
      <c r="F104" s="90"/>
      <c r="G104" s="91"/>
      <c r="H104" s="109"/>
    </row>
    <row r="105" spans="1:10" s="85" customFormat="1" ht="21.5">
      <c r="A105" s="88" t="s">
        <v>40</v>
      </c>
      <c r="B105" s="89">
        <v>1073</v>
      </c>
      <c r="C105" s="90"/>
      <c r="D105" s="90"/>
      <c r="E105" s="90"/>
      <c r="F105" s="90"/>
      <c r="G105" s="91"/>
      <c r="H105" s="109"/>
    </row>
    <row r="106" spans="1:10" s="85" customFormat="1" ht="21.5">
      <c r="A106" s="88" t="s">
        <v>62</v>
      </c>
      <c r="B106" s="89">
        <v>1074</v>
      </c>
      <c r="C106" s="90"/>
      <c r="D106" s="90"/>
      <c r="E106" s="90"/>
      <c r="F106" s="90"/>
      <c r="G106" s="91"/>
      <c r="H106" s="109"/>
    </row>
    <row r="107" spans="1:10" s="85" customFormat="1" ht="21.5">
      <c r="A107" s="88" t="s">
        <v>77</v>
      </c>
      <c r="B107" s="89">
        <v>1075</v>
      </c>
      <c r="C107" s="90"/>
      <c r="D107" s="90"/>
      <c r="E107" s="90"/>
      <c r="F107" s="90"/>
      <c r="G107" s="91"/>
      <c r="H107" s="109"/>
    </row>
    <row r="108" spans="1:10" s="85" customFormat="1" ht="21.5">
      <c r="A108" s="88" t="s">
        <v>122</v>
      </c>
      <c r="B108" s="89">
        <v>1076</v>
      </c>
      <c r="C108" s="90"/>
      <c r="D108" s="90"/>
      <c r="E108" s="90"/>
      <c r="F108" s="90"/>
      <c r="G108" s="91"/>
      <c r="H108" s="109"/>
    </row>
    <row r="109" spans="1:10" s="85" customFormat="1" ht="21.5">
      <c r="A109" s="88" t="s">
        <v>41</v>
      </c>
      <c r="B109" s="89" t="s">
        <v>440</v>
      </c>
      <c r="C109" s="90"/>
      <c r="D109" s="90"/>
      <c r="E109" s="90"/>
      <c r="F109" s="90"/>
      <c r="G109" s="91"/>
      <c r="H109" s="109"/>
    </row>
    <row r="110" spans="1:10" s="85" customFormat="1" ht="21.5">
      <c r="A110" s="111" t="s">
        <v>78</v>
      </c>
      <c r="B110" s="89">
        <v>1080</v>
      </c>
      <c r="C110" s="90">
        <f>C112+C113+C115</f>
        <v>44</v>
      </c>
      <c r="D110" s="90">
        <f>D112+D113+D115</f>
        <v>289</v>
      </c>
      <c r="E110" s="90">
        <f>E112+E113+E115</f>
        <v>668</v>
      </c>
      <c r="F110" s="90">
        <f>E110-D110</f>
        <v>379</v>
      </c>
      <c r="G110" s="91">
        <f>E110/D110*100</f>
        <v>231.1418685121107</v>
      </c>
      <c r="H110" s="109"/>
      <c r="J110" s="193"/>
    </row>
    <row r="111" spans="1:10" s="85" customFormat="1" ht="21.5">
      <c r="A111" s="88" t="s">
        <v>71</v>
      </c>
      <c r="B111" s="89">
        <v>1081</v>
      </c>
      <c r="C111" s="90"/>
      <c r="D111" s="90"/>
      <c r="E111" s="90"/>
      <c r="F111" s="90"/>
      <c r="G111" s="91"/>
      <c r="H111" s="109"/>
    </row>
    <row r="112" spans="1:10" s="85" customFormat="1" ht="21.5">
      <c r="A112" s="88" t="s">
        <v>51</v>
      </c>
      <c r="B112" s="89">
        <v>1082</v>
      </c>
      <c r="C112" s="90"/>
      <c r="D112" s="90"/>
      <c r="E112" s="90"/>
      <c r="F112" s="90"/>
      <c r="G112" s="91"/>
      <c r="H112" s="109"/>
    </row>
    <row r="113" spans="1:8" s="85" customFormat="1" ht="21.5">
      <c r="A113" s="88" t="s">
        <v>505</v>
      </c>
      <c r="B113" s="89">
        <v>1083</v>
      </c>
      <c r="C113" s="90"/>
      <c r="D113" s="90"/>
      <c r="E113" s="90"/>
      <c r="F113" s="90"/>
      <c r="G113" s="91"/>
      <c r="H113" s="109"/>
    </row>
    <row r="114" spans="1:8" s="85" customFormat="1" ht="21.5">
      <c r="A114" s="88" t="s">
        <v>217</v>
      </c>
      <c r="B114" s="89">
        <v>1084</v>
      </c>
      <c r="C114" s="90"/>
      <c r="D114" s="90"/>
      <c r="E114" s="90"/>
      <c r="F114" s="90"/>
      <c r="G114" s="91"/>
      <c r="H114" s="109"/>
    </row>
    <row r="115" spans="1:8" s="85" customFormat="1" ht="21.5">
      <c r="A115" s="88" t="s">
        <v>261</v>
      </c>
      <c r="B115" s="89">
        <v>1085</v>
      </c>
      <c r="C115" s="90">
        <f>C118+C122+C125+C129+C130+C133+C134+C138+C117+C124+C135+C126+C127</f>
        <v>44</v>
      </c>
      <c r="D115" s="90">
        <f>D117+D118+D123+D122+D124+D125+D127+D129+D130+D131+D128+D133+D119+D134</f>
        <v>289</v>
      </c>
      <c r="E115" s="90">
        <f>E118+E122+E125+E129+E130+E133+E134+E138+E117+E124+E135+E126+E127+E136+E137+E132</f>
        <v>668</v>
      </c>
      <c r="F115" s="90">
        <f>E115-D115</f>
        <v>379</v>
      </c>
      <c r="G115" s="91">
        <f>E115/D115*100</f>
        <v>231.1418685121107</v>
      </c>
      <c r="H115" s="109"/>
    </row>
    <row r="116" spans="1:8" s="85" customFormat="1" ht="21.5">
      <c r="A116" s="110" t="s">
        <v>457</v>
      </c>
      <c r="B116" s="89" t="s">
        <v>441</v>
      </c>
      <c r="C116" s="90"/>
      <c r="D116" s="90"/>
      <c r="E116" s="90"/>
      <c r="F116" s="90"/>
      <c r="G116" s="91"/>
      <c r="H116" s="109"/>
    </row>
    <row r="117" spans="1:8" s="85" customFormat="1" ht="21.5">
      <c r="A117" s="110" t="s">
        <v>564</v>
      </c>
      <c r="B117" s="89" t="s">
        <v>442</v>
      </c>
      <c r="C117" s="90">
        <v>12</v>
      </c>
      <c r="D117" s="90">
        <v>23</v>
      </c>
      <c r="E117" s="90"/>
      <c r="F117" s="90">
        <f>E117-D117</f>
        <v>-23</v>
      </c>
      <c r="G117" s="91">
        <f>E117/D117*100</f>
        <v>0</v>
      </c>
      <c r="H117" s="109"/>
    </row>
    <row r="118" spans="1:8" s="85" customFormat="1" ht="38">
      <c r="A118" s="110" t="s">
        <v>537</v>
      </c>
      <c r="B118" s="89" t="s">
        <v>443</v>
      </c>
      <c r="C118" s="90"/>
      <c r="D118" s="90">
        <v>88</v>
      </c>
      <c r="E118" s="90"/>
      <c r="F118" s="90"/>
      <c r="G118" s="91"/>
      <c r="H118" s="109"/>
    </row>
    <row r="119" spans="1:8" s="85" customFormat="1" ht="21.5">
      <c r="A119" s="110" t="s">
        <v>489</v>
      </c>
      <c r="B119" s="89" t="s">
        <v>444</v>
      </c>
      <c r="C119" s="90"/>
      <c r="D119" s="90"/>
      <c r="E119" s="90"/>
      <c r="F119" s="90"/>
      <c r="G119" s="91"/>
      <c r="H119" s="109"/>
    </row>
    <row r="120" spans="1:8" s="85" customFormat="1" ht="21.5">
      <c r="A120" s="110" t="s">
        <v>488</v>
      </c>
      <c r="B120" s="89" t="s">
        <v>445</v>
      </c>
      <c r="C120" s="90"/>
      <c r="D120" s="90"/>
      <c r="E120" s="90"/>
      <c r="F120" s="90"/>
      <c r="G120" s="91"/>
      <c r="H120" s="109"/>
    </row>
    <row r="121" spans="1:8" s="85" customFormat="1" ht="21.5">
      <c r="A121" s="110" t="s">
        <v>458</v>
      </c>
      <c r="B121" s="89" t="s">
        <v>446</v>
      </c>
      <c r="C121" s="90"/>
      <c r="D121" s="90"/>
      <c r="E121" s="90"/>
      <c r="F121" s="90"/>
      <c r="G121" s="91"/>
      <c r="H121" s="109"/>
    </row>
    <row r="122" spans="1:8" s="85" customFormat="1" ht="21.5">
      <c r="A122" s="110" t="s">
        <v>459</v>
      </c>
      <c r="B122" s="89" t="s">
        <v>447</v>
      </c>
      <c r="C122" s="90"/>
      <c r="D122" s="90"/>
      <c r="E122" s="90">
        <v>223</v>
      </c>
      <c r="F122" s="90"/>
      <c r="G122" s="91"/>
      <c r="H122" s="109"/>
    </row>
    <row r="123" spans="1:8" s="85" customFormat="1" ht="27" customHeight="1">
      <c r="A123" s="110" t="s">
        <v>460</v>
      </c>
      <c r="B123" s="89" t="s">
        <v>448</v>
      </c>
      <c r="C123" s="90"/>
      <c r="D123" s="90"/>
      <c r="E123" s="90"/>
      <c r="F123" s="90"/>
      <c r="G123" s="91"/>
      <c r="H123" s="109"/>
    </row>
    <row r="124" spans="1:8" s="85" customFormat="1" ht="38">
      <c r="A124" s="110" t="s">
        <v>616</v>
      </c>
      <c r="B124" s="89" t="s">
        <v>449</v>
      </c>
      <c r="C124" s="90"/>
      <c r="D124" s="90"/>
      <c r="E124" s="90"/>
      <c r="F124" s="90"/>
      <c r="G124" s="91"/>
      <c r="H124" s="109"/>
    </row>
    <row r="125" spans="1:8" s="85" customFormat="1" ht="21.5">
      <c r="A125" s="110" t="s">
        <v>615</v>
      </c>
      <c r="B125" s="89" t="s">
        <v>450</v>
      </c>
      <c r="C125" s="90"/>
      <c r="D125" s="90"/>
      <c r="E125" s="90"/>
      <c r="F125" s="90"/>
      <c r="G125" s="91"/>
      <c r="H125" s="109"/>
    </row>
    <row r="126" spans="1:8" s="85" customFormat="1" ht="21.5">
      <c r="A126" s="110" t="s">
        <v>585</v>
      </c>
      <c r="B126" s="89" t="s">
        <v>451</v>
      </c>
      <c r="C126" s="90"/>
      <c r="D126" s="90"/>
      <c r="E126" s="90"/>
      <c r="F126" s="90"/>
      <c r="G126" s="91"/>
      <c r="H126" s="109"/>
    </row>
    <row r="127" spans="1:8" s="85" customFormat="1" ht="21.5">
      <c r="A127" s="110" t="s">
        <v>582</v>
      </c>
      <c r="B127" s="89" t="s">
        <v>452</v>
      </c>
      <c r="C127" s="90">
        <v>1</v>
      </c>
      <c r="D127" s="90"/>
      <c r="E127" s="90"/>
      <c r="F127" s="90"/>
      <c r="G127" s="91"/>
      <c r="H127" s="109"/>
    </row>
    <row r="128" spans="1:8" s="85" customFormat="1" ht="57">
      <c r="A128" s="110" t="s">
        <v>622</v>
      </c>
      <c r="B128" s="89" t="s">
        <v>453</v>
      </c>
      <c r="C128" s="90"/>
      <c r="D128" s="90">
        <v>3</v>
      </c>
      <c r="E128" s="90"/>
      <c r="F128" s="90"/>
      <c r="G128" s="91"/>
      <c r="H128" s="109"/>
    </row>
    <row r="129" spans="1:8" s="85" customFormat="1" ht="21.5">
      <c r="A129" s="110" t="s">
        <v>461</v>
      </c>
      <c r="B129" s="89" t="s">
        <v>454</v>
      </c>
      <c r="C129" s="90"/>
      <c r="D129" s="90"/>
      <c r="E129" s="90">
        <v>15</v>
      </c>
      <c r="F129" s="90">
        <f>E129-D129</f>
        <v>15</v>
      </c>
      <c r="G129" s="91"/>
      <c r="H129" s="109"/>
    </row>
    <row r="130" spans="1:8" s="85" customFormat="1" ht="21.5">
      <c r="A130" s="110" t="s">
        <v>462</v>
      </c>
      <c r="B130" s="89" t="s">
        <v>455</v>
      </c>
      <c r="C130" s="90"/>
      <c r="D130" s="90"/>
      <c r="E130" s="90"/>
      <c r="F130" s="90">
        <f>E130-D130</f>
        <v>0</v>
      </c>
      <c r="G130" s="91"/>
      <c r="H130" s="109"/>
    </row>
    <row r="131" spans="1:8" s="85" customFormat="1" ht="24" customHeight="1">
      <c r="A131" s="110" t="s">
        <v>532</v>
      </c>
      <c r="B131" s="89" t="s">
        <v>456</v>
      </c>
      <c r="C131" s="90"/>
      <c r="D131" s="90"/>
      <c r="E131" s="90"/>
      <c r="F131" s="90"/>
      <c r="G131" s="91"/>
      <c r="H131" s="109"/>
    </row>
    <row r="132" spans="1:8" s="85" customFormat="1" ht="21.5">
      <c r="A132" s="110" t="s">
        <v>629</v>
      </c>
      <c r="B132" s="89" t="s">
        <v>533</v>
      </c>
      <c r="C132" s="90"/>
      <c r="D132" s="90"/>
      <c r="E132" s="90">
        <v>236</v>
      </c>
      <c r="F132" s="90"/>
      <c r="G132" s="91"/>
      <c r="H132" s="109"/>
    </row>
    <row r="133" spans="1:8" s="85" customFormat="1" ht="38">
      <c r="A133" s="103" t="s">
        <v>608</v>
      </c>
      <c r="B133" s="89" t="s">
        <v>534</v>
      </c>
      <c r="C133" s="90"/>
      <c r="D133" s="90"/>
      <c r="E133" s="90"/>
      <c r="F133" s="90"/>
      <c r="G133" s="91"/>
      <c r="H133" s="109"/>
    </row>
    <row r="134" spans="1:8" s="85" customFormat="1" ht="21.5">
      <c r="A134" s="88" t="s">
        <v>542</v>
      </c>
      <c r="B134" s="89" t="s">
        <v>543</v>
      </c>
      <c r="C134" s="90">
        <v>31</v>
      </c>
      <c r="D134" s="90">
        <v>175</v>
      </c>
      <c r="E134" s="90">
        <v>175</v>
      </c>
      <c r="F134" s="90">
        <f t="shared" ref="F134" si="12">E134-D134</f>
        <v>0</v>
      </c>
      <c r="G134" s="91">
        <f t="shared" ref="G134" si="13">E134/D134*100</f>
        <v>100</v>
      </c>
      <c r="H134" s="109"/>
    </row>
    <row r="135" spans="1:8" s="85" customFormat="1" ht="21.5">
      <c r="A135" s="88" t="s">
        <v>596</v>
      </c>
      <c r="B135" s="89" t="s">
        <v>544</v>
      </c>
      <c r="C135" s="90"/>
      <c r="D135" s="90"/>
      <c r="E135" s="90">
        <v>1</v>
      </c>
      <c r="F135" s="90"/>
      <c r="G135" s="91"/>
      <c r="H135" s="109"/>
    </row>
    <row r="136" spans="1:8" s="85" customFormat="1" ht="21.5">
      <c r="A136" s="88" t="s">
        <v>597</v>
      </c>
      <c r="B136" s="89" t="s">
        <v>560</v>
      </c>
      <c r="C136" s="90"/>
      <c r="D136" s="90"/>
      <c r="E136" s="90">
        <v>15</v>
      </c>
      <c r="F136" s="90"/>
      <c r="G136" s="91"/>
      <c r="H136" s="109"/>
    </row>
    <row r="137" spans="1:8" s="85" customFormat="1" ht="21.5">
      <c r="A137" s="88" t="s">
        <v>628</v>
      </c>
      <c r="B137" s="89" t="s">
        <v>600</v>
      </c>
      <c r="C137" s="90"/>
      <c r="D137" s="90"/>
      <c r="E137" s="90">
        <v>3</v>
      </c>
      <c r="F137" s="90"/>
      <c r="G137" s="91"/>
      <c r="H137" s="109"/>
    </row>
    <row r="138" spans="1:8" s="85" customFormat="1" ht="57">
      <c r="A138" s="88" t="s">
        <v>545</v>
      </c>
      <c r="B138" s="89" t="s">
        <v>601</v>
      </c>
      <c r="C138" s="90"/>
      <c r="D138" s="90"/>
      <c r="E138" s="90"/>
      <c r="F138" s="90"/>
      <c r="G138" s="91"/>
      <c r="H138" s="109"/>
    </row>
    <row r="139" spans="1:8" s="87" customFormat="1" ht="21">
      <c r="A139" s="104" t="s">
        <v>4</v>
      </c>
      <c r="B139" s="105">
        <v>1100</v>
      </c>
      <c r="C139" s="106">
        <f>C60+C61-C72-C110</f>
        <v>487</v>
      </c>
      <c r="D139" s="106">
        <f>D60+1+D61-D72-D110</f>
        <v>30</v>
      </c>
      <c r="E139" s="106">
        <f>E60+E61-E72-E110</f>
        <v>-2093</v>
      </c>
      <c r="F139" s="106">
        <f>E139-D139</f>
        <v>-2123</v>
      </c>
      <c r="G139" s="107">
        <f>E139/D139*100</f>
        <v>-6976.666666666667</v>
      </c>
      <c r="H139" s="108"/>
    </row>
    <row r="140" spans="1:8" s="85" customFormat="1" ht="21.5">
      <c r="A140" s="88" t="s">
        <v>106</v>
      </c>
      <c r="B140" s="89">
        <v>1110</v>
      </c>
      <c r="C140" s="90"/>
      <c r="D140" s="90"/>
      <c r="E140" s="90"/>
      <c r="F140" s="90"/>
      <c r="G140" s="91"/>
      <c r="H140" s="109"/>
    </row>
    <row r="141" spans="1:8" s="85" customFormat="1" ht="21.5">
      <c r="A141" s="88" t="s">
        <v>107</v>
      </c>
      <c r="B141" s="89">
        <v>1120</v>
      </c>
      <c r="C141" s="90"/>
      <c r="D141" s="90"/>
      <c r="E141" s="90"/>
      <c r="F141" s="90"/>
      <c r="G141" s="91"/>
      <c r="H141" s="109"/>
    </row>
    <row r="142" spans="1:8" s="85" customFormat="1" ht="21.5">
      <c r="A142" s="88" t="s">
        <v>110</v>
      </c>
      <c r="B142" s="89">
        <v>1130</v>
      </c>
      <c r="C142" s="90"/>
      <c r="D142" s="90"/>
      <c r="E142" s="90"/>
      <c r="F142" s="90"/>
      <c r="G142" s="91"/>
      <c r="H142" s="109"/>
    </row>
    <row r="143" spans="1:8" s="85" customFormat="1" ht="21.5">
      <c r="A143" s="88" t="s">
        <v>109</v>
      </c>
      <c r="B143" s="89">
        <v>1140</v>
      </c>
      <c r="C143" s="90"/>
      <c r="D143" s="90"/>
      <c r="E143" s="90"/>
      <c r="F143" s="90"/>
      <c r="G143" s="91"/>
      <c r="H143" s="109"/>
    </row>
    <row r="144" spans="1:8" s="85" customFormat="1" ht="21.5">
      <c r="A144" s="88" t="s">
        <v>218</v>
      </c>
      <c r="B144" s="89">
        <v>1150</v>
      </c>
      <c r="C144" s="90">
        <f>C145</f>
        <v>10691</v>
      </c>
      <c r="D144" s="90">
        <f>D145</f>
        <v>11600</v>
      </c>
      <c r="E144" s="90">
        <f>E146</f>
        <v>12622</v>
      </c>
      <c r="F144" s="90"/>
      <c r="G144" s="91"/>
      <c r="H144" s="109"/>
    </row>
    <row r="145" spans="1:8" s="85" customFormat="1" ht="21.5">
      <c r="A145" s="110" t="s">
        <v>573</v>
      </c>
      <c r="B145" s="89" t="s">
        <v>463</v>
      </c>
      <c r="C145" s="90">
        <v>10691</v>
      </c>
      <c r="D145" s="90">
        <v>11600</v>
      </c>
      <c r="E145" s="90"/>
      <c r="F145" s="90"/>
      <c r="G145" s="91"/>
      <c r="H145" s="109"/>
    </row>
    <row r="146" spans="1:8" s="85" customFormat="1" ht="21.5">
      <c r="A146" s="110" t="s">
        <v>7</v>
      </c>
      <c r="B146" s="89" t="s">
        <v>464</v>
      </c>
      <c r="C146" s="90"/>
      <c r="D146" s="90"/>
      <c r="E146" s="90">
        <v>12622</v>
      </c>
      <c r="F146" s="90"/>
      <c r="G146" s="91"/>
      <c r="H146" s="109"/>
    </row>
    <row r="147" spans="1:8" s="85" customFormat="1" ht="21.5">
      <c r="A147" s="110" t="s">
        <v>613</v>
      </c>
      <c r="B147" s="89" t="s">
        <v>612</v>
      </c>
      <c r="C147" s="90"/>
      <c r="D147" s="90"/>
      <c r="E147" s="90"/>
      <c r="F147" s="90"/>
      <c r="G147" s="91"/>
      <c r="H147" s="109"/>
    </row>
    <row r="148" spans="1:8" s="85" customFormat="1" ht="21.5">
      <c r="A148" s="88" t="s">
        <v>217</v>
      </c>
      <c r="B148" s="89">
        <v>1151</v>
      </c>
      <c r="C148" s="90"/>
      <c r="D148" s="90"/>
      <c r="E148" s="90"/>
      <c r="F148" s="90"/>
      <c r="G148" s="91"/>
      <c r="H148" s="109"/>
    </row>
    <row r="149" spans="1:8" s="85" customFormat="1" ht="21.5">
      <c r="A149" s="88" t="s">
        <v>219</v>
      </c>
      <c r="B149" s="89">
        <v>1160</v>
      </c>
      <c r="C149" s="90">
        <f>C153+C156+C154</f>
        <v>10821</v>
      </c>
      <c r="D149" s="90">
        <f>D153+D154+D156</f>
        <v>11468</v>
      </c>
      <c r="E149" s="90">
        <f>E153+E156+E154+E155</f>
        <v>12656</v>
      </c>
      <c r="F149" s="90">
        <f>E149-D149</f>
        <v>1188</v>
      </c>
      <c r="G149" s="91">
        <f>E149/D149*100</f>
        <v>110.3592605510987</v>
      </c>
      <c r="H149" s="109"/>
    </row>
    <row r="150" spans="1:8" s="85" customFormat="1" ht="21.5" hidden="1">
      <c r="A150" s="110" t="s">
        <v>465</v>
      </c>
      <c r="B150" s="89" t="s">
        <v>466</v>
      </c>
      <c r="C150" s="90"/>
      <c r="D150" s="90"/>
      <c r="E150" s="90"/>
      <c r="F150" s="90"/>
      <c r="G150" s="91"/>
      <c r="H150" s="109"/>
    </row>
    <row r="151" spans="1:8" s="85" customFormat="1" ht="21.5" hidden="1">
      <c r="A151" s="103" t="s">
        <v>469</v>
      </c>
      <c r="B151" s="89" t="s">
        <v>467</v>
      </c>
      <c r="C151" s="90"/>
      <c r="D151" s="90"/>
      <c r="E151" s="90"/>
      <c r="F151" s="90"/>
      <c r="G151" s="91"/>
      <c r="H151" s="109"/>
    </row>
    <row r="152" spans="1:8" s="85" customFormat="1" ht="38" hidden="1">
      <c r="A152" s="88" t="s">
        <v>470</v>
      </c>
      <c r="B152" s="89" t="s">
        <v>468</v>
      </c>
      <c r="C152" s="90"/>
      <c r="D152" s="90"/>
      <c r="E152" s="90"/>
      <c r="F152" s="90"/>
      <c r="G152" s="91"/>
      <c r="H152" s="109"/>
    </row>
    <row r="153" spans="1:8" s="85" customFormat="1" ht="21.5">
      <c r="A153" s="88" t="s">
        <v>554</v>
      </c>
      <c r="B153" s="89" t="s">
        <v>466</v>
      </c>
      <c r="C153" s="90">
        <v>142</v>
      </c>
      <c r="D153" s="90">
        <v>173</v>
      </c>
      <c r="E153" s="90">
        <v>53</v>
      </c>
      <c r="F153" s="90"/>
      <c r="G153" s="91"/>
      <c r="H153" s="109"/>
    </row>
    <row r="154" spans="1:8" s="85" customFormat="1" ht="21.5">
      <c r="A154" s="88" t="s">
        <v>7</v>
      </c>
      <c r="B154" s="89" t="s">
        <v>467</v>
      </c>
      <c r="C154" s="90">
        <v>10679</v>
      </c>
      <c r="D154" s="90">
        <v>11070</v>
      </c>
      <c r="E154" s="90">
        <v>12595</v>
      </c>
      <c r="F154" s="90"/>
      <c r="G154" s="91"/>
      <c r="H154" s="109"/>
    </row>
    <row r="155" spans="1:8" s="85" customFormat="1" ht="38">
      <c r="A155" s="88" t="s">
        <v>630</v>
      </c>
      <c r="B155" s="89" t="s">
        <v>468</v>
      </c>
      <c r="C155" s="90"/>
      <c r="D155" s="90"/>
      <c r="E155" s="90">
        <v>8</v>
      </c>
      <c r="F155" s="90"/>
      <c r="G155" s="91"/>
      <c r="H155" s="109"/>
    </row>
    <row r="156" spans="1:8" s="85" customFormat="1" ht="21.5">
      <c r="A156" s="88" t="s">
        <v>471</v>
      </c>
      <c r="B156" s="89" t="s">
        <v>631</v>
      </c>
      <c r="C156" s="90"/>
      <c r="D156" s="90">
        <v>225</v>
      </c>
      <c r="E156" s="90"/>
      <c r="F156" s="90">
        <f>E156-D156</f>
        <v>-225</v>
      </c>
      <c r="G156" s="91">
        <f>E156/D156*100</f>
        <v>0</v>
      </c>
      <c r="H156" s="109"/>
    </row>
    <row r="157" spans="1:8" s="85" customFormat="1" ht="21.5" hidden="1">
      <c r="A157" s="88" t="s">
        <v>490</v>
      </c>
      <c r="B157" s="89" t="s">
        <v>504</v>
      </c>
      <c r="C157" s="90"/>
      <c r="D157" s="90"/>
      <c r="E157" s="90"/>
      <c r="F157" s="90"/>
      <c r="G157" s="91"/>
      <c r="H157" s="109"/>
    </row>
    <row r="158" spans="1:8" s="85" customFormat="1" ht="21.5">
      <c r="A158" s="88" t="s">
        <v>217</v>
      </c>
      <c r="B158" s="89">
        <v>1161</v>
      </c>
      <c r="C158" s="90"/>
      <c r="D158" s="90"/>
      <c r="E158" s="90"/>
      <c r="F158" s="90"/>
      <c r="G158" s="91"/>
      <c r="H158" s="109"/>
    </row>
    <row r="159" spans="1:8" s="87" customFormat="1" ht="21">
      <c r="A159" s="104" t="s">
        <v>94</v>
      </c>
      <c r="B159" s="105">
        <v>1170</v>
      </c>
      <c r="C159" s="106">
        <f>C139+C144-C149</f>
        <v>357</v>
      </c>
      <c r="D159" s="106">
        <v>163</v>
      </c>
      <c r="E159" s="106">
        <f>E139+E144-E149</f>
        <v>-2127</v>
      </c>
      <c r="F159" s="106">
        <f>E159-D159</f>
        <v>-2290</v>
      </c>
      <c r="G159" s="107">
        <f>E159/D159*100</f>
        <v>-1304.9079754601228</v>
      </c>
      <c r="H159" s="108"/>
    </row>
    <row r="160" spans="1:8" s="85" customFormat="1" ht="21.5">
      <c r="A160" s="88" t="s">
        <v>138</v>
      </c>
      <c r="B160" s="89">
        <v>1180</v>
      </c>
      <c r="C160" s="93">
        <f>C159*0.18</f>
        <v>64.259999999999991</v>
      </c>
      <c r="D160" s="93">
        <f>D159*0.18</f>
        <v>29.34</v>
      </c>
      <c r="E160" s="93"/>
      <c r="F160" s="90">
        <f>E160-D160</f>
        <v>-29.34</v>
      </c>
      <c r="G160" s="91"/>
      <c r="H160" s="109"/>
    </row>
    <row r="161" spans="1:8" s="85" customFormat="1" ht="38">
      <c r="A161" s="88" t="s">
        <v>139</v>
      </c>
      <c r="B161" s="89">
        <v>1190</v>
      </c>
      <c r="C161" s="90"/>
      <c r="D161" s="90"/>
      <c r="E161" s="90"/>
      <c r="F161" s="90"/>
      <c r="G161" s="91"/>
      <c r="H161" s="109"/>
    </row>
    <row r="162" spans="1:8" s="87" customFormat="1" ht="21">
      <c r="A162" s="104" t="s">
        <v>95</v>
      </c>
      <c r="B162" s="105">
        <v>1200</v>
      </c>
      <c r="C162" s="106">
        <f>C159-C160</f>
        <v>292.74</v>
      </c>
      <c r="D162" s="106">
        <f>D159-D160</f>
        <v>133.66</v>
      </c>
      <c r="E162" s="106">
        <f>E159-E160</f>
        <v>-2127</v>
      </c>
      <c r="F162" s="106">
        <f>E162-D162</f>
        <v>-2260.66</v>
      </c>
      <c r="G162" s="107">
        <f>E162/D162*100</f>
        <v>-1591.3511895855156</v>
      </c>
      <c r="H162" s="108"/>
    </row>
    <row r="163" spans="1:8" s="85" customFormat="1" ht="21.5">
      <c r="A163" s="88" t="s">
        <v>24</v>
      </c>
      <c r="B163" s="245">
        <v>1201</v>
      </c>
      <c r="C163" s="93">
        <f>SUMIF(C162,"&gt;0")</f>
        <v>292.74</v>
      </c>
      <c r="D163" s="93">
        <f>SUMIF(D162,"&gt;0")</f>
        <v>133.66</v>
      </c>
      <c r="E163" s="93">
        <f>SUMIF(E162,"&gt;0")</f>
        <v>0</v>
      </c>
      <c r="F163" s="90">
        <f>E163-D163</f>
        <v>-133.66</v>
      </c>
      <c r="G163" s="91">
        <f>E163/D163*100</f>
        <v>0</v>
      </c>
      <c r="H163" s="99"/>
    </row>
    <row r="164" spans="1:8" s="85" customFormat="1" ht="21.5">
      <c r="A164" s="88" t="s">
        <v>25</v>
      </c>
      <c r="B164" s="245">
        <v>1202</v>
      </c>
      <c r="C164" s="93">
        <f>SUMIF(C162,"&lt;0")</f>
        <v>0</v>
      </c>
      <c r="D164" s="93">
        <f>SUMIF(D162,"&lt;0")</f>
        <v>0</v>
      </c>
      <c r="E164" s="93">
        <f>SUMIF(E162,"&lt;0")</f>
        <v>-2127</v>
      </c>
      <c r="F164" s="98"/>
      <c r="G164" s="100"/>
      <c r="H164" s="99"/>
    </row>
    <row r="165" spans="1:8" s="85" customFormat="1" ht="21.5">
      <c r="A165" s="88" t="s">
        <v>262</v>
      </c>
      <c r="B165" s="89">
        <v>1210</v>
      </c>
      <c r="C165" s="90"/>
      <c r="D165" s="90"/>
      <c r="E165" s="90"/>
      <c r="F165" s="90"/>
      <c r="G165" s="91"/>
      <c r="H165" s="109"/>
    </row>
    <row r="166" spans="1:8" s="87" customFormat="1" ht="27.75" customHeight="1">
      <c r="A166" s="269" t="s">
        <v>275</v>
      </c>
      <c r="B166" s="270"/>
      <c r="C166" s="270"/>
      <c r="D166" s="270"/>
      <c r="E166" s="270"/>
      <c r="F166" s="270"/>
      <c r="G166" s="270"/>
      <c r="H166" s="271"/>
    </row>
    <row r="167" spans="1:8" s="85" customFormat="1" ht="38">
      <c r="A167" s="35" t="s">
        <v>276</v>
      </c>
      <c r="B167" s="245">
        <v>1300</v>
      </c>
      <c r="C167" s="98">
        <f>C61-C110</f>
        <v>870</v>
      </c>
      <c r="D167" s="98">
        <v>987</v>
      </c>
      <c r="E167" s="98">
        <f>E61-E110</f>
        <v>1164</v>
      </c>
      <c r="F167" s="90">
        <f>E167-D167</f>
        <v>177</v>
      </c>
      <c r="G167" s="91">
        <f>E167/D167*100</f>
        <v>117.93313069908815</v>
      </c>
      <c r="H167" s="99"/>
    </row>
    <row r="168" spans="1:8" s="85" customFormat="1" ht="70.5" customHeight="1">
      <c r="A168" s="112" t="s">
        <v>277</v>
      </c>
      <c r="B168" s="245">
        <v>1310</v>
      </c>
      <c r="C168" s="98">
        <f>C140+C141-C142-C143</f>
        <v>0</v>
      </c>
      <c r="D168" s="98">
        <f>D140+D141-D142-D143</f>
        <v>0</v>
      </c>
      <c r="E168" s="98">
        <f>E140+E141-E142-E143</f>
        <v>0</v>
      </c>
      <c r="F168" s="98"/>
      <c r="G168" s="100"/>
      <c r="H168" s="99"/>
    </row>
    <row r="169" spans="1:8" s="85" customFormat="1" ht="38">
      <c r="A169" s="35" t="s">
        <v>278</v>
      </c>
      <c r="B169" s="245">
        <v>1320</v>
      </c>
      <c r="C169" s="98">
        <f>C144-C149</f>
        <v>-130</v>
      </c>
      <c r="D169" s="98">
        <v>133</v>
      </c>
      <c r="E169" s="98">
        <f>E144-E149</f>
        <v>-34</v>
      </c>
      <c r="F169" s="90">
        <f>E169-D169</f>
        <v>-167</v>
      </c>
      <c r="G169" s="91">
        <f>E169/D169*100</f>
        <v>-25.563909774436087</v>
      </c>
      <c r="H169" s="99"/>
    </row>
    <row r="170" spans="1:8" s="85" customFormat="1" ht="46.5" customHeight="1">
      <c r="A170" s="88" t="s">
        <v>381</v>
      </c>
      <c r="B170" s="89">
        <v>1330</v>
      </c>
      <c r="C170" s="90">
        <f>C9+C61+C140+C141+C144</f>
        <v>59177</v>
      </c>
      <c r="D170" s="90">
        <f>D9+D61+D140+D141+D144</f>
        <v>128174</v>
      </c>
      <c r="E170" s="90">
        <f>E9+E61+E140+E141+E144</f>
        <v>84241</v>
      </c>
      <c r="F170" s="90">
        <f>E170-D170</f>
        <v>-43933</v>
      </c>
      <c r="G170" s="91">
        <f>E170/D170*100</f>
        <v>65.723937772091062</v>
      </c>
      <c r="H170" s="109"/>
    </row>
    <row r="171" spans="1:8" s="85" customFormat="1" ht="65.25" customHeight="1">
      <c r="A171" s="88" t="s">
        <v>382</v>
      </c>
      <c r="B171" s="89">
        <v>1340</v>
      </c>
      <c r="C171" s="90">
        <f>C13+C72+C102+C110+C142+C143+C149+C160+C161</f>
        <v>58884.26</v>
      </c>
      <c r="D171" s="90">
        <f>D13-1+D72+D102+D110+D142+D143+D149+D160+D161</f>
        <v>128041.34</v>
      </c>
      <c r="E171" s="90">
        <f>E13+E72+E102+E110+E142+E143+E149+E160+E161</f>
        <v>86368</v>
      </c>
      <c r="F171" s="90">
        <f>E171-D171</f>
        <v>-41673.339999999997</v>
      </c>
      <c r="G171" s="91">
        <f>E171/D171*100</f>
        <v>67.453214719558545</v>
      </c>
      <c r="H171" s="99"/>
    </row>
    <row r="172" spans="1:8" s="85" customFormat="1" ht="21.5">
      <c r="A172" s="272" t="s">
        <v>167</v>
      </c>
      <c r="B172" s="272"/>
      <c r="C172" s="272"/>
      <c r="D172" s="272"/>
      <c r="E172" s="272"/>
      <c r="F172" s="272"/>
      <c r="G172" s="272"/>
      <c r="H172" s="272"/>
    </row>
    <row r="173" spans="1:8" s="85" customFormat="1" ht="38">
      <c r="A173" s="88" t="s">
        <v>279</v>
      </c>
      <c r="B173" s="89">
        <v>1400</v>
      </c>
      <c r="C173" s="90">
        <f>C139</f>
        <v>487</v>
      </c>
      <c r="D173" s="90">
        <f>D139</f>
        <v>30</v>
      </c>
      <c r="E173" s="90">
        <f>E139</f>
        <v>-2093</v>
      </c>
      <c r="F173" s="90">
        <f>E173-D173</f>
        <v>-2123</v>
      </c>
      <c r="G173" s="91">
        <f>E173/D173*100</f>
        <v>-6976.666666666667</v>
      </c>
      <c r="H173" s="109"/>
    </row>
    <row r="174" spans="1:8" s="85" customFormat="1" ht="21.5">
      <c r="A174" s="88" t="s">
        <v>280</v>
      </c>
      <c r="B174" s="89">
        <v>1401</v>
      </c>
      <c r="C174" s="90">
        <f>C185</f>
        <v>867</v>
      </c>
      <c r="D174" s="90">
        <v>1223</v>
      </c>
      <c r="E174" s="90">
        <f>E185</f>
        <v>935</v>
      </c>
      <c r="F174" s="90">
        <f>E174-D174</f>
        <v>-288</v>
      </c>
      <c r="G174" s="91">
        <f>E174/D174*100</f>
        <v>76.451349141455438</v>
      </c>
      <c r="H174" s="109"/>
    </row>
    <row r="175" spans="1:8" s="85" customFormat="1" ht="21.5">
      <c r="A175" s="88" t="s">
        <v>281</v>
      </c>
      <c r="B175" s="89">
        <v>1402</v>
      </c>
      <c r="C175" s="90"/>
      <c r="D175" s="90"/>
      <c r="E175" s="90"/>
      <c r="F175" s="90"/>
      <c r="G175" s="91"/>
      <c r="H175" s="109"/>
    </row>
    <row r="176" spans="1:8" s="85" customFormat="1" ht="28.5" customHeight="1">
      <c r="A176" s="88" t="s">
        <v>282</v>
      </c>
      <c r="B176" s="89">
        <v>1403</v>
      </c>
      <c r="C176" s="90"/>
      <c r="D176" s="90"/>
      <c r="E176" s="90"/>
      <c r="F176" s="90"/>
      <c r="G176" s="91"/>
      <c r="H176" s="109"/>
    </row>
    <row r="177" spans="1:8" s="85" customFormat="1" ht="38">
      <c r="A177" s="88" t="s">
        <v>326</v>
      </c>
      <c r="B177" s="89">
        <v>1404</v>
      </c>
      <c r="C177" s="90"/>
      <c r="D177" s="90"/>
      <c r="E177" s="90"/>
      <c r="F177" s="90"/>
      <c r="G177" s="91"/>
      <c r="H177" s="109"/>
    </row>
    <row r="178" spans="1:8" s="87" customFormat="1" ht="21">
      <c r="A178" s="104" t="s">
        <v>142</v>
      </c>
      <c r="B178" s="105">
        <v>1410</v>
      </c>
      <c r="C178" s="106">
        <f>SUM(C173:C177)</f>
        <v>1354</v>
      </c>
      <c r="D178" s="106">
        <f>SUM(D173:D177)</f>
        <v>1253</v>
      </c>
      <c r="E178" s="106">
        <f>SUM(E173:E177)</f>
        <v>-1158</v>
      </c>
      <c r="F178" s="106">
        <f>E178-D178</f>
        <v>-2411</v>
      </c>
      <c r="G178" s="107">
        <f>E178/D178*100</f>
        <v>-92.418196328810851</v>
      </c>
      <c r="H178" s="108"/>
    </row>
    <row r="179" spans="1:8" s="85" customFormat="1" ht="21.5">
      <c r="A179" s="275" t="s">
        <v>234</v>
      </c>
      <c r="B179" s="276"/>
      <c r="C179" s="276"/>
      <c r="D179" s="276"/>
      <c r="E179" s="276"/>
      <c r="F179" s="276"/>
      <c r="G179" s="276"/>
      <c r="H179" s="277"/>
    </row>
    <row r="180" spans="1:8" s="85" customFormat="1" ht="21.5">
      <c r="A180" s="88" t="s">
        <v>283</v>
      </c>
      <c r="B180" s="89">
        <v>1500</v>
      </c>
      <c r="C180" s="90">
        <f>C181+C182</f>
        <v>17769</v>
      </c>
      <c r="D180" s="90">
        <f>D181+D182</f>
        <v>73651</v>
      </c>
      <c r="E180" s="90">
        <f>E181+E182</f>
        <v>30555</v>
      </c>
      <c r="F180" s="90">
        <f>E180-D180</f>
        <v>-43096</v>
      </c>
      <c r="G180" s="91">
        <f>E180/D180*100</f>
        <v>41.486198422288908</v>
      </c>
      <c r="H180" s="109"/>
    </row>
    <row r="181" spans="1:8" s="85" customFormat="1" ht="21.5">
      <c r="A181" s="88" t="s">
        <v>284</v>
      </c>
      <c r="B181" s="113">
        <v>1501</v>
      </c>
      <c r="C181" s="98">
        <f>C14</f>
        <v>2645</v>
      </c>
      <c r="D181" s="98">
        <v>8955</v>
      </c>
      <c r="E181" s="98">
        <f>E14</f>
        <v>3757</v>
      </c>
      <c r="F181" s="90">
        <f t="shared" ref="F181:F187" si="14">E181-D181</f>
        <v>-5198</v>
      </c>
      <c r="G181" s="91">
        <f t="shared" ref="G181:G187" si="15">E181/D181*100</f>
        <v>41.954215522054717</v>
      </c>
      <c r="H181" s="99"/>
    </row>
    <row r="182" spans="1:8" s="85" customFormat="1" ht="21.5">
      <c r="A182" s="88" t="s">
        <v>28</v>
      </c>
      <c r="B182" s="113">
        <v>1502</v>
      </c>
      <c r="C182" s="98">
        <f>C15+C16</f>
        <v>15124</v>
      </c>
      <c r="D182" s="98">
        <v>64696</v>
      </c>
      <c r="E182" s="98">
        <f>E15+E16</f>
        <v>26798</v>
      </c>
      <c r="F182" s="90">
        <f t="shared" si="14"/>
        <v>-37898</v>
      </c>
      <c r="G182" s="91">
        <f t="shared" si="15"/>
        <v>41.421417089155433</v>
      </c>
      <c r="H182" s="99"/>
    </row>
    <row r="183" spans="1:8" s="85" customFormat="1" ht="21.5">
      <c r="A183" s="88" t="s">
        <v>5</v>
      </c>
      <c r="B183" s="114">
        <v>1510</v>
      </c>
      <c r="C183" s="90">
        <f>C17+C80+109</f>
        <v>8043</v>
      </c>
      <c r="D183" s="90">
        <v>9787</v>
      </c>
      <c r="E183" s="90">
        <f>E17+E80+112</f>
        <v>8804</v>
      </c>
      <c r="F183" s="90">
        <f t="shared" si="14"/>
        <v>-983</v>
      </c>
      <c r="G183" s="91">
        <f t="shared" si="15"/>
        <v>89.956064166751815</v>
      </c>
      <c r="H183" s="109"/>
    </row>
    <row r="184" spans="1:8" s="85" customFormat="1" ht="21.5">
      <c r="A184" s="88" t="s">
        <v>6</v>
      </c>
      <c r="B184" s="114">
        <v>1520</v>
      </c>
      <c r="C184" s="90">
        <f>C18+C81+20</f>
        <v>1882</v>
      </c>
      <c r="D184" s="90">
        <v>1945</v>
      </c>
      <c r="E184" s="90">
        <f>E18+E81+30</f>
        <v>1967</v>
      </c>
      <c r="F184" s="90">
        <f t="shared" si="14"/>
        <v>22</v>
      </c>
      <c r="G184" s="91">
        <f t="shared" si="15"/>
        <v>101.13110539845758</v>
      </c>
      <c r="H184" s="109"/>
    </row>
    <row r="185" spans="1:8" s="85" customFormat="1" ht="21.5">
      <c r="A185" s="88" t="s">
        <v>7</v>
      </c>
      <c r="B185" s="114">
        <v>1530</v>
      </c>
      <c r="C185" s="90">
        <f>C20+C82+C130+3</f>
        <v>867</v>
      </c>
      <c r="D185" s="90">
        <v>1223</v>
      </c>
      <c r="E185" s="90">
        <f>E20+E82+E130+3</f>
        <v>935</v>
      </c>
      <c r="F185" s="90">
        <f t="shared" si="14"/>
        <v>-288</v>
      </c>
      <c r="G185" s="91">
        <f t="shared" si="15"/>
        <v>76.451349141455438</v>
      </c>
      <c r="H185" s="109"/>
    </row>
    <row r="186" spans="1:8" s="85" customFormat="1" ht="21.5">
      <c r="A186" s="88" t="s">
        <v>29</v>
      </c>
      <c r="B186" s="114">
        <v>1540</v>
      </c>
      <c r="C186" s="90">
        <f>C171-C160-C180-C183-C184-C185</f>
        <v>30259</v>
      </c>
      <c r="D186" s="90">
        <v>29939</v>
      </c>
      <c r="E186" s="90">
        <f>E171-E160-E180-E183-E184-E185</f>
        <v>44107</v>
      </c>
      <c r="F186" s="90">
        <f t="shared" si="14"/>
        <v>14168</v>
      </c>
      <c r="G186" s="91">
        <f t="shared" si="15"/>
        <v>147.32288987608138</v>
      </c>
      <c r="H186" s="109"/>
    </row>
    <row r="187" spans="1:8" s="87" customFormat="1" ht="21">
      <c r="A187" s="104" t="s">
        <v>57</v>
      </c>
      <c r="B187" s="115">
        <v>1550</v>
      </c>
      <c r="C187" s="106">
        <f>C180+C183+C184+C185+C186</f>
        <v>58820</v>
      </c>
      <c r="D187" s="106">
        <f>D180-1+D183+D184+D185+D186</f>
        <v>116544</v>
      </c>
      <c r="E187" s="106">
        <f>E180+E183+E184+E185+E186</f>
        <v>86368</v>
      </c>
      <c r="F187" s="106">
        <f t="shared" si="14"/>
        <v>-30176</v>
      </c>
      <c r="G187" s="107">
        <f t="shared" si="15"/>
        <v>74.107633168588677</v>
      </c>
      <c r="H187" s="108"/>
    </row>
    <row r="188" spans="1:8" s="87" customFormat="1" ht="56.25" customHeight="1">
      <c r="A188" s="116"/>
      <c r="B188" s="117"/>
      <c r="C188" s="118"/>
      <c r="D188" s="117"/>
      <c r="E188" s="117"/>
      <c r="F188" s="117"/>
      <c r="G188" s="117"/>
      <c r="H188" s="117"/>
    </row>
    <row r="189" spans="1:8" ht="28.5" customHeight="1">
      <c r="A189" s="119" t="s">
        <v>607</v>
      </c>
      <c r="B189" s="120"/>
      <c r="C189" s="197"/>
      <c r="D189" s="197"/>
      <c r="E189" s="197"/>
      <c r="F189" s="197"/>
      <c r="G189" s="274" t="s">
        <v>589</v>
      </c>
      <c r="H189" s="274"/>
    </row>
    <row r="190" spans="1:8">
      <c r="A190" s="181" t="s">
        <v>383</v>
      </c>
      <c r="B190" s="274" t="s">
        <v>76</v>
      </c>
      <c r="C190" s="274"/>
      <c r="D190" s="274"/>
      <c r="E190" s="274"/>
      <c r="F190" s="197"/>
      <c r="G190" s="197" t="s">
        <v>100</v>
      </c>
      <c r="H190" s="197"/>
    </row>
    <row r="191" spans="1:8" ht="35.25" customHeight="1">
      <c r="A191" s="196"/>
      <c r="B191" s="121"/>
      <c r="C191" s="121"/>
      <c r="D191" s="121"/>
      <c r="E191" s="121"/>
      <c r="F191" s="121"/>
    </row>
    <row r="192" spans="1:8" s="122" customFormat="1" ht="102.75" customHeight="1">
      <c r="A192" s="260"/>
      <c r="B192" s="260"/>
      <c r="C192" s="260"/>
      <c r="D192" s="260"/>
      <c r="E192" s="260"/>
      <c r="F192" s="260"/>
      <c r="G192" s="260"/>
      <c r="H192" s="260"/>
    </row>
    <row r="193" spans="1:1">
      <c r="A193" s="196"/>
    </row>
    <row r="194" spans="1:1">
      <c r="A194" s="196"/>
    </row>
    <row r="195" spans="1:1">
      <c r="A195" s="196"/>
    </row>
    <row r="196" spans="1:1">
      <c r="A196" s="196"/>
    </row>
    <row r="197" spans="1:1">
      <c r="A197" s="196"/>
    </row>
    <row r="198" spans="1:1">
      <c r="A198" s="196"/>
    </row>
    <row r="199" spans="1:1">
      <c r="A199" s="196"/>
    </row>
    <row r="200" spans="1:1">
      <c r="A200" s="196"/>
    </row>
    <row r="201" spans="1:1">
      <c r="A201" s="196"/>
    </row>
    <row r="202" spans="1:1">
      <c r="A202" s="196"/>
    </row>
    <row r="203" spans="1:1">
      <c r="A203" s="196"/>
    </row>
    <row r="204" spans="1:1">
      <c r="A204" s="196"/>
    </row>
    <row r="205" spans="1:1">
      <c r="A205" s="196"/>
    </row>
    <row r="206" spans="1:1">
      <c r="A206" s="196"/>
    </row>
    <row r="207" spans="1:1">
      <c r="A207" s="196"/>
    </row>
    <row r="208" spans="1:1">
      <c r="A208" s="196"/>
    </row>
    <row r="209" spans="1:1">
      <c r="A209" s="196"/>
    </row>
    <row r="210" spans="1:1">
      <c r="A210" s="196"/>
    </row>
    <row r="211" spans="1:1">
      <c r="A211" s="196"/>
    </row>
    <row r="212" spans="1:1">
      <c r="A212" s="196"/>
    </row>
    <row r="213" spans="1:1">
      <c r="A213" s="196"/>
    </row>
    <row r="214" spans="1:1">
      <c r="A214" s="196"/>
    </row>
    <row r="215" spans="1:1">
      <c r="A215" s="196"/>
    </row>
    <row r="216" spans="1:1">
      <c r="A216" s="196"/>
    </row>
    <row r="217" spans="1:1">
      <c r="A217" s="196"/>
    </row>
    <row r="218" spans="1:1">
      <c r="A218" s="196"/>
    </row>
    <row r="219" spans="1:1">
      <c r="A219" s="196"/>
    </row>
    <row r="220" spans="1:1">
      <c r="A220" s="196"/>
    </row>
    <row r="221" spans="1:1">
      <c r="A221" s="196"/>
    </row>
    <row r="222" spans="1:1">
      <c r="A222" s="196"/>
    </row>
    <row r="223" spans="1:1">
      <c r="A223" s="196"/>
    </row>
    <row r="224" spans="1:1">
      <c r="A224" s="196"/>
    </row>
    <row r="225" spans="1:1">
      <c r="A225" s="196"/>
    </row>
    <row r="226" spans="1:1">
      <c r="A226" s="196"/>
    </row>
    <row r="227" spans="1:1">
      <c r="A227" s="196"/>
    </row>
    <row r="228" spans="1:1">
      <c r="A228" s="196"/>
    </row>
    <row r="229" spans="1:1">
      <c r="A229" s="196"/>
    </row>
    <row r="230" spans="1:1">
      <c r="A230" s="196"/>
    </row>
    <row r="231" spans="1:1">
      <c r="A231" s="196"/>
    </row>
    <row r="232" spans="1:1">
      <c r="A232" s="196"/>
    </row>
    <row r="233" spans="1:1">
      <c r="A233" s="196"/>
    </row>
    <row r="234" spans="1:1">
      <c r="A234" s="196"/>
    </row>
    <row r="235" spans="1:1">
      <c r="A235" s="196"/>
    </row>
    <row r="236" spans="1:1">
      <c r="A236" s="196"/>
    </row>
    <row r="237" spans="1:1">
      <c r="A237" s="196"/>
    </row>
    <row r="238" spans="1:1">
      <c r="A238" s="196"/>
    </row>
    <row r="239" spans="1:1">
      <c r="A239" s="196"/>
    </row>
    <row r="240" spans="1:1">
      <c r="A240" s="196"/>
    </row>
    <row r="241" spans="1:1">
      <c r="A241" s="196"/>
    </row>
    <row r="242" spans="1:1">
      <c r="A242" s="196"/>
    </row>
    <row r="243" spans="1:1">
      <c r="A243" s="196"/>
    </row>
    <row r="244" spans="1:1">
      <c r="A244" s="196"/>
    </row>
    <row r="245" spans="1:1">
      <c r="A245" s="196"/>
    </row>
    <row r="246" spans="1:1">
      <c r="A246" s="196"/>
    </row>
    <row r="247" spans="1:1">
      <c r="A247" s="196"/>
    </row>
    <row r="248" spans="1:1">
      <c r="A248" s="196"/>
    </row>
    <row r="249" spans="1:1">
      <c r="A249" s="123"/>
    </row>
    <row r="250" spans="1:1">
      <c r="A250" s="123"/>
    </row>
    <row r="251" spans="1:1">
      <c r="A251" s="123"/>
    </row>
    <row r="252" spans="1:1">
      <c r="A252" s="123"/>
    </row>
    <row r="253" spans="1:1">
      <c r="A253" s="123"/>
    </row>
    <row r="254" spans="1:1">
      <c r="A254" s="123"/>
    </row>
    <row r="255" spans="1:1">
      <c r="A255" s="123"/>
    </row>
    <row r="256" spans="1:1">
      <c r="A256" s="123"/>
    </row>
    <row r="257" spans="1:1">
      <c r="A257" s="123"/>
    </row>
    <row r="258" spans="1:1">
      <c r="A258" s="123"/>
    </row>
    <row r="259" spans="1:1">
      <c r="A259" s="123"/>
    </row>
    <row r="260" spans="1:1">
      <c r="A260" s="123"/>
    </row>
    <row r="261" spans="1:1">
      <c r="A261" s="123"/>
    </row>
    <row r="262" spans="1:1">
      <c r="A262" s="123"/>
    </row>
    <row r="263" spans="1:1">
      <c r="A263" s="123"/>
    </row>
    <row r="264" spans="1:1">
      <c r="A264" s="123"/>
    </row>
    <row r="265" spans="1:1">
      <c r="A265" s="123"/>
    </row>
    <row r="266" spans="1:1">
      <c r="A266" s="123"/>
    </row>
    <row r="267" spans="1:1">
      <c r="A267" s="123"/>
    </row>
    <row r="268" spans="1:1">
      <c r="A268" s="123"/>
    </row>
    <row r="269" spans="1:1">
      <c r="A269" s="123"/>
    </row>
    <row r="270" spans="1:1">
      <c r="A270" s="123"/>
    </row>
    <row r="271" spans="1:1">
      <c r="A271" s="123"/>
    </row>
    <row r="272" spans="1:1">
      <c r="A272" s="123"/>
    </row>
    <row r="273" spans="1:1">
      <c r="A273" s="123"/>
    </row>
    <row r="274" spans="1:1">
      <c r="A274" s="123"/>
    </row>
    <row r="275" spans="1:1">
      <c r="A275" s="123"/>
    </row>
    <row r="276" spans="1:1">
      <c r="A276" s="123"/>
    </row>
    <row r="277" spans="1:1">
      <c r="A277" s="123"/>
    </row>
    <row r="278" spans="1:1">
      <c r="A278" s="123"/>
    </row>
    <row r="279" spans="1:1">
      <c r="A279" s="123"/>
    </row>
    <row r="280" spans="1:1">
      <c r="A280" s="123"/>
    </row>
    <row r="281" spans="1:1">
      <c r="A281" s="123"/>
    </row>
    <row r="282" spans="1:1">
      <c r="A282" s="123"/>
    </row>
    <row r="283" spans="1:1">
      <c r="A283" s="123"/>
    </row>
    <row r="284" spans="1:1">
      <c r="A284" s="123"/>
    </row>
    <row r="285" spans="1:1">
      <c r="A285" s="123"/>
    </row>
    <row r="286" spans="1:1">
      <c r="A286" s="123"/>
    </row>
    <row r="287" spans="1:1">
      <c r="A287" s="123"/>
    </row>
    <row r="288" spans="1:1">
      <c r="A288" s="123"/>
    </row>
    <row r="289" spans="1:1">
      <c r="A289" s="123"/>
    </row>
    <row r="290" spans="1:1">
      <c r="A290" s="123"/>
    </row>
    <row r="291" spans="1:1">
      <c r="A291" s="123"/>
    </row>
    <row r="292" spans="1:1">
      <c r="A292" s="123"/>
    </row>
    <row r="293" spans="1:1">
      <c r="A293" s="123"/>
    </row>
    <row r="294" spans="1:1">
      <c r="A294" s="123"/>
    </row>
    <row r="295" spans="1:1">
      <c r="A295" s="123"/>
    </row>
    <row r="296" spans="1:1">
      <c r="A296" s="123"/>
    </row>
    <row r="297" spans="1:1">
      <c r="A297" s="123"/>
    </row>
    <row r="298" spans="1:1">
      <c r="A298" s="123"/>
    </row>
    <row r="299" spans="1:1">
      <c r="A299" s="123"/>
    </row>
    <row r="300" spans="1:1">
      <c r="A300" s="123"/>
    </row>
    <row r="301" spans="1:1">
      <c r="A301" s="123"/>
    </row>
    <row r="302" spans="1:1">
      <c r="A302" s="123"/>
    </row>
    <row r="303" spans="1:1">
      <c r="A303" s="123"/>
    </row>
    <row r="304" spans="1:1">
      <c r="A304" s="123"/>
    </row>
    <row r="305" spans="1:1">
      <c r="A305" s="123"/>
    </row>
    <row r="306" spans="1:1">
      <c r="A306" s="123"/>
    </row>
    <row r="307" spans="1:1">
      <c r="A307" s="123"/>
    </row>
    <row r="308" spans="1:1">
      <c r="A308" s="123"/>
    </row>
    <row r="309" spans="1:1">
      <c r="A309" s="123"/>
    </row>
    <row r="310" spans="1:1">
      <c r="A310" s="123"/>
    </row>
    <row r="311" spans="1:1">
      <c r="A311" s="123"/>
    </row>
    <row r="312" spans="1:1">
      <c r="A312" s="123"/>
    </row>
    <row r="313" spans="1:1">
      <c r="A313" s="123"/>
    </row>
    <row r="314" spans="1:1">
      <c r="A314" s="123"/>
    </row>
    <row r="315" spans="1:1">
      <c r="A315" s="123"/>
    </row>
    <row r="316" spans="1:1">
      <c r="A316" s="123"/>
    </row>
    <row r="317" spans="1:1">
      <c r="A317" s="123"/>
    </row>
    <row r="318" spans="1:1">
      <c r="A318" s="123"/>
    </row>
    <row r="319" spans="1:1">
      <c r="A319" s="123"/>
    </row>
    <row r="320" spans="1:1">
      <c r="A320" s="123"/>
    </row>
    <row r="321" spans="1:1">
      <c r="A321" s="123"/>
    </row>
    <row r="322" spans="1:1">
      <c r="A322" s="123"/>
    </row>
    <row r="323" spans="1:1">
      <c r="A323" s="123"/>
    </row>
    <row r="324" spans="1:1">
      <c r="A324" s="123"/>
    </row>
    <row r="325" spans="1:1">
      <c r="A325" s="123"/>
    </row>
    <row r="326" spans="1:1">
      <c r="A326" s="123"/>
    </row>
    <row r="327" spans="1:1">
      <c r="A327" s="123"/>
    </row>
    <row r="328" spans="1:1">
      <c r="A328" s="123"/>
    </row>
    <row r="329" spans="1:1">
      <c r="A329" s="123"/>
    </row>
    <row r="330" spans="1:1">
      <c r="A330" s="123"/>
    </row>
    <row r="331" spans="1:1">
      <c r="A331" s="123"/>
    </row>
    <row r="332" spans="1:1">
      <c r="A332" s="123"/>
    </row>
    <row r="333" spans="1:1">
      <c r="A333" s="123"/>
    </row>
    <row r="334" spans="1:1">
      <c r="A334" s="123"/>
    </row>
    <row r="335" spans="1:1">
      <c r="A335" s="123"/>
    </row>
    <row r="336" spans="1:1">
      <c r="A336" s="123"/>
    </row>
    <row r="337" spans="1:1">
      <c r="A337" s="123"/>
    </row>
    <row r="338" spans="1:1">
      <c r="A338" s="123"/>
    </row>
    <row r="339" spans="1:1">
      <c r="A339" s="123"/>
    </row>
    <row r="340" spans="1:1">
      <c r="A340" s="123"/>
    </row>
    <row r="341" spans="1:1">
      <c r="A341" s="123"/>
    </row>
    <row r="342" spans="1:1">
      <c r="A342" s="123"/>
    </row>
    <row r="343" spans="1:1">
      <c r="A343" s="123"/>
    </row>
    <row r="344" spans="1:1">
      <c r="A344" s="123"/>
    </row>
    <row r="345" spans="1:1">
      <c r="A345" s="123"/>
    </row>
    <row r="346" spans="1:1">
      <c r="A346" s="123"/>
    </row>
    <row r="347" spans="1:1">
      <c r="A347" s="123"/>
    </row>
    <row r="348" spans="1:1">
      <c r="A348" s="123"/>
    </row>
    <row r="349" spans="1:1">
      <c r="A349" s="123"/>
    </row>
    <row r="350" spans="1:1">
      <c r="A350" s="123"/>
    </row>
    <row r="351" spans="1:1">
      <c r="A351" s="123"/>
    </row>
    <row r="352" spans="1:1">
      <c r="A352" s="123"/>
    </row>
    <row r="353" spans="1:1">
      <c r="A353" s="123"/>
    </row>
    <row r="354" spans="1:1">
      <c r="A354" s="123"/>
    </row>
    <row r="355" spans="1:1">
      <c r="A355" s="123"/>
    </row>
    <row r="356" spans="1:1">
      <c r="A356" s="123"/>
    </row>
    <row r="357" spans="1:1">
      <c r="A357" s="123"/>
    </row>
    <row r="358" spans="1:1">
      <c r="A358" s="123"/>
    </row>
    <row r="359" spans="1:1">
      <c r="A359" s="123"/>
    </row>
    <row r="360" spans="1:1">
      <c r="A360" s="123"/>
    </row>
    <row r="361" spans="1:1">
      <c r="A361" s="123"/>
    </row>
    <row r="362" spans="1:1">
      <c r="A362" s="123"/>
    </row>
    <row r="363" spans="1:1">
      <c r="A363" s="123"/>
    </row>
    <row r="364" spans="1:1">
      <c r="A364" s="123"/>
    </row>
    <row r="365" spans="1:1">
      <c r="A365" s="123"/>
    </row>
    <row r="366" spans="1:1">
      <c r="A366" s="123"/>
    </row>
    <row r="367" spans="1:1">
      <c r="A367" s="123"/>
    </row>
    <row r="368" spans="1:1">
      <c r="A368" s="123"/>
    </row>
    <row r="369" spans="1:1">
      <c r="A369" s="123"/>
    </row>
    <row r="370" spans="1:1">
      <c r="A370" s="123"/>
    </row>
    <row r="371" spans="1:1">
      <c r="A371" s="123"/>
    </row>
    <row r="372" spans="1:1">
      <c r="A372" s="123"/>
    </row>
    <row r="373" spans="1:1">
      <c r="A373" s="123"/>
    </row>
    <row r="374" spans="1:1">
      <c r="A374" s="123"/>
    </row>
    <row r="375" spans="1:1">
      <c r="A375" s="123"/>
    </row>
    <row r="376" spans="1:1">
      <c r="A376" s="123"/>
    </row>
    <row r="377" spans="1:1">
      <c r="A377" s="123"/>
    </row>
    <row r="378" spans="1:1">
      <c r="A378" s="123"/>
    </row>
    <row r="379" spans="1:1">
      <c r="A379" s="123"/>
    </row>
    <row r="380" spans="1:1">
      <c r="A380" s="123"/>
    </row>
    <row r="381" spans="1:1">
      <c r="A381" s="123"/>
    </row>
    <row r="382" spans="1:1">
      <c r="A382" s="123"/>
    </row>
    <row r="383" spans="1:1">
      <c r="A383" s="123"/>
    </row>
    <row r="384" spans="1:1">
      <c r="A384" s="123"/>
    </row>
    <row r="385" spans="1:1">
      <c r="A385" s="123"/>
    </row>
    <row r="386" spans="1:1">
      <c r="A386" s="123"/>
    </row>
    <row r="387" spans="1:1">
      <c r="A387" s="123"/>
    </row>
    <row r="388" spans="1:1">
      <c r="A388" s="123"/>
    </row>
    <row r="389" spans="1:1">
      <c r="A389" s="123"/>
    </row>
    <row r="390" spans="1:1">
      <c r="A390" s="123"/>
    </row>
    <row r="391" spans="1:1">
      <c r="A391" s="123"/>
    </row>
    <row r="392" spans="1:1">
      <c r="A392" s="123"/>
    </row>
    <row r="393" spans="1:1">
      <c r="A393" s="123"/>
    </row>
    <row r="394" spans="1:1">
      <c r="A394" s="123"/>
    </row>
    <row r="395" spans="1:1">
      <c r="A395" s="123"/>
    </row>
    <row r="396" spans="1:1">
      <c r="A396" s="123"/>
    </row>
    <row r="397" spans="1:1">
      <c r="A397" s="123"/>
    </row>
    <row r="398" spans="1:1">
      <c r="A398" s="123"/>
    </row>
    <row r="399" spans="1:1">
      <c r="A399" s="123"/>
    </row>
    <row r="400" spans="1:1">
      <c r="A400" s="123"/>
    </row>
    <row r="401" spans="1:1">
      <c r="A401" s="123"/>
    </row>
    <row r="402" spans="1:1">
      <c r="A402" s="123"/>
    </row>
    <row r="403" spans="1:1">
      <c r="A403" s="123"/>
    </row>
    <row r="404" spans="1:1">
      <c r="A404" s="123"/>
    </row>
    <row r="405" spans="1:1">
      <c r="A405" s="123"/>
    </row>
    <row r="406" spans="1:1">
      <c r="A406" s="123"/>
    </row>
    <row r="407" spans="1:1">
      <c r="A407" s="123"/>
    </row>
    <row r="408" spans="1:1">
      <c r="A408" s="123"/>
    </row>
    <row r="409" spans="1:1">
      <c r="A409" s="123"/>
    </row>
    <row r="410" spans="1:1">
      <c r="A410" s="123"/>
    </row>
    <row r="411" spans="1:1">
      <c r="A411" s="123"/>
    </row>
    <row r="412" spans="1:1">
      <c r="A412" s="123"/>
    </row>
    <row r="413" spans="1:1">
      <c r="A413" s="123"/>
    </row>
    <row r="414" spans="1:1">
      <c r="A414" s="123"/>
    </row>
    <row r="415" spans="1:1">
      <c r="A415" s="123"/>
    </row>
  </sheetData>
  <mergeCells count="12">
    <mergeCell ref="A166:H166"/>
    <mergeCell ref="A172:H172"/>
    <mergeCell ref="A3:H3"/>
    <mergeCell ref="G189:H189"/>
    <mergeCell ref="A192:H192"/>
    <mergeCell ref="A179:H179"/>
    <mergeCell ref="D5:H5"/>
    <mergeCell ref="B5:B6"/>
    <mergeCell ref="A5:A6"/>
    <mergeCell ref="C5:C6"/>
    <mergeCell ref="A8:H8"/>
    <mergeCell ref="B190:E190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41" orientation="portrait" r:id="rId1"/>
  <headerFooter alignWithMargins="0"/>
  <rowBreaks count="2" manualBreakCount="2">
    <brk id="65" max="7" man="1"/>
    <brk id="13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188"/>
  <sheetViews>
    <sheetView view="pageBreakPreview" topLeftCell="A3" zoomScale="70" zoomScaleNormal="75" zoomScaleSheetLayoutView="70" workbookViewId="0">
      <selection activeCell="C17" sqref="C17"/>
    </sheetView>
  </sheetViews>
  <sheetFormatPr defaultColWidth="9.1796875" defaultRowHeight="20.5" outlineLevelRow="1"/>
  <cols>
    <col min="1" max="1" width="64.1796875" style="125" customWidth="1"/>
    <col min="2" max="2" width="15.26953125" style="126" customWidth="1"/>
    <col min="3" max="3" width="18.7265625" style="126" customWidth="1"/>
    <col min="4" max="4" width="14.54296875" style="126" customWidth="1"/>
    <col min="5" max="5" width="14" style="126" customWidth="1"/>
    <col min="6" max="6" width="18.7265625" style="126" customWidth="1"/>
    <col min="7" max="7" width="15.54296875" style="126" customWidth="1"/>
    <col min="8" max="8" width="10" style="125" customWidth="1"/>
    <col min="9" max="9" width="0.26953125" style="125" customWidth="1"/>
    <col min="10" max="11" width="9.1796875" style="125" hidden="1" customWidth="1"/>
    <col min="12" max="16384" width="9.1796875" style="125"/>
  </cols>
  <sheetData>
    <row r="1" spans="1:7" hidden="1" outlineLevel="1">
      <c r="G1" s="84" t="s">
        <v>239</v>
      </c>
    </row>
    <row r="2" spans="1:7" hidden="1" outlineLevel="1">
      <c r="G2" s="84" t="s">
        <v>224</v>
      </c>
    </row>
    <row r="3" spans="1:7" collapsed="1">
      <c r="A3" s="286" t="s">
        <v>372</v>
      </c>
      <c r="B3" s="286"/>
      <c r="C3" s="286"/>
      <c r="D3" s="286"/>
      <c r="E3" s="286"/>
      <c r="F3" s="286"/>
      <c r="G3" s="286"/>
    </row>
    <row r="4" spans="1:7" ht="38.25" customHeight="1">
      <c r="A4" s="287" t="s">
        <v>285</v>
      </c>
      <c r="B4" s="288" t="s">
        <v>18</v>
      </c>
      <c r="C4" s="289" t="s">
        <v>353</v>
      </c>
      <c r="D4" s="287" t="s">
        <v>351</v>
      </c>
      <c r="E4" s="287"/>
      <c r="F4" s="287"/>
      <c r="G4" s="287"/>
    </row>
    <row r="5" spans="1:7" ht="38.25" customHeight="1">
      <c r="A5" s="287"/>
      <c r="B5" s="288"/>
      <c r="C5" s="290"/>
      <c r="D5" s="230" t="s">
        <v>263</v>
      </c>
      <c r="E5" s="230" t="s">
        <v>246</v>
      </c>
      <c r="F5" s="227" t="s">
        <v>273</v>
      </c>
      <c r="G5" s="227" t="s">
        <v>274</v>
      </c>
    </row>
    <row r="6" spans="1:7">
      <c r="A6" s="225">
        <v>1</v>
      </c>
      <c r="B6" s="226">
        <v>2</v>
      </c>
      <c r="C6" s="225">
        <v>3</v>
      </c>
      <c r="D6" s="225">
        <v>4</v>
      </c>
      <c r="E6" s="226">
        <v>5</v>
      </c>
      <c r="F6" s="225">
        <v>6</v>
      </c>
      <c r="G6" s="226">
        <v>7</v>
      </c>
    </row>
    <row r="7" spans="1:7">
      <c r="A7" s="283" t="s">
        <v>151</v>
      </c>
      <c r="B7" s="284"/>
      <c r="C7" s="284"/>
      <c r="D7" s="284"/>
      <c r="E7" s="284"/>
      <c r="F7" s="284"/>
      <c r="G7" s="285"/>
    </row>
    <row r="8" spans="1:7" ht="45.75" customHeight="1">
      <c r="A8" s="127" t="s">
        <v>59</v>
      </c>
      <c r="B8" s="128">
        <v>2000</v>
      </c>
      <c r="C8" s="232">
        <v>-19896</v>
      </c>
      <c r="D8" s="232">
        <v>-20143</v>
      </c>
      <c r="E8" s="232">
        <v>-20187</v>
      </c>
      <c r="F8" s="232">
        <f>E8-D8</f>
        <v>-44</v>
      </c>
      <c r="G8" s="233">
        <f>E8/D8*100</f>
        <v>100.21843816710521</v>
      </c>
    </row>
    <row r="9" spans="1:7" ht="41">
      <c r="A9" s="129" t="s">
        <v>206</v>
      </c>
      <c r="B9" s="128">
        <v>2010</v>
      </c>
      <c r="C9" s="232">
        <f>C10+C11</f>
        <v>192.911</v>
      </c>
      <c r="D9" s="232">
        <f>D10+D11</f>
        <v>88.049000000000007</v>
      </c>
      <c r="E9" s="232">
        <f>E10+E11</f>
        <v>0</v>
      </c>
      <c r="F9" s="232">
        <f>E9-D9</f>
        <v>-88.049000000000007</v>
      </c>
      <c r="G9" s="233">
        <f>E9/D9*100</f>
        <v>0</v>
      </c>
    </row>
    <row r="10" spans="1:7" ht="41">
      <c r="A10" s="130" t="s">
        <v>357</v>
      </c>
      <c r="B10" s="128">
        <v>2011</v>
      </c>
      <c r="C10" s="232">
        <f>'1. Фін результат'!C162*0.15</f>
        <v>43.911000000000001</v>
      </c>
      <c r="D10" s="232">
        <f>'1. Фін результат'!D162*0.15</f>
        <v>20.048999999999999</v>
      </c>
      <c r="E10" s="232"/>
      <c r="F10" s="232">
        <f>E10-D10</f>
        <v>-20.048999999999999</v>
      </c>
      <c r="G10" s="233">
        <f>E10/D10*100</f>
        <v>0</v>
      </c>
    </row>
    <row r="11" spans="1:7" ht="90">
      <c r="A11" s="131" t="s">
        <v>358</v>
      </c>
      <c r="B11" s="128">
        <v>2012</v>
      </c>
      <c r="C11" s="232">
        <v>149</v>
      </c>
      <c r="D11" s="232">
        <v>68</v>
      </c>
      <c r="E11" s="232"/>
      <c r="F11" s="232">
        <f>E11-D11</f>
        <v>-68</v>
      </c>
      <c r="G11" s="233">
        <f>E11/D11*100</f>
        <v>0</v>
      </c>
    </row>
    <row r="12" spans="1:7">
      <c r="A12" s="130" t="s">
        <v>193</v>
      </c>
      <c r="B12" s="128">
        <v>2020</v>
      </c>
      <c r="C12" s="232"/>
      <c r="D12" s="232"/>
      <c r="E12" s="232"/>
      <c r="F12" s="232"/>
      <c r="G12" s="233"/>
    </row>
    <row r="13" spans="1:7" s="132" customFormat="1">
      <c r="A13" s="129" t="s">
        <v>70</v>
      </c>
      <c r="B13" s="128">
        <v>2030</v>
      </c>
      <c r="C13" s="232"/>
      <c r="D13" s="232"/>
      <c r="E13" s="232"/>
      <c r="F13" s="232"/>
      <c r="G13" s="233"/>
    </row>
    <row r="14" spans="1:7" ht="24" customHeight="1">
      <c r="A14" s="133" t="s">
        <v>130</v>
      </c>
      <c r="B14" s="128">
        <v>2031</v>
      </c>
      <c r="C14" s="232"/>
      <c r="D14" s="232"/>
      <c r="E14" s="232"/>
      <c r="F14" s="232"/>
      <c r="G14" s="233"/>
    </row>
    <row r="15" spans="1:7">
      <c r="A15" s="129" t="s">
        <v>26</v>
      </c>
      <c r="B15" s="128">
        <v>2040</v>
      </c>
      <c r="C15" s="232"/>
      <c r="D15" s="232"/>
      <c r="E15" s="232"/>
      <c r="F15" s="232"/>
      <c r="G15" s="233"/>
    </row>
    <row r="16" spans="1:7">
      <c r="A16" s="129" t="s">
        <v>112</v>
      </c>
      <c r="B16" s="128">
        <v>2050</v>
      </c>
      <c r="C16" s="232"/>
      <c r="D16" s="232"/>
      <c r="E16" s="232"/>
      <c r="F16" s="232"/>
      <c r="G16" s="233"/>
    </row>
    <row r="17" spans="1:10">
      <c r="A17" s="129" t="s">
        <v>113</v>
      </c>
      <c r="B17" s="128">
        <v>2060</v>
      </c>
      <c r="C17" s="246">
        <v>34</v>
      </c>
      <c r="D17" s="232"/>
      <c r="E17" s="232">
        <v>-111</v>
      </c>
      <c r="F17" s="232"/>
      <c r="G17" s="233"/>
    </row>
    <row r="18" spans="1:10" ht="45" customHeight="1">
      <c r="A18" s="129" t="s">
        <v>60</v>
      </c>
      <c r="B18" s="128">
        <v>2070</v>
      </c>
      <c r="C18" s="134">
        <f>C8+'1. Фін результат'!C162-'2. Розрахунки з бюджетом'!C9+'2. Розрахунки з бюджетом'!C12-'2. Розрахунки з бюджетом'!C13-'2. Розрахунки з бюджетом'!C15-'2. Розрахунки з бюджетом'!C16-'2. Розрахунки з бюджетом'!C17</f>
        <v>-19830.170999999998</v>
      </c>
      <c r="D18" s="134">
        <v>-20098</v>
      </c>
      <c r="E18" s="134">
        <f>E8+'1. Фін результат'!E162-'2. Розрахунки з бюджетом'!E9+'2. Розрахунки з бюджетом'!E12-'2. Розрахунки з бюджетом'!E13-'2. Розрахунки з бюджетом'!E15-'2. Розрахунки з бюджетом'!E16-'2. Розрахунки з бюджетом'!E17</f>
        <v>-22203</v>
      </c>
      <c r="F18" s="134">
        <f>E18-D18</f>
        <v>-2105</v>
      </c>
      <c r="G18" s="135">
        <f>E18/D18*100</f>
        <v>110.47367897303215</v>
      </c>
      <c r="H18" s="136"/>
      <c r="J18" s="136"/>
    </row>
    <row r="19" spans="1:10" ht="41.25" customHeight="1">
      <c r="A19" s="283" t="s">
        <v>152</v>
      </c>
      <c r="B19" s="284"/>
      <c r="C19" s="284"/>
      <c r="D19" s="284"/>
      <c r="E19" s="284"/>
      <c r="F19" s="284"/>
      <c r="G19" s="285"/>
    </row>
    <row r="20" spans="1:10" ht="41">
      <c r="A20" s="129" t="s">
        <v>206</v>
      </c>
      <c r="B20" s="128">
        <v>2100</v>
      </c>
      <c r="C20" s="232">
        <f>C21+C22</f>
        <v>192.911</v>
      </c>
      <c r="D20" s="232">
        <f>D21+D22</f>
        <v>88.049000000000007</v>
      </c>
      <c r="E20" s="232">
        <f>E21+E22</f>
        <v>0</v>
      </c>
      <c r="F20" s="232">
        <f>E20-D20</f>
        <v>-88.049000000000007</v>
      </c>
      <c r="G20" s="233">
        <f>E20/D20*100</f>
        <v>0</v>
      </c>
    </row>
    <row r="21" spans="1:10" ht="41">
      <c r="A21" s="130" t="s">
        <v>357</v>
      </c>
      <c r="B21" s="128">
        <v>2101</v>
      </c>
      <c r="C21" s="232">
        <f t="shared" ref="C21:E22" si="0">C10</f>
        <v>43.911000000000001</v>
      </c>
      <c r="D21" s="232">
        <f t="shared" si="0"/>
        <v>20.048999999999999</v>
      </c>
      <c r="E21" s="232">
        <f>E10</f>
        <v>0</v>
      </c>
      <c r="F21" s="232">
        <f>E21-D21</f>
        <v>-20.048999999999999</v>
      </c>
      <c r="G21" s="233">
        <f>E21/D21*100</f>
        <v>0</v>
      </c>
    </row>
    <row r="22" spans="1:10" ht="90">
      <c r="A22" s="131" t="s">
        <v>358</v>
      </c>
      <c r="B22" s="128">
        <v>2102</v>
      </c>
      <c r="C22" s="232">
        <f t="shared" si="0"/>
        <v>149</v>
      </c>
      <c r="D22" s="232">
        <f t="shared" si="0"/>
        <v>68</v>
      </c>
      <c r="E22" s="232">
        <f t="shared" si="0"/>
        <v>0</v>
      </c>
      <c r="F22" s="232">
        <f>E22-D22</f>
        <v>-68</v>
      </c>
      <c r="G22" s="233">
        <f>E22/D22*100</f>
        <v>0</v>
      </c>
    </row>
    <row r="23" spans="1:10" s="132" customFormat="1">
      <c r="A23" s="129" t="s">
        <v>154</v>
      </c>
      <c r="B23" s="225">
        <v>2110</v>
      </c>
      <c r="C23" s="124">
        <v>64</v>
      </c>
      <c r="D23" s="124">
        <f>'1. Фін результат'!D160</f>
        <v>29.34</v>
      </c>
      <c r="E23" s="124">
        <f>'1. Фін результат'!E160</f>
        <v>0</v>
      </c>
      <c r="F23" s="232">
        <f>E23-D23</f>
        <v>-29.34</v>
      </c>
      <c r="G23" s="233"/>
    </row>
    <row r="24" spans="1:10" ht="61.5">
      <c r="A24" s="129" t="s">
        <v>336</v>
      </c>
      <c r="B24" s="225">
        <v>2120</v>
      </c>
      <c r="C24" s="124">
        <v>4236</v>
      </c>
      <c r="D24" s="124">
        <v>1875</v>
      </c>
      <c r="E24" s="124">
        <v>2155</v>
      </c>
      <c r="F24" s="232">
        <f>E24-D24</f>
        <v>280</v>
      </c>
      <c r="G24" s="233">
        <f>E24/D24*100</f>
        <v>114.93333333333334</v>
      </c>
    </row>
    <row r="25" spans="1:10" ht="61.5" customHeight="1">
      <c r="A25" s="129" t="s">
        <v>337</v>
      </c>
      <c r="B25" s="225">
        <v>2130</v>
      </c>
      <c r="C25" s="124"/>
      <c r="D25" s="124"/>
      <c r="E25" s="124"/>
      <c r="F25" s="124"/>
      <c r="G25" s="137"/>
    </row>
    <row r="26" spans="1:10" s="141" customFormat="1" ht="39.75" customHeight="1">
      <c r="A26" s="138" t="s">
        <v>255</v>
      </c>
      <c r="B26" s="139">
        <v>2140</v>
      </c>
      <c r="C26" s="140">
        <f>C30+C29+C35</f>
        <v>1848</v>
      </c>
      <c r="D26" s="140">
        <f>D30+D29+D35</f>
        <v>1999</v>
      </c>
      <c r="E26" s="140">
        <f>E30+E29+E35</f>
        <v>1858</v>
      </c>
      <c r="F26" s="134">
        <f>E26-D26</f>
        <v>-141</v>
      </c>
      <c r="G26" s="135">
        <f>E26/D26*100</f>
        <v>92.946473236618317</v>
      </c>
      <c r="H26" s="224"/>
    </row>
    <row r="27" spans="1:10">
      <c r="A27" s="129" t="s">
        <v>82</v>
      </c>
      <c r="B27" s="225">
        <v>2141</v>
      </c>
      <c r="C27" s="124"/>
      <c r="D27" s="124"/>
      <c r="E27" s="124"/>
      <c r="F27" s="124"/>
      <c r="G27" s="137"/>
    </row>
    <row r="28" spans="1:10">
      <c r="A28" s="129" t="s">
        <v>102</v>
      </c>
      <c r="B28" s="225">
        <v>2142</v>
      </c>
      <c r="C28" s="124"/>
      <c r="D28" s="124"/>
      <c r="E28" s="124"/>
      <c r="F28" s="124"/>
      <c r="G28" s="137"/>
    </row>
    <row r="29" spans="1:10">
      <c r="A29" s="129" t="s">
        <v>97</v>
      </c>
      <c r="B29" s="225">
        <v>2143</v>
      </c>
      <c r="C29" s="124">
        <f>'1. Фін результат'!C97</f>
        <v>88</v>
      </c>
      <c r="D29" s="124">
        <v>90</v>
      </c>
      <c r="E29" s="124">
        <f>'1. Фін результат'!E97</f>
        <v>93</v>
      </c>
      <c r="F29" s="232">
        <f>E29-D29</f>
        <v>3</v>
      </c>
      <c r="G29" s="233">
        <f>E29/D29*100</f>
        <v>103.33333333333334</v>
      </c>
    </row>
    <row r="30" spans="1:10">
      <c r="A30" s="129" t="s">
        <v>80</v>
      </c>
      <c r="B30" s="225">
        <v>2144</v>
      </c>
      <c r="C30" s="124">
        <v>1625</v>
      </c>
      <c r="D30" s="124">
        <v>1762</v>
      </c>
      <c r="E30" s="124">
        <v>1630</v>
      </c>
      <c r="F30" s="232">
        <f>E30-D30</f>
        <v>-132</v>
      </c>
      <c r="G30" s="233">
        <f>E30/D30*100</f>
        <v>92.508513053348466</v>
      </c>
    </row>
    <row r="31" spans="1:10" s="132" customFormat="1">
      <c r="A31" s="129" t="s">
        <v>173</v>
      </c>
      <c r="B31" s="225">
        <v>2145</v>
      </c>
      <c r="C31" s="124"/>
      <c r="D31" s="124"/>
      <c r="E31" s="124"/>
      <c r="F31" s="124"/>
      <c r="G31" s="137"/>
    </row>
    <row r="32" spans="1:10" ht="61.5">
      <c r="A32" s="129" t="s">
        <v>131</v>
      </c>
      <c r="B32" s="225" t="s">
        <v>220</v>
      </c>
      <c r="C32" s="124"/>
      <c r="D32" s="124"/>
      <c r="E32" s="124"/>
      <c r="F32" s="124"/>
      <c r="G32" s="137"/>
    </row>
    <row r="33" spans="1:9">
      <c r="A33" s="129" t="s">
        <v>27</v>
      </c>
      <c r="B33" s="225" t="s">
        <v>221</v>
      </c>
      <c r="C33" s="124"/>
      <c r="D33" s="124"/>
      <c r="E33" s="124"/>
      <c r="F33" s="124"/>
      <c r="G33" s="137"/>
    </row>
    <row r="34" spans="1:9" s="132" customFormat="1">
      <c r="A34" s="129" t="s">
        <v>114</v>
      </c>
      <c r="B34" s="225">
        <v>2146</v>
      </c>
      <c r="C34" s="124"/>
      <c r="D34" s="124"/>
      <c r="E34" s="124"/>
      <c r="F34" s="124"/>
      <c r="G34" s="137"/>
    </row>
    <row r="35" spans="1:9">
      <c r="A35" s="129" t="s">
        <v>86</v>
      </c>
      <c r="B35" s="225">
        <v>2147</v>
      </c>
      <c r="C35" s="124">
        <f>C36</f>
        <v>135</v>
      </c>
      <c r="D35" s="124">
        <f>D36</f>
        <v>147</v>
      </c>
      <c r="E35" s="124">
        <f>E36</f>
        <v>135</v>
      </c>
      <c r="F35" s="232">
        <f>E35-D35</f>
        <v>-12</v>
      </c>
      <c r="G35" s="233">
        <f>E35/D35*100</f>
        <v>91.83673469387756</v>
      </c>
    </row>
    <row r="36" spans="1:9">
      <c r="A36" s="129" t="s">
        <v>473</v>
      </c>
      <c r="B36" s="225" t="s">
        <v>472</v>
      </c>
      <c r="C36" s="124">
        <v>135</v>
      </c>
      <c r="D36" s="124">
        <v>147</v>
      </c>
      <c r="E36" s="124">
        <v>135</v>
      </c>
      <c r="F36" s="232">
        <f>E36-D36</f>
        <v>-12</v>
      </c>
      <c r="G36" s="233">
        <f>E36/D36*100</f>
        <v>91.83673469387756</v>
      </c>
    </row>
    <row r="37" spans="1:9" s="132" customFormat="1" ht="41">
      <c r="A37" s="129" t="s">
        <v>81</v>
      </c>
      <c r="B37" s="225">
        <v>2150</v>
      </c>
      <c r="C37" s="124">
        <v>1882</v>
      </c>
      <c r="D37" s="124">
        <v>1945</v>
      </c>
      <c r="E37" s="124">
        <f>'1. Фін результат'!E184</f>
        <v>1967</v>
      </c>
      <c r="F37" s="232">
        <f>E37-D37</f>
        <v>22</v>
      </c>
      <c r="G37" s="233">
        <f>E37/D37*100</f>
        <v>101.13110539845758</v>
      </c>
    </row>
    <row r="38" spans="1:9" s="132" customFormat="1" ht="25.5" customHeight="1">
      <c r="A38" s="142" t="s">
        <v>356</v>
      </c>
      <c r="B38" s="139">
        <v>2200</v>
      </c>
      <c r="C38" s="140">
        <f>C20+C24+C26+C37+C23</f>
        <v>8222.9110000000001</v>
      </c>
      <c r="D38" s="140">
        <f>D20+D24+D26+D37+D23</f>
        <v>5936.3890000000001</v>
      </c>
      <c r="E38" s="140">
        <f>E20+E24+E26+E37+E23</f>
        <v>5980</v>
      </c>
      <c r="F38" s="134">
        <f>E38-D38</f>
        <v>43.610999999999876</v>
      </c>
      <c r="G38" s="135">
        <f>E38/D38*100</f>
        <v>100.7346385150973</v>
      </c>
      <c r="H38" s="132" t="s">
        <v>370</v>
      </c>
    </row>
    <row r="39" spans="1:9" s="132" customFormat="1" ht="82.5" customHeight="1">
      <c r="A39" s="143"/>
      <c r="B39" s="126"/>
      <c r="C39" s="126"/>
      <c r="D39" s="126"/>
      <c r="E39" s="126"/>
      <c r="F39" s="126"/>
      <c r="G39" s="126"/>
    </row>
    <row r="40" spans="1:9" s="83" customFormat="1" ht="20.149999999999999" customHeight="1">
      <c r="A40" s="144" t="s">
        <v>607</v>
      </c>
      <c r="B40" s="120"/>
      <c r="C40" s="197"/>
      <c r="D40" s="197"/>
      <c r="E40" s="197"/>
      <c r="F40" s="274" t="s">
        <v>589</v>
      </c>
      <c r="G40" s="274"/>
      <c r="H40" s="197"/>
    </row>
    <row r="41" spans="1:9" s="83" customFormat="1" ht="20.149999999999999" customHeight="1">
      <c r="A41" s="195" t="s">
        <v>75</v>
      </c>
      <c r="B41" s="197"/>
      <c r="C41" s="274" t="s">
        <v>76</v>
      </c>
      <c r="D41" s="274"/>
      <c r="E41" s="197"/>
      <c r="F41" s="274" t="s">
        <v>100</v>
      </c>
      <c r="G41" s="274"/>
      <c r="H41" s="197"/>
    </row>
    <row r="42" spans="1:9" s="126" customFormat="1" ht="29.25" customHeight="1">
      <c r="A42" s="145"/>
      <c r="H42" s="125"/>
      <c r="I42" s="125"/>
    </row>
    <row r="43" spans="1:9" s="85" customFormat="1" ht="80.25" customHeight="1">
      <c r="A43" s="282"/>
      <c r="B43" s="282"/>
      <c r="C43" s="282"/>
      <c r="D43" s="282"/>
      <c r="E43" s="282"/>
      <c r="F43" s="282"/>
      <c r="G43" s="282"/>
      <c r="H43" s="282"/>
    </row>
    <row r="44" spans="1:9" s="126" customFormat="1">
      <c r="A44" s="145"/>
      <c r="H44" s="125"/>
      <c r="I44" s="125"/>
    </row>
    <row r="45" spans="1:9" s="126" customFormat="1">
      <c r="A45" s="145"/>
      <c r="H45" s="125"/>
      <c r="I45" s="125"/>
    </row>
    <row r="46" spans="1:9" s="126" customFormat="1">
      <c r="A46" s="145"/>
      <c r="H46" s="125"/>
      <c r="I46" s="125"/>
    </row>
    <row r="47" spans="1:9" s="126" customFormat="1">
      <c r="A47" s="145"/>
      <c r="H47" s="125"/>
      <c r="I47" s="125"/>
    </row>
    <row r="48" spans="1:9" s="126" customFormat="1">
      <c r="A48" s="145"/>
      <c r="H48" s="125"/>
      <c r="I48" s="125"/>
    </row>
    <row r="49" spans="1:9" s="126" customFormat="1">
      <c r="A49" s="145"/>
      <c r="H49" s="125"/>
      <c r="I49" s="125"/>
    </row>
    <row r="50" spans="1:9" s="126" customFormat="1">
      <c r="A50" s="145"/>
      <c r="H50" s="125"/>
      <c r="I50" s="125"/>
    </row>
    <row r="51" spans="1:9" s="126" customFormat="1">
      <c r="A51" s="145"/>
      <c r="H51" s="125"/>
      <c r="I51" s="125"/>
    </row>
    <row r="52" spans="1:9" s="126" customFormat="1">
      <c r="A52" s="145"/>
      <c r="H52" s="125"/>
      <c r="I52" s="125"/>
    </row>
    <row r="53" spans="1:9" s="126" customFormat="1">
      <c r="A53" s="145"/>
      <c r="H53" s="125"/>
      <c r="I53" s="125"/>
    </row>
    <row r="54" spans="1:9" s="126" customFormat="1">
      <c r="A54" s="145"/>
      <c r="H54" s="125"/>
      <c r="I54" s="125"/>
    </row>
    <row r="55" spans="1:9" s="126" customFormat="1">
      <c r="A55" s="145"/>
      <c r="H55" s="125"/>
      <c r="I55" s="125"/>
    </row>
    <row r="56" spans="1:9" s="126" customFormat="1">
      <c r="A56" s="145"/>
      <c r="H56" s="125"/>
      <c r="I56" s="125"/>
    </row>
    <row r="57" spans="1:9" s="126" customFormat="1">
      <c r="A57" s="145"/>
      <c r="H57" s="125"/>
      <c r="I57" s="125"/>
    </row>
    <row r="58" spans="1:9" s="126" customFormat="1">
      <c r="A58" s="145"/>
      <c r="H58" s="125"/>
      <c r="I58" s="125"/>
    </row>
    <row r="59" spans="1:9" s="126" customFormat="1">
      <c r="A59" s="145"/>
      <c r="H59" s="125"/>
      <c r="I59" s="125"/>
    </row>
    <row r="60" spans="1:9" s="126" customFormat="1">
      <c r="A60" s="145"/>
      <c r="H60" s="125"/>
      <c r="I60" s="125"/>
    </row>
    <row r="61" spans="1:9" s="126" customFormat="1">
      <c r="A61" s="145"/>
      <c r="H61" s="125"/>
      <c r="I61" s="125"/>
    </row>
    <row r="62" spans="1:9" s="126" customFormat="1">
      <c r="A62" s="145"/>
      <c r="H62" s="125"/>
      <c r="I62" s="125"/>
    </row>
    <row r="63" spans="1:9" s="126" customFormat="1">
      <c r="A63" s="145"/>
      <c r="H63" s="125"/>
      <c r="I63" s="125"/>
    </row>
    <row r="64" spans="1:9" s="126" customFormat="1">
      <c r="A64" s="145"/>
      <c r="H64" s="125"/>
      <c r="I64" s="125"/>
    </row>
    <row r="65" spans="1:9" s="126" customFormat="1">
      <c r="A65" s="145"/>
      <c r="H65" s="125"/>
      <c r="I65" s="125"/>
    </row>
    <row r="66" spans="1:9" s="126" customFormat="1">
      <c r="A66" s="145"/>
      <c r="H66" s="125"/>
      <c r="I66" s="125"/>
    </row>
    <row r="67" spans="1:9" s="126" customFormat="1">
      <c r="A67" s="145"/>
      <c r="H67" s="125"/>
      <c r="I67" s="125"/>
    </row>
    <row r="68" spans="1:9" s="126" customFormat="1">
      <c r="A68" s="145"/>
      <c r="H68" s="125"/>
      <c r="I68" s="125"/>
    </row>
    <row r="69" spans="1:9" s="126" customFormat="1">
      <c r="A69" s="145"/>
      <c r="H69" s="125"/>
      <c r="I69" s="125"/>
    </row>
    <row r="70" spans="1:9" s="126" customFormat="1">
      <c r="A70" s="145"/>
      <c r="H70" s="125"/>
      <c r="I70" s="125"/>
    </row>
    <row r="71" spans="1:9" s="126" customFormat="1">
      <c r="A71" s="145"/>
      <c r="H71" s="125"/>
      <c r="I71" s="125"/>
    </row>
    <row r="72" spans="1:9" s="126" customFormat="1">
      <c r="A72" s="145"/>
      <c r="H72" s="125"/>
      <c r="I72" s="125"/>
    </row>
    <row r="73" spans="1:9" s="126" customFormat="1">
      <c r="A73" s="145"/>
      <c r="H73" s="125"/>
      <c r="I73" s="125"/>
    </row>
    <row r="74" spans="1:9" s="126" customFormat="1">
      <c r="A74" s="145"/>
      <c r="H74" s="125"/>
      <c r="I74" s="125"/>
    </row>
    <row r="75" spans="1:9" s="126" customFormat="1">
      <c r="A75" s="145"/>
      <c r="H75" s="125"/>
      <c r="I75" s="125"/>
    </row>
    <row r="76" spans="1:9" s="126" customFormat="1">
      <c r="A76" s="145"/>
      <c r="H76" s="125"/>
      <c r="I76" s="125"/>
    </row>
    <row r="77" spans="1:9" s="126" customFormat="1">
      <c r="A77" s="145"/>
      <c r="H77" s="125"/>
      <c r="I77" s="125"/>
    </row>
    <row r="78" spans="1:9" s="126" customFormat="1">
      <c r="A78" s="145"/>
      <c r="H78" s="125"/>
      <c r="I78" s="125"/>
    </row>
    <row r="79" spans="1:9" s="126" customFormat="1">
      <c r="A79" s="145"/>
      <c r="H79" s="125"/>
      <c r="I79" s="125"/>
    </row>
    <row r="80" spans="1:9" s="126" customFormat="1">
      <c r="A80" s="145"/>
      <c r="H80" s="125"/>
      <c r="I80" s="125"/>
    </row>
    <row r="81" spans="1:9" s="126" customFormat="1">
      <c r="A81" s="145"/>
      <c r="H81" s="125"/>
      <c r="I81" s="125"/>
    </row>
    <row r="82" spans="1:9" s="126" customFormat="1">
      <c r="A82" s="145"/>
      <c r="H82" s="125"/>
      <c r="I82" s="125"/>
    </row>
    <row r="83" spans="1:9" s="126" customFormat="1">
      <c r="A83" s="145"/>
      <c r="H83" s="125"/>
      <c r="I83" s="125"/>
    </row>
    <row r="84" spans="1:9" s="126" customFormat="1">
      <c r="A84" s="145"/>
      <c r="H84" s="125"/>
      <c r="I84" s="125"/>
    </row>
    <row r="85" spans="1:9" s="126" customFormat="1">
      <c r="A85" s="145"/>
      <c r="H85" s="125"/>
      <c r="I85" s="125"/>
    </row>
    <row r="86" spans="1:9" s="126" customFormat="1">
      <c r="A86" s="145"/>
      <c r="H86" s="125"/>
      <c r="I86" s="125"/>
    </row>
    <row r="87" spans="1:9" s="126" customFormat="1">
      <c r="A87" s="145"/>
      <c r="H87" s="125"/>
      <c r="I87" s="125"/>
    </row>
    <row r="88" spans="1:9" s="126" customFormat="1">
      <c r="A88" s="145"/>
      <c r="H88" s="125"/>
      <c r="I88" s="125"/>
    </row>
    <row r="89" spans="1:9" s="126" customFormat="1">
      <c r="A89" s="145"/>
      <c r="H89" s="125"/>
      <c r="I89" s="125"/>
    </row>
    <row r="90" spans="1:9" s="126" customFormat="1">
      <c r="A90" s="145"/>
      <c r="H90" s="125"/>
      <c r="I90" s="125"/>
    </row>
    <row r="91" spans="1:9" s="126" customFormat="1">
      <c r="A91" s="145"/>
      <c r="H91" s="125"/>
      <c r="I91" s="125"/>
    </row>
    <row r="92" spans="1:9" s="126" customFormat="1">
      <c r="A92" s="145"/>
      <c r="H92" s="125"/>
      <c r="I92" s="125"/>
    </row>
    <row r="93" spans="1:9" s="126" customFormat="1">
      <c r="A93" s="145"/>
      <c r="H93" s="125"/>
      <c r="I93" s="125"/>
    </row>
    <row r="94" spans="1:9" s="126" customFormat="1">
      <c r="A94" s="145"/>
      <c r="H94" s="125"/>
      <c r="I94" s="125"/>
    </row>
    <row r="95" spans="1:9" s="126" customFormat="1">
      <c r="A95" s="145"/>
      <c r="H95" s="125"/>
      <c r="I95" s="125"/>
    </row>
    <row r="96" spans="1:9" s="126" customFormat="1">
      <c r="A96" s="145"/>
      <c r="H96" s="125"/>
      <c r="I96" s="125"/>
    </row>
    <row r="97" spans="1:9" s="126" customFormat="1">
      <c r="A97" s="145"/>
      <c r="H97" s="125"/>
      <c r="I97" s="125"/>
    </row>
    <row r="98" spans="1:9" s="126" customFormat="1">
      <c r="A98" s="145"/>
      <c r="H98" s="125"/>
      <c r="I98" s="125"/>
    </row>
    <row r="99" spans="1:9" s="126" customFormat="1">
      <c r="A99" s="145"/>
      <c r="H99" s="125"/>
      <c r="I99" s="125"/>
    </row>
    <row r="100" spans="1:9" s="126" customFormat="1">
      <c r="A100" s="145"/>
      <c r="H100" s="125"/>
      <c r="I100" s="125"/>
    </row>
    <row r="101" spans="1:9" s="126" customFormat="1">
      <c r="A101" s="145"/>
      <c r="H101" s="125"/>
      <c r="I101" s="125"/>
    </row>
    <row r="102" spans="1:9" s="126" customFormat="1">
      <c r="A102" s="145"/>
      <c r="H102" s="125"/>
      <c r="I102" s="125"/>
    </row>
    <row r="103" spans="1:9" s="126" customFormat="1">
      <c r="A103" s="145"/>
      <c r="H103" s="125"/>
      <c r="I103" s="125"/>
    </row>
    <row r="104" spans="1:9" s="126" customFormat="1">
      <c r="A104" s="145"/>
      <c r="H104" s="125"/>
      <c r="I104" s="125"/>
    </row>
    <row r="105" spans="1:9" s="126" customFormat="1">
      <c r="A105" s="145"/>
      <c r="H105" s="125"/>
      <c r="I105" s="125"/>
    </row>
    <row r="106" spans="1:9" s="126" customFormat="1">
      <c r="A106" s="145"/>
      <c r="H106" s="125"/>
      <c r="I106" s="125"/>
    </row>
    <row r="107" spans="1:9" s="126" customFormat="1">
      <c r="A107" s="145"/>
      <c r="H107" s="125"/>
      <c r="I107" s="125"/>
    </row>
    <row r="108" spans="1:9" s="126" customFormat="1">
      <c r="A108" s="145"/>
      <c r="H108" s="125"/>
      <c r="I108" s="125"/>
    </row>
    <row r="109" spans="1:9" s="126" customFormat="1">
      <c r="A109" s="145"/>
      <c r="H109" s="125"/>
      <c r="I109" s="125"/>
    </row>
    <row r="110" spans="1:9" s="126" customFormat="1">
      <c r="A110" s="145"/>
      <c r="H110" s="125"/>
      <c r="I110" s="125"/>
    </row>
    <row r="111" spans="1:9" s="126" customFormat="1">
      <c r="A111" s="145"/>
      <c r="H111" s="125"/>
      <c r="I111" s="125"/>
    </row>
    <row r="112" spans="1:9" s="126" customFormat="1">
      <c r="A112" s="145"/>
      <c r="H112" s="125"/>
      <c r="I112" s="125"/>
    </row>
    <row r="113" spans="1:9" s="126" customFormat="1">
      <c r="A113" s="145"/>
      <c r="H113" s="125"/>
      <c r="I113" s="125"/>
    </row>
    <row r="114" spans="1:9" s="126" customFormat="1">
      <c r="A114" s="145"/>
      <c r="H114" s="125"/>
      <c r="I114" s="125"/>
    </row>
    <row r="115" spans="1:9" s="126" customFormat="1">
      <c r="A115" s="145"/>
      <c r="H115" s="125"/>
      <c r="I115" s="125"/>
    </row>
    <row r="116" spans="1:9" s="126" customFormat="1">
      <c r="A116" s="145"/>
      <c r="H116" s="125"/>
      <c r="I116" s="125"/>
    </row>
    <row r="117" spans="1:9" s="126" customFormat="1">
      <c r="A117" s="145"/>
      <c r="H117" s="125"/>
      <c r="I117" s="125"/>
    </row>
    <row r="118" spans="1:9" s="126" customFormat="1">
      <c r="A118" s="145"/>
      <c r="H118" s="125"/>
      <c r="I118" s="125"/>
    </row>
    <row r="119" spans="1:9" s="126" customFormat="1">
      <c r="A119" s="145"/>
      <c r="H119" s="125"/>
      <c r="I119" s="125"/>
    </row>
    <row r="120" spans="1:9" s="126" customFormat="1">
      <c r="A120" s="145"/>
      <c r="H120" s="125"/>
      <c r="I120" s="125"/>
    </row>
    <row r="121" spans="1:9" s="126" customFormat="1">
      <c r="A121" s="145"/>
      <c r="H121" s="125"/>
      <c r="I121" s="125"/>
    </row>
    <row r="122" spans="1:9" s="126" customFormat="1">
      <c r="A122" s="145"/>
      <c r="H122" s="125"/>
      <c r="I122" s="125"/>
    </row>
    <row r="123" spans="1:9" s="126" customFormat="1">
      <c r="A123" s="145"/>
      <c r="H123" s="125"/>
      <c r="I123" s="125"/>
    </row>
    <row r="124" spans="1:9" s="126" customFormat="1">
      <c r="A124" s="145"/>
      <c r="H124" s="125"/>
      <c r="I124" s="125"/>
    </row>
    <row r="125" spans="1:9" s="126" customFormat="1">
      <c r="A125" s="145"/>
      <c r="H125" s="125"/>
      <c r="I125" s="125"/>
    </row>
    <row r="126" spans="1:9" s="126" customFormat="1">
      <c r="A126" s="145"/>
      <c r="H126" s="125"/>
      <c r="I126" s="125"/>
    </row>
    <row r="127" spans="1:9" s="126" customFormat="1">
      <c r="A127" s="145"/>
      <c r="H127" s="125"/>
      <c r="I127" s="125"/>
    </row>
    <row r="128" spans="1:9" s="126" customFormat="1">
      <c r="A128" s="145"/>
      <c r="H128" s="125"/>
      <c r="I128" s="125"/>
    </row>
    <row r="129" spans="1:9" s="126" customFormat="1">
      <c r="A129" s="145"/>
      <c r="H129" s="125"/>
      <c r="I129" s="125"/>
    </row>
    <row r="130" spans="1:9" s="126" customFormat="1">
      <c r="A130" s="145"/>
      <c r="H130" s="125"/>
      <c r="I130" s="125"/>
    </row>
    <row r="131" spans="1:9" s="126" customFormat="1">
      <c r="A131" s="145"/>
      <c r="H131" s="125"/>
      <c r="I131" s="125"/>
    </row>
    <row r="132" spans="1:9" s="126" customFormat="1">
      <c r="A132" s="145"/>
      <c r="H132" s="125"/>
      <c r="I132" s="125"/>
    </row>
    <row r="133" spans="1:9" s="126" customFormat="1">
      <c r="A133" s="145"/>
      <c r="H133" s="125"/>
      <c r="I133" s="125"/>
    </row>
    <row r="134" spans="1:9" s="126" customFormat="1">
      <c r="A134" s="145"/>
      <c r="H134" s="125"/>
      <c r="I134" s="125"/>
    </row>
    <row r="135" spans="1:9" s="126" customFormat="1">
      <c r="A135" s="145"/>
      <c r="H135" s="125"/>
      <c r="I135" s="125"/>
    </row>
    <row r="136" spans="1:9" s="126" customFormat="1">
      <c r="A136" s="145"/>
      <c r="H136" s="125"/>
      <c r="I136" s="125"/>
    </row>
    <row r="137" spans="1:9" s="126" customFormat="1">
      <c r="A137" s="145"/>
      <c r="H137" s="125"/>
      <c r="I137" s="125"/>
    </row>
    <row r="138" spans="1:9" s="126" customFormat="1">
      <c r="A138" s="145"/>
      <c r="H138" s="125"/>
      <c r="I138" s="125"/>
    </row>
    <row r="139" spans="1:9" s="126" customFormat="1">
      <c r="A139" s="145"/>
      <c r="H139" s="125"/>
      <c r="I139" s="125"/>
    </row>
    <row r="140" spans="1:9" s="126" customFormat="1">
      <c r="A140" s="145"/>
      <c r="H140" s="125"/>
      <c r="I140" s="125"/>
    </row>
    <row r="141" spans="1:9" s="126" customFormat="1">
      <c r="A141" s="145"/>
      <c r="H141" s="125"/>
      <c r="I141" s="125"/>
    </row>
    <row r="142" spans="1:9" s="126" customFormat="1">
      <c r="A142" s="145"/>
      <c r="H142" s="125"/>
      <c r="I142" s="125"/>
    </row>
    <row r="143" spans="1:9" s="126" customFormat="1">
      <c r="A143" s="145"/>
      <c r="H143" s="125"/>
      <c r="I143" s="125"/>
    </row>
    <row r="144" spans="1:9" s="126" customFormat="1">
      <c r="A144" s="145"/>
      <c r="H144" s="125"/>
      <c r="I144" s="125"/>
    </row>
    <row r="145" spans="1:9" s="126" customFormat="1">
      <c r="A145" s="145"/>
      <c r="H145" s="125"/>
      <c r="I145" s="125"/>
    </row>
    <row r="146" spans="1:9" s="126" customFormat="1">
      <c r="A146" s="145"/>
      <c r="H146" s="125"/>
      <c r="I146" s="125"/>
    </row>
    <row r="147" spans="1:9" s="126" customFormat="1">
      <c r="A147" s="145"/>
      <c r="H147" s="125"/>
      <c r="I147" s="125"/>
    </row>
    <row r="148" spans="1:9" s="126" customFormat="1">
      <c r="A148" s="145"/>
      <c r="H148" s="125"/>
      <c r="I148" s="125"/>
    </row>
    <row r="149" spans="1:9" s="126" customFormat="1">
      <c r="A149" s="145"/>
      <c r="H149" s="125"/>
      <c r="I149" s="125"/>
    </row>
    <row r="150" spans="1:9" s="126" customFormat="1">
      <c r="A150" s="145"/>
      <c r="H150" s="125"/>
      <c r="I150" s="125"/>
    </row>
    <row r="151" spans="1:9" s="126" customFormat="1">
      <c r="A151" s="145"/>
      <c r="H151" s="125"/>
      <c r="I151" s="125"/>
    </row>
    <row r="152" spans="1:9" s="126" customFormat="1">
      <c r="A152" s="145"/>
      <c r="H152" s="125"/>
      <c r="I152" s="125"/>
    </row>
    <row r="153" spans="1:9" s="126" customFormat="1">
      <c r="A153" s="145"/>
      <c r="H153" s="125"/>
      <c r="I153" s="125"/>
    </row>
    <row r="154" spans="1:9" s="126" customFormat="1">
      <c r="A154" s="145"/>
      <c r="H154" s="125"/>
      <c r="I154" s="125"/>
    </row>
    <row r="155" spans="1:9" s="126" customFormat="1">
      <c r="A155" s="145"/>
      <c r="H155" s="125"/>
      <c r="I155" s="125"/>
    </row>
    <row r="156" spans="1:9" s="126" customFormat="1">
      <c r="A156" s="145"/>
      <c r="H156" s="125"/>
      <c r="I156" s="125"/>
    </row>
    <row r="157" spans="1:9" s="126" customFormat="1">
      <c r="A157" s="145"/>
      <c r="H157" s="125"/>
      <c r="I157" s="125"/>
    </row>
    <row r="158" spans="1:9" s="126" customFormat="1">
      <c r="A158" s="145"/>
      <c r="H158" s="125"/>
      <c r="I158" s="125"/>
    </row>
    <row r="159" spans="1:9" s="126" customFormat="1">
      <c r="A159" s="145"/>
      <c r="H159" s="125"/>
      <c r="I159" s="125"/>
    </row>
    <row r="160" spans="1:9" s="126" customFormat="1">
      <c r="A160" s="145"/>
      <c r="H160" s="125"/>
      <c r="I160" s="125"/>
    </row>
    <row r="161" spans="1:9" s="126" customFormat="1">
      <c r="A161" s="145"/>
      <c r="H161" s="125"/>
      <c r="I161" s="125"/>
    </row>
    <row r="162" spans="1:9" s="126" customFormat="1">
      <c r="A162" s="145"/>
      <c r="H162" s="125"/>
      <c r="I162" s="125"/>
    </row>
    <row r="163" spans="1:9" s="126" customFormat="1">
      <c r="A163" s="145"/>
      <c r="H163" s="125"/>
      <c r="I163" s="125"/>
    </row>
    <row r="164" spans="1:9" s="126" customFormat="1">
      <c r="A164" s="145"/>
      <c r="H164" s="125"/>
      <c r="I164" s="125"/>
    </row>
    <row r="165" spans="1:9" s="126" customFormat="1">
      <c r="A165" s="145"/>
      <c r="H165" s="125"/>
      <c r="I165" s="125"/>
    </row>
    <row r="166" spans="1:9" s="126" customFormat="1">
      <c r="A166" s="145"/>
      <c r="H166" s="125"/>
      <c r="I166" s="125"/>
    </row>
    <row r="167" spans="1:9" s="126" customFormat="1">
      <c r="A167" s="145"/>
      <c r="H167" s="125"/>
      <c r="I167" s="125"/>
    </row>
    <row r="168" spans="1:9" s="126" customFormat="1">
      <c r="A168" s="145"/>
      <c r="H168" s="125"/>
      <c r="I168" s="125"/>
    </row>
    <row r="169" spans="1:9" s="126" customFormat="1">
      <c r="A169" s="145"/>
      <c r="H169" s="125"/>
      <c r="I169" s="125"/>
    </row>
    <row r="170" spans="1:9" s="126" customFormat="1">
      <c r="A170" s="145"/>
      <c r="H170" s="125"/>
      <c r="I170" s="125"/>
    </row>
    <row r="171" spans="1:9" s="126" customFormat="1">
      <c r="A171" s="145"/>
      <c r="H171" s="125"/>
      <c r="I171" s="125"/>
    </row>
    <row r="172" spans="1:9" s="126" customFormat="1">
      <c r="A172" s="145"/>
      <c r="H172" s="125"/>
      <c r="I172" s="125"/>
    </row>
    <row r="173" spans="1:9" s="126" customFormat="1">
      <c r="A173" s="145"/>
      <c r="H173" s="125"/>
      <c r="I173" s="125"/>
    </row>
    <row r="174" spans="1:9" s="126" customFormat="1">
      <c r="A174" s="145"/>
      <c r="H174" s="125"/>
      <c r="I174" s="125"/>
    </row>
    <row r="175" spans="1:9" s="126" customFormat="1">
      <c r="A175" s="145"/>
      <c r="H175" s="125"/>
      <c r="I175" s="125"/>
    </row>
    <row r="176" spans="1:9" s="126" customFormat="1">
      <c r="A176" s="145"/>
      <c r="H176" s="125"/>
      <c r="I176" s="125"/>
    </row>
    <row r="177" spans="1:9" s="126" customFormat="1">
      <c r="A177" s="145"/>
      <c r="H177" s="125"/>
      <c r="I177" s="125"/>
    </row>
    <row r="178" spans="1:9" s="126" customFormat="1">
      <c r="A178" s="145"/>
      <c r="H178" s="125"/>
      <c r="I178" s="125"/>
    </row>
    <row r="179" spans="1:9" s="126" customFormat="1">
      <c r="A179" s="145"/>
      <c r="H179" s="125"/>
      <c r="I179" s="125"/>
    </row>
    <row r="180" spans="1:9" s="126" customFormat="1">
      <c r="A180" s="145"/>
      <c r="H180" s="125"/>
      <c r="I180" s="125"/>
    </row>
    <row r="181" spans="1:9" s="126" customFormat="1">
      <c r="A181" s="145"/>
      <c r="H181" s="125"/>
      <c r="I181" s="125"/>
    </row>
    <row r="182" spans="1:9" s="126" customFormat="1">
      <c r="A182" s="145"/>
      <c r="H182" s="125"/>
      <c r="I182" s="125"/>
    </row>
    <row r="183" spans="1:9" s="126" customFormat="1">
      <c r="A183" s="145"/>
      <c r="H183" s="125"/>
      <c r="I183" s="125"/>
    </row>
    <row r="184" spans="1:9" s="126" customFormat="1">
      <c r="A184" s="145"/>
      <c r="H184" s="125"/>
      <c r="I184" s="125"/>
    </row>
    <row r="185" spans="1:9" s="126" customFormat="1">
      <c r="A185" s="145"/>
      <c r="H185" s="125"/>
      <c r="I185" s="125"/>
    </row>
    <row r="186" spans="1:9" s="126" customFormat="1">
      <c r="A186" s="145"/>
      <c r="H186" s="125"/>
      <c r="I186" s="125"/>
    </row>
    <row r="187" spans="1:9" s="126" customFormat="1">
      <c r="A187" s="145"/>
      <c r="H187" s="125"/>
      <c r="I187" s="125"/>
    </row>
    <row r="188" spans="1:9" s="126" customFormat="1">
      <c r="A188" s="145"/>
      <c r="H188" s="125"/>
      <c r="I188" s="125"/>
    </row>
  </sheetData>
  <mergeCells count="11">
    <mergeCell ref="A43:H43"/>
    <mergeCell ref="A7:G7"/>
    <mergeCell ref="A19:G19"/>
    <mergeCell ref="C41:D41"/>
    <mergeCell ref="A3:G3"/>
    <mergeCell ref="A4:A5"/>
    <mergeCell ref="B4:B5"/>
    <mergeCell ref="D4:G4"/>
    <mergeCell ref="C4:C5"/>
    <mergeCell ref="F41:G41"/>
    <mergeCell ref="F40:G40"/>
  </mergeCells>
  <phoneticPr fontId="3" type="noConversion"/>
  <printOptions horizontalCentered="1"/>
  <pageMargins left="0.39370078740157483" right="0.39370078740157483" top="0.39370078740157483" bottom="0.31496062992125984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97"/>
  <sheetViews>
    <sheetView view="pageBreakPreview" topLeftCell="A64" zoomScale="75" zoomScaleNormal="75" zoomScaleSheetLayoutView="75" workbookViewId="0">
      <selection activeCell="E19" sqref="E19"/>
    </sheetView>
  </sheetViews>
  <sheetFormatPr defaultColWidth="9.1796875" defaultRowHeight="18" outlineLevelRow="1"/>
  <cols>
    <col min="1" max="1" width="60.1796875" style="146" customWidth="1"/>
    <col min="2" max="2" width="12" style="146" customWidth="1"/>
    <col min="3" max="3" width="18.81640625" style="146" customWidth="1"/>
    <col min="4" max="4" width="11" style="146" customWidth="1"/>
    <col min="5" max="5" width="13.81640625" style="146" customWidth="1"/>
    <col min="6" max="6" width="16" style="146" customWidth="1"/>
    <col min="7" max="7" width="14.81640625" style="146" customWidth="1"/>
    <col min="8" max="8" width="8.453125" style="146" customWidth="1"/>
    <col min="9" max="15" width="9.1796875" style="146" hidden="1" customWidth="1"/>
    <col min="16" max="16384" width="9.1796875" style="146"/>
  </cols>
  <sheetData>
    <row r="1" spans="1:7" hidden="1" outlineLevel="1">
      <c r="G1" s="190" t="s">
        <v>239</v>
      </c>
    </row>
    <row r="2" spans="1:7" hidden="1" outlineLevel="1">
      <c r="G2" s="190" t="s">
        <v>225</v>
      </c>
    </row>
    <row r="3" spans="1:7" collapsed="1">
      <c r="A3" s="295" t="s">
        <v>373</v>
      </c>
      <c r="B3" s="295"/>
      <c r="C3" s="295"/>
      <c r="D3" s="295"/>
      <c r="E3" s="295"/>
      <c r="F3" s="295"/>
      <c r="G3" s="295"/>
    </row>
    <row r="4" spans="1:7">
      <c r="A4" s="190"/>
      <c r="B4" s="190"/>
      <c r="C4" s="190"/>
      <c r="D4" s="190"/>
      <c r="E4" s="190"/>
      <c r="F4" s="190"/>
      <c r="G4" s="190"/>
    </row>
    <row r="5" spans="1:7" ht="39" customHeight="1">
      <c r="A5" s="296" t="s">
        <v>285</v>
      </c>
      <c r="B5" s="297" t="s">
        <v>0</v>
      </c>
      <c r="C5" s="289" t="s">
        <v>353</v>
      </c>
      <c r="D5" s="298" t="s">
        <v>351</v>
      </c>
      <c r="E5" s="298"/>
      <c r="F5" s="298"/>
      <c r="G5" s="298"/>
    </row>
    <row r="6" spans="1:7" ht="38.25" customHeight="1">
      <c r="A6" s="296"/>
      <c r="B6" s="297"/>
      <c r="C6" s="290"/>
      <c r="D6" s="228" t="s">
        <v>263</v>
      </c>
      <c r="E6" s="228" t="s">
        <v>246</v>
      </c>
      <c r="F6" s="147" t="s">
        <v>273</v>
      </c>
      <c r="G6" s="147" t="s">
        <v>274</v>
      </c>
    </row>
    <row r="7" spans="1:7">
      <c r="A7" s="228">
        <v>1</v>
      </c>
      <c r="B7" s="229">
        <v>2</v>
      </c>
      <c r="C7" s="228">
        <v>3</v>
      </c>
      <c r="D7" s="228">
        <v>4</v>
      </c>
      <c r="E7" s="229">
        <v>5</v>
      </c>
      <c r="F7" s="228">
        <v>6</v>
      </c>
      <c r="G7" s="229">
        <v>7</v>
      </c>
    </row>
    <row r="8" spans="1:7" s="148" customFormat="1" ht="17.5">
      <c r="A8" s="291" t="s">
        <v>157</v>
      </c>
      <c r="B8" s="292"/>
      <c r="C8" s="292"/>
      <c r="D8" s="292"/>
      <c r="E8" s="292"/>
      <c r="F8" s="292"/>
      <c r="G8" s="293"/>
    </row>
    <row r="9" spans="1:7" ht="36">
      <c r="A9" s="133" t="s">
        <v>176</v>
      </c>
      <c r="B9" s="149">
        <v>1170</v>
      </c>
      <c r="C9" s="150">
        <f>'1. Фін результат'!C159</f>
        <v>357</v>
      </c>
      <c r="D9" s="150">
        <f>'1. Фін результат'!D159</f>
        <v>163</v>
      </c>
      <c r="E9" s="150">
        <f>'1. Фін результат'!E159</f>
        <v>-2127</v>
      </c>
      <c r="F9" s="150">
        <f>E9-D9</f>
        <v>-2290</v>
      </c>
      <c r="G9" s="151">
        <f>E9/D9*100</f>
        <v>-1304.9079754601228</v>
      </c>
    </row>
    <row r="10" spans="1:7">
      <c r="A10" s="133" t="s">
        <v>177</v>
      </c>
      <c r="B10" s="152"/>
      <c r="C10" s="153"/>
      <c r="D10" s="153"/>
      <c r="E10" s="153"/>
      <c r="F10" s="150"/>
      <c r="G10" s="151"/>
    </row>
    <row r="11" spans="1:7">
      <c r="A11" s="133" t="s">
        <v>180</v>
      </c>
      <c r="B11" s="154">
        <v>3000</v>
      </c>
      <c r="C11" s="153">
        <f>'1. Фін результат'!C185</f>
        <v>867</v>
      </c>
      <c r="D11" s="153">
        <f>'1. Фін результат'!D185</f>
        <v>1223</v>
      </c>
      <c r="E11" s="153">
        <f>'1. Фін результат'!E185</f>
        <v>935</v>
      </c>
      <c r="F11" s="150">
        <f>E11-D11</f>
        <v>-288</v>
      </c>
      <c r="G11" s="151">
        <f>E11/D11*100</f>
        <v>76.451349141455438</v>
      </c>
    </row>
    <row r="12" spans="1:7">
      <c r="A12" s="133" t="s">
        <v>181</v>
      </c>
      <c r="B12" s="154">
        <v>3010</v>
      </c>
      <c r="C12" s="153">
        <v>-380</v>
      </c>
      <c r="D12" s="153"/>
      <c r="E12" s="217">
        <v>507</v>
      </c>
      <c r="F12" s="150"/>
      <c r="G12" s="151"/>
    </row>
    <row r="13" spans="1:7" ht="36">
      <c r="A13" s="133" t="s">
        <v>182</v>
      </c>
      <c r="B13" s="154">
        <v>3020</v>
      </c>
      <c r="C13" s="153"/>
      <c r="D13" s="153"/>
      <c r="E13" s="217"/>
      <c r="F13" s="150"/>
      <c r="G13" s="151"/>
    </row>
    <row r="14" spans="1:7" ht="36">
      <c r="A14" s="133" t="s">
        <v>183</v>
      </c>
      <c r="B14" s="154">
        <v>3030</v>
      </c>
      <c r="C14" s="153">
        <f>C15+C17+C19+C16</f>
        <v>-13176</v>
      </c>
      <c r="D14" s="153">
        <f>D15</f>
        <v>0</v>
      </c>
      <c r="E14" s="217">
        <f>SUM(E15:E19)</f>
        <v>-43185</v>
      </c>
      <c r="F14" s="150">
        <f>E14-D14</f>
        <v>-43185</v>
      </c>
      <c r="G14" s="151"/>
    </row>
    <row r="15" spans="1:7">
      <c r="A15" s="133" t="s">
        <v>520</v>
      </c>
      <c r="B15" s="154" t="s">
        <v>517</v>
      </c>
      <c r="C15" s="153">
        <v>9521</v>
      </c>
      <c r="D15" s="153">
        <v>0</v>
      </c>
      <c r="E15" s="217">
        <f>12898-E11</f>
        <v>11963</v>
      </c>
      <c r="F15" s="150">
        <f>E15-D15</f>
        <v>11963</v>
      </c>
      <c r="G15" s="151"/>
    </row>
    <row r="16" spans="1:7">
      <c r="A16" s="133" t="s">
        <v>614</v>
      </c>
      <c r="B16" s="154" t="s">
        <v>518</v>
      </c>
      <c r="C16" s="153"/>
      <c r="D16" s="153"/>
      <c r="E16" s="153">
        <v>5859</v>
      </c>
      <c r="F16" s="150"/>
      <c r="G16" s="151"/>
    </row>
    <row r="17" spans="1:9">
      <c r="A17" s="133" t="s">
        <v>521</v>
      </c>
      <c r="B17" s="154" t="s">
        <v>519</v>
      </c>
      <c r="C17" s="153">
        <f>-'2. Розрахунки з бюджетом'!C17</f>
        <v>-34</v>
      </c>
      <c r="D17" s="153">
        <f>-'2. Розрахунки з бюджетом'!D17</f>
        <v>0</v>
      </c>
      <c r="E17" s="217">
        <f>-'2. Розрахунки з бюджетом'!E17</f>
        <v>111</v>
      </c>
      <c r="F17" s="150"/>
      <c r="G17" s="151"/>
    </row>
    <row r="18" spans="1:9">
      <c r="A18" s="216" t="s">
        <v>618</v>
      </c>
      <c r="B18" s="154" t="s">
        <v>576</v>
      </c>
      <c r="C18" s="153"/>
      <c r="D18" s="153"/>
      <c r="E18" s="217">
        <v>-36767</v>
      </c>
      <c r="F18" s="150"/>
      <c r="G18" s="151"/>
    </row>
    <row r="19" spans="1:9">
      <c r="A19" s="133" t="s">
        <v>577</v>
      </c>
      <c r="B19" s="154" t="s">
        <v>619</v>
      </c>
      <c r="C19" s="153">
        <f>-22535-128</f>
        <v>-22663</v>
      </c>
      <c r="D19" s="153"/>
      <c r="E19" s="153">
        <f>-21562-2789</f>
        <v>-24351</v>
      </c>
      <c r="F19" s="150"/>
      <c r="G19" s="151"/>
      <c r="H19" s="155"/>
      <c r="I19" s="155"/>
    </row>
    <row r="20" spans="1:9" ht="35">
      <c r="A20" s="138" t="s">
        <v>254</v>
      </c>
      <c r="B20" s="154">
        <v>3040</v>
      </c>
      <c r="C20" s="156">
        <f>C9+C11+C12+C14</f>
        <v>-12332</v>
      </c>
      <c r="D20" s="156">
        <f>SUM(D9:D14)-1</f>
        <v>1385</v>
      </c>
      <c r="E20" s="156">
        <f>SUM(E9:E14)</f>
        <v>-43870</v>
      </c>
      <c r="F20" s="150">
        <f>E20-D20</f>
        <v>-45255</v>
      </c>
      <c r="G20" s="151">
        <f>E20/D20*100</f>
        <v>-3167.5090252707582</v>
      </c>
    </row>
    <row r="21" spans="1:9" ht="36">
      <c r="A21" s="133" t="s">
        <v>184</v>
      </c>
      <c r="B21" s="154">
        <v>3050</v>
      </c>
      <c r="C21" s="153">
        <f>C22+C23+C24+C25</f>
        <v>-24310</v>
      </c>
      <c r="D21" s="153"/>
      <c r="E21" s="153">
        <f>E22+E23+E24+E25</f>
        <v>-34524</v>
      </c>
      <c r="F21" s="153"/>
      <c r="G21" s="157"/>
    </row>
    <row r="22" spans="1:9">
      <c r="A22" s="133" t="s">
        <v>506</v>
      </c>
      <c r="B22" s="154" t="s">
        <v>507</v>
      </c>
      <c r="C22" s="153">
        <v>212</v>
      </c>
      <c r="D22" s="153"/>
      <c r="E22" s="153">
        <v>-1535</v>
      </c>
      <c r="F22" s="153"/>
      <c r="G22" s="157"/>
      <c r="H22" s="158"/>
    </row>
    <row r="23" spans="1:9">
      <c r="A23" s="133" t="s">
        <v>510</v>
      </c>
      <c r="B23" s="154" t="s">
        <v>508</v>
      </c>
      <c r="C23" s="153">
        <v>-21978</v>
      </c>
      <c r="D23" s="153"/>
      <c r="E23" s="153">
        <v>-23654</v>
      </c>
      <c r="F23" s="153"/>
      <c r="G23" s="157"/>
    </row>
    <row r="24" spans="1:9">
      <c r="A24" s="133" t="s">
        <v>511</v>
      </c>
      <c r="B24" s="154" t="s">
        <v>509</v>
      </c>
      <c r="C24" s="153">
        <v>120</v>
      </c>
      <c r="D24" s="153"/>
      <c r="E24" s="217">
        <v>99</v>
      </c>
      <c r="F24" s="153"/>
      <c r="G24" s="157"/>
    </row>
    <row r="25" spans="1:9">
      <c r="A25" s="133" t="s">
        <v>523</v>
      </c>
      <c r="B25" s="154" t="s">
        <v>524</v>
      </c>
      <c r="C25" s="153">
        <v>-2664</v>
      </c>
      <c r="D25" s="153"/>
      <c r="E25" s="217">
        <v>-9434</v>
      </c>
      <c r="F25" s="153"/>
      <c r="G25" s="157"/>
    </row>
    <row r="26" spans="1:9" ht="36">
      <c r="A26" s="133" t="s">
        <v>185</v>
      </c>
      <c r="B26" s="154">
        <v>3060</v>
      </c>
      <c r="C26" s="153">
        <f>C27+C28+C29</f>
        <v>21652</v>
      </c>
      <c r="D26" s="153">
        <f>D30</f>
        <v>0</v>
      </c>
      <c r="E26" s="153">
        <f>E27+E29+E28</f>
        <v>22081</v>
      </c>
      <c r="F26" s="153"/>
      <c r="G26" s="157"/>
    </row>
    <row r="27" spans="1:9" ht="36">
      <c r="A27" s="133" t="s">
        <v>512</v>
      </c>
      <c r="B27" s="154" t="s">
        <v>525</v>
      </c>
      <c r="C27" s="153">
        <v>18101</v>
      </c>
      <c r="D27" s="153"/>
      <c r="E27" s="153">
        <v>18182</v>
      </c>
      <c r="F27" s="153"/>
      <c r="G27" s="157"/>
      <c r="H27" s="146" t="s">
        <v>591</v>
      </c>
    </row>
    <row r="28" spans="1:9">
      <c r="A28" s="133" t="s">
        <v>575</v>
      </c>
      <c r="B28" s="154" t="s">
        <v>526</v>
      </c>
      <c r="C28" s="153"/>
      <c r="D28" s="153"/>
      <c r="E28" s="153"/>
      <c r="F28" s="153"/>
      <c r="G28" s="157"/>
    </row>
    <row r="29" spans="1:9">
      <c r="A29" s="133" t="s">
        <v>513</v>
      </c>
      <c r="B29" s="154" t="s">
        <v>574</v>
      </c>
      <c r="C29" s="153">
        <v>3551</v>
      </c>
      <c r="D29" s="153"/>
      <c r="E29" s="153">
        <v>3899</v>
      </c>
      <c r="F29" s="153"/>
      <c r="G29" s="157"/>
    </row>
    <row r="30" spans="1:9" ht="36">
      <c r="A30" s="133" t="s">
        <v>579</v>
      </c>
      <c r="B30" s="154" t="s">
        <v>580</v>
      </c>
      <c r="C30" s="153"/>
      <c r="D30" s="153"/>
      <c r="E30" s="153"/>
      <c r="F30" s="153"/>
      <c r="G30" s="157"/>
    </row>
    <row r="31" spans="1:9">
      <c r="A31" s="138" t="s">
        <v>178</v>
      </c>
      <c r="B31" s="154">
        <v>3070</v>
      </c>
      <c r="C31" s="156">
        <f>C20+C21+C26</f>
        <v>-14990</v>
      </c>
      <c r="D31" s="156">
        <f>D20+D21+D26</f>
        <v>1385</v>
      </c>
      <c r="E31" s="156">
        <f>E20+E21+E26</f>
        <v>-56313</v>
      </c>
      <c r="F31" s="150">
        <f>E31-D31</f>
        <v>-57698</v>
      </c>
      <c r="G31" s="151">
        <f>E31/D31*100</f>
        <v>-4065.9205776173289</v>
      </c>
    </row>
    <row r="32" spans="1:9">
      <c r="A32" s="133" t="s">
        <v>179</v>
      </c>
      <c r="B32" s="154">
        <v>3080</v>
      </c>
      <c r="C32" s="153">
        <f>'1. Фін результат'!C160</f>
        <v>64.259999999999991</v>
      </c>
      <c r="D32" s="153">
        <f>'1. Фін результат'!D160</f>
        <v>29.34</v>
      </c>
      <c r="E32" s="153">
        <f>'1. Фін результат'!E160</f>
        <v>0</v>
      </c>
      <c r="F32" s="150">
        <f>E32-D32</f>
        <v>-29.34</v>
      </c>
      <c r="G32" s="151">
        <f>E32/D32*100</f>
        <v>0</v>
      </c>
    </row>
    <row r="33" spans="1:9" ht="35">
      <c r="A33" s="159" t="s">
        <v>156</v>
      </c>
      <c r="B33" s="154">
        <v>3090</v>
      </c>
      <c r="C33" s="156">
        <f>C31-C32</f>
        <v>-15054.26</v>
      </c>
      <c r="D33" s="156">
        <f>D31-D32</f>
        <v>1355.66</v>
      </c>
      <c r="E33" s="156">
        <f>E31-E32</f>
        <v>-56313</v>
      </c>
      <c r="F33" s="150">
        <f>E33-D33</f>
        <v>-57668.66</v>
      </c>
      <c r="G33" s="151">
        <f>E33/D33*100</f>
        <v>-4153.9176489680303</v>
      </c>
    </row>
    <row r="34" spans="1:9">
      <c r="A34" s="291" t="s">
        <v>158</v>
      </c>
      <c r="B34" s="292"/>
      <c r="C34" s="292"/>
      <c r="D34" s="292"/>
      <c r="E34" s="292"/>
      <c r="F34" s="292"/>
      <c r="G34" s="293"/>
    </row>
    <row r="35" spans="1:9">
      <c r="A35" s="138" t="s">
        <v>286</v>
      </c>
      <c r="B35" s="149"/>
      <c r="C35" s="150"/>
      <c r="D35" s="150"/>
      <c r="E35" s="150"/>
      <c r="F35" s="150"/>
      <c r="G35" s="151"/>
    </row>
    <row r="36" spans="1:9">
      <c r="A36" s="131" t="s">
        <v>32</v>
      </c>
      <c r="B36" s="149">
        <v>3200</v>
      </c>
      <c r="C36" s="150"/>
      <c r="D36" s="150"/>
      <c r="E36" s="150"/>
      <c r="F36" s="150"/>
      <c r="G36" s="151"/>
    </row>
    <row r="37" spans="1:9">
      <c r="A37" s="131" t="s">
        <v>33</v>
      </c>
      <c r="B37" s="149">
        <v>3210</v>
      </c>
      <c r="C37" s="150"/>
      <c r="D37" s="150"/>
      <c r="E37" s="150"/>
      <c r="F37" s="150"/>
      <c r="G37" s="151"/>
    </row>
    <row r="38" spans="1:9">
      <c r="A38" s="131" t="s">
        <v>53</v>
      </c>
      <c r="B38" s="149">
        <v>3220</v>
      </c>
      <c r="C38" s="150"/>
      <c r="D38" s="150"/>
      <c r="E38" s="150"/>
      <c r="F38" s="150"/>
      <c r="G38" s="151"/>
    </row>
    <row r="39" spans="1:9">
      <c r="A39" s="133" t="s">
        <v>162</v>
      </c>
      <c r="B39" s="149"/>
      <c r="C39" s="150"/>
      <c r="D39" s="150"/>
      <c r="E39" s="150"/>
      <c r="F39" s="150"/>
      <c r="G39" s="151"/>
    </row>
    <row r="40" spans="1:9">
      <c r="A40" s="131" t="s">
        <v>163</v>
      </c>
      <c r="B40" s="149">
        <v>3230</v>
      </c>
      <c r="C40" s="150"/>
      <c r="D40" s="150"/>
      <c r="E40" s="150"/>
      <c r="F40" s="150"/>
      <c r="G40" s="151"/>
    </row>
    <row r="41" spans="1:9">
      <c r="A41" s="131" t="s">
        <v>164</v>
      </c>
      <c r="B41" s="149">
        <v>3240</v>
      </c>
      <c r="C41" s="150"/>
      <c r="D41" s="150"/>
      <c r="E41" s="150"/>
      <c r="F41" s="150"/>
      <c r="G41" s="151"/>
    </row>
    <row r="42" spans="1:9">
      <c r="A42" s="133" t="s">
        <v>165</v>
      </c>
      <c r="B42" s="149">
        <v>3250</v>
      </c>
      <c r="C42" s="150"/>
      <c r="D42" s="150"/>
      <c r="E42" s="150"/>
      <c r="F42" s="150"/>
      <c r="G42" s="151"/>
    </row>
    <row r="43" spans="1:9">
      <c r="A43" s="131" t="s">
        <v>116</v>
      </c>
      <c r="B43" s="149">
        <v>3260</v>
      </c>
      <c r="C43" s="150"/>
      <c r="D43" s="150"/>
      <c r="E43" s="150"/>
      <c r="F43" s="150"/>
      <c r="G43" s="151"/>
    </row>
    <row r="44" spans="1:9">
      <c r="A44" s="138" t="s">
        <v>287</v>
      </c>
      <c r="B44" s="149"/>
      <c r="C44" s="150"/>
      <c r="D44" s="150"/>
      <c r="E44" s="150"/>
      <c r="F44" s="150"/>
      <c r="G44" s="151"/>
    </row>
    <row r="45" spans="1:9" ht="36">
      <c r="A45" s="131" t="s">
        <v>117</v>
      </c>
      <c r="B45" s="149">
        <v>3270</v>
      </c>
      <c r="C45" s="150"/>
      <c r="D45" s="150">
        <f>D47</f>
        <v>0</v>
      </c>
      <c r="E45" s="150">
        <f>E48</f>
        <v>42427</v>
      </c>
      <c r="F45" s="150"/>
      <c r="G45" s="151"/>
      <c r="H45" s="155"/>
      <c r="I45" s="155"/>
    </row>
    <row r="46" spans="1:9">
      <c r="A46" s="131" t="s">
        <v>477</v>
      </c>
      <c r="B46" s="149" t="s">
        <v>474</v>
      </c>
      <c r="C46" s="150"/>
      <c r="D46" s="150"/>
      <c r="E46" s="150"/>
      <c r="F46" s="150"/>
      <c r="G46" s="151"/>
    </row>
    <row r="47" spans="1:9">
      <c r="A47" s="131" t="s">
        <v>476</v>
      </c>
      <c r="B47" s="149" t="s">
        <v>475</v>
      </c>
      <c r="C47" s="150"/>
      <c r="D47" s="150"/>
      <c r="E47" s="150"/>
      <c r="F47" s="150"/>
      <c r="G47" s="151"/>
    </row>
    <row r="48" spans="1:9" ht="36">
      <c r="A48" s="131" t="s">
        <v>632</v>
      </c>
      <c r="B48" s="149" t="s">
        <v>527</v>
      </c>
      <c r="C48" s="150"/>
      <c r="D48" s="150"/>
      <c r="E48" s="150">
        <v>42427</v>
      </c>
      <c r="F48" s="150"/>
      <c r="G48" s="151"/>
    </row>
    <row r="49" spans="1:8">
      <c r="A49" s="131" t="s">
        <v>118</v>
      </c>
      <c r="B49" s="149">
        <v>3280</v>
      </c>
      <c r="C49" s="150"/>
      <c r="D49" s="150"/>
      <c r="E49" s="150"/>
      <c r="F49" s="150"/>
      <c r="G49" s="151"/>
    </row>
    <row r="50" spans="1:8" ht="36">
      <c r="A50" s="131" t="s">
        <v>119</v>
      </c>
      <c r="B50" s="149">
        <v>3290</v>
      </c>
      <c r="C50" s="150">
        <f>C52</f>
        <v>0</v>
      </c>
      <c r="D50" s="150"/>
      <c r="E50" s="150">
        <f>E52</f>
        <v>0</v>
      </c>
      <c r="F50" s="150">
        <f>E50-D50</f>
        <v>0</v>
      </c>
      <c r="G50" s="151"/>
    </row>
    <row r="51" spans="1:8" hidden="1">
      <c r="A51" s="131" t="s">
        <v>479</v>
      </c>
      <c r="B51" s="149" t="s">
        <v>478</v>
      </c>
      <c r="C51" s="150"/>
      <c r="D51" s="150"/>
      <c r="E51" s="150"/>
      <c r="F51" s="150">
        <f>E51-D51</f>
        <v>0</v>
      </c>
      <c r="G51" s="151"/>
    </row>
    <row r="52" spans="1:8" ht="36">
      <c r="A52" s="131" t="s">
        <v>586</v>
      </c>
      <c r="B52" s="149" t="s">
        <v>478</v>
      </c>
      <c r="C52" s="150"/>
      <c r="D52" s="150"/>
      <c r="E52" s="150"/>
      <c r="F52" s="150">
        <f>E52-D52</f>
        <v>0</v>
      </c>
      <c r="G52" s="151"/>
      <c r="H52" s="160"/>
    </row>
    <row r="53" spans="1:8" ht="36">
      <c r="A53" s="131" t="s">
        <v>550</v>
      </c>
      <c r="B53" s="149" t="s">
        <v>546</v>
      </c>
      <c r="C53" s="150"/>
      <c r="D53" s="150"/>
      <c r="E53" s="150"/>
      <c r="F53" s="150"/>
      <c r="G53" s="151"/>
    </row>
    <row r="54" spans="1:8">
      <c r="A54" s="131" t="s">
        <v>54</v>
      </c>
      <c r="B54" s="149">
        <v>3300</v>
      </c>
      <c r="C54" s="150"/>
      <c r="D54" s="150"/>
      <c r="E54" s="150"/>
      <c r="F54" s="150"/>
      <c r="G54" s="151"/>
    </row>
    <row r="55" spans="1:8">
      <c r="A55" s="131" t="s">
        <v>111</v>
      </c>
      <c r="B55" s="149">
        <v>3310</v>
      </c>
      <c r="C55" s="150"/>
      <c r="D55" s="150"/>
      <c r="E55" s="150"/>
      <c r="F55" s="150"/>
      <c r="G55" s="151"/>
    </row>
    <row r="56" spans="1:8">
      <c r="A56" s="138" t="s">
        <v>159</v>
      </c>
      <c r="B56" s="149">
        <v>3320</v>
      </c>
      <c r="C56" s="150">
        <f>(C36+C37+C38+C40+C41+C42+C43)-(C45+C50)</f>
        <v>0</v>
      </c>
      <c r="D56" s="150">
        <f>(D36+D37+D38+D40+D41+D42+D43)-(D45+D50+D83)</f>
        <v>0</v>
      </c>
      <c r="E56" s="150">
        <f>(E36+E37+E38+E40+E41+E42+E43)-(E45+E50)</f>
        <v>-42427</v>
      </c>
      <c r="F56" s="150">
        <f>E56-D56</f>
        <v>-42427</v>
      </c>
      <c r="G56" s="151"/>
    </row>
    <row r="57" spans="1:8">
      <c r="A57" s="291" t="s">
        <v>160</v>
      </c>
      <c r="B57" s="292"/>
      <c r="C57" s="292"/>
      <c r="D57" s="292"/>
      <c r="E57" s="292"/>
      <c r="F57" s="292"/>
      <c r="G57" s="293"/>
    </row>
    <row r="58" spans="1:8">
      <c r="A58" s="138" t="s">
        <v>286</v>
      </c>
      <c r="B58" s="149"/>
      <c r="C58" s="150"/>
      <c r="D58" s="150"/>
      <c r="E58" s="150"/>
      <c r="F58" s="150"/>
      <c r="G58" s="151"/>
    </row>
    <row r="59" spans="1:8">
      <c r="A59" s="133" t="s">
        <v>166</v>
      </c>
      <c r="B59" s="149">
        <v>3400</v>
      </c>
      <c r="C59" s="150"/>
      <c r="D59" s="150"/>
      <c r="E59" s="150"/>
      <c r="F59" s="150"/>
      <c r="G59" s="151"/>
    </row>
    <row r="60" spans="1:8" ht="36">
      <c r="A60" s="131" t="s">
        <v>89</v>
      </c>
      <c r="B60" s="152"/>
      <c r="C60" s="161"/>
      <c r="D60" s="161"/>
      <c r="E60" s="161"/>
      <c r="F60" s="161"/>
      <c r="G60" s="152"/>
    </row>
    <row r="61" spans="1:8">
      <c r="A61" s="131" t="s">
        <v>88</v>
      </c>
      <c r="B61" s="149">
        <v>3410</v>
      </c>
      <c r="C61" s="150"/>
      <c r="D61" s="150"/>
      <c r="E61" s="150"/>
      <c r="F61" s="150"/>
      <c r="G61" s="151"/>
    </row>
    <row r="62" spans="1:8">
      <c r="A62" s="131" t="s">
        <v>93</v>
      </c>
      <c r="B62" s="154">
        <v>3420</v>
      </c>
      <c r="C62" s="153"/>
      <c r="D62" s="153"/>
      <c r="E62" s="153"/>
      <c r="F62" s="153"/>
      <c r="G62" s="157"/>
    </row>
    <row r="63" spans="1:8">
      <c r="A63" s="131" t="s">
        <v>120</v>
      </c>
      <c r="B63" s="149">
        <v>3430</v>
      </c>
      <c r="C63" s="150"/>
      <c r="D63" s="150"/>
      <c r="E63" s="150"/>
      <c r="F63" s="150"/>
      <c r="G63" s="151"/>
    </row>
    <row r="64" spans="1:8" ht="36">
      <c r="A64" s="131" t="s">
        <v>91</v>
      </c>
      <c r="B64" s="149"/>
      <c r="C64" s="150"/>
      <c r="D64" s="150"/>
      <c r="E64" s="150"/>
      <c r="F64" s="150"/>
      <c r="G64" s="151"/>
    </row>
    <row r="65" spans="1:9">
      <c r="A65" s="131" t="s">
        <v>88</v>
      </c>
      <c r="B65" s="154">
        <v>3440</v>
      </c>
      <c r="C65" s="153"/>
      <c r="D65" s="153"/>
      <c r="E65" s="153"/>
      <c r="F65" s="153"/>
      <c r="G65" s="157"/>
    </row>
    <row r="66" spans="1:9">
      <c r="A66" s="131" t="s">
        <v>93</v>
      </c>
      <c r="B66" s="154">
        <v>3450</v>
      </c>
      <c r="C66" s="153"/>
      <c r="D66" s="153"/>
      <c r="E66" s="153"/>
      <c r="F66" s="153"/>
      <c r="G66" s="157"/>
    </row>
    <row r="67" spans="1:9">
      <c r="A67" s="131" t="s">
        <v>120</v>
      </c>
      <c r="B67" s="154">
        <v>3460</v>
      </c>
      <c r="C67" s="153"/>
      <c r="D67" s="153"/>
      <c r="E67" s="153"/>
      <c r="F67" s="153"/>
      <c r="G67" s="157"/>
    </row>
    <row r="68" spans="1:9">
      <c r="A68" s="131" t="s">
        <v>115</v>
      </c>
      <c r="B68" s="154">
        <v>3470</v>
      </c>
      <c r="C68" s="153"/>
      <c r="D68" s="153"/>
      <c r="E68" s="153"/>
      <c r="F68" s="153"/>
      <c r="G68" s="157"/>
      <c r="H68" s="155"/>
      <c r="I68" s="155"/>
    </row>
    <row r="69" spans="1:9">
      <c r="A69" s="131" t="s">
        <v>116</v>
      </c>
      <c r="B69" s="154">
        <v>3480</v>
      </c>
      <c r="C69" s="153">
        <f>C70</f>
        <v>12936</v>
      </c>
      <c r="D69" s="153">
        <f>D70</f>
        <v>0</v>
      </c>
      <c r="E69" s="153">
        <f>SUM(E70:E71)</f>
        <v>52674</v>
      </c>
      <c r="F69" s="153"/>
      <c r="G69" s="157"/>
    </row>
    <row r="70" spans="1:9" ht="36">
      <c r="A70" s="131" t="s">
        <v>581</v>
      </c>
      <c r="B70" s="154" t="s">
        <v>480</v>
      </c>
      <c r="C70" s="153">
        <v>12936</v>
      </c>
      <c r="D70" s="153"/>
      <c r="E70" s="153">
        <v>42427</v>
      </c>
      <c r="F70" s="153"/>
      <c r="G70" s="157"/>
      <c r="H70" s="160"/>
      <c r="I70" s="155"/>
    </row>
    <row r="71" spans="1:9" s="240" customFormat="1">
      <c r="A71" s="131" t="s">
        <v>634</v>
      </c>
      <c r="B71" s="154" t="s">
        <v>635</v>
      </c>
      <c r="C71" s="153"/>
      <c r="D71" s="153"/>
      <c r="E71" s="153">
        <v>10247</v>
      </c>
      <c r="F71" s="153"/>
      <c r="G71" s="157"/>
      <c r="H71" s="160"/>
      <c r="I71" s="155"/>
    </row>
    <row r="72" spans="1:9">
      <c r="A72" s="138" t="s">
        <v>287</v>
      </c>
      <c r="B72" s="149"/>
      <c r="C72" s="150"/>
      <c r="D72" s="150"/>
      <c r="E72" s="150"/>
      <c r="F72" s="150"/>
      <c r="G72" s="151"/>
    </row>
    <row r="73" spans="1:9" ht="36">
      <c r="A73" s="131" t="s">
        <v>357</v>
      </c>
      <c r="B73" s="149">
        <v>3490</v>
      </c>
      <c r="C73" s="150">
        <f>'2. Розрахунки з бюджетом'!C21</f>
        <v>43.911000000000001</v>
      </c>
      <c r="D73" s="150">
        <f>'2. Розрахунки з бюджетом'!D21</f>
        <v>20.048999999999999</v>
      </c>
      <c r="E73" s="150">
        <f>'2. Розрахунки з бюджетом'!E10</f>
        <v>0</v>
      </c>
      <c r="F73" s="150">
        <f>E73-D73</f>
        <v>-20.048999999999999</v>
      </c>
      <c r="G73" s="151">
        <f>E73/D73*100</f>
        <v>0</v>
      </c>
    </row>
    <row r="74" spans="1:9" ht="90">
      <c r="A74" s="131" t="s">
        <v>481</v>
      </c>
      <c r="B74" s="149">
        <v>3500</v>
      </c>
      <c r="C74" s="150">
        <f>'2. Розрахунки з бюджетом'!C22</f>
        <v>149</v>
      </c>
      <c r="D74" s="150">
        <f>'2. Розрахунки з бюджетом'!D22</f>
        <v>68</v>
      </c>
      <c r="E74" s="150">
        <f>'2. Розрахунки з бюджетом'!E11</f>
        <v>0</v>
      </c>
      <c r="F74" s="150">
        <f>E74-D74</f>
        <v>-68</v>
      </c>
      <c r="G74" s="151">
        <f>E74/D74*100</f>
        <v>0</v>
      </c>
    </row>
    <row r="75" spans="1:9" ht="36">
      <c r="A75" s="131" t="s">
        <v>92</v>
      </c>
      <c r="B75" s="149"/>
      <c r="C75" s="150"/>
      <c r="D75" s="150"/>
      <c r="E75" s="150"/>
      <c r="F75" s="150"/>
      <c r="G75" s="151"/>
    </row>
    <row r="76" spans="1:9">
      <c r="A76" s="131" t="s">
        <v>88</v>
      </c>
      <c r="B76" s="154">
        <v>3510</v>
      </c>
      <c r="C76" s="153"/>
      <c r="D76" s="153"/>
      <c r="E76" s="153"/>
      <c r="F76" s="153"/>
      <c r="G76" s="157"/>
    </row>
    <row r="77" spans="1:9">
      <c r="A77" s="131" t="s">
        <v>93</v>
      </c>
      <c r="B77" s="154">
        <v>3520</v>
      </c>
      <c r="C77" s="153"/>
      <c r="D77" s="153"/>
      <c r="E77" s="153"/>
      <c r="F77" s="153"/>
      <c r="G77" s="157"/>
    </row>
    <row r="78" spans="1:9">
      <c r="A78" s="131" t="s">
        <v>120</v>
      </c>
      <c r="B78" s="154">
        <v>3530</v>
      </c>
      <c r="C78" s="153"/>
      <c r="D78" s="153"/>
      <c r="E78" s="153"/>
      <c r="F78" s="153"/>
      <c r="G78" s="157"/>
    </row>
    <row r="79" spans="1:9" ht="36">
      <c r="A79" s="131" t="s">
        <v>90</v>
      </c>
      <c r="B79" s="149"/>
      <c r="C79" s="150"/>
      <c r="D79" s="150"/>
      <c r="E79" s="150"/>
      <c r="F79" s="150"/>
      <c r="G79" s="151"/>
    </row>
    <row r="80" spans="1:9">
      <c r="A80" s="131" t="s">
        <v>88</v>
      </c>
      <c r="B80" s="154">
        <v>3540</v>
      </c>
      <c r="C80" s="153"/>
      <c r="D80" s="153"/>
      <c r="E80" s="153"/>
      <c r="F80" s="153"/>
      <c r="G80" s="157"/>
    </row>
    <row r="81" spans="1:16">
      <c r="A81" s="131" t="s">
        <v>93</v>
      </c>
      <c r="B81" s="154">
        <v>3550</v>
      </c>
      <c r="C81" s="153"/>
      <c r="D81" s="153"/>
      <c r="E81" s="153"/>
      <c r="F81" s="153"/>
      <c r="G81" s="157"/>
    </row>
    <row r="82" spans="1:16">
      <c r="A82" s="131" t="s">
        <v>120</v>
      </c>
      <c r="B82" s="154">
        <v>3560</v>
      </c>
      <c r="C82" s="153"/>
      <c r="D82" s="153"/>
      <c r="E82" s="153"/>
      <c r="F82" s="153"/>
      <c r="G82" s="157"/>
    </row>
    <row r="83" spans="1:16">
      <c r="A83" s="131" t="s">
        <v>111</v>
      </c>
      <c r="B83" s="154">
        <v>3570</v>
      </c>
      <c r="C83" s="153">
        <f>C85</f>
        <v>0</v>
      </c>
      <c r="D83" s="153"/>
      <c r="E83" s="153"/>
      <c r="F83" s="153"/>
      <c r="G83" s="157"/>
    </row>
    <row r="84" spans="1:16">
      <c r="A84" s="131" t="s">
        <v>484</v>
      </c>
      <c r="B84" s="154" t="s">
        <v>482</v>
      </c>
      <c r="C84" s="153"/>
      <c r="D84" s="153"/>
      <c r="E84" s="153"/>
      <c r="F84" s="153"/>
      <c r="G84" s="157"/>
    </row>
    <row r="85" spans="1:16">
      <c r="A85" s="131" t="s">
        <v>485</v>
      </c>
      <c r="B85" s="154" t="s">
        <v>483</v>
      </c>
      <c r="C85" s="153"/>
      <c r="D85" s="153"/>
      <c r="E85" s="153"/>
      <c r="F85" s="153"/>
      <c r="G85" s="157"/>
    </row>
    <row r="86" spans="1:16">
      <c r="A86" s="138" t="s">
        <v>161</v>
      </c>
      <c r="B86" s="154">
        <v>3580</v>
      </c>
      <c r="C86" s="156">
        <f>(C59+C61+C62+C63+C65+C66+C67+C68+C69)-(C73+C74+C83)</f>
        <v>12743.089</v>
      </c>
      <c r="D86" s="156">
        <f>(D59+D61+D62+D63+D65+D66+D67+D68+D69)-(D73+D74+D83)</f>
        <v>-88.049000000000007</v>
      </c>
      <c r="E86" s="156">
        <f>(E59+E61+E62+E63+E65+E66+E67+E68+E69)-(E73+E74+E83)</f>
        <v>52674</v>
      </c>
      <c r="F86" s="150">
        <f>E86-D86</f>
        <v>52762.048999999999</v>
      </c>
      <c r="G86" s="151">
        <f>E86/D86*100</f>
        <v>-59823.507365217083</v>
      </c>
    </row>
    <row r="87" spans="1:16" s="160" customFormat="1">
      <c r="A87" s="131" t="s">
        <v>319</v>
      </c>
      <c r="B87" s="154"/>
      <c r="C87" s="153"/>
      <c r="D87" s="153"/>
      <c r="E87" s="153"/>
      <c r="F87" s="150"/>
      <c r="G87" s="151"/>
    </row>
    <row r="88" spans="1:16" s="160" customFormat="1">
      <c r="A88" s="159" t="s">
        <v>34</v>
      </c>
      <c r="B88" s="154">
        <v>3600</v>
      </c>
      <c r="C88" s="153">
        <v>27620</v>
      </c>
      <c r="D88" s="153">
        <v>24710</v>
      </c>
      <c r="E88" s="153">
        <v>72172</v>
      </c>
      <c r="F88" s="150">
        <f>E88-D88</f>
        <v>47462</v>
      </c>
      <c r="G88" s="151">
        <f>E88/D88*100</f>
        <v>292.076082557669</v>
      </c>
    </row>
    <row r="89" spans="1:16" s="160" customFormat="1">
      <c r="A89" s="162" t="s">
        <v>288</v>
      </c>
      <c r="B89" s="154">
        <v>3610</v>
      </c>
      <c r="C89" s="153"/>
      <c r="D89" s="153"/>
      <c r="E89" s="153"/>
      <c r="F89" s="150"/>
      <c r="G89" s="151"/>
    </row>
    <row r="90" spans="1:16" s="160" customFormat="1">
      <c r="A90" s="159" t="s">
        <v>55</v>
      </c>
      <c r="B90" s="154">
        <v>3620</v>
      </c>
      <c r="C90" s="156">
        <f>C88+C33+C56+C86</f>
        <v>25308.828999999998</v>
      </c>
      <c r="D90" s="156">
        <f>D88+D33+D56+D86</f>
        <v>25977.611000000001</v>
      </c>
      <c r="E90" s="156">
        <f>E88+E33+E56+E86</f>
        <v>26106</v>
      </c>
      <c r="F90" s="150">
        <f>E90-D90</f>
        <v>128.38899999999921</v>
      </c>
      <c r="G90" s="151">
        <f>E90/D90*100</f>
        <v>100.49422943472362</v>
      </c>
      <c r="H90" s="215"/>
      <c r="I90" s="163"/>
      <c r="P90" s="163"/>
    </row>
    <row r="91" spans="1:16" s="160" customFormat="1">
      <c r="A91" s="159" t="s">
        <v>35</v>
      </c>
      <c r="B91" s="154">
        <v>3630</v>
      </c>
      <c r="C91" s="156">
        <f>C33+C56+C86</f>
        <v>-2311.1710000000003</v>
      </c>
      <c r="D91" s="156">
        <f>D33+D56+D86</f>
        <v>1267.6110000000001</v>
      </c>
      <c r="E91" s="156">
        <f>E33+E56+E86</f>
        <v>-46066</v>
      </c>
      <c r="F91" s="150">
        <f>E91-D91</f>
        <v>-47333.610999999997</v>
      </c>
      <c r="G91" s="151">
        <f>E91/D91*100</f>
        <v>-3634.0801712828302</v>
      </c>
      <c r="H91" s="163"/>
    </row>
    <row r="92" spans="1:16" s="160" customFormat="1">
      <c r="A92" s="146"/>
      <c r="B92" s="191"/>
      <c r="C92" s="191"/>
      <c r="D92" s="191"/>
      <c r="E92" s="191"/>
      <c r="F92" s="191">
        <v>26106</v>
      </c>
      <c r="G92" s="191">
        <f>E90-F92</f>
        <v>0</v>
      </c>
    </row>
    <row r="93" spans="1:16" ht="57" customHeight="1">
      <c r="A93" s="237"/>
      <c r="B93" s="238"/>
      <c r="C93" s="247"/>
      <c r="D93" s="239"/>
      <c r="E93" s="294"/>
      <c r="F93" s="294"/>
      <c r="G93" s="294"/>
      <c r="H93" s="241"/>
    </row>
    <row r="94" spans="1:16" s="231" customFormat="1" ht="28" customHeight="1">
      <c r="A94" s="144" t="s">
        <v>607</v>
      </c>
      <c r="B94" s="120"/>
      <c r="E94" s="274" t="s">
        <v>589</v>
      </c>
      <c r="F94" s="274"/>
      <c r="G94" s="274"/>
    </row>
    <row r="95" spans="1:16" s="231" customFormat="1" ht="19.5" customHeight="1">
      <c r="A95" s="234" t="s">
        <v>385</v>
      </c>
      <c r="C95" s="274" t="s">
        <v>76</v>
      </c>
      <c r="D95" s="274"/>
      <c r="F95" s="274" t="s">
        <v>359</v>
      </c>
      <c r="G95" s="274"/>
    </row>
    <row r="96" spans="1:16" ht="45.75" customHeight="1">
      <c r="G96" s="146" t="s">
        <v>617</v>
      </c>
    </row>
    <row r="97" spans="1:8" s="85" customFormat="1" ht="80.25" customHeight="1">
      <c r="A97" s="282"/>
      <c r="B97" s="282"/>
      <c r="C97" s="282"/>
      <c r="D97" s="282"/>
      <c r="E97" s="282"/>
      <c r="F97" s="282"/>
      <c r="G97" s="282"/>
      <c r="H97" s="282"/>
    </row>
  </sheetData>
  <mergeCells count="13">
    <mergeCell ref="A3:G3"/>
    <mergeCell ref="A5:A6"/>
    <mergeCell ref="B5:B6"/>
    <mergeCell ref="D5:G5"/>
    <mergeCell ref="C5:C6"/>
    <mergeCell ref="A97:H97"/>
    <mergeCell ref="F95:G95"/>
    <mergeCell ref="C95:D95"/>
    <mergeCell ref="A8:G8"/>
    <mergeCell ref="A34:G34"/>
    <mergeCell ref="A57:G57"/>
    <mergeCell ref="E93:G93"/>
    <mergeCell ref="E94:G94"/>
  </mergeCells>
  <phoneticPr fontId="3" type="noConversion"/>
  <printOptions horizontalCentered="1"/>
  <pageMargins left="0.39370078740157483" right="0.19685039370078741" top="0.39370078740157483" bottom="0.39370078740157483" header="0" footer="0"/>
  <pageSetup paperSize="9" scale="65" orientation="portrait" r:id="rId1"/>
  <headerFooter alignWithMargins="0"/>
  <rowBreaks count="1" manualBreakCount="1">
    <brk id="50" max="6" man="1"/>
  </rowBreaks>
  <colBreaks count="1" manualBreakCount="1">
    <brk id="7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D13" sqref="D13"/>
    </sheetView>
  </sheetViews>
  <sheetFormatPr defaultColWidth="9.1796875" defaultRowHeight="20.5"/>
  <cols>
    <col min="1" max="1" width="61" style="231" customWidth="1"/>
    <col min="2" max="2" width="9.81640625" style="220" customWidth="1"/>
    <col min="3" max="3" width="19.453125" style="220" customWidth="1"/>
    <col min="4" max="4" width="14.54296875" style="220" customWidth="1"/>
    <col min="5" max="5" width="16.54296875" style="220" customWidth="1"/>
    <col min="6" max="6" width="17.54296875" style="220" customWidth="1"/>
    <col min="7" max="7" width="18.54296875" style="220" customWidth="1"/>
    <col min="8" max="8" width="9.54296875" style="231" customWidth="1"/>
    <col min="9" max="9" width="9.81640625" style="231" customWidth="1"/>
    <col min="10" max="16384" width="9.1796875" style="231"/>
  </cols>
  <sheetData>
    <row r="1" spans="1:14">
      <c r="A1" s="302" t="s">
        <v>374</v>
      </c>
      <c r="B1" s="302"/>
      <c r="C1" s="302"/>
      <c r="D1" s="302"/>
      <c r="E1" s="302"/>
      <c r="F1" s="302"/>
      <c r="G1" s="302"/>
    </row>
    <row r="2" spans="1:14">
      <c r="A2" s="304"/>
      <c r="B2" s="304"/>
      <c r="C2" s="304"/>
      <c r="D2" s="304"/>
      <c r="E2" s="304"/>
      <c r="F2" s="304"/>
      <c r="G2" s="304"/>
    </row>
    <row r="3" spans="1:14" ht="43.5" customHeight="1">
      <c r="A3" s="300" t="s">
        <v>285</v>
      </c>
      <c r="B3" s="303" t="s">
        <v>18</v>
      </c>
      <c r="C3" s="289" t="s">
        <v>353</v>
      </c>
      <c r="D3" s="287" t="s">
        <v>351</v>
      </c>
      <c r="E3" s="287"/>
      <c r="F3" s="287"/>
      <c r="G3" s="287"/>
    </row>
    <row r="4" spans="1:14" ht="56.25" customHeight="1">
      <c r="A4" s="301"/>
      <c r="B4" s="303"/>
      <c r="C4" s="290"/>
      <c r="D4" s="230" t="s">
        <v>263</v>
      </c>
      <c r="E4" s="230" t="s">
        <v>246</v>
      </c>
      <c r="F4" s="227" t="s">
        <v>273</v>
      </c>
      <c r="G4" s="227" t="s">
        <v>274</v>
      </c>
    </row>
    <row r="5" spans="1:14" ht="15.75" customHeight="1">
      <c r="A5" s="128">
        <v>1</v>
      </c>
      <c r="B5" s="230">
        <v>2</v>
      </c>
      <c r="C5" s="128">
        <v>3</v>
      </c>
      <c r="D5" s="128">
        <v>4</v>
      </c>
      <c r="E5" s="230">
        <v>5</v>
      </c>
      <c r="F5" s="128">
        <v>6</v>
      </c>
      <c r="G5" s="230">
        <v>7</v>
      </c>
    </row>
    <row r="6" spans="1:14" s="167" customFormat="1" ht="56.25" customHeight="1">
      <c r="A6" s="130" t="s">
        <v>79</v>
      </c>
      <c r="B6" s="164">
        <v>4000</v>
      </c>
      <c r="C6" s="165">
        <f>C10</f>
        <v>0</v>
      </c>
      <c r="D6" s="165">
        <v>0</v>
      </c>
      <c r="E6" s="165">
        <f>E9</f>
        <v>35355.833333333336</v>
      </c>
      <c r="F6" s="165">
        <f>E6-D6</f>
        <v>35355.833333333336</v>
      </c>
      <c r="G6" s="166"/>
    </row>
    <row r="7" spans="1:14" ht="56.25" customHeight="1">
      <c r="A7" s="130" t="s">
        <v>1</v>
      </c>
      <c r="B7" s="128" t="s">
        <v>222</v>
      </c>
      <c r="C7" s="232"/>
      <c r="D7" s="232"/>
      <c r="E7" s="232"/>
      <c r="F7" s="165"/>
      <c r="G7" s="233"/>
    </row>
    <row r="8" spans="1:14" ht="56.25" customHeight="1">
      <c r="A8" s="130" t="s">
        <v>2</v>
      </c>
      <c r="B8" s="164">
        <v>4020</v>
      </c>
      <c r="C8" s="165"/>
      <c r="D8" s="165"/>
      <c r="E8" s="165"/>
      <c r="F8" s="165"/>
      <c r="G8" s="166"/>
      <c r="N8" s="84"/>
    </row>
    <row r="9" spans="1:14" ht="56.25" customHeight="1">
      <c r="A9" s="130" t="s">
        <v>30</v>
      </c>
      <c r="B9" s="128">
        <v>4030</v>
      </c>
      <c r="C9" s="232"/>
      <c r="D9" s="232"/>
      <c r="E9" s="232">
        <f>'3. Рух грошових коштів'!E48/1.2</f>
        <v>35355.833333333336</v>
      </c>
      <c r="F9" s="165">
        <f t="shared" ref="F9" si="0">E9-D9</f>
        <v>35355.833333333336</v>
      </c>
      <c r="G9" s="233"/>
      <c r="M9" s="84"/>
    </row>
    <row r="10" spans="1:14" ht="56.25" customHeight="1">
      <c r="A10" s="130" t="s">
        <v>3</v>
      </c>
      <c r="B10" s="164">
        <v>4040</v>
      </c>
      <c r="C10" s="165">
        <f>'3. Рух грошових коштів'!C52/1.2</f>
        <v>0</v>
      </c>
      <c r="D10" s="165"/>
      <c r="E10" s="165"/>
      <c r="F10" s="165"/>
      <c r="G10" s="166"/>
    </row>
    <row r="11" spans="1:14" ht="72.75" customHeight="1">
      <c r="A11" s="130" t="s">
        <v>69</v>
      </c>
      <c r="B11" s="128">
        <v>4050</v>
      </c>
      <c r="C11" s="232"/>
      <c r="D11" s="232"/>
      <c r="E11" s="232"/>
      <c r="F11" s="232"/>
      <c r="G11" s="233"/>
    </row>
    <row r="12" spans="1:14">
      <c r="B12" s="231"/>
      <c r="C12" s="231"/>
      <c r="D12" s="231"/>
      <c r="E12" s="231"/>
      <c r="F12" s="231"/>
      <c r="G12" s="231"/>
    </row>
    <row r="13" spans="1:14" ht="99" customHeight="1">
      <c r="B13" s="231"/>
      <c r="C13" s="231"/>
      <c r="D13" s="231"/>
      <c r="E13" s="231"/>
      <c r="F13" s="231"/>
      <c r="G13" s="231"/>
    </row>
    <row r="14" spans="1:14" ht="19.5" customHeight="1">
      <c r="A14" s="220"/>
      <c r="B14" s="231"/>
      <c r="C14" s="231"/>
      <c r="D14" s="231"/>
      <c r="E14" s="231"/>
      <c r="F14" s="231"/>
      <c r="G14" s="231"/>
    </row>
    <row r="15" spans="1:14" ht="22.5" customHeight="1">
      <c r="A15" s="144" t="s">
        <v>607</v>
      </c>
      <c r="B15" s="120"/>
      <c r="C15" s="231"/>
      <c r="D15" s="231"/>
      <c r="E15" s="231"/>
      <c r="F15" s="274" t="s">
        <v>589</v>
      </c>
      <c r="G15" s="274"/>
    </row>
    <row r="16" spans="1:14" ht="19.5" customHeight="1">
      <c r="A16" s="234" t="s">
        <v>385</v>
      </c>
      <c r="B16" s="231"/>
      <c r="C16" s="274" t="s">
        <v>76</v>
      </c>
      <c r="D16" s="274"/>
      <c r="E16" s="231"/>
      <c r="F16" s="274" t="s">
        <v>359</v>
      </c>
      <c r="G16" s="274"/>
    </row>
    <row r="17" spans="1:8">
      <c r="A17" s="123"/>
    </row>
    <row r="18" spans="1:8" ht="35.25" customHeight="1">
      <c r="A18" s="123"/>
    </row>
    <row r="19" spans="1:8" s="85" customFormat="1" ht="102" customHeight="1">
      <c r="A19" s="299"/>
      <c r="B19" s="299"/>
      <c r="C19" s="299"/>
      <c r="D19" s="299"/>
      <c r="E19" s="299"/>
      <c r="F19" s="299"/>
      <c r="G19" s="299"/>
      <c r="H19" s="299"/>
    </row>
    <row r="20" spans="1:8">
      <c r="A20" s="123"/>
    </row>
    <row r="21" spans="1:8">
      <c r="A21" s="123"/>
    </row>
    <row r="22" spans="1:8">
      <c r="A22" s="123"/>
    </row>
    <row r="23" spans="1:8">
      <c r="A23" s="123"/>
    </row>
    <row r="24" spans="1:8">
      <c r="A24" s="123"/>
    </row>
    <row r="25" spans="1:8">
      <c r="A25" s="123"/>
    </row>
    <row r="26" spans="1:8">
      <c r="A26" s="123"/>
    </row>
    <row r="27" spans="1:8">
      <c r="A27" s="123"/>
    </row>
    <row r="28" spans="1:8">
      <c r="A28" s="123"/>
    </row>
    <row r="29" spans="1:8">
      <c r="A29" s="123"/>
    </row>
    <row r="30" spans="1:8">
      <c r="A30" s="123"/>
    </row>
    <row r="31" spans="1:8">
      <c r="A31" s="123"/>
    </row>
    <row r="32" spans="1:8">
      <c r="A32" s="123"/>
    </row>
    <row r="33" spans="1:1">
      <c r="A33" s="123"/>
    </row>
    <row r="34" spans="1:1">
      <c r="A34" s="123"/>
    </row>
    <row r="35" spans="1:1">
      <c r="A35" s="123"/>
    </row>
    <row r="36" spans="1:1">
      <c r="A36" s="123"/>
    </row>
    <row r="37" spans="1:1">
      <c r="A37" s="123"/>
    </row>
    <row r="38" spans="1:1">
      <c r="A38" s="123"/>
    </row>
    <row r="39" spans="1:1">
      <c r="A39" s="123"/>
    </row>
    <row r="40" spans="1:1">
      <c r="A40" s="123"/>
    </row>
    <row r="41" spans="1:1">
      <c r="A41" s="123"/>
    </row>
    <row r="42" spans="1:1">
      <c r="A42" s="123"/>
    </row>
    <row r="43" spans="1:1">
      <c r="A43" s="123"/>
    </row>
    <row r="44" spans="1:1">
      <c r="A44" s="123"/>
    </row>
    <row r="45" spans="1:1">
      <c r="A45" s="123"/>
    </row>
    <row r="46" spans="1:1">
      <c r="A46" s="123"/>
    </row>
    <row r="47" spans="1:1">
      <c r="A47" s="123"/>
    </row>
    <row r="48" spans="1:1">
      <c r="A48" s="123"/>
    </row>
    <row r="49" spans="1:1">
      <c r="A49" s="123"/>
    </row>
    <row r="50" spans="1:1">
      <c r="A50" s="123"/>
    </row>
    <row r="51" spans="1:1">
      <c r="A51" s="123"/>
    </row>
    <row r="52" spans="1:1">
      <c r="A52" s="123"/>
    </row>
    <row r="53" spans="1:1">
      <c r="A53" s="123"/>
    </row>
    <row r="54" spans="1:1">
      <c r="A54" s="123"/>
    </row>
    <row r="55" spans="1:1">
      <c r="A55" s="123"/>
    </row>
    <row r="56" spans="1:1">
      <c r="A56" s="123"/>
    </row>
    <row r="57" spans="1:1">
      <c r="A57" s="123"/>
    </row>
    <row r="58" spans="1:1">
      <c r="A58" s="123"/>
    </row>
    <row r="59" spans="1:1">
      <c r="A59" s="123"/>
    </row>
    <row r="60" spans="1:1">
      <c r="A60" s="123"/>
    </row>
    <row r="61" spans="1:1">
      <c r="A61" s="123"/>
    </row>
    <row r="62" spans="1:1">
      <c r="A62" s="123"/>
    </row>
    <row r="63" spans="1:1">
      <c r="A63" s="123"/>
    </row>
    <row r="64" spans="1:1">
      <c r="A64" s="123"/>
    </row>
    <row r="65" spans="1:1">
      <c r="A65" s="123"/>
    </row>
    <row r="66" spans="1:1">
      <c r="A66" s="123"/>
    </row>
    <row r="67" spans="1:1">
      <c r="A67" s="123"/>
    </row>
    <row r="68" spans="1:1">
      <c r="A68" s="123"/>
    </row>
    <row r="69" spans="1:1">
      <c r="A69" s="123"/>
    </row>
    <row r="70" spans="1:1">
      <c r="A70" s="123"/>
    </row>
    <row r="71" spans="1:1">
      <c r="A71" s="123"/>
    </row>
    <row r="72" spans="1:1">
      <c r="A72" s="123"/>
    </row>
    <row r="73" spans="1:1">
      <c r="A73" s="123"/>
    </row>
    <row r="74" spans="1:1">
      <c r="A74" s="123"/>
    </row>
    <row r="75" spans="1:1">
      <c r="A75" s="123"/>
    </row>
    <row r="76" spans="1:1">
      <c r="A76" s="123"/>
    </row>
    <row r="77" spans="1:1">
      <c r="A77" s="123"/>
    </row>
    <row r="78" spans="1:1">
      <c r="A78" s="123"/>
    </row>
    <row r="79" spans="1:1">
      <c r="A79" s="123"/>
    </row>
    <row r="80" spans="1:1">
      <c r="A80" s="123"/>
    </row>
    <row r="81" spans="1:1">
      <c r="A81" s="123"/>
    </row>
    <row r="82" spans="1:1">
      <c r="A82" s="123"/>
    </row>
    <row r="83" spans="1:1">
      <c r="A83" s="123"/>
    </row>
    <row r="84" spans="1:1">
      <c r="A84" s="123"/>
    </row>
    <row r="85" spans="1:1">
      <c r="A85" s="123"/>
    </row>
    <row r="86" spans="1:1">
      <c r="A86" s="123"/>
    </row>
    <row r="87" spans="1:1">
      <c r="A87" s="123"/>
    </row>
    <row r="88" spans="1:1">
      <c r="A88" s="123"/>
    </row>
    <row r="89" spans="1:1">
      <c r="A89" s="123"/>
    </row>
    <row r="90" spans="1:1">
      <c r="A90" s="123"/>
    </row>
    <row r="91" spans="1:1">
      <c r="A91" s="123"/>
    </row>
    <row r="92" spans="1:1">
      <c r="A92" s="123"/>
    </row>
    <row r="93" spans="1:1">
      <c r="A93" s="123"/>
    </row>
    <row r="94" spans="1:1">
      <c r="A94" s="123"/>
    </row>
    <row r="95" spans="1:1">
      <c r="A95" s="123"/>
    </row>
    <row r="96" spans="1:1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  <row r="104" spans="1:1">
      <c r="A104" s="123"/>
    </row>
    <row r="105" spans="1:1">
      <c r="A105" s="123"/>
    </row>
    <row r="106" spans="1:1">
      <c r="A106" s="123"/>
    </row>
    <row r="107" spans="1:1">
      <c r="A107" s="123"/>
    </row>
    <row r="108" spans="1:1">
      <c r="A108" s="123"/>
    </row>
    <row r="109" spans="1:1">
      <c r="A109" s="123"/>
    </row>
    <row r="110" spans="1:1">
      <c r="A110" s="123"/>
    </row>
    <row r="111" spans="1:1">
      <c r="A111" s="123"/>
    </row>
    <row r="112" spans="1:1">
      <c r="A112" s="123"/>
    </row>
    <row r="113" spans="1:1">
      <c r="A113" s="123"/>
    </row>
    <row r="114" spans="1:1">
      <c r="A114" s="123"/>
    </row>
    <row r="115" spans="1:1">
      <c r="A115" s="123"/>
    </row>
    <row r="116" spans="1:1">
      <c r="A116" s="123"/>
    </row>
    <row r="117" spans="1:1">
      <c r="A117" s="123"/>
    </row>
    <row r="118" spans="1:1">
      <c r="A118" s="123"/>
    </row>
    <row r="119" spans="1:1">
      <c r="A119" s="123"/>
    </row>
    <row r="120" spans="1:1">
      <c r="A120" s="123"/>
    </row>
    <row r="121" spans="1:1">
      <c r="A121" s="123"/>
    </row>
    <row r="122" spans="1:1">
      <c r="A122" s="123"/>
    </row>
    <row r="123" spans="1:1">
      <c r="A123" s="123"/>
    </row>
    <row r="124" spans="1:1">
      <c r="A124" s="123"/>
    </row>
    <row r="125" spans="1:1">
      <c r="A125" s="123"/>
    </row>
    <row r="126" spans="1:1">
      <c r="A126" s="123"/>
    </row>
    <row r="127" spans="1:1">
      <c r="A127" s="123"/>
    </row>
    <row r="128" spans="1:1">
      <c r="A128" s="123"/>
    </row>
    <row r="129" spans="1:1">
      <c r="A129" s="123"/>
    </row>
    <row r="130" spans="1:1">
      <c r="A130" s="123"/>
    </row>
    <row r="131" spans="1:1">
      <c r="A131" s="123"/>
    </row>
    <row r="132" spans="1:1">
      <c r="A132" s="123"/>
    </row>
    <row r="133" spans="1:1">
      <c r="A133" s="123"/>
    </row>
    <row r="134" spans="1:1">
      <c r="A134" s="123"/>
    </row>
    <row r="135" spans="1:1">
      <c r="A135" s="123"/>
    </row>
    <row r="136" spans="1:1">
      <c r="A136" s="123"/>
    </row>
    <row r="137" spans="1:1">
      <c r="A137" s="123"/>
    </row>
    <row r="138" spans="1:1">
      <c r="A138" s="123"/>
    </row>
    <row r="139" spans="1:1">
      <c r="A139" s="123"/>
    </row>
    <row r="140" spans="1:1">
      <c r="A140" s="123"/>
    </row>
    <row r="141" spans="1:1">
      <c r="A141" s="123"/>
    </row>
    <row r="142" spans="1:1">
      <c r="A142" s="123"/>
    </row>
    <row r="143" spans="1:1">
      <c r="A143" s="123"/>
    </row>
    <row r="144" spans="1:1">
      <c r="A144" s="123"/>
    </row>
    <row r="145" spans="1:1">
      <c r="A145" s="123"/>
    </row>
    <row r="146" spans="1:1">
      <c r="A146" s="123"/>
    </row>
    <row r="147" spans="1:1">
      <c r="A147" s="123"/>
    </row>
    <row r="148" spans="1:1">
      <c r="A148" s="123"/>
    </row>
    <row r="149" spans="1:1">
      <c r="A149" s="123"/>
    </row>
    <row r="150" spans="1:1">
      <c r="A150" s="123"/>
    </row>
    <row r="151" spans="1:1">
      <c r="A151" s="123"/>
    </row>
    <row r="152" spans="1:1">
      <c r="A152" s="123"/>
    </row>
    <row r="153" spans="1:1">
      <c r="A153" s="123"/>
    </row>
    <row r="154" spans="1:1">
      <c r="A154" s="123"/>
    </row>
    <row r="155" spans="1:1">
      <c r="A155" s="123"/>
    </row>
    <row r="156" spans="1:1">
      <c r="A156" s="123"/>
    </row>
    <row r="157" spans="1:1">
      <c r="A157" s="123"/>
    </row>
    <row r="158" spans="1:1">
      <c r="A158" s="123"/>
    </row>
    <row r="159" spans="1:1">
      <c r="A159" s="123"/>
    </row>
    <row r="160" spans="1:1">
      <c r="A160" s="123"/>
    </row>
    <row r="161" spans="1:1">
      <c r="A161" s="123"/>
    </row>
    <row r="162" spans="1:1">
      <c r="A162" s="123"/>
    </row>
    <row r="163" spans="1:1">
      <c r="A163" s="123"/>
    </row>
    <row r="164" spans="1:1">
      <c r="A164" s="123"/>
    </row>
    <row r="165" spans="1:1">
      <c r="A165" s="123"/>
    </row>
    <row r="166" spans="1:1">
      <c r="A166" s="123"/>
    </row>
    <row r="167" spans="1:1">
      <c r="A167" s="123"/>
    </row>
    <row r="168" spans="1:1">
      <c r="A168" s="123"/>
    </row>
    <row r="169" spans="1:1">
      <c r="A169" s="123"/>
    </row>
    <row r="170" spans="1:1">
      <c r="A170" s="123"/>
    </row>
    <row r="171" spans="1:1">
      <c r="A171" s="123"/>
    </row>
    <row r="172" spans="1:1">
      <c r="A172" s="123"/>
    </row>
    <row r="173" spans="1:1">
      <c r="A173" s="123"/>
    </row>
    <row r="174" spans="1:1">
      <c r="A174" s="123"/>
    </row>
    <row r="175" spans="1:1">
      <c r="A175" s="123"/>
    </row>
    <row r="176" spans="1:1">
      <c r="A176" s="123"/>
    </row>
    <row r="177" spans="1:1">
      <c r="A177" s="123"/>
    </row>
    <row r="178" spans="1:1">
      <c r="A178" s="123"/>
    </row>
    <row r="179" spans="1:1">
      <c r="A179" s="123"/>
    </row>
    <row r="180" spans="1:1">
      <c r="A180" s="123"/>
    </row>
    <row r="181" spans="1:1">
      <c r="A181" s="123"/>
    </row>
    <row r="182" spans="1:1">
      <c r="A182" s="123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rintOptions horizontalCentered="1"/>
  <pageMargins left="0.39370078740157483" right="0.39370078740157483" top="0.59055118110236227" bottom="0.59055118110236227" header="0" footer="0.11811023622047245"/>
  <pageSetup paperSize="9" scale="6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28"/>
  <sheetViews>
    <sheetView view="pageBreakPreview" topLeftCell="A16" zoomScale="75" zoomScaleNormal="75" zoomScaleSheetLayoutView="70" workbookViewId="0">
      <selection activeCell="D10" sqref="D10"/>
    </sheetView>
  </sheetViews>
  <sheetFormatPr defaultColWidth="9.1796875" defaultRowHeight="20.5"/>
  <cols>
    <col min="1" max="1" width="87.26953125" style="8" customWidth="1"/>
    <col min="2" max="2" width="16.54296875" style="8" customWidth="1"/>
    <col min="3" max="3" width="19.7265625" style="8" customWidth="1"/>
    <col min="4" max="4" width="20" style="41" customWidth="1"/>
    <col min="5" max="5" width="19.7265625" style="41" customWidth="1"/>
    <col min="6" max="6" width="39" style="8" customWidth="1"/>
    <col min="7" max="7" width="9.54296875" style="8" customWidth="1"/>
    <col min="8" max="8" width="9.1796875" style="8"/>
    <col min="9" max="9" width="27.1796875" style="8" customWidth="1"/>
    <col min="10" max="16384" width="9.1796875" style="8"/>
  </cols>
  <sheetData>
    <row r="1" spans="1:6" ht="19.5" customHeight="1">
      <c r="A1" s="307" t="s">
        <v>375</v>
      </c>
      <c r="B1" s="307"/>
      <c r="C1" s="307"/>
      <c r="D1" s="307"/>
      <c r="E1" s="307"/>
      <c r="F1" s="307"/>
    </row>
    <row r="2" spans="1:6" ht="24" customHeight="1"/>
    <row r="3" spans="1:6" ht="36" customHeight="1">
      <c r="A3" s="308" t="s">
        <v>285</v>
      </c>
      <c r="B3" s="308" t="s">
        <v>0</v>
      </c>
      <c r="C3" s="308" t="s">
        <v>98</v>
      </c>
      <c r="D3" s="303" t="s">
        <v>353</v>
      </c>
      <c r="E3" s="310" t="s">
        <v>351</v>
      </c>
      <c r="F3" s="308" t="s">
        <v>320</v>
      </c>
    </row>
    <row r="4" spans="1:6" ht="36" customHeight="1">
      <c r="A4" s="309"/>
      <c r="B4" s="309"/>
      <c r="C4" s="309"/>
      <c r="D4" s="303"/>
      <c r="E4" s="311"/>
      <c r="F4" s="309"/>
    </row>
    <row r="5" spans="1:6" ht="20.25" customHeight="1">
      <c r="A5" s="168">
        <v>1</v>
      </c>
      <c r="B5" s="168">
        <v>2</v>
      </c>
      <c r="C5" s="168">
        <v>3</v>
      </c>
      <c r="D5" s="168">
        <v>4</v>
      </c>
      <c r="E5" s="168">
        <v>5</v>
      </c>
      <c r="F5" s="168">
        <v>6</v>
      </c>
    </row>
    <row r="6" spans="1:6">
      <c r="A6" s="312" t="s">
        <v>188</v>
      </c>
      <c r="B6" s="313"/>
      <c r="C6" s="313"/>
      <c r="D6" s="313"/>
      <c r="E6" s="313"/>
      <c r="F6" s="314"/>
    </row>
    <row r="7" spans="1:6" ht="63.75" customHeight="1">
      <c r="A7" s="130" t="s">
        <v>347</v>
      </c>
      <c r="B7" s="230">
        <v>5000</v>
      </c>
      <c r="C7" s="169" t="s">
        <v>338</v>
      </c>
      <c r="D7" s="170">
        <f>'1. Фін результат'!C60/'1. Фін результат'!C9</f>
        <v>5.5284621205751283E-2</v>
      </c>
      <c r="E7" s="170">
        <f>'1. Фін результат'!E60/'1. Фін результат'!E9</f>
        <v>-8.3110034820238726E-4</v>
      </c>
      <c r="F7" s="171"/>
    </row>
    <row r="8" spans="1:6" ht="63.75" customHeight="1">
      <c r="A8" s="130" t="s">
        <v>348</v>
      </c>
      <c r="B8" s="230">
        <v>5010</v>
      </c>
      <c r="C8" s="169" t="s">
        <v>338</v>
      </c>
      <c r="D8" s="170">
        <f>'1. Фін результат'!C178/'1. Фін результат'!C9</f>
        <v>2.8462120575128227E-2</v>
      </c>
      <c r="E8" s="170">
        <f>'1. Фін результат'!E178/'1. Фін результат'!E9</f>
        <v>-1.6593348331351111E-2</v>
      </c>
      <c r="F8" s="171"/>
    </row>
    <row r="9" spans="1:6" ht="60.75" customHeight="1">
      <c r="A9" s="172" t="s">
        <v>491</v>
      </c>
      <c r="B9" s="230">
        <v>5020</v>
      </c>
      <c r="C9" s="169" t="s">
        <v>338</v>
      </c>
      <c r="D9" s="173">
        <f>'1. Фін результат'!C162/'фінплан - зведені показники'!C70</f>
        <v>5.7645729048926204E-4</v>
      </c>
      <c r="E9" s="173">
        <f>'1. Фін результат'!E162/'фінплан - зведені показники'!E70</f>
        <v>-3.378990210936681E-3</v>
      </c>
      <c r="F9" s="171" t="s">
        <v>339</v>
      </c>
    </row>
    <row r="10" spans="1:6" ht="63.75" customHeight="1">
      <c r="A10" s="172" t="s">
        <v>492</v>
      </c>
      <c r="B10" s="230">
        <v>5030</v>
      </c>
      <c r="C10" s="169" t="s">
        <v>338</v>
      </c>
      <c r="D10" s="173">
        <f>'1. Фін результат'!C162/'фінплан - зведені показники'!C76</f>
        <v>6.1831369376638245E-4</v>
      </c>
      <c r="E10" s="173">
        <f>'1. Фін результат'!E162/'фінплан - зведені показники'!E76</f>
        <v>-3.5600113813245853E-3</v>
      </c>
      <c r="F10" s="171"/>
    </row>
    <row r="11" spans="1:6" ht="68.25" customHeight="1">
      <c r="A11" s="172" t="s">
        <v>493</v>
      </c>
      <c r="B11" s="230">
        <v>5040</v>
      </c>
      <c r="C11" s="169" t="s">
        <v>99</v>
      </c>
      <c r="D11" s="173">
        <f>'1. Фін результат'!C162/'1. Фін результат'!C9</f>
        <v>6.1536197763390234E-3</v>
      </c>
      <c r="E11" s="173">
        <f>'1. Фін результат'!E162/'1. Фін результат'!E9</f>
        <v>-3.0478455872870305E-2</v>
      </c>
      <c r="F11" s="171" t="s">
        <v>340</v>
      </c>
    </row>
    <row r="12" spans="1:6" ht="42.75" customHeight="1">
      <c r="A12" s="312" t="s">
        <v>190</v>
      </c>
      <c r="B12" s="313"/>
      <c r="C12" s="313"/>
      <c r="D12" s="313"/>
      <c r="E12" s="313"/>
      <c r="F12" s="314"/>
    </row>
    <row r="13" spans="1:6" ht="82.5" customHeight="1">
      <c r="A13" s="171" t="s">
        <v>331</v>
      </c>
      <c r="B13" s="230">
        <v>5100</v>
      </c>
      <c r="C13" s="169"/>
      <c r="D13" s="174">
        <f>'фінплан - зведені показники'!C71+'фінплан - зведені показники'!C72/'фінплан - зведені показники'!C38</f>
        <v>8557.0834564254055</v>
      </c>
      <c r="E13" s="174">
        <f>'фінплан - зведені показники'!E71+'фінплан - зведені показники'!E72/'фінплан - зведені показники'!E38</f>
        <v>6448.9473229706391</v>
      </c>
      <c r="F13" s="171"/>
    </row>
    <row r="14" spans="1:6" ht="128.25" customHeight="1">
      <c r="A14" s="171" t="s">
        <v>327</v>
      </c>
      <c r="B14" s="230">
        <v>5110</v>
      </c>
      <c r="C14" s="169" t="s">
        <v>175</v>
      </c>
      <c r="D14" s="174">
        <f>'фінплан - зведені показники'!C76/'фінплан - зведені показники'!C72</f>
        <v>18.323038817291692</v>
      </c>
      <c r="E14" s="174">
        <f>'фінплан - зведені показники'!E76/'фінплан - зведені показники'!E72</f>
        <v>23.396248580491051</v>
      </c>
      <c r="F14" s="171" t="s">
        <v>341</v>
      </c>
    </row>
    <row r="15" spans="1:6" ht="171.75" customHeight="1">
      <c r="A15" s="171" t="s">
        <v>328</v>
      </c>
      <c r="B15" s="230">
        <v>5120</v>
      </c>
      <c r="C15" s="169" t="s">
        <v>175</v>
      </c>
      <c r="D15" s="174">
        <f>'фінплан - зведені показники'!C68/'фінплан - зведені показники'!C72</f>
        <v>2.4177793258253026</v>
      </c>
      <c r="E15" s="174">
        <f>'фінплан - зведені показники'!E68/'фінплан - зведені показники'!E72</f>
        <v>2.9063319888788817</v>
      </c>
      <c r="F15" s="171" t="s">
        <v>343</v>
      </c>
    </row>
    <row r="16" spans="1:6" ht="36.75" customHeight="1">
      <c r="A16" s="312" t="s">
        <v>189</v>
      </c>
      <c r="B16" s="313"/>
      <c r="C16" s="313"/>
      <c r="D16" s="313"/>
      <c r="E16" s="313"/>
      <c r="F16" s="314"/>
    </row>
    <row r="17" spans="1:9" ht="48" customHeight="1">
      <c r="A17" s="171" t="s">
        <v>329</v>
      </c>
      <c r="B17" s="230">
        <v>5200</v>
      </c>
      <c r="C17" s="169"/>
      <c r="D17" s="174">
        <f>'4. Кап. інвестиції'!C6/'1. Фін результат'!C185</f>
        <v>0</v>
      </c>
      <c r="E17" s="174">
        <f>'4. Кап. інвестиції'!E6/'1. Фін результат'!E185</f>
        <v>37.813725490196084</v>
      </c>
      <c r="F17" s="171"/>
    </row>
    <row r="18" spans="1:9" ht="81" customHeight="1">
      <c r="A18" s="171" t="s">
        <v>360</v>
      </c>
      <c r="B18" s="230">
        <v>5210</v>
      </c>
      <c r="C18" s="169"/>
      <c r="D18" s="174">
        <f>'4. Кап. інвестиції'!C6/'фінплан - зведені показники'!C31</f>
        <v>0</v>
      </c>
      <c r="E18" s="174">
        <f>'4. Кап. інвестиції'!E6/'фінплан - зведені показники'!E31</f>
        <v>0.50662492059170527</v>
      </c>
      <c r="F18" s="171"/>
    </row>
    <row r="19" spans="1:9" ht="65.25" customHeight="1">
      <c r="A19" s="171" t="s">
        <v>349</v>
      </c>
      <c r="B19" s="230">
        <v>5220</v>
      </c>
      <c r="C19" s="169" t="s">
        <v>338</v>
      </c>
      <c r="D19" s="174">
        <f>226953/667094</f>
        <v>0.34021142447691027</v>
      </c>
      <c r="E19" s="174">
        <f>273860/787543</f>
        <v>0.34773974246485589</v>
      </c>
      <c r="F19" s="171" t="s">
        <v>342</v>
      </c>
    </row>
    <row r="20" spans="1:9" ht="35.25" customHeight="1">
      <c r="A20" s="312" t="s">
        <v>330</v>
      </c>
      <c r="B20" s="313"/>
      <c r="C20" s="313"/>
      <c r="D20" s="313"/>
      <c r="E20" s="313"/>
      <c r="F20" s="314"/>
    </row>
    <row r="21" spans="1:9" ht="110.25" customHeight="1">
      <c r="A21" s="172" t="s">
        <v>350</v>
      </c>
      <c r="B21" s="230">
        <v>5300</v>
      </c>
      <c r="C21" s="169"/>
      <c r="D21" s="175"/>
      <c r="E21" s="175"/>
      <c r="F21" s="176"/>
    </row>
    <row r="22" spans="1:9" ht="124.5" customHeight="1"/>
    <row r="23" spans="1:9" s="2" customFormat="1" ht="25.5" customHeight="1">
      <c r="A23" s="34" t="s">
        <v>607</v>
      </c>
      <c r="B23" s="33"/>
      <c r="D23" s="36"/>
      <c r="E23" s="306" t="s">
        <v>589</v>
      </c>
      <c r="F23" s="306"/>
    </row>
    <row r="24" spans="1:9" s="2" customFormat="1" ht="20.149999999999999" customHeight="1">
      <c r="A24" s="4" t="s">
        <v>386</v>
      </c>
      <c r="B24" s="306" t="s">
        <v>76</v>
      </c>
      <c r="C24" s="306"/>
      <c r="D24" s="306"/>
      <c r="E24" s="306" t="s">
        <v>324</v>
      </c>
      <c r="F24" s="306"/>
    </row>
    <row r="26" spans="1:9">
      <c r="I26" s="1"/>
    </row>
    <row r="27" spans="1:9" s="32" customFormat="1" ht="24">
      <c r="A27" s="305"/>
      <c r="B27" s="305"/>
      <c r="C27" s="305"/>
      <c r="D27" s="305"/>
      <c r="E27" s="305"/>
      <c r="F27" s="305"/>
      <c r="G27" s="305"/>
      <c r="H27" s="305"/>
    </row>
    <row r="28" spans="1:9" s="2" customFormat="1">
      <c r="A28" s="4"/>
      <c r="C28" s="306"/>
      <c r="D28" s="306"/>
      <c r="E28" s="36"/>
      <c r="F28" s="3"/>
    </row>
  </sheetData>
  <mergeCells count="16">
    <mergeCell ref="A27:H27"/>
    <mergeCell ref="C28:D28"/>
    <mergeCell ref="A1:F1"/>
    <mergeCell ref="A3:A4"/>
    <mergeCell ref="B3:B4"/>
    <mergeCell ref="C3:C4"/>
    <mergeCell ref="F3:F4"/>
    <mergeCell ref="D3:D4"/>
    <mergeCell ref="E3:E4"/>
    <mergeCell ref="A6:F6"/>
    <mergeCell ref="A12:F12"/>
    <mergeCell ref="A16:F16"/>
    <mergeCell ref="B24:D24"/>
    <mergeCell ref="E24:F24"/>
    <mergeCell ref="A20:F20"/>
    <mergeCell ref="E23:F23"/>
  </mergeCells>
  <phoneticPr fontId="3" type="noConversion"/>
  <printOptions horizontalCentered="1"/>
  <pageMargins left="0.39370078740157483" right="0.39370078740157483" top="0.59055118110236227" bottom="0.39370078740157483" header="0.11811023622047245" footer="0.31496062992125984"/>
  <pageSetup paperSize="9" scale="4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T92"/>
  <sheetViews>
    <sheetView view="pageBreakPreview" topLeftCell="A41" zoomScale="75" zoomScaleNormal="75" zoomScaleSheetLayoutView="75" workbookViewId="0">
      <selection activeCell="A36" sqref="A36:O36"/>
    </sheetView>
  </sheetViews>
  <sheetFormatPr defaultColWidth="9.1796875" defaultRowHeight="20.5" outlineLevelRow="1"/>
  <cols>
    <col min="1" max="1" width="44.81640625" style="36" customWidth="1"/>
    <col min="2" max="2" width="13.54296875" style="37" customWidth="1"/>
    <col min="3" max="3" width="18.54296875" style="36" customWidth="1"/>
    <col min="4" max="4" width="16.1796875" style="2" customWidth="1"/>
    <col min="5" max="5" width="15.453125" style="2" customWidth="1"/>
    <col min="6" max="6" width="16.54296875" style="36" customWidth="1"/>
    <col min="7" max="7" width="15.26953125" style="36" customWidth="1"/>
    <col min="8" max="8" width="16.54296875" style="36" customWidth="1"/>
    <col min="9" max="9" width="16.1796875" style="36" customWidth="1"/>
    <col min="10" max="10" width="16.453125" style="36" customWidth="1"/>
    <col min="11" max="11" width="16.54296875" style="36" customWidth="1"/>
    <col min="12" max="12" width="16.81640625" style="36" customWidth="1"/>
    <col min="13" max="13" width="14.81640625" style="36" customWidth="1"/>
    <col min="14" max="14" width="16.7265625" style="36" customWidth="1"/>
    <col min="15" max="15" width="14.26953125" style="36" customWidth="1"/>
    <col min="16" max="20" width="9.1796875" style="2" hidden="1" customWidth="1"/>
    <col min="21" max="16384" width="9.1796875" style="2"/>
  </cols>
  <sheetData>
    <row r="1" spans="1:15" ht="18.75" hidden="1" customHeight="1" outlineLevel="1">
      <c r="N1" s="374" t="s">
        <v>239</v>
      </c>
      <c r="O1" s="374"/>
    </row>
    <row r="2" spans="1:15" hidden="1" outlineLevel="1">
      <c r="N2" s="374" t="s">
        <v>259</v>
      </c>
      <c r="O2" s="374"/>
    </row>
    <row r="3" spans="1:15" collapsed="1">
      <c r="A3" s="338" t="s">
        <v>621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1:15" ht="3.75" customHeigh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</row>
    <row r="5" spans="1:15">
      <c r="A5" s="338" t="s">
        <v>528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</row>
    <row r="6" spans="1:15" ht="17.25" customHeight="1">
      <c r="A6" s="375" t="s">
        <v>132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</row>
    <row r="7" spans="1:15" ht="25" customHeight="1">
      <c r="A7" s="338" t="s">
        <v>376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</row>
    <row r="8" spans="1:15" ht="84.75" customHeight="1">
      <c r="A8" s="282" t="s">
        <v>633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</row>
    <row r="9" spans="1:15" ht="18" customHeight="1">
      <c r="A9" s="2"/>
      <c r="B9" s="2"/>
      <c r="C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0.5" customHeight="1">
      <c r="A10" s="230" t="s">
        <v>285</v>
      </c>
      <c r="B10" s="303" t="s">
        <v>134</v>
      </c>
      <c r="C10" s="303"/>
      <c r="D10" s="303" t="s">
        <v>31</v>
      </c>
      <c r="E10" s="303"/>
      <c r="F10" s="303" t="s">
        <v>321</v>
      </c>
      <c r="G10" s="303"/>
      <c r="H10" s="303" t="s">
        <v>322</v>
      </c>
      <c r="I10" s="303"/>
      <c r="J10" s="303" t="s">
        <v>323</v>
      </c>
      <c r="K10" s="303"/>
      <c r="L10" s="303" t="s">
        <v>290</v>
      </c>
      <c r="M10" s="303"/>
      <c r="N10" s="303" t="s">
        <v>291</v>
      </c>
      <c r="O10" s="303"/>
    </row>
    <row r="11" spans="1:15" ht="17.25" customHeight="1">
      <c r="A11" s="230">
        <v>1</v>
      </c>
      <c r="B11" s="315">
        <v>2</v>
      </c>
      <c r="C11" s="316"/>
      <c r="D11" s="315">
        <v>3</v>
      </c>
      <c r="E11" s="316"/>
      <c r="F11" s="315">
        <v>4</v>
      </c>
      <c r="G11" s="316"/>
      <c r="H11" s="315">
        <v>5</v>
      </c>
      <c r="I11" s="316"/>
      <c r="J11" s="315">
        <v>6</v>
      </c>
      <c r="K11" s="316"/>
      <c r="L11" s="315">
        <v>7</v>
      </c>
      <c r="M11" s="316"/>
      <c r="N11" s="303">
        <v>8</v>
      </c>
      <c r="O11" s="303"/>
    </row>
    <row r="12" spans="1:15">
      <c r="A12" s="317" t="s">
        <v>133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9"/>
    </row>
    <row r="13" spans="1:15" ht="20.149999999999999" customHeight="1">
      <c r="A13" s="130" t="s">
        <v>292</v>
      </c>
      <c r="B13" s="347">
        <v>18</v>
      </c>
      <c r="C13" s="347"/>
      <c r="D13" s="347">
        <v>18</v>
      </c>
      <c r="E13" s="347"/>
      <c r="F13" s="347">
        <v>18</v>
      </c>
      <c r="G13" s="347"/>
      <c r="H13" s="347">
        <v>18</v>
      </c>
      <c r="I13" s="347"/>
      <c r="J13" s="347">
        <v>18</v>
      </c>
      <c r="K13" s="347"/>
      <c r="L13" s="347">
        <f t="shared" ref="L13:L18" si="0">J13-H13</f>
        <v>0</v>
      </c>
      <c r="M13" s="347"/>
      <c r="N13" s="346">
        <f t="shared" ref="N13:N18" si="1">J13/H13*100</f>
        <v>100</v>
      </c>
      <c r="O13" s="346"/>
    </row>
    <row r="14" spans="1:15" ht="20.149999999999999" customHeight="1">
      <c r="A14" s="130" t="s">
        <v>293</v>
      </c>
      <c r="B14" s="347">
        <v>18</v>
      </c>
      <c r="C14" s="347"/>
      <c r="D14" s="347">
        <v>21</v>
      </c>
      <c r="E14" s="347"/>
      <c r="F14" s="347">
        <v>21</v>
      </c>
      <c r="G14" s="347"/>
      <c r="H14" s="347">
        <v>21</v>
      </c>
      <c r="I14" s="347"/>
      <c r="J14" s="347">
        <v>21</v>
      </c>
      <c r="K14" s="347"/>
      <c r="L14" s="347">
        <f t="shared" si="0"/>
        <v>0</v>
      </c>
      <c r="M14" s="347"/>
      <c r="N14" s="346">
        <f t="shared" si="1"/>
        <v>100</v>
      </c>
      <c r="O14" s="346"/>
    </row>
    <row r="15" spans="1:15" ht="20.149999999999999" customHeight="1">
      <c r="A15" s="130" t="s">
        <v>294</v>
      </c>
      <c r="B15" s="347">
        <v>5</v>
      </c>
      <c r="C15" s="347"/>
      <c r="D15" s="347">
        <v>3</v>
      </c>
      <c r="E15" s="347"/>
      <c r="F15" s="347">
        <v>3</v>
      </c>
      <c r="G15" s="347"/>
      <c r="H15" s="347">
        <v>3</v>
      </c>
      <c r="I15" s="347"/>
      <c r="J15" s="347">
        <v>3</v>
      </c>
      <c r="K15" s="347"/>
      <c r="L15" s="347">
        <f t="shared" si="0"/>
        <v>0</v>
      </c>
      <c r="M15" s="347"/>
      <c r="N15" s="346">
        <f t="shared" si="1"/>
        <v>100</v>
      </c>
      <c r="O15" s="346"/>
    </row>
    <row r="16" spans="1:15" ht="20.149999999999999" customHeight="1">
      <c r="A16" s="130" t="s">
        <v>295</v>
      </c>
      <c r="B16" s="347">
        <v>3</v>
      </c>
      <c r="C16" s="347"/>
      <c r="D16" s="347">
        <v>1</v>
      </c>
      <c r="E16" s="347"/>
      <c r="F16" s="347">
        <v>2</v>
      </c>
      <c r="G16" s="347"/>
      <c r="H16" s="347">
        <v>2</v>
      </c>
      <c r="I16" s="347"/>
      <c r="J16" s="347">
        <v>1</v>
      </c>
      <c r="K16" s="347"/>
      <c r="L16" s="347">
        <f t="shared" si="0"/>
        <v>-1</v>
      </c>
      <c r="M16" s="347"/>
      <c r="N16" s="346">
        <f t="shared" si="1"/>
        <v>50</v>
      </c>
      <c r="O16" s="346"/>
    </row>
    <row r="17" spans="1:15" ht="20.149999999999999" customHeight="1">
      <c r="A17" s="130" t="s">
        <v>296</v>
      </c>
      <c r="B17" s="347">
        <v>97</v>
      </c>
      <c r="C17" s="347"/>
      <c r="D17" s="347">
        <v>79</v>
      </c>
      <c r="E17" s="347"/>
      <c r="F17" s="347">
        <v>98</v>
      </c>
      <c r="G17" s="347"/>
      <c r="H17" s="347">
        <v>98</v>
      </c>
      <c r="I17" s="347"/>
      <c r="J17" s="347">
        <v>74</v>
      </c>
      <c r="K17" s="347"/>
      <c r="L17" s="347">
        <f t="shared" si="0"/>
        <v>-24</v>
      </c>
      <c r="M17" s="347"/>
      <c r="N17" s="346">
        <f t="shared" si="1"/>
        <v>75.510204081632651</v>
      </c>
      <c r="O17" s="346"/>
    </row>
    <row r="18" spans="1:15" ht="20.149999999999999" customHeight="1">
      <c r="A18" s="130" t="s">
        <v>297</v>
      </c>
      <c r="B18" s="347">
        <v>17</v>
      </c>
      <c r="C18" s="347"/>
      <c r="D18" s="347">
        <v>16</v>
      </c>
      <c r="E18" s="347"/>
      <c r="F18" s="347">
        <v>21</v>
      </c>
      <c r="G18" s="347"/>
      <c r="H18" s="347">
        <v>21</v>
      </c>
      <c r="I18" s="347"/>
      <c r="J18" s="347">
        <v>16</v>
      </c>
      <c r="K18" s="347"/>
      <c r="L18" s="347">
        <f t="shared" si="0"/>
        <v>-5</v>
      </c>
      <c r="M18" s="347"/>
      <c r="N18" s="346">
        <f t="shared" si="1"/>
        <v>76.19047619047619</v>
      </c>
      <c r="O18" s="346"/>
    </row>
    <row r="19" spans="1:15">
      <c r="A19" s="317" t="s">
        <v>362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9"/>
    </row>
    <row r="20" spans="1:15" ht="20.149999999999999" customHeight="1">
      <c r="A20" s="130" t="s">
        <v>578</v>
      </c>
      <c r="B20" s="315">
        <v>536</v>
      </c>
      <c r="C20" s="316"/>
      <c r="D20" s="349">
        <v>695</v>
      </c>
      <c r="E20" s="350"/>
      <c r="F20" s="347">
        <v>654</v>
      </c>
      <c r="G20" s="347"/>
      <c r="H20" s="347">
        <v>164</v>
      </c>
      <c r="I20" s="347"/>
      <c r="J20" s="347">
        <v>141</v>
      </c>
      <c r="K20" s="347"/>
      <c r="L20" s="347">
        <f>J20-H20</f>
        <v>-23</v>
      </c>
      <c r="M20" s="347"/>
      <c r="N20" s="346">
        <f>J20/H20*100</f>
        <v>85.975609756097555</v>
      </c>
      <c r="O20" s="346"/>
    </row>
    <row r="21" spans="1:15" ht="40.5" customHeight="1">
      <c r="A21" s="130" t="s">
        <v>298</v>
      </c>
      <c r="B21" s="315">
        <v>6984</v>
      </c>
      <c r="C21" s="316"/>
      <c r="D21" s="349">
        <v>7681</v>
      </c>
      <c r="E21" s="350"/>
      <c r="F21" s="347">
        <v>7568</v>
      </c>
      <c r="G21" s="347"/>
      <c r="H21" s="347">
        <f>6984/4+402</f>
        <v>2148</v>
      </c>
      <c r="I21" s="347"/>
      <c r="J21" s="347">
        <f>'1. Фін результат'!E80-'6.1. Інша інфо_1'!J20:K20+112</f>
        <v>2054</v>
      </c>
      <c r="K21" s="347"/>
      <c r="L21" s="347">
        <f>J21-H21</f>
        <v>-94</v>
      </c>
      <c r="M21" s="347"/>
      <c r="N21" s="346">
        <f>J21/H21*100</f>
        <v>95.623836126629428</v>
      </c>
      <c r="O21" s="346"/>
    </row>
    <row r="22" spans="1:15" ht="20.149999999999999" customHeight="1">
      <c r="A22" s="130" t="s">
        <v>299</v>
      </c>
      <c r="B22" s="315">
        <v>29901</v>
      </c>
      <c r="C22" s="316"/>
      <c r="D22" s="349">
        <v>25004</v>
      </c>
      <c r="E22" s="350"/>
      <c r="F22" s="347">
        <v>32163</v>
      </c>
      <c r="G22" s="347"/>
      <c r="H22" s="347">
        <f>29901/4</f>
        <v>7475.25</v>
      </c>
      <c r="I22" s="347"/>
      <c r="J22" s="347">
        <f>'1. Фін результат'!E17</f>
        <v>6609</v>
      </c>
      <c r="K22" s="347"/>
      <c r="L22" s="347">
        <f>J22-H22</f>
        <v>-866.25</v>
      </c>
      <c r="M22" s="347"/>
      <c r="N22" s="346">
        <f>J22/H22*100</f>
        <v>88.411758804053378</v>
      </c>
      <c r="O22" s="346"/>
    </row>
    <row r="23" spans="1:15">
      <c r="A23" s="317" t="s">
        <v>332</v>
      </c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9"/>
    </row>
    <row r="24" spans="1:15" ht="20.149999999999999" customHeight="1">
      <c r="A24" s="130" t="s">
        <v>578</v>
      </c>
      <c r="B24" s="348">
        <v>654</v>
      </c>
      <c r="C24" s="348"/>
      <c r="D24" s="347">
        <v>872</v>
      </c>
      <c r="E24" s="347"/>
      <c r="F24" s="347">
        <v>798</v>
      </c>
      <c r="G24" s="347"/>
      <c r="H24" s="347">
        <f>H20*1.22</f>
        <v>200.07999999999998</v>
      </c>
      <c r="I24" s="347"/>
      <c r="J24" s="347">
        <v>177</v>
      </c>
      <c r="K24" s="347"/>
      <c r="L24" s="347">
        <f>J24-H24</f>
        <v>-23.079999999999984</v>
      </c>
      <c r="M24" s="347"/>
      <c r="N24" s="346">
        <f>J24/H24*100</f>
        <v>88.464614154338278</v>
      </c>
      <c r="O24" s="346"/>
    </row>
    <row r="25" spans="1:15" ht="42.75" customHeight="1">
      <c r="A25" s="130" t="s">
        <v>298</v>
      </c>
      <c r="B25" s="348">
        <v>8419</v>
      </c>
      <c r="C25" s="348"/>
      <c r="D25" s="347">
        <v>9253</v>
      </c>
      <c r="E25" s="347"/>
      <c r="F25" s="347">
        <v>9133</v>
      </c>
      <c r="G25" s="347"/>
      <c r="H25" s="347">
        <f>H21*1.22-208</f>
        <v>2412.56</v>
      </c>
      <c r="I25" s="347"/>
      <c r="J25" s="347">
        <f>'1. Фін результат'!E80-'6.1. Інша інфо_1'!J24:K24+'1. Фін результат'!E81+142</f>
        <v>2477</v>
      </c>
      <c r="K25" s="347"/>
      <c r="L25" s="347">
        <f>J25-H25</f>
        <v>64.440000000000055</v>
      </c>
      <c r="M25" s="347"/>
      <c r="N25" s="346">
        <f>J25/H25*100</f>
        <v>102.67102165334749</v>
      </c>
      <c r="O25" s="346"/>
    </row>
    <row r="26" spans="1:15" ht="20.149999999999999" customHeight="1">
      <c r="A26" s="130" t="s">
        <v>299</v>
      </c>
      <c r="B26" s="348">
        <v>36246</v>
      </c>
      <c r="C26" s="348"/>
      <c r="D26" s="347">
        <v>30746</v>
      </c>
      <c r="E26" s="347"/>
      <c r="F26" s="347">
        <v>39009</v>
      </c>
      <c r="G26" s="347"/>
      <c r="H26" s="347">
        <f>H22*1.22</f>
        <v>9119.8050000000003</v>
      </c>
      <c r="I26" s="347"/>
      <c r="J26" s="347">
        <f>'1. Фін результат'!E17+'1. Фін результат'!E18</f>
        <v>8117</v>
      </c>
      <c r="K26" s="347"/>
      <c r="L26" s="347">
        <f>J26-H26</f>
        <v>-1002.8050000000003</v>
      </c>
      <c r="M26" s="347"/>
      <c r="N26" s="346">
        <f>J26/H26*100</f>
        <v>89.004096030562053</v>
      </c>
      <c r="O26" s="346"/>
    </row>
    <row r="27" spans="1:15">
      <c r="A27" s="317" t="s">
        <v>300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9"/>
    </row>
    <row r="28" spans="1:15" ht="20.149999999999999" customHeight="1">
      <c r="A28" s="130" t="s">
        <v>578</v>
      </c>
      <c r="B28" s="347">
        <v>44658</v>
      </c>
      <c r="C28" s="347"/>
      <c r="D28" s="347">
        <v>57917</v>
      </c>
      <c r="E28" s="347"/>
      <c r="F28" s="347">
        <v>54500</v>
      </c>
      <c r="G28" s="347"/>
      <c r="H28" s="347">
        <f>H20/3*1000</f>
        <v>54666.666666666664</v>
      </c>
      <c r="I28" s="347"/>
      <c r="J28" s="347">
        <f>J20/3*1000</f>
        <v>47000</v>
      </c>
      <c r="K28" s="347"/>
      <c r="L28" s="347">
        <f>J28-H28</f>
        <v>-7666.6666666666642</v>
      </c>
      <c r="M28" s="347"/>
      <c r="N28" s="346">
        <f>J28/H28*100</f>
        <v>85.975609756097555</v>
      </c>
      <c r="O28" s="346"/>
    </row>
    <row r="29" spans="1:15" ht="45" customHeight="1">
      <c r="A29" s="130" t="s">
        <v>298</v>
      </c>
      <c r="B29" s="347">
        <v>26048</v>
      </c>
      <c r="C29" s="347"/>
      <c r="D29" s="347">
        <v>30480</v>
      </c>
      <c r="E29" s="347"/>
      <c r="F29" s="347">
        <v>28288</v>
      </c>
      <c r="G29" s="347"/>
      <c r="H29" s="347">
        <f>H21/21/3*1000</f>
        <v>34095.238095238092</v>
      </c>
      <c r="I29" s="347"/>
      <c r="J29" s="347">
        <f>J21/21/3*1000</f>
        <v>32603.174603174601</v>
      </c>
      <c r="K29" s="347"/>
      <c r="L29" s="347">
        <f>J29-H29</f>
        <v>-1492.0634920634911</v>
      </c>
      <c r="M29" s="347"/>
      <c r="N29" s="346">
        <f>J29/H29*100</f>
        <v>95.623836126629428</v>
      </c>
      <c r="O29" s="346"/>
    </row>
    <row r="30" spans="1:15" ht="20.149999999999999" customHeight="1">
      <c r="A30" s="130" t="s">
        <v>299</v>
      </c>
      <c r="B30" s="347">
        <v>16320</v>
      </c>
      <c r="C30" s="347"/>
      <c r="D30" s="347">
        <v>17963</v>
      </c>
      <c r="E30" s="347"/>
      <c r="F30" s="347">
        <v>17442</v>
      </c>
      <c r="G30" s="347"/>
      <c r="H30" s="347">
        <f>H22/141/3*1000</f>
        <v>17671.985815602839</v>
      </c>
      <c r="I30" s="347"/>
      <c r="J30" s="347">
        <f>J22/111/3*1000</f>
        <v>19846.846846846849</v>
      </c>
      <c r="K30" s="347"/>
      <c r="L30" s="347">
        <f>J30-H30</f>
        <v>2174.8610312440105</v>
      </c>
      <c r="M30" s="347"/>
      <c r="N30" s="346">
        <f>J30/H30*100</f>
        <v>112.30682875109483</v>
      </c>
      <c r="O30" s="346"/>
    </row>
    <row r="31" spans="1:15" ht="42.75" customHeight="1">
      <c r="A31" s="317" t="s">
        <v>301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9"/>
    </row>
    <row r="32" spans="1:15" ht="20.149999999999999" customHeight="1">
      <c r="A32" s="130" t="s">
        <v>578</v>
      </c>
      <c r="B32" s="347">
        <v>44658</v>
      </c>
      <c r="C32" s="347"/>
      <c r="D32" s="347">
        <f>D28</f>
        <v>57917</v>
      </c>
      <c r="E32" s="347"/>
      <c r="F32" s="347">
        <v>54500</v>
      </c>
      <c r="G32" s="347"/>
      <c r="H32" s="347">
        <f>H28</f>
        <v>54666.666666666664</v>
      </c>
      <c r="I32" s="347"/>
      <c r="J32" s="347">
        <f>J28</f>
        <v>47000</v>
      </c>
      <c r="K32" s="347"/>
      <c r="L32" s="347">
        <f>J32-H32</f>
        <v>-7666.6666666666642</v>
      </c>
      <c r="M32" s="347"/>
      <c r="N32" s="346">
        <f>J32/H32*100</f>
        <v>85.975609756097555</v>
      </c>
      <c r="O32" s="346"/>
    </row>
    <row r="33" spans="1:15" ht="35.25" customHeight="1">
      <c r="A33" s="130" t="s">
        <v>298</v>
      </c>
      <c r="B33" s="347">
        <v>26455</v>
      </c>
      <c r="C33" s="347"/>
      <c r="D33" s="347">
        <f>D29</f>
        <v>30480</v>
      </c>
      <c r="E33" s="347"/>
      <c r="F33" s="347">
        <v>28668</v>
      </c>
      <c r="G33" s="347"/>
      <c r="H33" s="347">
        <f>H29</f>
        <v>34095.238095238092</v>
      </c>
      <c r="I33" s="347"/>
      <c r="J33" s="347">
        <f>J29</f>
        <v>32603.174603174601</v>
      </c>
      <c r="K33" s="347"/>
      <c r="L33" s="347">
        <f>J33-H33</f>
        <v>-1492.0634920634911</v>
      </c>
      <c r="M33" s="347"/>
      <c r="N33" s="346">
        <f>J33/H33*100</f>
        <v>95.623836126629428</v>
      </c>
      <c r="O33" s="346"/>
    </row>
    <row r="34" spans="1:15" ht="20.149999999999999" customHeight="1">
      <c r="A34" s="130" t="s">
        <v>299</v>
      </c>
      <c r="B34" s="347">
        <v>18457</v>
      </c>
      <c r="C34" s="347"/>
      <c r="D34" s="347">
        <f>D30</f>
        <v>17963</v>
      </c>
      <c r="E34" s="347"/>
      <c r="F34" s="347">
        <v>19853</v>
      </c>
      <c r="G34" s="347"/>
      <c r="H34" s="347">
        <f>H30</f>
        <v>17671.985815602839</v>
      </c>
      <c r="I34" s="347"/>
      <c r="J34" s="347">
        <f>J30</f>
        <v>19846.846846846849</v>
      </c>
      <c r="K34" s="347"/>
      <c r="L34" s="347">
        <f>J34-H34</f>
        <v>2174.8610312440105</v>
      </c>
      <c r="M34" s="347"/>
      <c r="N34" s="346">
        <f>J34/H34*100</f>
        <v>112.30682875109483</v>
      </c>
      <c r="O34" s="346"/>
    </row>
    <row r="35" spans="1:15" ht="7.5" customHeight="1">
      <c r="A35" s="69"/>
      <c r="B35" s="69"/>
      <c r="C35" s="69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74"/>
    </row>
    <row r="36" spans="1:15" ht="22.5" customHeight="1">
      <c r="A36" s="373" t="s">
        <v>345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</row>
    <row r="37" spans="1:15" ht="11.25" customHeight="1">
      <c r="A37" s="42"/>
      <c r="B37" s="42"/>
      <c r="C37" s="42"/>
      <c r="D37" s="9"/>
      <c r="E37" s="9"/>
      <c r="F37" s="42"/>
      <c r="G37" s="42"/>
      <c r="H37" s="42"/>
      <c r="I37" s="42"/>
    </row>
    <row r="38" spans="1:15" ht="30.75" customHeight="1">
      <c r="A38" s="361" t="s">
        <v>368</v>
      </c>
      <c r="B38" s="361"/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</row>
    <row r="39" spans="1:15" ht="30.75" customHeight="1">
      <c r="A39" s="43" t="s">
        <v>135</v>
      </c>
      <c r="B39" s="320" t="s">
        <v>369</v>
      </c>
      <c r="C39" s="321"/>
      <c r="D39" s="321"/>
      <c r="E39" s="322"/>
      <c r="F39" s="328" t="s">
        <v>83</v>
      </c>
      <c r="G39" s="328"/>
      <c r="H39" s="328"/>
      <c r="I39" s="328"/>
      <c r="J39" s="328"/>
      <c r="K39" s="328"/>
      <c r="L39" s="328"/>
      <c r="M39" s="328"/>
      <c r="N39" s="328"/>
      <c r="O39" s="328"/>
    </row>
    <row r="40" spans="1:15" ht="17.25" customHeight="1">
      <c r="A40" s="43">
        <v>1</v>
      </c>
      <c r="B40" s="326">
        <v>2</v>
      </c>
      <c r="C40" s="327"/>
      <c r="D40" s="327"/>
      <c r="E40" s="327"/>
      <c r="F40" s="328">
        <v>3</v>
      </c>
      <c r="G40" s="328"/>
      <c r="H40" s="328"/>
      <c r="I40" s="328"/>
      <c r="J40" s="328"/>
      <c r="K40" s="328"/>
      <c r="L40" s="328"/>
      <c r="M40" s="328"/>
      <c r="N40" s="328"/>
      <c r="O40" s="328"/>
    </row>
    <row r="41" spans="1:15" ht="20.149999999999999" customHeight="1">
      <c r="A41" s="43"/>
      <c r="B41" s="341"/>
      <c r="C41" s="342"/>
      <c r="D41" s="342"/>
      <c r="E41" s="342"/>
      <c r="F41" s="340"/>
      <c r="G41" s="340"/>
      <c r="H41" s="340"/>
      <c r="I41" s="340"/>
      <c r="J41" s="340"/>
      <c r="K41" s="340"/>
      <c r="L41" s="340"/>
      <c r="M41" s="340"/>
      <c r="N41" s="340"/>
      <c r="O41" s="340"/>
    </row>
    <row r="42" spans="1:15" ht="20.149999999999999" hidden="1" customHeight="1" outlineLevel="1">
      <c r="A42" s="37"/>
      <c r="B42" s="44"/>
      <c r="C42" s="44"/>
      <c r="D42" s="70"/>
      <c r="E42" s="70"/>
      <c r="F42" s="45"/>
      <c r="G42" s="45"/>
      <c r="H42" s="45"/>
      <c r="I42" s="45"/>
      <c r="J42" s="45"/>
      <c r="K42" s="45"/>
      <c r="L42" s="45"/>
      <c r="M42" s="344" t="s">
        <v>239</v>
      </c>
      <c r="N42" s="344"/>
      <c r="O42" s="344"/>
    </row>
    <row r="43" spans="1:15" ht="20.149999999999999" hidden="1" customHeight="1" outlineLevel="1">
      <c r="A43" s="37"/>
      <c r="B43" s="44"/>
      <c r="C43" s="44"/>
      <c r="D43" s="70"/>
      <c r="E43" s="70"/>
      <c r="F43" s="45"/>
      <c r="G43" s="45"/>
      <c r="H43" s="45"/>
      <c r="I43" s="45"/>
      <c r="J43" s="45"/>
      <c r="K43" s="45"/>
      <c r="L43" s="45"/>
      <c r="M43" s="345" t="s">
        <v>289</v>
      </c>
      <c r="N43" s="345"/>
      <c r="O43" s="345"/>
    </row>
    <row r="44" spans="1:15" collapsed="1">
      <c r="A44" s="338" t="s">
        <v>249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</row>
    <row r="46" spans="1:15" ht="52.5" customHeight="1">
      <c r="A46" s="332" t="s">
        <v>285</v>
      </c>
      <c r="B46" s="333"/>
      <c r="C46" s="310"/>
      <c r="D46" s="303" t="s">
        <v>240</v>
      </c>
      <c r="E46" s="303"/>
      <c r="F46" s="303"/>
      <c r="G46" s="303" t="s">
        <v>236</v>
      </c>
      <c r="H46" s="303"/>
      <c r="I46" s="303"/>
      <c r="J46" s="303" t="s">
        <v>290</v>
      </c>
      <c r="K46" s="303"/>
      <c r="L46" s="303"/>
      <c r="M46" s="315" t="s">
        <v>291</v>
      </c>
      <c r="N46" s="316"/>
      <c r="O46" s="289" t="s">
        <v>314</v>
      </c>
    </row>
    <row r="47" spans="1:15" ht="189.75" customHeight="1">
      <c r="A47" s="334"/>
      <c r="B47" s="335"/>
      <c r="C47" s="311"/>
      <c r="D47" s="230" t="s">
        <v>317</v>
      </c>
      <c r="E47" s="230" t="s">
        <v>316</v>
      </c>
      <c r="F47" s="230" t="s">
        <v>315</v>
      </c>
      <c r="G47" s="230" t="s">
        <v>317</v>
      </c>
      <c r="H47" s="230" t="s">
        <v>316</v>
      </c>
      <c r="I47" s="230" t="s">
        <v>315</v>
      </c>
      <c r="J47" s="230" t="s">
        <v>317</v>
      </c>
      <c r="K47" s="230" t="s">
        <v>316</v>
      </c>
      <c r="L47" s="230" t="s">
        <v>315</v>
      </c>
      <c r="M47" s="230" t="s">
        <v>241</v>
      </c>
      <c r="N47" s="230" t="s">
        <v>242</v>
      </c>
      <c r="O47" s="343"/>
    </row>
    <row r="48" spans="1:15">
      <c r="A48" s="315">
        <v>1</v>
      </c>
      <c r="B48" s="372"/>
      <c r="C48" s="316"/>
      <c r="D48" s="230">
        <v>4</v>
      </c>
      <c r="E48" s="230">
        <v>5</v>
      </c>
      <c r="F48" s="230">
        <v>6</v>
      </c>
      <c r="G48" s="230">
        <v>7</v>
      </c>
      <c r="H48" s="128">
        <v>8</v>
      </c>
      <c r="I48" s="128">
        <v>9</v>
      </c>
      <c r="J48" s="128">
        <v>10</v>
      </c>
      <c r="K48" s="128">
        <v>11</v>
      </c>
      <c r="L48" s="128">
        <v>12</v>
      </c>
      <c r="M48" s="128">
        <v>13</v>
      </c>
      <c r="N48" s="128">
        <v>14</v>
      </c>
      <c r="O48" s="128">
        <v>15</v>
      </c>
    </row>
    <row r="49" spans="1:15" ht="45.75" customHeight="1">
      <c r="A49" s="323" t="s">
        <v>562</v>
      </c>
      <c r="B49" s="324"/>
      <c r="C49" s="325"/>
      <c r="D49" s="232">
        <f>'1. Фін результат'!D10</f>
        <v>29313</v>
      </c>
      <c r="E49" s="242">
        <v>2025</v>
      </c>
      <c r="F49" s="242">
        <f>D49/E49*1000</f>
        <v>14475.555555555555</v>
      </c>
      <c r="G49" s="232">
        <f>'1. Фін результат'!E10</f>
        <v>21466</v>
      </c>
      <c r="H49" s="128">
        <v>2000</v>
      </c>
      <c r="I49" s="242">
        <f>G49/H49*1000</f>
        <v>10733</v>
      </c>
      <c r="J49" s="243">
        <f>G49-D49</f>
        <v>-7847</v>
      </c>
      <c r="K49" s="128">
        <f t="shared" ref="J49:L50" si="2">H49-E49</f>
        <v>-25</v>
      </c>
      <c r="L49" s="244">
        <f t="shared" si="2"/>
        <v>-3742.5555555555547</v>
      </c>
      <c r="M49" s="244">
        <f>G49/D49*100</f>
        <v>73.230307372155707</v>
      </c>
      <c r="N49" s="244">
        <f>H49/E49*100</f>
        <v>98.76543209876543</v>
      </c>
      <c r="O49" s="128"/>
    </row>
    <row r="50" spans="1:15" ht="45.75" customHeight="1">
      <c r="A50" s="323" t="s">
        <v>561</v>
      </c>
      <c r="B50" s="324"/>
      <c r="C50" s="325"/>
      <c r="D50" s="232">
        <f>'1. Фін результат'!D11</f>
        <v>84987</v>
      </c>
      <c r="E50" s="242">
        <v>8625</v>
      </c>
      <c r="F50" s="242">
        <f>D50/E50*1000</f>
        <v>9853.565217391304</v>
      </c>
      <c r="G50" s="232">
        <f>'1. Фін результат'!E11</f>
        <v>47603</v>
      </c>
      <c r="H50" s="128">
        <v>8600</v>
      </c>
      <c r="I50" s="242">
        <f>G50/H50*1000</f>
        <v>5535.2325581395353</v>
      </c>
      <c r="J50" s="243">
        <f t="shared" si="2"/>
        <v>-37384</v>
      </c>
      <c r="K50" s="128">
        <f t="shared" si="2"/>
        <v>-25</v>
      </c>
      <c r="L50" s="244">
        <f t="shared" si="2"/>
        <v>-4318.3326592517687</v>
      </c>
      <c r="M50" s="244">
        <f>G50/D50*100</f>
        <v>56.012095967618578</v>
      </c>
      <c r="N50" s="244">
        <f>H50/E50*100</f>
        <v>99.710144927536234</v>
      </c>
      <c r="O50" s="128"/>
    </row>
    <row r="51" spans="1:15" ht="48.75" customHeight="1">
      <c r="A51" s="323" t="s">
        <v>394</v>
      </c>
      <c r="B51" s="324"/>
      <c r="C51" s="325"/>
      <c r="D51" s="232">
        <f>'1. Фін результат'!D12</f>
        <v>1000</v>
      </c>
      <c r="E51" s="230"/>
      <c r="F51" s="230"/>
      <c r="G51" s="232">
        <f>'1. Фін результат'!E12</f>
        <v>718</v>
      </c>
      <c r="H51" s="128"/>
      <c r="I51" s="242"/>
      <c r="J51" s="243">
        <f>G51-D51</f>
        <v>-282</v>
      </c>
      <c r="K51" s="128"/>
      <c r="L51" s="244"/>
      <c r="M51" s="244">
        <f>G51/D51*100</f>
        <v>71.8</v>
      </c>
      <c r="N51" s="128"/>
      <c r="O51" s="128"/>
    </row>
    <row r="52" spans="1:15" ht="25" customHeight="1">
      <c r="A52" s="369" t="s">
        <v>57</v>
      </c>
      <c r="B52" s="370"/>
      <c r="C52" s="371"/>
      <c r="D52" s="232">
        <f>SUM(D49:D51)-1</f>
        <v>115299</v>
      </c>
      <c r="E52" s="232"/>
      <c r="F52" s="134">
        <f>SUM(F49:F51)</f>
        <v>24329.120772946859</v>
      </c>
      <c r="G52" s="134">
        <f>SUM(G49:G51)</f>
        <v>69787</v>
      </c>
      <c r="H52" s="134"/>
      <c r="I52" s="134">
        <f>SUM(I49:I51)</f>
        <v>16268.232558139534</v>
      </c>
      <c r="J52" s="134"/>
      <c r="K52" s="134"/>
      <c r="L52" s="134"/>
      <c r="M52" s="135"/>
      <c r="N52" s="135"/>
      <c r="O52" s="134"/>
    </row>
    <row r="53" spans="1:15">
      <c r="A53" s="46"/>
      <c r="B53" s="47"/>
      <c r="C53" s="47"/>
      <c r="D53" s="71"/>
      <c r="E53" s="71"/>
      <c r="F53" s="48"/>
      <c r="G53" s="48"/>
      <c r="H53" s="48"/>
      <c r="I53" s="49"/>
      <c r="J53" s="49"/>
      <c r="K53" s="49"/>
      <c r="L53" s="49"/>
      <c r="M53" s="49"/>
      <c r="N53" s="49"/>
      <c r="O53" s="49"/>
    </row>
    <row r="54" spans="1:15">
      <c r="A54" s="338" t="s">
        <v>73</v>
      </c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</row>
    <row r="56" spans="1:15" ht="56.25" customHeight="1">
      <c r="A56" s="38" t="s">
        <v>124</v>
      </c>
      <c r="B56" s="330" t="s">
        <v>72</v>
      </c>
      <c r="C56" s="330"/>
      <c r="D56" s="331" t="s">
        <v>67</v>
      </c>
      <c r="E56" s="331"/>
      <c r="F56" s="330" t="s">
        <v>68</v>
      </c>
      <c r="G56" s="330"/>
      <c r="H56" s="330" t="s">
        <v>87</v>
      </c>
      <c r="I56" s="330"/>
      <c r="J56" s="330"/>
      <c r="K56" s="336" t="s">
        <v>84</v>
      </c>
      <c r="L56" s="337"/>
      <c r="M56" s="336" t="s">
        <v>36</v>
      </c>
      <c r="N56" s="339"/>
      <c r="O56" s="337"/>
    </row>
    <row r="57" spans="1:15">
      <c r="A57" s="40">
        <v>1</v>
      </c>
      <c r="B57" s="328">
        <v>2</v>
      </c>
      <c r="C57" s="328"/>
      <c r="D57" s="329">
        <v>3</v>
      </c>
      <c r="E57" s="329"/>
      <c r="F57" s="328">
        <v>4</v>
      </c>
      <c r="G57" s="328"/>
      <c r="H57" s="328">
        <v>5</v>
      </c>
      <c r="I57" s="328"/>
      <c r="J57" s="328"/>
      <c r="K57" s="328">
        <v>6</v>
      </c>
      <c r="L57" s="328"/>
      <c r="M57" s="326">
        <v>7</v>
      </c>
      <c r="N57" s="327"/>
      <c r="O57" s="351"/>
    </row>
    <row r="58" spans="1:15">
      <c r="A58" s="50"/>
      <c r="B58" s="340"/>
      <c r="C58" s="340"/>
      <c r="D58" s="355"/>
      <c r="E58" s="355"/>
      <c r="F58" s="365" t="s">
        <v>257</v>
      </c>
      <c r="G58" s="365"/>
      <c r="H58" s="330"/>
      <c r="I58" s="330"/>
      <c r="J58" s="330"/>
      <c r="K58" s="352"/>
      <c r="L58" s="353"/>
      <c r="M58" s="354"/>
      <c r="N58" s="354"/>
      <c r="O58" s="354"/>
    </row>
    <row r="59" spans="1:15">
      <c r="A59" s="50"/>
      <c r="B59" s="356"/>
      <c r="C59" s="357"/>
      <c r="D59" s="358"/>
      <c r="E59" s="359"/>
      <c r="F59" s="363"/>
      <c r="G59" s="364"/>
      <c r="H59" s="336"/>
      <c r="I59" s="339"/>
      <c r="J59" s="337"/>
      <c r="K59" s="352"/>
      <c r="L59" s="353"/>
      <c r="M59" s="352"/>
      <c r="N59" s="360"/>
      <c r="O59" s="353"/>
    </row>
    <row r="60" spans="1:15">
      <c r="A60" s="50"/>
      <c r="B60" s="341"/>
      <c r="C60" s="366"/>
      <c r="D60" s="358"/>
      <c r="E60" s="359"/>
      <c r="F60" s="363"/>
      <c r="G60" s="364"/>
      <c r="H60" s="336"/>
      <c r="I60" s="339"/>
      <c r="J60" s="337"/>
      <c r="K60" s="352"/>
      <c r="L60" s="353"/>
      <c r="M60" s="352"/>
      <c r="N60" s="360"/>
      <c r="O60" s="353"/>
    </row>
    <row r="61" spans="1:15">
      <c r="A61" s="50"/>
      <c r="B61" s="340"/>
      <c r="C61" s="340"/>
      <c r="D61" s="355"/>
      <c r="E61" s="355"/>
      <c r="F61" s="365"/>
      <c r="G61" s="365"/>
      <c r="H61" s="330"/>
      <c r="I61" s="330"/>
      <c r="J61" s="330"/>
      <c r="K61" s="352"/>
      <c r="L61" s="353"/>
      <c r="M61" s="354"/>
      <c r="N61" s="354"/>
      <c r="O61" s="354"/>
    </row>
    <row r="62" spans="1:15">
      <c r="A62" s="51" t="s">
        <v>57</v>
      </c>
      <c r="B62" s="328" t="s">
        <v>37</v>
      </c>
      <c r="C62" s="328"/>
      <c r="D62" s="329" t="s">
        <v>37</v>
      </c>
      <c r="E62" s="329"/>
      <c r="F62" s="328" t="s">
        <v>37</v>
      </c>
      <c r="G62" s="328"/>
      <c r="H62" s="330"/>
      <c r="I62" s="330"/>
      <c r="J62" s="330"/>
      <c r="K62" s="352"/>
      <c r="L62" s="353"/>
      <c r="M62" s="354"/>
      <c r="N62" s="354"/>
      <c r="O62" s="354"/>
    </row>
    <row r="63" spans="1:15">
      <c r="A63" s="48"/>
      <c r="C63" s="37"/>
      <c r="D63" s="3"/>
      <c r="E63" s="3"/>
      <c r="F63" s="37"/>
      <c r="G63" s="37"/>
      <c r="H63" s="37"/>
      <c r="I63" s="37"/>
      <c r="J63" s="37"/>
    </row>
    <row r="64" spans="1:15">
      <c r="A64" s="338" t="s">
        <v>74</v>
      </c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</row>
    <row r="65" spans="1:15" ht="2.5" customHeight="1">
      <c r="A65" s="49"/>
      <c r="B65" s="49"/>
      <c r="C65" s="49"/>
      <c r="D65" s="68"/>
      <c r="E65" s="68"/>
      <c r="F65" s="49"/>
      <c r="G65" s="49"/>
      <c r="H65" s="49"/>
      <c r="I65" s="52"/>
    </row>
    <row r="66" spans="1:15" ht="42.75" customHeight="1">
      <c r="A66" s="330" t="s">
        <v>66</v>
      </c>
      <c r="B66" s="330"/>
      <c r="C66" s="330"/>
      <c r="D66" s="331" t="s">
        <v>243</v>
      </c>
      <c r="E66" s="331"/>
      <c r="F66" s="330" t="s">
        <v>244</v>
      </c>
      <c r="G66" s="330"/>
      <c r="H66" s="330"/>
      <c r="I66" s="330"/>
      <c r="J66" s="330" t="s">
        <v>247</v>
      </c>
      <c r="K66" s="330"/>
      <c r="L66" s="330"/>
      <c r="M66" s="330"/>
      <c r="N66" s="330" t="s">
        <v>248</v>
      </c>
      <c r="O66" s="330"/>
    </row>
    <row r="67" spans="1:15" ht="42.75" customHeight="1">
      <c r="A67" s="330"/>
      <c r="B67" s="330"/>
      <c r="C67" s="330"/>
      <c r="D67" s="331"/>
      <c r="E67" s="331"/>
      <c r="F67" s="328" t="s">
        <v>245</v>
      </c>
      <c r="G67" s="328"/>
      <c r="H67" s="330" t="s">
        <v>246</v>
      </c>
      <c r="I67" s="330"/>
      <c r="J67" s="328" t="s">
        <v>245</v>
      </c>
      <c r="K67" s="328"/>
      <c r="L67" s="330" t="s">
        <v>246</v>
      </c>
      <c r="M67" s="330"/>
      <c r="N67" s="330"/>
      <c r="O67" s="330"/>
    </row>
    <row r="68" spans="1:15">
      <c r="A68" s="330">
        <v>1</v>
      </c>
      <c r="B68" s="330"/>
      <c r="C68" s="330"/>
      <c r="D68" s="367">
        <v>2</v>
      </c>
      <c r="E68" s="368"/>
      <c r="F68" s="336">
        <v>3</v>
      </c>
      <c r="G68" s="337"/>
      <c r="H68" s="326">
        <v>4</v>
      </c>
      <c r="I68" s="351"/>
      <c r="J68" s="326">
        <v>5</v>
      </c>
      <c r="K68" s="351"/>
      <c r="L68" s="326">
        <v>6</v>
      </c>
      <c r="M68" s="351"/>
      <c r="N68" s="326">
        <v>7</v>
      </c>
      <c r="O68" s="351"/>
    </row>
    <row r="69" spans="1:15" ht="20.149999999999999" customHeight="1">
      <c r="A69" s="362" t="s">
        <v>311</v>
      </c>
      <c r="B69" s="362"/>
      <c r="C69" s="362"/>
      <c r="D69" s="358"/>
      <c r="E69" s="359"/>
      <c r="F69" s="352"/>
      <c r="G69" s="353"/>
      <c r="H69" s="352"/>
      <c r="I69" s="353"/>
      <c r="J69" s="352"/>
      <c r="K69" s="353"/>
      <c r="L69" s="352"/>
      <c r="M69" s="353"/>
      <c r="N69" s="352"/>
      <c r="O69" s="353"/>
    </row>
    <row r="70" spans="1:15" ht="20.149999999999999" customHeight="1">
      <c r="A70" s="362" t="s">
        <v>101</v>
      </c>
      <c r="B70" s="362"/>
      <c r="C70" s="362"/>
      <c r="D70" s="358"/>
      <c r="E70" s="359"/>
      <c r="F70" s="352"/>
      <c r="G70" s="353"/>
      <c r="H70" s="352"/>
      <c r="I70" s="353"/>
      <c r="J70" s="352"/>
      <c r="K70" s="353"/>
      <c r="L70" s="352"/>
      <c r="M70" s="353"/>
      <c r="N70" s="352"/>
      <c r="O70" s="353"/>
    </row>
    <row r="71" spans="1:15" ht="20.149999999999999" customHeight="1">
      <c r="A71" s="362"/>
      <c r="B71" s="362"/>
      <c r="C71" s="362"/>
      <c r="D71" s="358"/>
      <c r="E71" s="359"/>
      <c r="F71" s="352"/>
      <c r="G71" s="353"/>
      <c r="H71" s="352"/>
      <c r="I71" s="353"/>
      <c r="J71" s="352"/>
      <c r="K71" s="353"/>
      <c r="L71" s="352"/>
      <c r="M71" s="353"/>
      <c r="N71" s="352"/>
      <c r="O71" s="353"/>
    </row>
    <row r="72" spans="1:15" ht="20.149999999999999" customHeight="1">
      <c r="A72" s="362" t="s">
        <v>312</v>
      </c>
      <c r="B72" s="362"/>
      <c r="C72" s="362"/>
      <c r="D72" s="358"/>
      <c r="E72" s="359"/>
      <c r="F72" s="352"/>
      <c r="G72" s="353"/>
      <c r="H72" s="352"/>
      <c r="I72" s="353"/>
      <c r="J72" s="352"/>
      <c r="K72" s="353"/>
      <c r="L72" s="352"/>
      <c r="M72" s="353"/>
      <c r="N72" s="352"/>
      <c r="O72" s="353"/>
    </row>
    <row r="73" spans="1:15" ht="20.149999999999999" customHeight="1">
      <c r="A73" s="362" t="s">
        <v>361</v>
      </c>
      <c r="B73" s="362"/>
      <c r="C73" s="362"/>
      <c r="D73" s="358"/>
      <c r="E73" s="359"/>
      <c r="F73" s="352"/>
      <c r="G73" s="353"/>
      <c r="H73" s="352"/>
      <c r="I73" s="353"/>
      <c r="J73" s="352"/>
      <c r="K73" s="353"/>
      <c r="L73" s="352"/>
      <c r="M73" s="353"/>
      <c r="N73" s="352"/>
      <c r="O73" s="353"/>
    </row>
    <row r="74" spans="1:15" ht="20.149999999999999" customHeight="1">
      <c r="A74" s="362"/>
      <c r="B74" s="362"/>
      <c r="C74" s="362"/>
      <c r="D74" s="358"/>
      <c r="E74" s="359"/>
      <c r="F74" s="352"/>
      <c r="G74" s="353"/>
      <c r="H74" s="352"/>
      <c r="I74" s="353"/>
      <c r="J74" s="352"/>
      <c r="K74" s="353"/>
      <c r="L74" s="352"/>
      <c r="M74" s="353"/>
      <c r="N74" s="352"/>
      <c r="O74" s="353"/>
    </row>
    <row r="75" spans="1:15" ht="20.149999999999999" customHeight="1">
      <c r="A75" s="362" t="s">
        <v>313</v>
      </c>
      <c r="B75" s="362"/>
      <c r="C75" s="362"/>
      <c r="D75" s="358"/>
      <c r="E75" s="359"/>
      <c r="F75" s="352"/>
      <c r="G75" s="353"/>
      <c r="H75" s="352"/>
      <c r="I75" s="353"/>
      <c r="J75" s="352"/>
      <c r="K75" s="353"/>
      <c r="L75" s="352"/>
      <c r="M75" s="353"/>
      <c r="N75" s="352"/>
      <c r="O75" s="353"/>
    </row>
    <row r="76" spans="1:15" ht="20.149999999999999" customHeight="1">
      <c r="A76" s="362" t="s">
        <v>101</v>
      </c>
      <c r="B76" s="362"/>
      <c r="C76" s="362"/>
      <c r="D76" s="358"/>
      <c r="E76" s="359"/>
      <c r="F76" s="352"/>
      <c r="G76" s="353"/>
      <c r="H76" s="352"/>
      <c r="I76" s="353"/>
      <c r="J76" s="352"/>
      <c r="K76" s="353"/>
      <c r="L76" s="352"/>
      <c r="M76" s="353"/>
      <c r="N76" s="352"/>
      <c r="O76" s="353"/>
    </row>
    <row r="77" spans="1:15" ht="20.149999999999999" customHeight="1">
      <c r="A77" s="362"/>
      <c r="B77" s="362"/>
      <c r="C77" s="362"/>
      <c r="D77" s="358"/>
      <c r="E77" s="359"/>
      <c r="F77" s="352"/>
      <c r="G77" s="353"/>
      <c r="H77" s="352"/>
      <c r="I77" s="353"/>
      <c r="J77" s="352"/>
      <c r="K77" s="353"/>
      <c r="L77" s="352"/>
      <c r="M77" s="353"/>
      <c r="N77" s="352"/>
      <c r="O77" s="353"/>
    </row>
    <row r="78" spans="1:15" ht="25" customHeight="1">
      <c r="A78" s="362" t="s">
        <v>57</v>
      </c>
      <c r="B78" s="362"/>
      <c r="C78" s="362"/>
      <c r="D78" s="358"/>
      <c r="E78" s="359"/>
      <c r="F78" s="352"/>
      <c r="G78" s="353"/>
      <c r="H78" s="352"/>
      <c r="I78" s="353"/>
      <c r="J78" s="352"/>
      <c r="K78" s="353"/>
      <c r="L78" s="352"/>
      <c r="M78" s="353"/>
      <c r="N78" s="352"/>
      <c r="O78" s="353"/>
    </row>
    <row r="79" spans="1:15">
      <c r="C79" s="53"/>
      <c r="D79" s="72"/>
      <c r="E79" s="72"/>
    </row>
    <row r="80" spans="1:15">
      <c r="C80" s="53"/>
      <c r="D80" s="72"/>
      <c r="E80" s="72"/>
    </row>
    <row r="81" spans="3:5">
      <c r="C81" s="53"/>
      <c r="D81" s="72"/>
      <c r="E81" s="72"/>
    </row>
    <row r="82" spans="3:5">
      <c r="C82" s="53"/>
      <c r="D82" s="72"/>
      <c r="E82" s="72"/>
    </row>
    <row r="83" spans="3:5">
      <c r="C83" s="53"/>
      <c r="D83" s="72"/>
      <c r="E83" s="72"/>
    </row>
    <row r="84" spans="3:5">
      <c r="C84" s="53"/>
      <c r="D84" s="72"/>
      <c r="E84" s="72"/>
    </row>
    <row r="85" spans="3:5">
      <c r="C85" s="53"/>
      <c r="D85" s="72"/>
      <c r="E85" s="72"/>
    </row>
    <row r="86" spans="3:5">
      <c r="C86" s="53"/>
      <c r="D86" s="72"/>
      <c r="E86" s="72"/>
    </row>
    <row r="87" spans="3:5">
      <c r="C87" s="53"/>
      <c r="D87" s="72"/>
      <c r="E87" s="72"/>
    </row>
    <row r="88" spans="3:5">
      <c r="C88" s="53"/>
      <c r="D88" s="72"/>
      <c r="E88" s="72"/>
    </row>
    <row r="89" spans="3:5">
      <c r="C89" s="53"/>
      <c r="D89" s="72"/>
      <c r="E89" s="72"/>
    </row>
    <row r="90" spans="3:5">
      <c r="C90" s="53"/>
      <c r="D90" s="72"/>
      <c r="E90" s="72"/>
    </row>
    <row r="91" spans="3:5">
      <c r="C91" s="53"/>
      <c r="D91" s="72"/>
      <c r="E91" s="72"/>
    </row>
    <row r="92" spans="3:5">
      <c r="C92" s="53"/>
      <c r="D92" s="72"/>
      <c r="E92" s="72"/>
    </row>
  </sheetData>
  <mergeCells count="305">
    <mergeCell ref="F15:G15"/>
    <mergeCell ref="F16:G16"/>
    <mergeCell ref="L15:M15"/>
    <mergeCell ref="D18:E18"/>
    <mergeCell ref="B16:C16"/>
    <mergeCell ref="B15:C15"/>
    <mergeCell ref="J17:K17"/>
    <mergeCell ref="N1:O1"/>
    <mergeCell ref="N2:O2"/>
    <mergeCell ref="A3:O3"/>
    <mergeCell ref="A4:O4"/>
    <mergeCell ref="A5:O5"/>
    <mergeCell ref="A6:O6"/>
    <mergeCell ref="A7:O7"/>
    <mergeCell ref="A8:O8"/>
    <mergeCell ref="B17:C17"/>
    <mergeCell ref="D15:E15"/>
    <mergeCell ref="H11:I11"/>
    <mergeCell ref="J11:K11"/>
    <mergeCell ref="D16:E16"/>
    <mergeCell ref="D17:E17"/>
    <mergeCell ref="H15:I15"/>
    <mergeCell ref="J15:K15"/>
    <mergeCell ref="J16:K16"/>
    <mergeCell ref="H16:I16"/>
    <mergeCell ref="H17:I17"/>
    <mergeCell ref="L16:M16"/>
    <mergeCell ref="N16:O16"/>
    <mergeCell ref="L17:M17"/>
    <mergeCell ref="N15:O15"/>
    <mergeCell ref="L13:M13"/>
    <mergeCell ref="N13:O13"/>
    <mergeCell ref="N14:O14"/>
    <mergeCell ref="H13:I13"/>
    <mergeCell ref="J13:K13"/>
    <mergeCell ref="N17:O17"/>
    <mergeCell ref="A48:C48"/>
    <mergeCell ref="G46:I46"/>
    <mergeCell ref="J46:L46"/>
    <mergeCell ref="A36:O36"/>
    <mergeCell ref="F40:O40"/>
    <mergeCell ref="B21:C21"/>
    <mergeCell ref="B22:C22"/>
    <mergeCell ref="D20:E20"/>
    <mergeCell ref="D21:E21"/>
    <mergeCell ref="L22:M22"/>
    <mergeCell ref="L24:M24"/>
    <mergeCell ref="L25:M25"/>
    <mergeCell ref="N25:O25"/>
    <mergeCell ref="A23:O23"/>
    <mergeCell ref="F25:G25"/>
    <mergeCell ref="J22:K22"/>
    <mergeCell ref="J24:K24"/>
    <mergeCell ref="J25:K25"/>
    <mergeCell ref="D24:E24"/>
    <mergeCell ref="H22:I22"/>
    <mergeCell ref="H24:I24"/>
    <mergeCell ref="H25:I25"/>
    <mergeCell ref="F22:G22"/>
    <mergeCell ref="N24:O24"/>
    <mergeCell ref="A52:C52"/>
    <mergeCell ref="H58:J58"/>
    <mergeCell ref="F58:G58"/>
    <mergeCell ref="N69:O69"/>
    <mergeCell ref="L70:M70"/>
    <mergeCell ref="J69:K69"/>
    <mergeCell ref="H68:I68"/>
    <mergeCell ref="K62:L62"/>
    <mergeCell ref="J68:K68"/>
    <mergeCell ref="D60:E60"/>
    <mergeCell ref="F60:G60"/>
    <mergeCell ref="H69:I69"/>
    <mergeCell ref="F66:I66"/>
    <mergeCell ref="F67:G67"/>
    <mergeCell ref="H70:I70"/>
    <mergeCell ref="J70:K70"/>
    <mergeCell ref="L67:M67"/>
    <mergeCell ref="H62:J62"/>
    <mergeCell ref="K61:L61"/>
    <mergeCell ref="J66:M66"/>
    <mergeCell ref="A64:O64"/>
    <mergeCell ref="B62:C62"/>
    <mergeCell ref="D62:E62"/>
    <mergeCell ref="F62:G62"/>
    <mergeCell ref="H61:J61"/>
    <mergeCell ref="D61:E61"/>
    <mergeCell ref="M62:O62"/>
    <mergeCell ref="L68:M68"/>
    <mergeCell ref="N68:O68"/>
    <mergeCell ref="N66:O67"/>
    <mergeCell ref="B60:C60"/>
    <mergeCell ref="H60:J60"/>
    <mergeCell ref="H67:I67"/>
    <mergeCell ref="A68:C68"/>
    <mergeCell ref="A66:C67"/>
    <mergeCell ref="D66:E67"/>
    <mergeCell ref="F68:G68"/>
    <mergeCell ref="D68:E68"/>
    <mergeCell ref="J67:K67"/>
    <mergeCell ref="B61:C61"/>
    <mergeCell ref="A71:C71"/>
    <mergeCell ref="L69:M69"/>
    <mergeCell ref="N70:O70"/>
    <mergeCell ref="A73:C73"/>
    <mergeCell ref="L73:M73"/>
    <mergeCell ref="N72:O72"/>
    <mergeCell ref="D72:E72"/>
    <mergeCell ref="J72:K72"/>
    <mergeCell ref="H72:I72"/>
    <mergeCell ref="F73:G73"/>
    <mergeCell ref="N71:O71"/>
    <mergeCell ref="L72:M72"/>
    <mergeCell ref="A72:C72"/>
    <mergeCell ref="H71:I71"/>
    <mergeCell ref="L71:M71"/>
    <mergeCell ref="D71:E71"/>
    <mergeCell ref="A69:C69"/>
    <mergeCell ref="F69:G69"/>
    <mergeCell ref="D70:E70"/>
    <mergeCell ref="F70:G70"/>
    <mergeCell ref="D69:E69"/>
    <mergeCell ref="A70:C70"/>
    <mergeCell ref="H78:I78"/>
    <mergeCell ref="J78:K78"/>
    <mergeCell ref="L78:M78"/>
    <mergeCell ref="H59:J59"/>
    <mergeCell ref="F59:G59"/>
    <mergeCell ref="N73:O73"/>
    <mergeCell ref="F61:G61"/>
    <mergeCell ref="K60:L60"/>
    <mergeCell ref="M60:O60"/>
    <mergeCell ref="L75:M75"/>
    <mergeCell ref="N75:O75"/>
    <mergeCell ref="L74:M74"/>
    <mergeCell ref="J74:K74"/>
    <mergeCell ref="H74:I74"/>
    <mergeCell ref="L76:M76"/>
    <mergeCell ref="H76:I76"/>
    <mergeCell ref="J76:K76"/>
    <mergeCell ref="F72:G72"/>
    <mergeCell ref="F71:G71"/>
    <mergeCell ref="J71:K71"/>
    <mergeCell ref="H73:I73"/>
    <mergeCell ref="J73:K73"/>
    <mergeCell ref="N76:O76"/>
    <mergeCell ref="M61:O61"/>
    <mergeCell ref="N74:O74"/>
    <mergeCell ref="H75:I75"/>
    <mergeCell ref="J75:K75"/>
    <mergeCell ref="A78:C78"/>
    <mergeCell ref="A74:C74"/>
    <mergeCell ref="A77:C77"/>
    <mergeCell ref="D73:E73"/>
    <mergeCell ref="D78:E78"/>
    <mergeCell ref="A76:C76"/>
    <mergeCell ref="F74:G74"/>
    <mergeCell ref="D74:E74"/>
    <mergeCell ref="A75:C75"/>
    <mergeCell ref="D75:E75"/>
    <mergeCell ref="F75:G75"/>
    <mergeCell ref="D76:E76"/>
    <mergeCell ref="F76:G76"/>
    <mergeCell ref="N78:O78"/>
    <mergeCell ref="D77:E77"/>
    <mergeCell ref="F77:G77"/>
    <mergeCell ref="H77:I77"/>
    <mergeCell ref="J77:K77"/>
    <mergeCell ref="L77:M77"/>
    <mergeCell ref="N77:O77"/>
    <mergeCell ref="F78:G78"/>
    <mergeCell ref="N29:O29"/>
    <mergeCell ref="D29:E29"/>
    <mergeCell ref="D30:E30"/>
    <mergeCell ref="H29:I29"/>
    <mergeCell ref="H30:I30"/>
    <mergeCell ref="L30:M30"/>
    <mergeCell ref="J30:K30"/>
    <mergeCell ref="L29:M29"/>
    <mergeCell ref="F29:G29"/>
    <mergeCell ref="D10:E10"/>
    <mergeCell ref="H10:I10"/>
    <mergeCell ref="F10:G10"/>
    <mergeCell ref="F13:G13"/>
    <mergeCell ref="K57:L57"/>
    <mergeCell ref="M57:O57"/>
    <mergeCell ref="B57:C57"/>
    <mergeCell ref="K59:L59"/>
    <mergeCell ref="F57:G57"/>
    <mergeCell ref="M58:O58"/>
    <mergeCell ref="B58:C58"/>
    <mergeCell ref="D58:E58"/>
    <mergeCell ref="K58:L58"/>
    <mergeCell ref="B59:C59"/>
    <mergeCell ref="D59:E59"/>
    <mergeCell ref="M59:O59"/>
    <mergeCell ref="F30:G30"/>
    <mergeCell ref="B30:C30"/>
    <mergeCell ref="D34:E34"/>
    <mergeCell ref="D33:E33"/>
    <mergeCell ref="A38:O38"/>
    <mergeCell ref="N30:O30"/>
    <mergeCell ref="J29:K29"/>
    <mergeCell ref="B29:C29"/>
    <mergeCell ref="A27:O27"/>
    <mergeCell ref="L26:M26"/>
    <mergeCell ref="D25:E25"/>
    <mergeCell ref="N28:O28"/>
    <mergeCell ref="N26:O26"/>
    <mergeCell ref="F18:G18"/>
    <mergeCell ref="N10:O10"/>
    <mergeCell ref="J10:K10"/>
    <mergeCell ref="L10:M10"/>
    <mergeCell ref="A12:O12"/>
    <mergeCell ref="N11:O11"/>
    <mergeCell ref="F11:G11"/>
    <mergeCell ref="B11:C11"/>
    <mergeCell ref="L11:M11"/>
    <mergeCell ref="L14:M14"/>
    <mergeCell ref="H14:I14"/>
    <mergeCell ref="J14:K14"/>
    <mergeCell ref="D13:E13"/>
    <mergeCell ref="B13:C13"/>
    <mergeCell ref="B14:C14"/>
    <mergeCell ref="D14:E14"/>
    <mergeCell ref="D11:E11"/>
    <mergeCell ref="F14:G14"/>
    <mergeCell ref="B10:C10"/>
    <mergeCell ref="H21:I21"/>
    <mergeCell ref="N21:O21"/>
    <mergeCell ref="L18:M18"/>
    <mergeCell ref="L20:M20"/>
    <mergeCell ref="L21:M21"/>
    <mergeCell ref="F20:G20"/>
    <mergeCell ref="F21:G21"/>
    <mergeCell ref="J18:K18"/>
    <mergeCell ref="J20:K20"/>
    <mergeCell ref="J21:K21"/>
    <mergeCell ref="F17:G17"/>
    <mergeCell ref="N18:O18"/>
    <mergeCell ref="F24:G24"/>
    <mergeCell ref="N22:O22"/>
    <mergeCell ref="B24:C24"/>
    <mergeCell ref="B25:C25"/>
    <mergeCell ref="J28:K28"/>
    <mergeCell ref="D28:E28"/>
    <mergeCell ref="H28:I28"/>
    <mergeCell ref="D26:E26"/>
    <mergeCell ref="J26:K26"/>
    <mergeCell ref="F26:G26"/>
    <mergeCell ref="H26:I26"/>
    <mergeCell ref="B26:C26"/>
    <mergeCell ref="B28:C28"/>
    <mergeCell ref="B18:C18"/>
    <mergeCell ref="D22:E22"/>
    <mergeCell ref="N20:O20"/>
    <mergeCell ref="L28:M28"/>
    <mergeCell ref="A19:O19"/>
    <mergeCell ref="H18:I18"/>
    <mergeCell ref="B20:C20"/>
    <mergeCell ref="F28:G28"/>
    <mergeCell ref="H20:I20"/>
    <mergeCell ref="M43:O43"/>
    <mergeCell ref="N32:O32"/>
    <mergeCell ref="B33:C33"/>
    <mergeCell ref="B34:C34"/>
    <mergeCell ref="L33:M33"/>
    <mergeCell ref="L34:M34"/>
    <mergeCell ref="N33:O33"/>
    <mergeCell ref="J34:K34"/>
    <mergeCell ref="F34:G34"/>
    <mergeCell ref="F33:G33"/>
    <mergeCell ref="N34:O34"/>
    <mergeCell ref="H33:I33"/>
    <mergeCell ref="H34:I34"/>
    <mergeCell ref="J33:K33"/>
    <mergeCell ref="L32:M32"/>
    <mergeCell ref="J32:K32"/>
    <mergeCell ref="H32:I32"/>
    <mergeCell ref="D32:E32"/>
    <mergeCell ref="B32:C32"/>
    <mergeCell ref="F32:G32"/>
    <mergeCell ref="M46:N46"/>
    <mergeCell ref="A31:O31"/>
    <mergeCell ref="B39:E39"/>
    <mergeCell ref="A51:C51"/>
    <mergeCell ref="B40:E40"/>
    <mergeCell ref="F39:O39"/>
    <mergeCell ref="D57:E57"/>
    <mergeCell ref="H57:J57"/>
    <mergeCell ref="B56:C56"/>
    <mergeCell ref="D56:E56"/>
    <mergeCell ref="D46:F46"/>
    <mergeCell ref="A46:C47"/>
    <mergeCell ref="K56:L56"/>
    <mergeCell ref="A54:O54"/>
    <mergeCell ref="F56:G56"/>
    <mergeCell ref="H56:J56"/>
    <mergeCell ref="A49:C49"/>
    <mergeCell ref="A50:C50"/>
    <mergeCell ref="M56:O56"/>
    <mergeCell ref="F41:O41"/>
    <mergeCell ref="B41:E41"/>
    <mergeCell ref="O46:O47"/>
    <mergeCell ref="A44:O44"/>
    <mergeCell ref="M42:O42"/>
  </mergeCells>
  <phoneticPr fontId="3" type="noConversion"/>
  <pageMargins left="0.59055118110236227" right="0.59055118110236227" top="0.39370078740157483" bottom="0.39370078740157483" header="0" footer="0"/>
  <pageSetup paperSize="9" scale="49" orientation="landscape" horizontalDpi="1200" verticalDpi="1200" r:id="rId1"/>
  <headerFooter alignWithMargins="0"/>
  <rowBreaks count="1" manualBreakCount="1">
    <brk id="41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F71"/>
  <sheetViews>
    <sheetView tabSelected="1" view="pageBreakPreview" topLeftCell="A3" zoomScale="55" zoomScaleNormal="50" zoomScaleSheetLayoutView="55" workbookViewId="0">
      <selection activeCell="R10" sqref="R10:AC10"/>
    </sheetView>
  </sheetViews>
  <sheetFormatPr defaultColWidth="9.1796875" defaultRowHeight="20.5" outlineLevelRow="1"/>
  <cols>
    <col min="1" max="2" width="4.453125" style="2" customWidth="1"/>
    <col min="3" max="3" width="28.7265625" style="2" customWidth="1"/>
    <col min="4" max="6" width="8.453125" style="2" customWidth="1"/>
    <col min="7" max="7" width="11.26953125" style="2" customWidth="1"/>
    <col min="8" max="8" width="6.54296875" style="2" customWidth="1"/>
    <col min="9" max="9" width="6.81640625" style="2" customWidth="1"/>
    <col min="10" max="10" width="8.7265625" style="2" customWidth="1"/>
    <col min="11" max="11" width="7" style="2" customWidth="1"/>
    <col min="12" max="12" width="6" style="2" customWidth="1"/>
    <col min="13" max="13" width="12.26953125" style="2" customWidth="1"/>
    <col min="14" max="14" width="12.54296875" style="36" customWidth="1"/>
    <col min="15" max="15" width="14.54296875" style="36" customWidth="1"/>
    <col min="16" max="16" width="14" style="36" customWidth="1"/>
    <col min="17" max="17" width="12.54296875" style="36" customWidth="1"/>
    <col min="18" max="18" width="12.26953125" style="36" customWidth="1"/>
    <col min="19" max="19" width="14.54296875" style="36" customWidth="1"/>
    <col min="20" max="20" width="14" style="36" customWidth="1"/>
    <col min="21" max="21" width="12.54296875" style="36" customWidth="1"/>
    <col min="22" max="22" width="12.26953125" style="36" customWidth="1"/>
    <col min="23" max="23" width="14.81640625" style="36" customWidth="1"/>
    <col min="24" max="24" width="14" style="36" customWidth="1"/>
    <col min="25" max="25" width="12.54296875" style="36" customWidth="1"/>
    <col min="26" max="26" width="12.26953125" style="36" customWidth="1"/>
    <col min="27" max="27" width="14.54296875" style="36" customWidth="1"/>
    <col min="28" max="28" width="13.7265625" style="36" customWidth="1"/>
    <col min="29" max="29" width="12.26953125" style="36" customWidth="1"/>
    <col min="30" max="30" width="12" style="36" customWidth="1"/>
    <col min="31" max="31" width="14.54296875" style="36" customWidth="1"/>
    <col min="32" max="32" width="14" style="36" customWidth="1"/>
    <col min="33" max="16384" width="9.1796875" style="2"/>
  </cols>
  <sheetData>
    <row r="1" spans="1:32" ht="18.75" hidden="1" customHeight="1" outlineLevel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7"/>
      <c r="O1" s="37"/>
      <c r="P1" s="37"/>
      <c r="R1" s="46"/>
      <c r="S1" s="46"/>
      <c r="T1" s="46"/>
      <c r="U1" s="46"/>
      <c r="V1" s="46"/>
      <c r="AD1" s="374" t="s">
        <v>239</v>
      </c>
      <c r="AE1" s="374"/>
      <c r="AF1" s="374"/>
    </row>
    <row r="2" spans="1:32" ht="18.75" hidden="1" customHeight="1" outlineLevel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7"/>
      <c r="O2" s="37"/>
      <c r="P2" s="37"/>
      <c r="R2" s="46"/>
      <c r="S2" s="46"/>
      <c r="T2" s="46"/>
      <c r="U2" s="46"/>
      <c r="V2" s="46"/>
      <c r="AD2" s="374"/>
      <c r="AE2" s="374"/>
      <c r="AF2" s="374"/>
    </row>
    <row r="3" spans="1:32" s="6" customFormat="1" ht="18.75" customHeight="1" collapsed="1">
      <c r="A3" s="379" t="s">
        <v>250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</row>
    <row r="4" spans="1:3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27.75" customHeight="1">
      <c r="A5" s="449" t="s">
        <v>52</v>
      </c>
      <c r="B5" s="451" t="s">
        <v>194</v>
      </c>
      <c r="C5" s="452"/>
      <c r="D5" s="385" t="s">
        <v>195</v>
      </c>
      <c r="E5" s="386"/>
      <c r="F5" s="386"/>
      <c r="G5" s="264" t="s">
        <v>344</v>
      </c>
      <c r="H5" s="264"/>
      <c r="I5" s="264"/>
      <c r="J5" s="264"/>
      <c r="K5" s="264"/>
      <c r="L5" s="264"/>
      <c r="M5" s="264"/>
      <c r="N5" s="385" t="s">
        <v>196</v>
      </c>
      <c r="O5" s="386"/>
      <c r="P5" s="386"/>
      <c r="Q5" s="387"/>
      <c r="R5" s="382" t="s">
        <v>302</v>
      </c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4"/>
    </row>
    <row r="6" spans="1:32" ht="48.75" customHeight="1">
      <c r="A6" s="450"/>
      <c r="B6" s="453"/>
      <c r="C6" s="454"/>
      <c r="D6" s="388"/>
      <c r="E6" s="389"/>
      <c r="F6" s="389"/>
      <c r="G6" s="264"/>
      <c r="H6" s="264"/>
      <c r="I6" s="264"/>
      <c r="J6" s="264"/>
      <c r="K6" s="264"/>
      <c r="L6" s="264"/>
      <c r="M6" s="264"/>
      <c r="N6" s="388"/>
      <c r="O6" s="389"/>
      <c r="P6" s="389"/>
      <c r="Q6" s="390"/>
      <c r="R6" s="429" t="s">
        <v>197</v>
      </c>
      <c r="S6" s="430"/>
      <c r="T6" s="431"/>
      <c r="U6" s="429" t="s">
        <v>198</v>
      </c>
      <c r="V6" s="430"/>
      <c r="W6" s="431"/>
      <c r="X6" s="429" t="s">
        <v>41</v>
      </c>
      <c r="Y6" s="430"/>
      <c r="Z6" s="431"/>
      <c r="AA6" s="382" t="s">
        <v>199</v>
      </c>
      <c r="AB6" s="383"/>
      <c r="AC6" s="384"/>
      <c r="AD6" s="382" t="s">
        <v>200</v>
      </c>
      <c r="AE6" s="383"/>
      <c r="AF6" s="384"/>
    </row>
    <row r="7" spans="1:32" ht="18.75" customHeight="1">
      <c r="A7" s="177">
        <v>1</v>
      </c>
      <c r="B7" s="439">
        <v>2</v>
      </c>
      <c r="C7" s="440"/>
      <c r="D7" s="315">
        <v>3</v>
      </c>
      <c r="E7" s="372"/>
      <c r="F7" s="372"/>
      <c r="G7" s="303">
        <v>4</v>
      </c>
      <c r="H7" s="303"/>
      <c r="I7" s="303"/>
      <c r="J7" s="303"/>
      <c r="K7" s="303"/>
      <c r="L7" s="303"/>
      <c r="M7" s="303"/>
      <c r="N7" s="315">
        <v>5</v>
      </c>
      <c r="O7" s="372"/>
      <c r="P7" s="372"/>
      <c r="Q7" s="316"/>
      <c r="R7" s="315">
        <v>6</v>
      </c>
      <c r="S7" s="372"/>
      <c r="T7" s="316"/>
      <c r="U7" s="315">
        <v>7</v>
      </c>
      <c r="V7" s="372"/>
      <c r="W7" s="316"/>
      <c r="X7" s="426">
        <v>8</v>
      </c>
      <c r="Y7" s="427"/>
      <c r="Z7" s="428"/>
      <c r="AA7" s="426">
        <v>9</v>
      </c>
      <c r="AB7" s="427"/>
      <c r="AC7" s="428"/>
      <c r="AD7" s="426">
        <v>10</v>
      </c>
      <c r="AE7" s="427"/>
      <c r="AF7" s="428"/>
    </row>
    <row r="8" spans="1:32" ht="20.149999999999999" customHeight="1">
      <c r="A8" s="177">
        <v>1</v>
      </c>
      <c r="B8" s="439" t="s">
        <v>486</v>
      </c>
      <c r="C8" s="440"/>
      <c r="D8" s="396">
        <v>38687</v>
      </c>
      <c r="E8" s="372"/>
      <c r="F8" s="372"/>
      <c r="G8" s="303" t="s">
        <v>487</v>
      </c>
      <c r="H8" s="303"/>
      <c r="I8" s="303"/>
      <c r="J8" s="303"/>
      <c r="K8" s="303"/>
      <c r="L8" s="303"/>
      <c r="M8" s="303"/>
      <c r="N8" s="349">
        <f>R8+U8+X8+AA8</f>
        <v>157</v>
      </c>
      <c r="O8" s="434"/>
      <c r="P8" s="434"/>
      <c r="Q8" s="350"/>
      <c r="R8" s="349">
        <v>88</v>
      </c>
      <c r="S8" s="434"/>
      <c r="T8" s="350"/>
      <c r="U8" s="349">
        <v>54</v>
      </c>
      <c r="V8" s="434"/>
      <c r="W8" s="350"/>
      <c r="X8" s="349">
        <v>15</v>
      </c>
      <c r="Y8" s="434"/>
      <c r="Z8" s="350"/>
      <c r="AA8" s="349">
        <v>0</v>
      </c>
      <c r="AB8" s="434"/>
      <c r="AC8" s="350"/>
      <c r="AD8" s="349"/>
      <c r="AE8" s="434"/>
      <c r="AF8" s="350"/>
    </row>
    <row r="9" spans="1:32" ht="20.149999999999999" customHeight="1">
      <c r="A9" s="177">
        <v>2</v>
      </c>
      <c r="B9" s="439" t="s">
        <v>547</v>
      </c>
      <c r="C9" s="440"/>
      <c r="D9" s="396">
        <v>43061</v>
      </c>
      <c r="E9" s="372"/>
      <c r="F9" s="372"/>
      <c r="G9" s="303" t="s">
        <v>487</v>
      </c>
      <c r="H9" s="303"/>
      <c r="I9" s="303"/>
      <c r="J9" s="303"/>
      <c r="K9" s="303"/>
      <c r="L9" s="303"/>
      <c r="M9" s="303"/>
      <c r="N9" s="349">
        <f>R9+U9+X9+AA9</f>
        <v>135</v>
      </c>
      <c r="O9" s="434"/>
      <c r="P9" s="434"/>
      <c r="Q9" s="350"/>
      <c r="R9" s="349">
        <v>59</v>
      </c>
      <c r="S9" s="434"/>
      <c r="T9" s="350"/>
      <c r="U9" s="349">
        <v>58</v>
      </c>
      <c r="V9" s="434"/>
      <c r="W9" s="350"/>
      <c r="X9" s="349">
        <v>15</v>
      </c>
      <c r="Y9" s="434"/>
      <c r="Z9" s="350"/>
      <c r="AA9" s="349">
        <v>3</v>
      </c>
      <c r="AB9" s="434"/>
      <c r="AC9" s="350"/>
      <c r="AD9" s="349"/>
      <c r="AE9" s="434"/>
      <c r="AF9" s="350"/>
    </row>
    <row r="10" spans="1:32" ht="25" customHeight="1">
      <c r="A10" s="457" t="s">
        <v>57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9"/>
      <c r="N10" s="349">
        <f>SUM(N8:N9)</f>
        <v>292</v>
      </c>
      <c r="O10" s="434"/>
      <c r="P10" s="434"/>
      <c r="Q10" s="350"/>
      <c r="R10" s="349">
        <f>R8+R9</f>
        <v>147</v>
      </c>
      <c r="S10" s="434"/>
      <c r="T10" s="350"/>
      <c r="U10" s="349">
        <f>U8+U9</f>
        <v>112</v>
      </c>
      <c r="V10" s="434"/>
      <c r="W10" s="350"/>
      <c r="X10" s="349">
        <f t="shared" ref="X10" si="0">X8+X9</f>
        <v>30</v>
      </c>
      <c r="Y10" s="434"/>
      <c r="Z10" s="350"/>
      <c r="AA10" s="349">
        <f t="shared" ref="AA10" si="1">AA8+AA9</f>
        <v>3</v>
      </c>
      <c r="AB10" s="434"/>
      <c r="AC10" s="350"/>
      <c r="AD10" s="349"/>
      <c r="AE10" s="434"/>
      <c r="AF10" s="350"/>
    </row>
    <row r="11" spans="1:32" ht="11.25" customHeight="1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80"/>
      <c r="AF11" s="180"/>
    </row>
    <row r="12" spans="1:32" ht="10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63"/>
      <c r="O12" s="63"/>
      <c r="P12" s="63"/>
      <c r="Q12" s="63"/>
      <c r="R12" s="55"/>
      <c r="S12" s="55"/>
      <c r="T12" s="55"/>
      <c r="U12" s="55"/>
      <c r="V12" s="55"/>
      <c r="W12" s="55"/>
      <c r="X12" s="64"/>
      <c r="Y12" s="64"/>
      <c r="Z12" s="64"/>
      <c r="AA12" s="64"/>
      <c r="AB12" s="64"/>
      <c r="AC12" s="64"/>
      <c r="AD12" s="64"/>
      <c r="AE12" s="67"/>
      <c r="AF12" s="67"/>
    </row>
    <row r="13" spans="1:32" s="28" customFormat="1" ht="18.75" customHeight="1">
      <c r="A13" s="379" t="s">
        <v>251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</row>
    <row r="14" spans="1:32" s="11" customFormat="1" ht="18.75" customHeight="1"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</row>
    <row r="15" spans="1:32" ht="29.25" customHeight="1">
      <c r="A15" s="432" t="s">
        <v>52</v>
      </c>
      <c r="B15" s="401" t="s">
        <v>201</v>
      </c>
      <c r="C15" s="403"/>
      <c r="D15" s="424" t="s">
        <v>194</v>
      </c>
      <c r="E15" s="424"/>
      <c r="F15" s="424"/>
      <c r="G15" s="424"/>
      <c r="H15" s="424" t="s">
        <v>344</v>
      </c>
      <c r="I15" s="424"/>
      <c r="J15" s="424"/>
      <c r="K15" s="424"/>
      <c r="L15" s="424"/>
      <c r="M15" s="424"/>
      <c r="N15" s="424"/>
      <c r="O15" s="424"/>
      <c r="P15" s="424"/>
      <c r="Q15" s="424"/>
      <c r="R15" s="413" t="s">
        <v>202</v>
      </c>
      <c r="S15" s="413"/>
      <c r="T15" s="413"/>
      <c r="U15" s="413"/>
      <c r="V15" s="413"/>
      <c r="W15" s="397" t="s">
        <v>203</v>
      </c>
      <c r="X15" s="397"/>
      <c r="Y15" s="397"/>
      <c r="Z15" s="397"/>
      <c r="AA15" s="397"/>
      <c r="AB15" s="397"/>
      <c r="AC15" s="397"/>
      <c r="AD15" s="397"/>
      <c r="AE15" s="397"/>
      <c r="AF15" s="397"/>
    </row>
    <row r="16" spans="1:32" ht="25" customHeight="1">
      <c r="A16" s="432"/>
      <c r="B16" s="404"/>
      <c r="C16" s="406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13"/>
      <c r="S16" s="413"/>
      <c r="T16" s="413"/>
      <c r="U16" s="413"/>
      <c r="V16" s="413"/>
      <c r="W16" s="433" t="s">
        <v>307</v>
      </c>
      <c r="X16" s="433"/>
      <c r="Y16" s="435" t="s">
        <v>245</v>
      </c>
      <c r="Z16" s="436"/>
      <c r="AA16" s="435" t="s">
        <v>246</v>
      </c>
      <c r="AB16" s="436"/>
      <c r="AC16" s="435" t="s">
        <v>273</v>
      </c>
      <c r="AD16" s="436"/>
      <c r="AE16" s="435" t="s">
        <v>274</v>
      </c>
      <c r="AF16" s="436"/>
    </row>
    <row r="17" spans="1:32" ht="25" customHeight="1">
      <c r="A17" s="432"/>
      <c r="B17" s="407"/>
      <c r="C17" s="409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13"/>
      <c r="S17" s="413"/>
      <c r="T17" s="413"/>
      <c r="U17" s="413"/>
      <c r="V17" s="413"/>
      <c r="W17" s="433"/>
      <c r="X17" s="433"/>
      <c r="Y17" s="437"/>
      <c r="Z17" s="438"/>
      <c r="AA17" s="437"/>
      <c r="AB17" s="438"/>
      <c r="AC17" s="437"/>
      <c r="AD17" s="438"/>
      <c r="AE17" s="437"/>
      <c r="AF17" s="438"/>
    </row>
    <row r="18" spans="1:32" ht="18.75" customHeight="1">
      <c r="A18" s="13">
        <v>1</v>
      </c>
      <c r="B18" s="455">
        <v>2</v>
      </c>
      <c r="C18" s="456"/>
      <c r="D18" s="331">
        <v>3</v>
      </c>
      <c r="E18" s="331"/>
      <c r="F18" s="331"/>
      <c r="G18" s="331"/>
      <c r="H18" s="331">
        <v>4</v>
      </c>
      <c r="I18" s="331"/>
      <c r="J18" s="331"/>
      <c r="K18" s="331"/>
      <c r="L18" s="331"/>
      <c r="M18" s="331"/>
      <c r="N18" s="331"/>
      <c r="O18" s="331"/>
      <c r="P18" s="331"/>
      <c r="Q18" s="331"/>
      <c r="R18" s="330">
        <v>5</v>
      </c>
      <c r="S18" s="330"/>
      <c r="T18" s="330"/>
      <c r="U18" s="330"/>
      <c r="V18" s="330"/>
      <c r="W18" s="330">
        <v>6</v>
      </c>
      <c r="X18" s="330"/>
      <c r="Y18" s="328">
        <v>7</v>
      </c>
      <c r="Z18" s="328"/>
      <c r="AA18" s="328">
        <v>8</v>
      </c>
      <c r="AB18" s="328"/>
      <c r="AC18" s="328">
        <v>9</v>
      </c>
      <c r="AD18" s="328"/>
      <c r="AE18" s="328">
        <v>10</v>
      </c>
      <c r="AF18" s="328"/>
    </row>
    <row r="19" spans="1:32" ht="20.149999999999999" customHeight="1">
      <c r="A19" s="15"/>
      <c r="B19" s="391"/>
      <c r="C19" s="392"/>
      <c r="D19" s="331"/>
      <c r="E19" s="331"/>
      <c r="F19" s="331"/>
      <c r="G19" s="331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4"/>
      <c r="S19" s="414"/>
      <c r="T19" s="414"/>
      <c r="U19" s="414"/>
      <c r="V19" s="414"/>
      <c r="W19" s="354"/>
      <c r="X19" s="354"/>
      <c r="Y19" s="354"/>
      <c r="Z19" s="354"/>
      <c r="AA19" s="354"/>
      <c r="AB19" s="354"/>
      <c r="AC19" s="354"/>
      <c r="AD19" s="354"/>
      <c r="AE19" s="365"/>
      <c r="AF19" s="365"/>
    </row>
    <row r="20" spans="1:32" ht="20.149999999999999" customHeight="1">
      <c r="A20" s="15"/>
      <c r="B20" s="391"/>
      <c r="C20" s="392"/>
      <c r="D20" s="331"/>
      <c r="E20" s="331"/>
      <c r="F20" s="331"/>
      <c r="G20" s="331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4"/>
      <c r="S20" s="414"/>
      <c r="T20" s="414"/>
      <c r="U20" s="414"/>
      <c r="V20" s="414"/>
      <c r="W20" s="354"/>
      <c r="X20" s="354"/>
      <c r="Y20" s="354"/>
      <c r="Z20" s="354"/>
      <c r="AA20" s="354"/>
      <c r="AB20" s="354"/>
      <c r="AC20" s="354"/>
      <c r="AD20" s="354"/>
      <c r="AE20" s="365"/>
      <c r="AF20" s="365"/>
    </row>
    <row r="21" spans="1:32" ht="20.149999999999999" customHeight="1">
      <c r="A21" s="15"/>
      <c r="B21" s="391"/>
      <c r="C21" s="392"/>
      <c r="D21" s="331"/>
      <c r="E21" s="331"/>
      <c r="F21" s="331"/>
      <c r="G21" s="331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4"/>
      <c r="S21" s="414"/>
      <c r="T21" s="414"/>
      <c r="U21" s="414"/>
      <c r="V21" s="414"/>
      <c r="W21" s="354"/>
      <c r="X21" s="354"/>
      <c r="Y21" s="354"/>
      <c r="Z21" s="354"/>
      <c r="AA21" s="354"/>
      <c r="AB21" s="354"/>
      <c r="AC21" s="354"/>
      <c r="AD21" s="354"/>
      <c r="AE21" s="365"/>
      <c r="AF21" s="365"/>
    </row>
    <row r="22" spans="1:32" ht="20.149999999999999" customHeight="1">
      <c r="A22" s="15"/>
      <c r="B22" s="391"/>
      <c r="C22" s="392"/>
      <c r="D22" s="331"/>
      <c r="E22" s="331"/>
      <c r="F22" s="331"/>
      <c r="G22" s="331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4"/>
      <c r="S22" s="414"/>
      <c r="T22" s="414"/>
      <c r="U22" s="414"/>
      <c r="V22" s="414"/>
      <c r="W22" s="354"/>
      <c r="X22" s="354"/>
      <c r="Y22" s="354"/>
      <c r="Z22" s="354"/>
      <c r="AA22" s="354"/>
      <c r="AB22" s="354"/>
      <c r="AC22" s="354"/>
      <c r="AD22" s="354"/>
      <c r="AE22" s="365"/>
      <c r="AF22" s="365"/>
    </row>
    <row r="23" spans="1:32" ht="25" customHeight="1">
      <c r="A23" s="381" t="s">
        <v>57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54"/>
      <c r="X23" s="354"/>
      <c r="Y23" s="354"/>
      <c r="Z23" s="354"/>
      <c r="AA23" s="354"/>
      <c r="AB23" s="354"/>
      <c r="AC23" s="354"/>
      <c r="AD23" s="354"/>
      <c r="AE23" s="365"/>
      <c r="AF23" s="365"/>
    </row>
    <row r="24" spans="1:3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7"/>
      <c r="O24" s="37"/>
      <c r="P24" s="37"/>
      <c r="R24" s="46"/>
      <c r="S24" s="46"/>
      <c r="T24" s="46"/>
      <c r="U24" s="46"/>
      <c r="V24" s="46"/>
      <c r="AF24" s="46"/>
    </row>
    <row r="25" spans="1:32" ht="5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7"/>
      <c r="O25" s="37"/>
      <c r="P25" s="37"/>
      <c r="R25" s="46"/>
      <c r="S25" s="46"/>
      <c r="T25" s="46"/>
      <c r="U25" s="46"/>
      <c r="V25" s="46"/>
      <c r="AF25" s="46"/>
    </row>
    <row r="26" spans="1:32" s="28" customFormat="1" ht="18.75" customHeight="1">
      <c r="A26" s="379" t="s">
        <v>215</v>
      </c>
      <c r="B26" s="379"/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</row>
    <row r="27" spans="1:32">
      <c r="A27" s="16"/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57"/>
      <c r="O27" s="57"/>
      <c r="P27" s="57"/>
      <c r="Q27" s="57"/>
      <c r="R27" s="57"/>
      <c r="S27" s="57"/>
      <c r="T27" s="57"/>
      <c r="U27" s="57"/>
      <c r="V27" s="57"/>
      <c r="W27" s="65"/>
      <c r="Z27" s="447"/>
      <c r="AA27" s="447"/>
      <c r="AB27" s="447"/>
      <c r="AD27" s="447" t="s">
        <v>235</v>
      </c>
      <c r="AE27" s="447"/>
      <c r="AF27" s="447"/>
    </row>
    <row r="28" spans="1:32" ht="25" customHeight="1">
      <c r="A28" s="398" t="s">
        <v>52</v>
      </c>
      <c r="B28" s="401" t="s">
        <v>252</v>
      </c>
      <c r="C28" s="402"/>
      <c r="D28" s="402"/>
      <c r="E28" s="402"/>
      <c r="F28" s="402"/>
      <c r="G28" s="402"/>
      <c r="H28" s="402"/>
      <c r="I28" s="402"/>
      <c r="J28" s="402"/>
      <c r="K28" s="402"/>
      <c r="L28" s="403"/>
      <c r="M28" s="444" t="s">
        <v>56</v>
      </c>
      <c r="N28" s="445"/>
      <c r="O28" s="445"/>
      <c r="P28" s="446"/>
      <c r="Q28" s="393" t="s">
        <v>85</v>
      </c>
      <c r="R28" s="394"/>
      <c r="S28" s="394"/>
      <c r="T28" s="395"/>
      <c r="U28" s="393" t="s">
        <v>310</v>
      </c>
      <c r="V28" s="394"/>
      <c r="W28" s="394"/>
      <c r="X28" s="395"/>
      <c r="Y28" s="393" t="s">
        <v>125</v>
      </c>
      <c r="Z28" s="394"/>
      <c r="AA28" s="394"/>
      <c r="AB28" s="395"/>
      <c r="AC28" s="393" t="s">
        <v>57</v>
      </c>
      <c r="AD28" s="394"/>
      <c r="AE28" s="394"/>
      <c r="AF28" s="395"/>
    </row>
    <row r="29" spans="1:32" ht="25" customHeight="1">
      <c r="A29" s="399"/>
      <c r="B29" s="404"/>
      <c r="C29" s="405"/>
      <c r="D29" s="405"/>
      <c r="E29" s="405"/>
      <c r="F29" s="405"/>
      <c r="G29" s="405"/>
      <c r="H29" s="405"/>
      <c r="I29" s="405"/>
      <c r="J29" s="405"/>
      <c r="K29" s="405"/>
      <c r="L29" s="406"/>
      <c r="M29" s="410" t="s">
        <v>245</v>
      </c>
      <c r="N29" s="377" t="s">
        <v>246</v>
      </c>
      <c r="O29" s="377" t="s">
        <v>364</v>
      </c>
      <c r="P29" s="377" t="s">
        <v>365</v>
      </c>
      <c r="Q29" s="377" t="s">
        <v>245</v>
      </c>
      <c r="R29" s="377" t="s">
        <v>246</v>
      </c>
      <c r="S29" s="377" t="s">
        <v>364</v>
      </c>
      <c r="T29" s="377" t="s">
        <v>365</v>
      </c>
      <c r="U29" s="377" t="s">
        <v>245</v>
      </c>
      <c r="V29" s="377" t="s">
        <v>246</v>
      </c>
      <c r="W29" s="377" t="s">
        <v>364</v>
      </c>
      <c r="X29" s="377" t="s">
        <v>365</v>
      </c>
      <c r="Y29" s="377" t="s">
        <v>245</v>
      </c>
      <c r="Z29" s="377" t="s">
        <v>246</v>
      </c>
      <c r="AA29" s="377" t="s">
        <v>364</v>
      </c>
      <c r="AB29" s="377" t="s">
        <v>365</v>
      </c>
      <c r="AC29" s="377" t="s">
        <v>245</v>
      </c>
      <c r="AD29" s="377" t="s">
        <v>246</v>
      </c>
      <c r="AE29" s="377" t="s">
        <v>364</v>
      </c>
      <c r="AF29" s="377" t="s">
        <v>365</v>
      </c>
    </row>
    <row r="30" spans="1:32" ht="36.75" customHeight="1">
      <c r="A30" s="400"/>
      <c r="B30" s="407"/>
      <c r="C30" s="408"/>
      <c r="D30" s="408"/>
      <c r="E30" s="408"/>
      <c r="F30" s="408"/>
      <c r="G30" s="408"/>
      <c r="H30" s="408"/>
      <c r="I30" s="408"/>
      <c r="J30" s="408"/>
      <c r="K30" s="408"/>
      <c r="L30" s="409"/>
      <c r="M30" s="411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</row>
    <row r="31" spans="1:32" ht="18.75" customHeight="1">
      <c r="A31" s="15">
        <v>1</v>
      </c>
      <c r="B31" s="380">
        <v>2</v>
      </c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5">
        <v>3</v>
      </c>
      <c r="N31" s="39">
        <v>4</v>
      </c>
      <c r="O31" s="39">
        <v>5</v>
      </c>
      <c r="P31" s="39">
        <v>6</v>
      </c>
      <c r="Q31" s="39">
        <v>7</v>
      </c>
      <c r="R31" s="39">
        <v>8</v>
      </c>
      <c r="S31" s="39">
        <v>9</v>
      </c>
      <c r="T31" s="39">
        <v>10</v>
      </c>
      <c r="U31" s="39">
        <v>11</v>
      </c>
      <c r="V31" s="39">
        <v>12</v>
      </c>
      <c r="W31" s="39">
        <v>13</v>
      </c>
      <c r="X31" s="39">
        <v>14</v>
      </c>
      <c r="Y31" s="39">
        <v>15</v>
      </c>
      <c r="Z31" s="39">
        <v>16</v>
      </c>
      <c r="AA31" s="39">
        <v>17</v>
      </c>
      <c r="AB31" s="39">
        <v>18</v>
      </c>
      <c r="AC31" s="39">
        <v>19</v>
      </c>
      <c r="AD31" s="39">
        <v>20</v>
      </c>
      <c r="AE31" s="39">
        <v>21</v>
      </c>
      <c r="AF31" s="39">
        <v>22</v>
      </c>
    </row>
    <row r="32" spans="1:32" ht="54.75" customHeight="1">
      <c r="A32" s="13">
        <v>1</v>
      </c>
      <c r="B32" s="381" t="s">
        <v>529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5"/>
      <c r="N32" s="39"/>
      <c r="O32" s="39"/>
      <c r="P32" s="58"/>
      <c r="Q32" s="39"/>
      <c r="R32" s="39"/>
      <c r="S32" s="39"/>
      <c r="T32" s="58"/>
      <c r="U32" s="39">
        <v>0</v>
      </c>
      <c r="V32" s="39">
        <v>0</v>
      </c>
      <c r="W32" s="39">
        <v>0</v>
      </c>
      <c r="X32" s="58"/>
      <c r="Y32" s="39"/>
      <c r="Z32" s="39"/>
      <c r="AA32" s="39"/>
      <c r="AB32" s="58"/>
      <c r="AC32" s="39">
        <f>U32</f>
        <v>0</v>
      </c>
      <c r="AD32" s="39">
        <v>0</v>
      </c>
      <c r="AE32" s="39"/>
      <c r="AF32" s="58"/>
    </row>
    <row r="33" spans="1:32" ht="54.75" customHeight="1">
      <c r="A33" s="13">
        <v>2</v>
      </c>
      <c r="B33" s="381" t="s">
        <v>530</v>
      </c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5"/>
      <c r="N33" s="39"/>
      <c r="O33" s="39"/>
      <c r="P33" s="58"/>
      <c r="Q33" s="39"/>
      <c r="R33" s="39"/>
      <c r="S33" s="39"/>
      <c r="T33" s="58"/>
      <c r="U33" s="39">
        <v>0</v>
      </c>
      <c r="V33" s="39">
        <f>'4. Кап. інвестиції'!E8</f>
        <v>0</v>
      </c>
      <c r="W33" s="39">
        <v>0</v>
      </c>
      <c r="X33" s="58"/>
      <c r="Y33" s="39"/>
      <c r="Z33" s="39"/>
      <c r="AA33" s="39"/>
      <c r="AB33" s="58"/>
      <c r="AC33" s="39">
        <f>U33</f>
        <v>0</v>
      </c>
      <c r="AD33" s="39">
        <f>V33</f>
        <v>0</v>
      </c>
      <c r="AE33" s="39"/>
      <c r="AF33" s="58"/>
    </row>
    <row r="34" spans="1:32" ht="39" customHeight="1">
      <c r="A34" s="13">
        <v>3</v>
      </c>
      <c r="B34" s="381" t="s">
        <v>563</v>
      </c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5"/>
      <c r="N34" s="39"/>
      <c r="O34" s="39"/>
      <c r="P34" s="58"/>
      <c r="Q34" s="39"/>
      <c r="R34" s="39"/>
      <c r="S34" s="39"/>
      <c r="T34" s="58"/>
      <c r="U34" s="39">
        <v>0</v>
      </c>
      <c r="V34" s="5">
        <f>'4. Кап. інвестиції'!E10</f>
        <v>0</v>
      </c>
      <c r="W34" s="5">
        <f>V34-U34</f>
        <v>0</v>
      </c>
      <c r="X34" s="58"/>
      <c r="Y34" s="39"/>
      <c r="Z34" s="39"/>
      <c r="AA34" s="39"/>
      <c r="AB34" s="58"/>
      <c r="AC34" s="39">
        <v>0</v>
      </c>
      <c r="AD34" s="39">
        <v>0</v>
      </c>
      <c r="AE34" s="39"/>
      <c r="AF34" s="58"/>
    </row>
    <row r="35" spans="1:32" ht="38.25" customHeight="1">
      <c r="A35" s="13">
        <v>4</v>
      </c>
      <c r="B35" s="415" t="s">
        <v>565</v>
      </c>
      <c r="C35" s="416"/>
      <c r="D35" s="416"/>
      <c r="E35" s="416"/>
      <c r="F35" s="416"/>
      <c r="G35" s="416"/>
      <c r="H35" s="416"/>
      <c r="I35" s="416"/>
      <c r="J35" s="416"/>
      <c r="K35" s="416"/>
      <c r="L35" s="417"/>
      <c r="M35" s="5"/>
      <c r="N35" s="39"/>
      <c r="O35" s="39"/>
      <c r="P35" s="58"/>
      <c r="Q35" s="39"/>
      <c r="R35" s="39"/>
      <c r="S35" s="39"/>
      <c r="T35" s="58"/>
      <c r="U35" s="39">
        <v>0</v>
      </c>
      <c r="V35" s="5">
        <f>'4. Кап. інвестиції'!E9</f>
        <v>35355.833333333336</v>
      </c>
      <c r="W35" s="5">
        <v>0</v>
      </c>
      <c r="X35" s="58"/>
      <c r="Y35" s="39"/>
      <c r="Z35" s="39"/>
      <c r="AA35" s="39"/>
      <c r="AB35" s="58"/>
      <c r="AC35" s="39">
        <v>0</v>
      </c>
      <c r="AD35" s="39">
        <v>0</v>
      </c>
      <c r="AE35" s="39"/>
      <c r="AF35" s="58"/>
    </row>
    <row r="36" spans="1:32" ht="25" customHeight="1">
      <c r="A36" s="415" t="s">
        <v>57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7"/>
      <c r="M36" s="5"/>
      <c r="N36" s="39"/>
      <c r="O36" s="39"/>
      <c r="P36" s="58"/>
      <c r="Q36" s="39"/>
      <c r="R36" s="39"/>
      <c r="S36" s="39"/>
      <c r="T36" s="58"/>
      <c r="U36" s="39">
        <f>U34</f>
        <v>0</v>
      </c>
      <c r="V36" s="5">
        <f>V33+V34+V35</f>
        <v>35355.833333333336</v>
      </c>
      <c r="W36" s="5">
        <f>V36-U36</f>
        <v>35355.833333333336</v>
      </c>
      <c r="X36" s="58"/>
      <c r="Y36" s="39"/>
      <c r="Z36" s="39"/>
      <c r="AA36" s="39"/>
      <c r="AB36" s="58"/>
      <c r="AC36" s="39">
        <f>SUM(AC32:AC33)</f>
        <v>0</v>
      </c>
      <c r="AD36" s="39">
        <f>AD33</f>
        <v>0</v>
      </c>
      <c r="AE36" s="39"/>
      <c r="AF36" s="58"/>
    </row>
    <row r="37" spans="1:32" ht="25" customHeight="1">
      <c r="A37" s="415" t="s">
        <v>58</v>
      </c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7"/>
      <c r="M37" s="18" t="e">
        <f>M36/AC36*100</f>
        <v>#DIV/0!</v>
      </c>
      <c r="N37" s="58"/>
      <c r="O37" s="58"/>
      <c r="P37" s="58"/>
      <c r="Q37" s="66" t="e">
        <f>Q36/AC36*100</f>
        <v>#DIV/0!</v>
      </c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</row>
    <row r="38" spans="1:32" ht="15" customHeight="1">
      <c r="A38" s="10"/>
      <c r="B38" s="10"/>
      <c r="C38" s="1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59"/>
      <c r="O38" s="59"/>
      <c r="P38" s="59"/>
      <c r="Q38" s="59"/>
      <c r="R38" s="59"/>
      <c r="S38" s="59"/>
      <c r="T38" s="59"/>
      <c r="U38" s="59"/>
      <c r="V38" s="59"/>
    </row>
    <row r="39" spans="1:32" ht="5.25" customHeight="1">
      <c r="A39" s="10"/>
      <c r="B39" s="10"/>
      <c r="C39" s="1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59"/>
      <c r="O39" s="59"/>
      <c r="P39" s="59"/>
      <c r="Q39" s="59"/>
      <c r="R39" s="59"/>
      <c r="S39" s="59"/>
      <c r="T39" s="59"/>
      <c r="U39" s="59"/>
      <c r="V39" s="59"/>
    </row>
    <row r="40" spans="1:32" s="28" customFormat="1" ht="31.5" customHeight="1">
      <c r="A40" s="379" t="s">
        <v>253</v>
      </c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</row>
    <row r="41" spans="1:32" s="20" customFormat="1" ht="9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L41" s="2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448" t="s">
        <v>235</v>
      </c>
      <c r="AE41" s="448"/>
      <c r="AF41" s="448"/>
    </row>
    <row r="42" spans="1:32" s="21" customFormat="1" ht="34.5" customHeight="1">
      <c r="A42" s="329" t="s">
        <v>208</v>
      </c>
      <c r="B42" s="418" t="s">
        <v>333</v>
      </c>
      <c r="C42" s="419"/>
      <c r="D42" s="331" t="s">
        <v>366</v>
      </c>
      <c r="E42" s="331"/>
      <c r="F42" s="424" t="s">
        <v>209</v>
      </c>
      <c r="G42" s="424"/>
      <c r="H42" s="331" t="s">
        <v>210</v>
      </c>
      <c r="I42" s="331"/>
      <c r="J42" s="331" t="s">
        <v>367</v>
      </c>
      <c r="K42" s="331"/>
      <c r="L42" s="425" t="s">
        <v>363</v>
      </c>
      <c r="M42" s="425"/>
      <c r="N42" s="425"/>
      <c r="O42" s="425"/>
      <c r="P42" s="425"/>
      <c r="Q42" s="425"/>
      <c r="R42" s="425"/>
      <c r="S42" s="425"/>
      <c r="T42" s="425"/>
      <c r="U42" s="425"/>
      <c r="V42" s="413" t="s">
        <v>334</v>
      </c>
      <c r="W42" s="413"/>
      <c r="X42" s="413"/>
      <c r="Y42" s="413"/>
      <c r="Z42" s="413"/>
      <c r="AA42" s="413" t="s">
        <v>335</v>
      </c>
      <c r="AB42" s="413"/>
      <c r="AC42" s="413"/>
      <c r="AD42" s="413"/>
      <c r="AE42" s="413"/>
      <c r="AF42" s="413"/>
    </row>
    <row r="43" spans="1:32" s="21" customFormat="1" ht="52.5" customHeight="1">
      <c r="A43" s="329"/>
      <c r="B43" s="420"/>
      <c r="C43" s="421"/>
      <c r="D43" s="331"/>
      <c r="E43" s="331"/>
      <c r="F43" s="424"/>
      <c r="G43" s="424"/>
      <c r="H43" s="331"/>
      <c r="I43" s="331"/>
      <c r="J43" s="331"/>
      <c r="K43" s="331"/>
      <c r="L43" s="424" t="s">
        <v>303</v>
      </c>
      <c r="M43" s="424"/>
      <c r="N43" s="330" t="s">
        <v>308</v>
      </c>
      <c r="O43" s="330"/>
      <c r="P43" s="413" t="s">
        <v>309</v>
      </c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</row>
    <row r="44" spans="1:32" s="22" customFormat="1" ht="82.5" customHeight="1">
      <c r="A44" s="329"/>
      <c r="B44" s="422"/>
      <c r="C44" s="423"/>
      <c r="D44" s="331"/>
      <c r="E44" s="331"/>
      <c r="F44" s="424"/>
      <c r="G44" s="424"/>
      <c r="H44" s="331"/>
      <c r="I44" s="331"/>
      <c r="J44" s="331"/>
      <c r="K44" s="331"/>
      <c r="L44" s="424"/>
      <c r="M44" s="424"/>
      <c r="N44" s="330"/>
      <c r="O44" s="330"/>
      <c r="P44" s="413" t="s">
        <v>304</v>
      </c>
      <c r="Q44" s="413"/>
      <c r="R44" s="413" t="s">
        <v>305</v>
      </c>
      <c r="S44" s="413"/>
      <c r="T44" s="413" t="s">
        <v>306</v>
      </c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</row>
    <row r="45" spans="1:32" s="21" customFormat="1" ht="18.75" customHeight="1">
      <c r="A45" s="7">
        <v>1</v>
      </c>
      <c r="B45" s="367">
        <v>2</v>
      </c>
      <c r="C45" s="368"/>
      <c r="D45" s="331">
        <v>3</v>
      </c>
      <c r="E45" s="331"/>
      <c r="F45" s="331">
        <v>4</v>
      </c>
      <c r="G45" s="331"/>
      <c r="H45" s="331">
        <v>5</v>
      </c>
      <c r="I45" s="331"/>
      <c r="J45" s="331">
        <v>6</v>
      </c>
      <c r="K45" s="331"/>
      <c r="L45" s="367">
        <v>7</v>
      </c>
      <c r="M45" s="368"/>
      <c r="N45" s="336">
        <v>8</v>
      </c>
      <c r="O45" s="337"/>
      <c r="P45" s="330">
        <v>9</v>
      </c>
      <c r="Q45" s="330"/>
      <c r="R45" s="328">
        <v>10</v>
      </c>
      <c r="S45" s="328"/>
      <c r="T45" s="330">
        <v>11</v>
      </c>
      <c r="U45" s="330"/>
      <c r="V45" s="330">
        <v>12</v>
      </c>
      <c r="W45" s="330"/>
      <c r="X45" s="330"/>
      <c r="Y45" s="330"/>
      <c r="Z45" s="330"/>
      <c r="AA45" s="330">
        <v>13</v>
      </c>
      <c r="AB45" s="330"/>
      <c r="AC45" s="330"/>
      <c r="AD45" s="330"/>
      <c r="AE45" s="330"/>
      <c r="AF45" s="330"/>
    </row>
    <row r="46" spans="1:32" s="21" customFormat="1" ht="20.149999999999999" customHeight="1">
      <c r="A46" s="23"/>
      <c r="B46" s="442"/>
      <c r="C46" s="443"/>
      <c r="D46" s="331"/>
      <c r="E46" s="331"/>
      <c r="F46" s="355"/>
      <c r="G46" s="355"/>
      <c r="H46" s="355"/>
      <c r="I46" s="355"/>
      <c r="J46" s="355"/>
      <c r="K46" s="355"/>
      <c r="L46" s="358"/>
      <c r="M46" s="359"/>
      <c r="N46" s="352"/>
      <c r="O46" s="353"/>
      <c r="P46" s="354"/>
      <c r="Q46" s="354"/>
      <c r="R46" s="354"/>
      <c r="S46" s="354"/>
      <c r="T46" s="354"/>
      <c r="U46" s="354"/>
      <c r="V46" s="441"/>
      <c r="W46" s="441"/>
      <c r="X46" s="441"/>
      <c r="Y46" s="441"/>
      <c r="Z46" s="441"/>
      <c r="AA46" s="354"/>
      <c r="AB46" s="354"/>
      <c r="AC46" s="354"/>
      <c r="AD46" s="354"/>
      <c r="AE46" s="354"/>
      <c r="AF46" s="354"/>
    </row>
    <row r="47" spans="1:32" s="21" customFormat="1" ht="20.149999999999999" customHeight="1">
      <c r="A47" s="23"/>
      <c r="B47" s="442"/>
      <c r="C47" s="443"/>
      <c r="D47" s="331"/>
      <c r="E47" s="331"/>
      <c r="F47" s="355"/>
      <c r="G47" s="355"/>
      <c r="H47" s="355"/>
      <c r="I47" s="355"/>
      <c r="J47" s="355"/>
      <c r="K47" s="355"/>
      <c r="L47" s="358"/>
      <c r="M47" s="359"/>
      <c r="N47" s="352"/>
      <c r="O47" s="353"/>
      <c r="P47" s="354"/>
      <c r="Q47" s="354"/>
      <c r="R47" s="354"/>
      <c r="S47" s="354"/>
      <c r="T47" s="354"/>
      <c r="U47" s="354"/>
      <c r="V47" s="441"/>
      <c r="W47" s="441"/>
      <c r="X47" s="441"/>
      <c r="Y47" s="441"/>
      <c r="Z47" s="441"/>
      <c r="AA47" s="354"/>
      <c r="AB47" s="354"/>
      <c r="AC47" s="354"/>
      <c r="AD47" s="354"/>
      <c r="AE47" s="354"/>
      <c r="AF47" s="354"/>
    </row>
    <row r="48" spans="1:32" s="21" customFormat="1" ht="20.149999999999999" customHeight="1">
      <c r="A48" s="23"/>
      <c r="B48" s="442"/>
      <c r="C48" s="443"/>
      <c r="D48" s="331"/>
      <c r="E48" s="331"/>
      <c r="F48" s="355"/>
      <c r="G48" s="355"/>
      <c r="H48" s="355"/>
      <c r="I48" s="355"/>
      <c r="J48" s="355"/>
      <c r="K48" s="355"/>
      <c r="L48" s="358"/>
      <c r="M48" s="359"/>
      <c r="N48" s="352"/>
      <c r="O48" s="353"/>
      <c r="P48" s="354"/>
      <c r="Q48" s="354"/>
      <c r="R48" s="354"/>
      <c r="S48" s="354"/>
      <c r="T48" s="354"/>
      <c r="U48" s="354"/>
      <c r="V48" s="441"/>
      <c r="W48" s="441"/>
      <c r="X48" s="441"/>
      <c r="Y48" s="441"/>
      <c r="Z48" s="441"/>
      <c r="AA48" s="354"/>
      <c r="AB48" s="354"/>
      <c r="AC48" s="354"/>
      <c r="AD48" s="354"/>
      <c r="AE48" s="354"/>
      <c r="AF48" s="354"/>
    </row>
    <row r="49" spans="1:32" s="21" customFormat="1" ht="20.149999999999999" customHeight="1">
      <c r="A49" s="23"/>
      <c r="B49" s="442"/>
      <c r="C49" s="443"/>
      <c r="D49" s="331"/>
      <c r="E49" s="331"/>
      <c r="F49" s="355"/>
      <c r="G49" s="355"/>
      <c r="H49" s="355"/>
      <c r="I49" s="355"/>
      <c r="J49" s="355"/>
      <c r="K49" s="355"/>
      <c r="L49" s="358"/>
      <c r="M49" s="359"/>
      <c r="N49" s="352"/>
      <c r="O49" s="353"/>
      <c r="P49" s="354"/>
      <c r="Q49" s="354"/>
      <c r="R49" s="354"/>
      <c r="S49" s="354"/>
      <c r="T49" s="354"/>
      <c r="U49" s="354"/>
      <c r="V49" s="441"/>
      <c r="W49" s="441"/>
      <c r="X49" s="441"/>
      <c r="Y49" s="441"/>
      <c r="Z49" s="441"/>
      <c r="AA49" s="354"/>
      <c r="AB49" s="354"/>
      <c r="AC49" s="354"/>
      <c r="AD49" s="354"/>
      <c r="AE49" s="354"/>
      <c r="AF49" s="354"/>
    </row>
    <row r="50" spans="1:32" s="21" customFormat="1" ht="20.149999999999999" customHeight="1">
      <c r="A50" s="23"/>
      <c r="B50" s="442"/>
      <c r="C50" s="443"/>
      <c r="D50" s="331"/>
      <c r="E50" s="331"/>
      <c r="F50" s="355"/>
      <c r="G50" s="355"/>
      <c r="H50" s="355"/>
      <c r="I50" s="355"/>
      <c r="J50" s="355"/>
      <c r="K50" s="355"/>
      <c r="L50" s="358"/>
      <c r="M50" s="359"/>
      <c r="N50" s="352"/>
      <c r="O50" s="353"/>
      <c r="P50" s="354"/>
      <c r="Q50" s="354"/>
      <c r="R50" s="354"/>
      <c r="S50" s="354"/>
      <c r="T50" s="354"/>
      <c r="U50" s="354"/>
      <c r="V50" s="441"/>
      <c r="W50" s="441"/>
      <c r="X50" s="441"/>
      <c r="Y50" s="441"/>
      <c r="Z50" s="441"/>
      <c r="AA50" s="354"/>
      <c r="AB50" s="354"/>
      <c r="AC50" s="354"/>
      <c r="AD50" s="354"/>
      <c r="AE50" s="354"/>
      <c r="AF50" s="354"/>
    </row>
    <row r="51" spans="1:32" s="21" customFormat="1" ht="20.149999999999999" customHeight="1">
      <c r="A51" s="23"/>
      <c r="B51" s="442"/>
      <c r="C51" s="443"/>
      <c r="D51" s="331"/>
      <c r="E51" s="331"/>
      <c r="F51" s="355"/>
      <c r="G51" s="355"/>
      <c r="H51" s="355"/>
      <c r="I51" s="355"/>
      <c r="J51" s="355"/>
      <c r="K51" s="355"/>
      <c r="L51" s="358"/>
      <c r="M51" s="359"/>
      <c r="N51" s="352"/>
      <c r="O51" s="353"/>
      <c r="P51" s="354"/>
      <c r="Q51" s="354"/>
      <c r="R51" s="354"/>
      <c r="S51" s="354"/>
      <c r="T51" s="354"/>
      <c r="U51" s="354"/>
      <c r="V51" s="441"/>
      <c r="W51" s="441"/>
      <c r="X51" s="441"/>
      <c r="Y51" s="441"/>
      <c r="Z51" s="441"/>
      <c r="AA51" s="354"/>
      <c r="AB51" s="354"/>
      <c r="AC51" s="354"/>
      <c r="AD51" s="354"/>
      <c r="AE51" s="354"/>
      <c r="AF51" s="354"/>
    </row>
    <row r="52" spans="1:32" s="21" customFormat="1" ht="20.149999999999999" customHeight="1">
      <c r="A52" s="23"/>
      <c r="B52" s="442"/>
      <c r="C52" s="443"/>
      <c r="D52" s="331"/>
      <c r="E52" s="331"/>
      <c r="F52" s="355"/>
      <c r="G52" s="355"/>
      <c r="H52" s="355"/>
      <c r="I52" s="355"/>
      <c r="J52" s="355"/>
      <c r="K52" s="355"/>
      <c r="L52" s="358"/>
      <c r="M52" s="359"/>
      <c r="N52" s="352"/>
      <c r="O52" s="353"/>
      <c r="P52" s="354"/>
      <c r="Q52" s="354"/>
      <c r="R52" s="354"/>
      <c r="S52" s="354"/>
      <c r="T52" s="354"/>
      <c r="U52" s="354"/>
      <c r="V52" s="441"/>
      <c r="W52" s="441"/>
      <c r="X52" s="441"/>
      <c r="Y52" s="441"/>
      <c r="Z52" s="441"/>
      <c r="AA52" s="354"/>
      <c r="AB52" s="354"/>
      <c r="AC52" s="354"/>
      <c r="AD52" s="354"/>
      <c r="AE52" s="354"/>
      <c r="AF52" s="354"/>
    </row>
    <row r="53" spans="1:32" s="21" customFormat="1" ht="25" customHeight="1">
      <c r="A53" s="463" t="s">
        <v>57</v>
      </c>
      <c r="B53" s="464"/>
      <c r="C53" s="464"/>
      <c r="D53" s="464"/>
      <c r="E53" s="465"/>
      <c r="F53" s="355"/>
      <c r="G53" s="355"/>
      <c r="H53" s="355"/>
      <c r="I53" s="355"/>
      <c r="J53" s="355"/>
      <c r="K53" s="355"/>
      <c r="L53" s="358"/>
      <c r="M53" s="359"/>
      <c r="N53" s="352"/>
      <c r="O53" s="353"/>
      <c r="P53" s="354"/>
      <c r="Q53" s="354"/>
      <c r="R53" s="354"/>
      <c r="S53" s="354"/>
      <c r="T53" s="354"/>
      <c r="U53" s="354"/>
      <c r="V53" s="441"/>
      <c r="W53" s="441"/>
      <c r="X53" s="441"/>
      <c r="Y53" s="441"/>
      <c r="Z53" s="441"/>
      <c r="AA53" s="354"/>
      <c r="AB53" s="354"/>
      <c r="AC53" s="354"/>
      <c r="AD53" s="354"/>
      <c r="AE53" s="354"/>
      <c r="AF53" s="354"/>
    </row>
    <row r="54" spans="1:32" ht="15" customHeight="1">
      <c r="A54" s="10"/>
      <c r="B54" s="10"/>
      <c r="C54" s="10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59"/>
      <c r="O54" s="59"/>
      <c r="P54" s="59"/>
      <c r="Q54" s="59"/>
      <c r="R54" s="59"/>
      <c r="S54" s="59"/>
      <c r="T54" s="59"/>
      <c r="U54" s="59"/>
      <c r="V54" s="59"/>
    </row>
    <row r="55" spans="1:32" ht="15" customHeight="1">
      <c r="A55" s="10"/>
      <c r="B55" s="10"/>
      <c r="C55" s="1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59"/>
      <c r="O55" s="59"/>
      <c r="P55" s="59"/>
      <c r="Q55" s="59"/>
      <c r="R55" s="59"/>
      <c r="S55" s="59"/>
      <c r="T55" s="59"/>
      <c r="U55" s="59"/>
      <c r="V55" s="59"/>
    </row>
    <row r="56" spans="1:32">
      <c r="A56" s="10"/>
      <c r="B56" s="10"/>
      <c r="C56" s="10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59"/>
      <c r="O56" s="59"/>
      <c r="P56" s="59"/>
      <c r="Q56" s="59"/>
      <c r="R56" s="59"/>
      <c r="S56" s="59"/>
      <c r="T56" s="59"/>
      <c r="U56" s="59"/>
      <c r="V56" s="59"/>
    </row>
    <row r="57" spans="1:32" ht="15" customHeight="1">
      <c r="A57" s="10"/>
      <c r="B57" s="10"/>
      <c r="C57" s="10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59"/>
      <c r="O57" s="59"/>
      <c r="P57" s="59"/>
      <c r="Q57" s="59"/>
      <c r="R57" s="59"/>
      <c r="S57" s="59"/>
      <c r="T57" s="59"/>
      <c r="U57" s="59"/>
      <c r="V57" s="59"/>
    </row>
    <row r="58" spans="1:32" s="6" customFormat="1" ht="27" customHeight="1">
      <c r="A58" s="379" t="s">
        <v>607</v>
      </c>
      <c r="B58" s="379"/>
      <c r="C58" s="379"/>
      <c r="D58" s="379"/>
      <c r="E58" s="379"/>
      <c r="F58" s="379"/>
      <c r="G58" s="379"/>
      <c r="H58" s="379"/>
      <c r="I58" s="379"/>
      <c r="J58" s="379"/>
      <c r="K58" s="29"/>
      <c r="L58" s="29"/>
      <c r="M58" s="460"/>
      <c r="N58" s="460"/>
      <c r="O58" s="460"/>
      <c r="P58" s="460"/>
      <c r="Q58" s="460"/>
      <c r="R58" s="61"/>
      <c r="S58" s="61"/>
      <c r="T58" s="61"/>
      <c r="U58" s="61"/>
      <c r="V58" s="61"/>
      <c r="W58" s="461"/>
      <c r="X58" s="461"/>
      <c r="Y58" s="461"/>
      <c r="Z58" s="461"/>
      <c r="AA58" s="461"/>
      <c r="AB58" s="461" t="s">
        <v>589</v>
      </c>
      <c r="AC58" s="461"/>
      <c r="AD58" s="461"/>
      <c r="AE58" s="461"/>
      <c r="AF58" s="461"/>
    </row>
    <row r="59" spans="1:32" s="3" customFormat="1">
      <c r="B59" s="462" t="s">
        <v>75</v>
      </c>
      <c r="C59" s="462"/>
      <c r="D59" s="462"/>
      <c r="E59" s="462"/>
      <c r="F59" s="462"/>
      <c r="G59" s="462"/>
      <c r="H59" s="10"/>
      <c r="I59" s="10"/>
      <c r="J59" s="11"/>
      <c r="K59" s="11"/>
      <c r="L59" s="11"/>
      <c r="N59" s="36"/>
      <c r="O59" s="36"/>
      <c r="P59" s="36"/>
      <c r="Q59" s="36"/>
      <c r="R59" s="36" t="s">
        <v>76</v>
      </c>
      <c r="S59" s="37"/>
      <c r="T59" s="37"/>
      <c r="U59" s="37"/>
      <c r="V59" s="36"/>
      <c r="W59" s="37"/>
      <c r="X59" s="37"/>
      <c r="Y59" s="37"/>
      <c r="Z59" s="37"/>
      <c r="AA59" s="37"/>
      <c r="AB59" s="375" t="s">
        <v>126</v>
      </c>
      <c r="AC59" s="375"/>
      <c r="AD59" s="375"/>
      <c r="AE59" s="375"/>
      <c r="AF59" s="375"/>
    </row>
    <row r="60" spans="1:32" s="8" customFormat="1" ht="16.5" customHeight="1">
      <c r="C60" s="24"/>
      <c r="F60" s="25"/>
      <c r="G60" s="25"/>
      <c r="H60" s="25"/>
      <c r="I60" s="25"/>
      <c r="J60" s="25"/>
      <c r="K60" s="25"/>
      <c r="L60" s="25"/>
      <c r="M60" s="25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62"/>
      <c r="O61" s="62"/>
      <c r="P61" s="62"/>
      <c r="Q61" s="62"/>
      <c r="R61" s="62"/>
      <c r="S61" s="62"/>
      <c r="T61" s="62"/>
      <c r="U61" s="62"/>
      <c r="V61" s="62"/>
    </row>
    <row r="62" spans="1:32">
      <c r="C62" s="10"/>
    </row>
    <row r="65" spans="3:3">
      <c r="C65" s="27"/>
    </row>
    <row r="66" spans="3:3">
      <c r="C66" s="27"/>
    </row>
    <row r="67" spans="3:3">
      <c r="C67" s="27"/>
    </row>
    <row r="68" spans="3:3">
      <c r="C68" s="27"/>
    </row>
    <row r="69" spans="3:3">
      <c r="C69" s="27"/>
    </row>
    <row r="70" spans="3:3">
      <c r="C70" s="27"/>
    </row>
    <row r="71" spans="3:3">
      <c r="C71" s="27"/>
    </row>
  </sheetData>
  <mergeCells count="278">
    <mergeCell ref="AB59:AF59"/>
    <mergeCell ref="M58:Q58"/>
    <mergeCell ref="A58:J58"/>
    <mergeCell ref="AB58:AF58"/>
    <mergeCell ref="V51:Z51"/>
    <mergeCell ref="T52:U52"/>
    <mergeCell ref="V52:Z52"/>
    <mergeCell ref="R52:S52"/>
    <mergeCell ref="W58:AA58"/>
    <mergeCell ref="B59:G59"/>
    <mergeCell ref="H52:I52"/>
    <mergeCell ref="J52:K52"/>
    <mergeCell ref="H51:I51"/>
    <mergeCell ref="R53:S53"/>
    <mergeCell ref="L53:M53"/>
    <mergeCell ref="N53:O53"/>
    <mergeCell ref="J53:K53"/>
    <mergeCell ref="P53:Q53"/>
    <mergeCell ref="T53:U53"/>
    <mergeCell ref="H53:I53"/>
    <mergeCell ref="D51:E51"/>
    <mergeCell ref="A53:E53"/>
    <mergeCell ref="F53:G53"/>
    <mergeCell ref="T51:U51"/>
    <mergeCell ref="AD1:AF1"/>
    <mergeCell ref="AD2:AF2"/>
    <mergeCell ref="T47:U47"/>
    <mergeCell ref="V47:Z47"/>
    <mergeCell ref="V48:Z48"/>
    <mergeCell ref="V46:Z46"/>
    <mergeCell ref="AC20:AD20"/>
    <mergeCell ref="Y21:Z21"/>
    <mergeCell ref="Z29:Z30"/>
    <mergeCell ref="AA19:AB19"/>
    <mergeCell ref="AC22:AD22"/>
    <mergeCell ref="AA22:AB22"/>
    <mergeCell ref="AA20:AB20"/>
    <mergeCell ref="AC21:AD21"/>
    <mergeCell ref="AE22:AF22"/>
    <mergeCell ref="AC18:AD18"/>
    <mergeCell ref="AE18:AF18"/>
    <mergeCell ref="AE21:AF21"/>
    <mergeCell ref="AE20:AF20"/>
    <mergeCell ref="AE16:AF17"/>
    <mergeCell ref="AC16:AD17"/>
    <mergeCell ref="U10:W10"/>
    <mergeCell ref="AA10:AC10"/>
    <mergeCell ref="R6:T6"/>
    <mergeCell ref="H50:I50"/>
    <mergeCell ref="L52:M52"/>
    <mergeCell ref="N52:O52"/>
    <mergeCell ref="P52:Q52"/>
    <mergeCell ref="J51:K51"/>
    <mergeCell ref="P50:Q50"/>
    <mergeCell ref="J50:K50"/>
    <mergeCell ref="L49:M49"/>
    <mergeCell ref="N50:O50"/>
    <mergeCell ref="N51:O51"/>
    <mergeCell ref="P49:Q49"/>
    <mergeCell ref="N49:O49"/>
    <mergeCell ref="L50:M50"/>
    <mergeCell ref="L51:M51"/>
    <mergeCell ref="J49:K49"/>
    <mergeCell ref="H49:I49"/>
    <mergeCell ref="R5:AF5"/>
    <mergeCell ref="D20:G20"/>
    <mergeCell ref="H20:Q20"/>
    <mergeCell ref="W20:X20"/>
    <mergeCell ref="R20:V20"/>
    <mergeCell ref="Y20:Z20"/>
    <mergeCell ref="R21:V21"/>
    <mergeCell ref="AE19:AF19"/>
    <mergeCell ref="AC19:AD19"/>
    <mergeCell ref="AD8:AF8"/>
    <mergeCell ref="R15:V17"/>
    <mergeCell ref="X8:Z8"/>
    <mergeCell ref="R8:T8"/>
    <mergeCell ref="N8:Q8"/>
    <mergeCell ref="AA18:AB18"/>
    <mergeCell ref="AD9:AF9"/>
    <mergeCell ref="U9:W9"/>
    <mergeCell ref="Y16:Z17"/>
    <mergeCell ref="AA8:AC8"/>
    <mergeCell ref="N9:Q9"/>
    <mergeCell ref="R10:T10"/>
    <mergeCell ref="N10:Q10"/>
    <mergeCell ref="R9:T9"/>
    <mergeCell ref="Y18:Z18"/>
    <mergeCell ref="A5:A6"/>
    <mergeCell ref="B5:C6"/>
    <mergeCell ref="B7:C7"/>
    <mergeCell ref="B8:C8"/>
    <mergeCell ref="B20:C20"/>
    <mergeCell ref="D5:F6"/>
    <mergeCell ref="B18:C18"/>
    <mergeCell ref="H19:Q19"/>
    <mergeCell ref="B19:C19"/>
    <mergeCell ref="D19:G19"/>
    <mergeCell ref="G5:M6"/>
    <mergeCell ref="G8:M8"/>
    <mergeCell ref="G9:M9"/>
    <mergeCell ref="A10:M10"/>
    <mergeCell ref="D9:F9"/>
    <mergeCell ref="D18:G18"/>
    <mergeCell ref="X9:Z9"/>
    <mergeCell ref="P44:Q44"/>
    <mergeCell ref="AA29:AA30"/>
    <mergeCell ref="U28:X28"/>
    <mergeCell ref="M28:P28"/>
    <mergeCell ref="N29:N30"/>
    <mergeCell ref="X29:X30"/>
    <mergeCell ref="Y28:AB28"/>
    <mergeCell ref="AA23:AB23"/>
    <mergeCell ref="Z27:AB27"/>
    <mergeCell ref="Y29:Y30"/>
    <mergeCell ref="AA9:AC9"/>
    <mergeCell ref="AA21:AB21"/>
    <mergeCell ref="AC23:AD23"/>
    <mergeCell ref="O29:O30"/>
    <mergeCell ref="AB29:AB30"/>
    <mergeCell ref="V42:Z44"/>
    <mergeCell ref="AD10:AF10"/>
    <mergeCell ref="Y22:Z22"/>
    <mergeCell ref="AA42:AF44"/>
    <mergeCell ref="AD41:AF41"/>
    <mergeCell ref="AE29:AE30"/>
    <mergeCell ref="AD27:AF27"/>
    <mergeCell ref="AD29:AD30"/>
    <mergeCell ref="B51:C51"/>
    <mergeCell ref="B52:C52"/>
    <mergeCell ref="D52:E52"/>
    <mergeCell ref="F52:G52"/>
    <mergeCell ref="F45:G45"/>
    <mergeCell ref="F51:G51"/>
    <mergeCell ref="D49:E49"/>
    <mergeCell ref="F49:G49"/>
    <mergeCell ref="F50:G50"/>
    <mergeCell ref="D50:E50"/>
    <mergeCell ref="F47:G47"/>
    <mergeCell ref="B50:C50"/>
    <mergeCell ref="B46:C46"/>
    <mergeCell ref="D46:E46"/>
    <mergeCell ref="F46:G46"/>
    <mergeCell ref="B47:C47"/>
    <mergeCell ref="D47:E47"/>
    <mergeCell ref="F48:G48"/>
    <mergeCell ref="B49:C49"/>
    <mergeCell ref="B48:C48"/>
    <mergeCell ref="AA52:AF52"/>
    <mergeCell ref="T46:U46"/>
    <mergeCell ref="V45:Z45"/>
    <mergeCell ref="P51:Q51"/>
    <mergeCell ref="R51:S51"/>
    <mergeCell ref="AA53:AF53"/>
    <mergeCell ref="AA50:AF50"/>
    <mergeCell ref="AA51:AF51"/>
    <mergeCell ref="P47:Q47"/>
    <mergeCell ref="R48:S48"/>
    <mergeCell ref="P48:Q48"/>
    <mergeCell ref="R50:S50"/>
    <mergeCell ref="V53:Z53"/>
    <mergeCell ref="AA47:AF47"/>
    <mergeCell ref="R46:S46"/>
    <mergeCell ref="R45:S45"/>
    <mergeCell ref="T45:U45"/>
    <mergeCell ref="T48:U48"/>
    <mergeCell ref="R47:S47"/>
    <mergeCell ref="V50:Z50"/>
    <mergeCell ref="T49:U49"/>
    <mergeCell ref="V49:Z49"/>
    <mergeCell ref="R49:S49"/>
    <mergeCell ref="T50:U50"/>
    <mergeCell ref="AD7:AF7"/>
    <mergeCell ref="AD6:AF6"/>
    <mergeCell ref="U6:W6"/>
    <mergeCell ref="X6:Z6"/>
    <mergeCell ref="AE23:AF23"/>
    <mergeCell ref="N7:Q7"/>
    <mergeCell ref="H22:Q22"/>
    <mergeCell ref="A23:V23"/>
    <mergeCell ref="AA7:AC7"/>
    <mergeCell ref="X7:Z7"/>
    <mergeCell ref="A15:A17"/>
    <mergeCell ref="D15:G17"/>
    <mergeCell ref="H15:Q17"/>
    <mergeCell ref="B15:C17"/>
    <mergeCell ref="W16:X17"/>
    <mergeCell ref="X10:Z10"/>
    <mergeCell ref="AA16:AB17"/>
    <mergeCell ref="G7:M7"/>
    <mergeCell ref="B9:C9"/>
    <mergeCell ref="U7:W7"/>
    <mergeCell ref="U8:W8"/>
    <mergeCell ref="R7:T7"/>
    <mergeCell ref="R22:V22"/>
    <mergeCell ref="W23:X23"/>
    <mergeCell ref="A42:A44"/>
    <mergeCell ref="P43:U43"/>
    <mergeCell ref="AA49:AF49"/>
    <mergeCell ref="AA48:AF48"/>
    <mergeCell ref="L46:M46"/>
    <mergeCell ref="P46:Q46"/>
    <mergeCell ref="AA45:AF45"/>
    <mergeCell ref="AA46:AF46"/>
    <mergeCell ref="L47:M47"/>
    <mergeCell ref="L48:M48"/>
    <mergeCell ref="P45:Q45"/>
    <mergeCell ref="N45:O45"/>
    <mergeCell ref="L45:M45"/>
    <mergeCell ref="N48:O48"/>
    <mergeCell ref="N47:O47"/>
    <mergeCell ref="N46:O46"/>
    <mergeCell ref="H47:I47"/>
    <mergeCell ref="H46:I46"/>
    <mergeCell ref="L42:U42"/>
    <mergeCell ref="D42:E44"/>
    <mergeCell ref="F42:G44"/>
    <mergeCell ref="H42:I44"/>
    <mergeCell ref="N43:O44"/>
    <mergeCell ref="R44:S44"/>
    <mergeCell ref="T44:U44"/>
    <mergeCell ref="Y23:Z23"/>
    <mergeCell ref="W22:X22"/>
    <mergeCell ref="W18:X18"/>
    <mergeCell ref="H18:Q18"/>
    <mergeCell ref="R19:V19"/>
    <mergeCell ref="W19:X19"/>
    <mergeCell ref="Y19:Z19"/>
    <mergeCell ref="H48:I48"/>
    <mergeCell ref="J48:K48"/>
    <mergeCell ref="B35:L35"/>
    <mergeCell ref="B45:C45"/>
    <mergeCell ref="A37:L37"/>
    <mergeCell ref="A36:L36"/>
    <mergeCell ref="J42:K44"/>
    <mergeCell ref="B34:L34"/>
    <mergeCell ref="B42:C44"/>
    <mergeCell ref="D45:E45"/>
    <mergeCell ref="J47:K47"/>
    <mergeCell ref="L43:M44"/>
    <mergeCell ref="J46:K46"/>
    <mergeCell ref="H45:I45"/>
    <mergeCell ref="D48:E48"/>
    <mergeCell ref="J45:K45"/>
    <mergeCell ref="A28:A30"/>
    <mergeCell ref="T29:T30"/>
    <mergeCell ref="P29:P30"/>
    <mergeCell ref="S29:S30"/>
    <mergeCell ref="B28:L30"/>
    <mergeCell ref="M29:M30"/>
    <mergeCell ref="Q28:T28"/>
    <mergeCell ref="Q29:Q30"/>
    <mergeCell ref="D21:G21"/>
    <mergeCell ref="H21:Q21"/>
    <mergeCell ref="W29:W30"/>
    <mergeCell ref="A3:AF3"/>
    <mergeCell ref="A13:AF13"/>
    <mergeCell ref="A26:AF26"/>
    <mergeCell ref="A40:AF40"/>
    <mergeCell ref="B31:L31"/>
    <mergeCell ref="B32:L32"/>
    <mergeCell ref="U29:U30"/>
    <mergeCell ref="AA6:AC6"/>
    <mergeCell ref="N5:Q6"/>
    <mergeCell ref="AC29:AC30"/>
    <mergeCell ref="R29:R30"/>
    <mergeCell ref="V29:V30"/>
    <mergeCell ref="B21:C21"/>
    <mergeCell ref="B22:C22"/>
    <mergeCell ref="W21:X21"/>
    <mergeCell ref="AC28:AF28"/>
    <mergeCell ref="D7:F7"/>
    <mergeCell ref="D8:F8"/>
    <mergeCell ref="B33:L33"/>
    <mergeCell ref="D22:G22"/>
    <mergeCell ref="W15:AF15"/>
    <mergeCell ref="AF29:AF30"/>
    <mergeCell ref="R18:V18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Юрий</cp:lastModifiedBy>
  <cp:lastPrinted>2024-05-08T07:55:18Z</cp:lastPrinted>
  <dcterms:created xsi:type="dcterms:W3CDTF">2003-03-13T16:00:22Z</dcterms:created>
  <dcterms:modified xsi:type="dcterms:W3CDTF">2024-05-08T07:55:49Z</dcterms:modified>
</cp:coreProperties>
</file>