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ОПРИЛЮДНЕННЯ\2021 рік\ВСЕ\Звіти про вик фін плану\"/>
    </mc:Choice>
  </mc:AlternateContent>
  <bookViews>
    <workbookView xWindow="0" yWindow="0" windowWidth="28800" windowHeight="12435"/>
  </bookViews>
  <sheets>
    <sheet name="Додаток 2 Фін.звіт" sheetId="1" r:id="rId1"/>
  </sheets>
  <definedNames>
    <definedName name="_xlnm.Print_Area" localSheetId="0">'Додаток 2 Фін.звіт'!$A$1:$O$92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" i="1" l="1"/>
  <c r="N88" i="1"/>
  <c r="M87" i="1"/>
  <c r="M90" i="1" s="1"/>
  <c r="L86" i="1"/>
  <c r="L90" i="1" s="1"/>
  <c r="D79" i="1"/>
  <c r="C79" i="1"/>
  <c r="L77" i="1"/>
  <c r="K77" i="1"/>
  <c r="N77" i="1" s="1"/>
  <c r="H77" i="1"/>
  <c r="J77" i="1" s="1"/>
  <c r="G77" i="1"/>
  <c r="F77" i="1"/>
  <c r="E77" i="1"/>
  <c r="L76" i="1"/>
  <c r="K76" i="1"/>
  <c r="N76" i="1" s="1"/>
  <c r="H76" i="1"/>
  <c r="J76" i="1" s="1"/>
  <c r="G76" i="1"/>
  <c r="I76" i="1" s="1"/>
  <c r="F76" i="1"/>
  <c r="E76" i="1"/>
  <c r="M75" i="1"/>
  <c r="M78" i="1" s="1"/>
  <c r="L75" i="1"/>
  <c r="K75" i="1"/>
  <c r="K78" i="1" s="1"/>
  <c r="H75" i="1"/>
  <c r="J75" i="1" s="1"/>
  <c r="G75" i="1"/>
  <c r="I75" i="1" s="1"/>
  <c r="F75" i="1"/>
  <c r="E75" i="1"/>
  <c r="N74" i="1"/>
  <c r="H74" i="1"/>
  <c r="J74" i="1" s="1"/>
  <c r="G74" i="1"/>
  <c r="F74" i="1"/>
  <c r="E74" i="1"/>
  <c r="M73" i="1"/>
  <c r="L73" i="1"/>
  <c r="L78" i="1" s="1"/>
  <c r="K73" i="1"/>
  <c r="J73" i="1"/>
  <c r="H73" i="1"/>
  <c r="I73" i="1" s="1"/>
  <c r="G73" i="1"/>
  <c r="F73" i="1"/>
  <c r="E73" i="1"/>
  <c r="N72" i="1"/>
  <c r="H72" i="1"/>
  <c r="G72" i="1"/>
  <c r="G71" i="1" s="1"/>
  <c r="E72" i="1"/>
  <c r="C72" i="1"/>
  <c r="F72" i="1" s="1"/>
  <c r="O71" i="1"/>
  <c r="J71" i="1"/>
  <c r="H71" i="1"/>
  <c r="F71" i="1"/>
  <c r="D71" i="1"/>
  <c r="E71" i="1" s="1"/>
  <c r="C71" i="1"/>
  <c r="J69" i="1"/>
  <c r="F69" i="1"/>
  <c r="J65" i="1"/>
  <c r="I65" i="1"/>
  <c r="F65" i="1"/>
  <c r="E65" i="1"/>
  <c r="J64" i="1"/>
  <c r="I64" i="1"/>
  <c r="F64" i="1"/>
  <c r="E64" i="1"/>
  <c r="J63" i="1"/>
  <c r="I63" i="1"/>
  <c r="F63" i="1"/>
  <c r="E63" i="1"/>
  <c r="J62" i="1"/>
  <c r="I62" i="1"/>
  <c r="F62" i="1"/>
  <c r="E62" i="1"/>
  <c r="H61" i="1"/>
  <c r="I61" i="1" s="1"/>
  <c r="G61" i="1"/>
  <c r="F61" i="1"/>
  <c r="D61" i="1"/>
  <c r="E61" i="1" s="1"/>
  <c r="C61" i="1"/>
  <c r="J60" i="1"/>
  <c r="I60" i="1"/>
  <c r="F60" i="1"/>
  <c r="E60" i="1"/>
  <c r="J59" i="1"/>
  <c r="I59" i="1"/>
  <c r="F59" i="1"/>
  <c r="E59" i="1"/>
  <c r="J58" i="1"/>
  <c r="I58" i="1"/>
  <c r="F58" i="1"/>
  <c r="E58" i="1"/>
  <c r="J57" i="1"/>
  <c r="I57" i="1"/>
  <c r="F57" i="1"/>
  <c r="E57" i="1"/>
  <c r="H56" i="1"/>
  <c r="I56" i="1" s="1"/>
  <c r="G56" i="1"/>
  <c r="F56" i="1"/>
  <c r="D56" i="1"/>
  <c r="E56" i="1" s="1"/>
  <c r="C56" i="1"/>
  <c r="J54" i="1"/>
  <c r="I54" i="1"/>
  <c r="F54" i="1"/>
  <c r="E54" i="1"/>
  <c r="J53" i="1"/>
  <c r="I53" i="1"/>
  <c r="F53" i="1"/>
  <c r="E53" i="1"/>
  <c r="J52" i="1"/>
  <c r="I52" i="1"/>
  <c r="F52" i="1"/>
  <c r="E52" i="1"/>
  <c r="J51" i="1"/>
  <c r="I51" i="1"/>
  <c r="F51" i="1"/>
  <c r="E51" i="1"/>
  <c r="C50" i="1"/>
  <c r="J49" i="1"/>
  <c r="I49" i="1"/>
  <c r="F49" i="1"/>
  <c r="E49" i="1"/>
  <c r="N48" i="1"/>
  <c r="H48" i="1"/>
  <c r="D48" i="1"/>
  <c r="J47" i="1"/>
  <c r="I47" i="1"/>
  <c r="F47" i="1"/>
  <c r="E47" i="1"/>
  <c r="J46" i="1"/>
  <c r="I46" i="1"/>
  <c r="F46" i="1"/>
  <c r="E46" i="1"/>
  <c r="J45" i="1"/>
  <c r="H45" i="1"/>
  <c r="I45" i="1" s="1"/>
  <c r="G45" i="1"/>
  <c r="D45" i="1"/>
  <c r="E45" i="1" s="1"/>
  <c r="C45" i="1"/>
  <c r="N44" i="1"/>
  <c r="M44" i="1"/>
  <c r="M41" i="1"/>
  <c r="J41" i="1"/>
  <c r="H41" i="1"/>
  <c r="I41" i="1" s="1"/>
  <c r="G41" i="1"/>
  <c r="F41" i="1"/>
  <c r="E41" i="1"/>
  <c r="M40" i="1"/>
  <c r="L40" i="1"/>
  <c r="D40" i="1"/>
  <c r="E40" i="1" s="1"/>
  <c r="C40" i="1"/>
  <c r="G40" i="1" s="1"/>
  <c r="M39" i="1"/>
  <c r="K39" i="1"/>
  <c r="H39" i="1"/>
  <c r="F39" i="1"/>
  <c r="C39" i="1"/>
  <c r="M38" i="1"/>
  <c r="H38" i="1"/>
  <c r="C38" i="1"/>
  <c r="K37" i="1"/>
  <c r="M37" i="1" s="1"/>
  <c r="D37" i="1"/>
  <c r="H37" i="1" s="1"/>
  <c r="C37" i="1"/>
  <c r="G37" i="1" s="1"/>
  <c r="I37" i="1" s="1"/>
  <c r="M36" i="1"/>
  <c r="J36" i="1"/>
  <c r="H36" i="1"/>
  <c r="I36" i="1" s="1"/>
  <c r="G36" i="1"/>
  <c r="F36" i="1"/>
  <c r="E36" i="1"/>
  <c r="M35" i="1"/>
  <c r="L35" i="1"/>
  <c r="D35" i="1"/>
  <c r="E35" i="1" s="1"/>
  <c r="C35" i="1"/>
  <c r="G35" i="1" s="1"/>
  <c r="M34" i="1"/>
  <c r="H34" i="1"/>
  <c r="J34" i="1" s="1"/>
  <c r="G34" i="1"/>
  <c r="I34" i="1" s="1"/>
  <c r="F34" i="1"/>
  <c r="E34" i="1"/>
  <c r="L33" i="1"/>
  <c r="M33" i="1" s="1"/>
  <c r="G33" i="1"/>
  <c r="D33" i="1"/>
  <c r="H33" i="1" s="1"/>
  <c r="J33" i="1" s="1"/>
  <c r="C33" i="1"/>
  <c r="E33" i="1" s="1"/>
  <c r="M32" i="1"/>
  <c r="H32" i="1"/>
  <c r="C32" i="1"/>
  <c r="L31" i="1"/>
  <c r="K31" i="1"/>
  <c r="M31" i="1" s="1"/>
  <c r="D31" i="1"/>
  <c r="E31" i="1" s="1"/>
  <c r="C31" i="1"/>
  <c r="G31" i="1" s="1"/>
  <c r="L30" i="1"/>
  <c r="K30" i="1"/>
  <c r="K43" i="1" s="1"/>
  <c r="G30" i="1"/>
  <c r="D30" i="1"/>
  <c r="D43" i="1" s="1"/>
  <c r="C30" i="1"/>
  <c r="M28" i="1"/>
  <c r="J28" i="1"/>
  <c r="I28" i="1"/>
  <c r="F28" i="1"/>
  <c r="E28" i="1"/>
  <c r="N27" i="1"/>
  <c r="J27" i="1"/>
  <c r="I27" i="1"/>
  <c r="F27" i="1"/>
  <c r="E27" i="1"/>
  <c r="N26" i="1"/>
  <c r="J26" i="1"/>
  <c r="I26" i="1"/>
  <c r="F26" i="1"/>
  <c r="E26" i="1"/>
  <c r="N25" i="1"/>
  <c r="M25" i="1"/>
  <c r="J25" i="1"/>
  <c r="I25" i="1"/>
  <c r="F25" i="1"/>
  <c r="E25" i="1"/>
  <c r="N24" i="1"/>
  <c r="L24" i="1"/>
  <c r="L28" i="1" s="1"/>
  <c r="N28" i="1" s="1"/>
  <c r="J24" i="1"/>
  <c r="I24" i="1"/>
  <c r="F24" i="1"/>
  <c r="E24" i="1"/>
  <c r="J23" i="1"/>
  <c r="I23" i="1"/>
  <c r="F23" i="1"/>
  <c r="E23" i="1"/>
  <c r="G22" i="1"/>
  <c r="D22" i="1"/>
  <c r="N45" i="1" s="1"/>
  <c r="H21" i="1"/>
  <c r="J21" i="1" s="1"/>
  <c r="G21" i="1"/>
  <c r="I21" i="1" s="1"/>
  <c r="F21" i="1"/>
  <c r="E21" i="1"/>
  <c r="J20" i="1"/>
  <c r="I20" i="1"/>
  <c r="F20" i="1"/>
  <c r="E20" i="1"/>
  <c r="G19" i="1"/>
  <c r="C19" i="1"/>
  <c r="D18" i="1"/>
  <c r="H18" i="1" s="1"/>
  <c r="C18" i="1"/>
  <c r="G18" i="1" s="1"/>
  <c r="D17" i="1"/>
  <c r="H17" i="1" s="1"/>
  <c r="C17" i="1"/>
  <c r="G17" i="1" s="1"/>
  <c r="G16" i="1" s="1"/>
  <c r="D16" i="1"/>
  <c r="F16" i="1" s="1"/>
  <c r="C16" i="1"/>
  <c r="E16" i="1" s="1"/>
  <c r="H15" i="1"/>
  <c r="J15" i="1" s="1"/>
  <c r="G15" i="1"/>
  <c r="I15" i="1" s="1"/>
  <c r="F15" i="1"/>
  <c r="E15" i="1"/>
  <c r="J14" i="1"/>
  <c r="I14" i="1"/>
  <c r="F14" i="1"/>
  <c r="E14" i="1"/>
  <c r="H13" i="1"/>
  <c r="G13" i="1"/>
  <c r="G42" i="1" s="1"/>
  <c r="D13" i="1"/>
  <c r="C13" i="1"/>
  <c r="C42" i="1" s="1"/>
  <c r="K45" i="1" l="1"/>
  <c r="J17" i="1"/>
  <c r="H16" i="1"/>
  <c r="I17" i="1"/>
  <c r="J18" i="1"/>
  <c r="I18" i="1"/>
  <c r="E13" i="1"/>
  <c r="I13" i="1"/>
  <c r="E17" i="1"/>
  <c r="E18" i="1"/>
  <c r="F22" i="1"/>
  <c r="H22" i="1"/>
  <c r="M30" i="1"/>
  <c r="H31" i="1"/>
  <c r="G32" i="1"/>
  <c r="E32" i="1"/>
  <c r="I32" i="1"/>
  <c r="H35" i="1"/>
  <c r="E37" i="1"/>
  <c r="G38" i="1"/>
  <c r="E38" i="1"/>
  <c r="I38" i="1"/>
  <c r="H40" i="1"/>
  <c r="N46" i="1"/>
  <c r="G50" i="1"/>
  <c r="E50" i="1"/>
  <c r="I72" i="1"/>
  <c r="N73" i="1"/>
  <c r="N78" i="1"/>
  <c r="F13" i="1"/>
  <c r="J13" i="1"/>
  <c r="F17" i="1"/>
  <c r="F18" i="1"/>
  <c r="D19" i="1"/>
  <c r="E22" i="1"/>
  <c r="E30" i="1"/>
  <c r="L43" i="1"/>
  <c r="L45" i="1" s="1"/>
  <c r="L42" i="1" s="1"/>
  <c r="M42" i="1" s="1"/>
  <c r="F31" i="1"/>
  <c r="F32" i="1"/>
  <c r="J32" i="1"/>
  <c r="I33" i="1"/>
  <c r="F35" i="1"/>
  <c r="J37" i="1"/>
  <c r="F38" i="1"/>
  <c r="J38" i="1"/>
  <c r="G39" i="1"/>
  <c r="J39" i="1" s="1"/>
  <c r="E39" i="1"/>
  <c r="I39" i="1"/>
  <c r="F40" i="1"/>
  <c r="F45" i="1"/>
  <c r="C48" i="1"/>
  <c r="E48" i="1" s="1"/>
  <c r="F50" i="1"/>
  <c r="J56" i="1"/>
  <c r="J61" i="1"/>
  <c r="I71" i="1"/>
  <c r="J72" i="1"/>
  <c r="N90" i="1"/>
  <c r="F30" i="1"/>
  <c r="H30" i="1"/>
  <c r="F33" i="1"/>
  <c r="F37" i="1"/>
  <c r="I74" i="1"/>
  <c r="N75" i="1"/>
  <c r="N71" i="1" s="1"/>
  <c r="I77" i="1"/>
  <c r="N86" i="1"/>
  <c r="N87" i="1"/>
  <c r="J50" i="1" l="1"/>
  <c r="I50" i="1"/>
  <c r="G48" i="1"/>
  <c r="I40" i="1"/>
  <c r="J40" i="1"/>
  <c r="I22" i="1"/>
  <c r="H19" i="1"/>
  <c r="J22" i="1"/>
  <c r="H43" i="1"/>
  <c r="J30" i="1"/>
  <c r="I30" i="1"/>
  <c r="F19" i="1"/>
  <c r="E19" i="1"/>
  <c r="D42" i="1"/>
  <c r="F48" i="1"/>
  <c r="I35" i="1"/>
  <c r="J35" i="1"/>
  <c r="I31" i="1"/>
  <c r="J31" i="1"/>
  <c r="C43" i="1"/>
  <c r="J16" i="1"/>
  <c r="I16" i="1"/>
  <c r="M43" i="1"/>
  <c r="J19" i="1" l="1"/>
  <c r="I19" i="1"/>
  <c r="H42" i="1"/>
  <c r="I48" i="1"/>
  <c r="J48" i="1"/>
  <c r="C67" i="1"/>
  <c r="C68" i="1" s="1"/>
  <c r="F43" i="1"/>
  <c r="E43" i="1"/>
  <c r="M54" i="1"/>
  <c r="F42" i="1"/>
  <c r="E42" i="1"/>
  <c r="D67" i="1"/>
  <c r="M46" i="1"/>
  <c r="N49" i="1" s="1"/>
  <c r="G43" i="1"/>
  <c r="G67" i="1" s="1"/>
  <c r="G68" i="1" s="1"/>
  <c r="E67" i="1" l="1"/>
  <c r="F67" i="1"/>
  <c r="D68" i="1"/>
  <c r="I43" i="1"/>
  <c r="J42" i="1"/>
  <c r="I42" i="1"/>
  <c r="H67" i="1"/>
  <c r="J43" i="1"/>
  <c r="I67" i="1" l="1"/>
  <c r="J67" i="1"/>
  <c r="H68" i="1"/>
  <c r="E68" i="1"/>
  <c r="F68" i="1"/>
  <c r="I68" i="1" l="1"/>
  <c r="J68" i="1"/>
</calcChain>
</file>

<file path=xl/comments1.xml><?xml version="1.0" encoding="utf-8"?>
<comments xmlns="http://schemas.openxmlformats.org/spreadsheetml/2006/main">
  <authors>
    <author>Автор</author>
  </authors>
  <commentList>
    <comment ref="L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стомат установка 
амортизація 78975/(5*12)*1
=1316.25
</t>
        </r>
      </text>
    </comment>
  </commentList>
</comments>
</file>

<file path=xl/sharedStrings.xml><?xml version="1.0" encoding="utf-8"?>
<sst xmlns="http://schemas.openxmlformats.org/spreadsheetml/2006/main" count="146" uniqueCount="119">
  <si>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</si>
  <si>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</si>
  <si>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</si>
  <si>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 xml:space="preserve"> комунального некомерційного підприємства "Лівобережна стоматологічна поліклініка" Дніпровської міської ради</t>
  </si>
  <si>
    <t>(назва підприємства)</t>
  </si>
  <si>
    <t>за ІІ квартал 2020 рік</t>
  </si>
  <si>
    <t>грн.</t>
  </si>
  <si>
    <t>Показники </t>
  </si>
  <si>
    <t>Код рядка</t>
  </si>
  <si>
    <t>Звітний період (ІІ квартал 2020 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</si>
  <si>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</si>
  <si>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</si>
  <si>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</si>
  <si>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</si>
  <si>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</si>
  <si>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</si>
  <si>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</si>
  <si>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</si>
  <si>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</si>
  <si>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</si>
  <si>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</si>
  <si>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</si>
  <si>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</t>
  </si>
  <si>
    <t>1012</t>
  </si>
  <si>
    <t>Дохід (виручка) за рахунок коштів бюджету міста</t>
  </si>
  <si>
    <t>1020</t>
  </si>
  <si>
    <t>Дохід з місцевого бюджету за цільовими програмами,</t>
  </si>
  <si>
    <t>1021</t>
  </si>
  <si>
    <t>Дохід з місцевого бюджету за програмою підтримки</t>
  </si>
  <si>
    <t>1022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</si>
  <si>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</si>
  <si>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</si>
  <si>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</si>
  <si>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</si>
  <si>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благодійність :</t>
  </si>
  <si>
    <t xml:space="preserve">   надходження від додаткової господарської діяльності  (отримані % по депозитах)</t>
  </si>
  <si>
    <t>травень</t>
  </si>
  <si>
    <t>червень</t>
  </si>
  <si>
    <t>надходження (доходи) від реалізації майна</t>
  </si>
  <si>
    <t>надходження (дохід) від оренди майна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</si>
  <si>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</si>
  <si>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</si>
  <si>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</si>
  <si>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ІІ. Видатки</t>
  </si>
  <si>
    <t>бт</t>
  </si>
  <si>
    <t>сс</t>
  </si>
  <si>
    <t xml:space="preserve">ВИДАТКИ 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</si>
  <si>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</si>
  <si>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</si>
  <si>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</si>
  <si>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</si>
  <si>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</si>
  <si>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</si>
  <si>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</si>
  <si>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</si>
  <si>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</si>
  <si>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</si>
  <si>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</si>
  <si>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АМОРТИЗАЦІЯ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</si>
  <si>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</si>
  <si>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</si>
  <si>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</si>
  <si>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</si>
  <si>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</si>
  <si>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</si>
  <si>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залишок на Р/Р Мб</t>
  </si>
  <si>
    <t>на р/р</t>
  </si>
  <si>
    <t>Капітальні інвестиції, усього, у тому числі:</t>
  </si>
  <si>
    <t xml:space="preserve">залишок на Р/Р СС </t>
  </si>
  <si>
    <t>капітальне будівництво</t>
  </si>
  <si>
    <t>придбання (виготовлення) основних засобів</t>
  </si>
  <si>
    <t>розмінна монета</t>
  </si>
  <si>
    <t>придбання (виготовлення) інших необоротних матеріальних активів</t>
  </si>
  <si>
    <t>виручка не здана в банк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</si>
  <si>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</si>
  <si>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</si>
  <si>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</si>
  <si>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</si>
  <si>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</si>
  <si>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</si>
  <si>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</si>
  <si>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</si>
  <si>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</si>
  <si>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</si>
  <si>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</si>
  <si>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</si>
  <si>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</si>
  <si>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</si>
  <si>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</si>
  <si>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план ІІ кв.</t>
  </si>
  <si>
    <t>VI. Розрахунки з бюджетом</t>
  </si>
  <si>
    <t>Начислено-оплачено:</t>
  </si>
  <si>
    <t>Податки, збори та платежі до бюджету, у т.ч.:</t>
  </si>
  <si>
    <t>сс з Л/Листів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</si>
  <si>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</si>
  <si>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</si>
  <si>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</si>
  <si>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</si>
  <si>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</si>
  <si>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(профсоюзні взноси)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</si>
  <si>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</si>
  <si>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</si>
  <si>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</si>
  <si>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</si>
  <si>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</si>
  <si>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на 01.10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</si>
  <si>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</si>
  <si>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</si>
  <si>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</si>
  <si>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</si>
  <si>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</si>
  <si>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Керівник підприємства</t>
  </si>
  <si>
    <t xml:space="preserve">О.Г. Шкода </t>
  </si>
  <si>
    <t>(підпис)</t>
  </si>
  <si>
    <t xml:space="preserve">                  (П.І.Б.)</t>
  </si>
  <si>
    <t>Заступник керівника</t>
  </si>
  <si>
    <t>Т.П. Копоть</t>
  </si>
  <si>
    <t>Головний бухгалтер</t>
  </si>
  <si>
    <t>С.М. Асніна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</si>
</sst>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/>
    <xf numFmtId="0" fontId="7" fillId="0" borderId="0" xfId="1" applyFont="1"/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164" fontId="5" fillId="0" borderId="0" xfId="1" applyNumberFormat="1" applyFont="1" applyAlignment="1">
      <alignment horizontal="center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0" fillId="3" borderId="0" xfId="1" applyFont="1" applyFill="1" applyBorder="1"/>
    <xf numFmtId="0" fontId="10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justify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/>
    </xf>
    <xf numFmtId="0" fontId="11" fillId="0" borderId="6" xfId="0" applyFont="1" applyFill="1" applyBorder="1"/>
    <xf numFmtId="164" fontId="11" fillId="0" borderId="15" xfId="0" applyNumberFormat="1" applyFont="1" applyFill="1" applyBorder="1" applyAlignment="1">
      <alignment horizontal="center" vertical="center" wrapText="1"/>
    </xf>
    <xf numFmtId="0" fontId="13" fillId="2" borderId="0" xfId="1" applyFont="1" applyFill="1"/>
    <xf numFmtId="0" fontId="14" fillId="2" borderId="0" xfId="1" applyFont="1" applyFill="1"/>
    <xf numFmtId="16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4" fontId="7" fillId="2" borderId="6" xfId="1" applyNumberFormat="1" applyFont="1" applyFill="1" applyBorder="1"/>
    <xf numFmtId="4" fontId="11" fillId="0" borderId="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13" fillId="2" borderId="6" xfId="1" applyNumberFormat="1" applyFont="1" applyFill="1" applyBorder="1"/>
    <xf numFmtId="4" fontId="7" fillId="2" borderId="0" xfId="1" applyNumberFormat="1" applyFont="1" applyFill="1"/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/>
    <xf numFmtId="0" fontId="11" fillId="0" borderId="6" xfId="0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right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/>
    </xf>
    <xf numFmtId="164" fontId="11" fillId="0" borderId="3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/>
    </xf>
    <xf numFmtId="0" fontId="7" fillId="2" borderId="0" xfId="1" applyFont="1" applyFill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vertical="center" wrapText="1"/>
    </xf>
    <xf numFmtId="4" fontId="7" fillId="2" borderId="0" xfId="1" applyNumberFormat="1" applyFont="1" applyFill="1" applyAlignment="1">
      <alignment horizontal="right"/>
    </xf>
    <xf numFmtId="4" fontId="14" fillId="2" borderId="0" xfId="1" applyNumberFormat="1" applyFont="1" applyFill="1" applyAlignment="1">
      <alignment horizontal="right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3" fillId="0" borderId="0" xfId="1" applyFont="1"/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93"/>
  <sheetViews>
    <sheetView tabSelected="1" view="pageBreakPreview" zoomScale="90" zoomScaleNormal="89" zoomScaleSheetLayoutView="90" workbookViewId="0">
      <selection activeCell="AA18" sqref="AA18"/>
    </sheetView>
  </sheetViews>
  <sheetFormatPr defaultRowHeight="18" x14ac:dyDescent="0.3"/>
  <cols>
    <col min="1" max="1" width="72.5703125" style="147" customWidth="1"/>
    <col min="2" max="2" width="7.140625" style="147" customWidth="1"/>
    <col min="3" max="3" width="15" style="3" customWidth="1"/>
    <col min="4" max="4" width="14" style="3" customWidth="1"/>
    <col min="5" max="5" width="15.85546875" style="3" customWidth="1"/>
    <col min="6" max="6" width="13.85546875" style="3" customWidth="1"/>
    <col min="7" max="7" width="14.28515625" style="3" customWidth="1"/>
    <col min="8" max="8" width="15.28515625" style="3" customWidth="1"/>
    <col min="9" max="9" width="15.42578125" style="3" customWidth="1"/>
    <col min="10" max="10" width="13.42578125" style="3" customWidth="1"/>
    <col min="11" max="11" width="14.28515625" style="7" hidden="1" customWidth="1"/>
    <col min="12" max="12" width="14" style="7" hidden="1" customWidth="1"/>
    <col min="13" max="13" width="15.140625" style="7" hidden="1" customWidth="1"/>
    <col min="14" max="14" width="47.7109375" style="7" hidden="1" customWidth="1"/>
    <col min="15" max="15" width="19.42578125" style="7" hidden="1" customWidth="1"/>
    <col min="16" max="18" width="9.140625" style="7"/>
    <col min="19" max="16384" width="9.140625" style="8"/>
  </cols>
  <sheetData>
    <row r="1" spans="1:18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8" ht="20.45" customHeight="1" x14ac:dyDescent="0.3">
      <c r="A2" s="1"/>
      <c r="B2" s="1"/>
      <c r="E2" s="9" t="s">
        <v>1</v>
      </c>
      <c r="F2" s="9"/>
      <c r="G2" s="9"/>
      <c r="H2" s="9"/>
      <c r="I2" s="9"/>
      <c r="J2" s="9"/>
    </row>
    <row r="3" spans="1:18" s="7" customFormat="1" ht="16.899999999999999" customHeight="1" x14ac:dyDescent="0.3">
      <c r="A3" s="10"/>
      <c r="B3" s="1"/>
      <c r="C3" s="11"/>
      <c r="D3" s="11"/>
      <c r="E3" s="11"/>
      <c r="F3" s="11"/>
      <c r="G3" s="11"/>
      <c r="H3" s="11"/>
      <c r="I3" s="11"/>
      <c r="J3" s="12"/>
    </row>
    <row r="4" spans="1:18" s="7" customFormat="1" ht="16.899999999999999" customHeight="1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8" s="7" customFormat="1" ht="18.75" x14ac:dyDescent="0.3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</row>
    <row r="6" spans="1:18" s="7" customFormat="1" ht="13.15" customHeight="1" x14ac:dyDescent="0.3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</row>
    <row r="7" spans="1:18" s="7" customFormat="1" ht="20.45" customHeight="1" x14ac:dyDescent="0.3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</row>
    <row r="8" spans="1:18" s="7" customFormat="1" ht="10.15" customHeight="1" x14ac:dyDescent="0.3">
      <c r="A8" s="17"/>
      <c r="B8" s="18"/>
      <c r="C8" s="18"/>
      <c r="D8" s="18"/>
      <c r="E8" s="18"/>
      <c r="F8" s="18"/>
      <c r="G8" s="3"/>
      <c r="H8" s="3"/>
      <c r="I8" s="19"/>
      <c r="J8" s="3" t="s">
        <v>6</v>
      </c>
    </row>
    <row r="9" spans="1:18" s="7" customFormat="1" ht="30" customHeight="1" x14ac:dyDescent="0.3">
      <c r="A9" s="20" t="s">
        <v>7</v>
      </c>
      <c r="B9" s="20" t="s">
        <v>8</v>
      </c>
      <c r="C9" s="21" t="s">
        <v>9</v>
      </c>
      <c r="D9" s="22"/>
      <c r="E9" s="22"/>
      <c r="F9" s="23"/>
      <c r="G9" s="24" t="s">
        <v>10</v>
      </c>
      <c r="H9" s="24"/>
      <c r="I9" s="24"/>
      <c r="J9" s="24"/>
    </row>
    <row r="10" spans="1:18" s="7" customFormat="1" ht="36" customHeight="1" x14ac:dyDescent="0.3">
      <c r="A10" s="20"/>
      <c r="B10" s="20"/>
      <c r="C10" s="25" t="s">
        <v>11</v>
      </c>
      <c r="D10" s="25" t="s">
        <v>12</v>
      </c>
      <c r="E10" s="25" t="s">
        <v>13</v>
      </c>
      <c r="F10" s="26" t="s">
        <v>14</v>
      </c>
      <c r="G10" s="25" t="s">
        <v>11</v>
      </c>
      <c r="H10" s="25" t="s">
        <v>12</v>
      </c>
      <c r="I10" s="27" t="s">
        <v>13</v>
      </c>
      <c r="J10" s="28" t="s">
        <v>14</v>
      </c>
    </row>
    <row r="11" spans="1:18" s="7" customFormat="1" x14ac:dyDescent="0.3">
      <c r="A11" s="29" t="s">
        <v>15</v>
      </c>
      <c r="B11" s="29" t="s">
        <v>16</v>
      </c>
      <c r="C11" s="29">
        <v>3</v>
      </c>
      <c r="D11" s="29">
        <v>4</v>
      </c>
      <c r="E11" s="29">
        <v>5</v>
      </c>
      <c r="F11" s="30">
        <v>6</v>
      </c>
      <c r="G11" s="31">
        <v>7</v>
      </c>
      <c r="H11" s="32">
        <v>8</v>
      </c>
      <c r="I11" s="32">
        <v>9</v>
      </c>
      <c r="J11" s="32">
        <v>10</v>
      </c>
    </row>
    <row r="12" spans="1:18" s="7" customFormat="1" ht="13.9" customHeight="1" x14ac:dyDescent="0.3">
      <c r="A12" s="33" t="s">
        <v>17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8" s="7" customFormat="1" ht="13.9" customHeight="1" x14ac:dyDescent="0.3">
      <c r="A13" s="36" t="s">
        <v>18</v>
      </c>
      <c r="B13" s="37" t="s">
        <v>19</v>
      </c>
      <c r="C13" s="38">
        <f>C14+C15</f>
        <v>1308931</v>
      </c>
      <c r="D13" s="38">
        <f>D14+D15</f>
        <v>1308931</v>
      </c>
      <c r="E13" s="38">
        <f>D13-C13</f>
        <v>0</v>
      </c>
      <c r="F13" s="39">
        <f>(D13/C13)*100</f>
        <v>100</v>
      </c>
      <c r="G13" s="38">
        <f>G14+G15</f>
        <v>1308931</v>
      </c>
      <c r="H13" s="38">
        <f>H14+H15</f>
        <v>1308931</v>
      </c>
      <c r="I13" s="38">
        <f>H13-G13</f>
        <v>0</v>
      </c>
      <c r="J13" s="40">
        <f t="shared" ref="J13:J26" si="0">(H13/G13)*100</f>
        <v>100</v>
      </c>
    </row>
    <row r="14" spans="1:18" s="3" customFormat="1" x14ac:dyDescent="0.3">
      <c r="A14" s="41" t="s">
        <v>20</v>
      </c>
      <c r="B14" s="42" t="s">
        <v>21</v>
      </c>
      <c r="C14" s="43">
        <v>0</v>
      </c>
      <c r="D14" s="43">
        <v>0</v>
      </c>
      <c r="E14" s="38">
        <f t="shared" ref="E14:E68" si="1">D14-C14</f>
        <v>0</v>
      </c>
      <c r="F14" s="39" t="e">
        <f t="shared" ref="F14:F43" si="2">(D14/C14)*100</f>
        <v>#DIV/0!</v>
      </c>
      <c r="G14" s="44"/>
      <c r="H14" s="44"/>
      <c r="I14" s="38">
        <f t="shared" ref="I14:I26" si="3">H14-G14</f>
        <v>0</v>
      </c>
      <c r="J14" s="40" t="e">
        <f t="shared" si="0"/>
        <v>#DIV/0!</v>
      </c>
      <c r="K14" s="7"/>
      <c r="L14" s="7"/>
      <c r="M14" s="7"/>
      <c r="N14" s="7"/>
      <c r="O14" s="7"/>
      <c r="P14" s="7"/>
      <c r="Q14" s="7"/>
      <c r="R14" s="7"/>
    </row>
    <row r="15" spans="1:18" s="3" customFormat="1" x14ac:dyDescent="0.3">
      <c r="A15" s="45" t="s">
        <v>22</v>
      </c>
      <c r="B15" s="46" t="s">
        <v>23</v>
      </c>
      <c r="C15" s="47">
        <v>1308931</v>
      </c>
      <c r="D15" s="47">
        <v>1308931</v>
      </c>
      <c r="E15" s="38">
        <f t="shared" si="1"/>
        <v>0</v>
      </c>
      <c r="F15" s="39">
        <f t="shared" si="2"/>
        <v>100</v>
      </c>
      <c r="G15" s="48">
        <f>C15</f>
        <v>1308931</v>
      </c>
      <c r="H15" s="49">
        <f>D15</f>
        <v>1308931</v>
      </c>
      <c r="I15" s="38">
        <f t="shared" si="3"/>
        <v>0</v>
      </c>
      <c r="J15" s="40">
        <f t="shared" si="0"/>
        <v>100</v>
      </c>
      <c r="K15" s="7"/>
      <c r="L15" s="7"/>
      <c r="M15" s="7"/>
      <c r="N15" s="7"/>
      <c r="O15" s="7"/>
      <c r="P15" s="7"/>
      <c r="Q15" s="7"/>
      <c r="R15" s="7"/>
    </row>
    <row r="16" spans="1:18" s="3" customFormat="1" x14ac:dyDescent="0.3">
      <c r="A16" s="50" t="s">
        <v>24</v>
      </c>
      <c r="B16" s="51" t="s">
        <v>25</v>
      </c>
      <c r="C16" s="52">
        <f>C17+C18</f>
        <v>4061026.64</v>
      </c>
      <c r="D16" s="52">
        <f>D17+D18</f>
        <v>1678836.24</v>
      </c>
      <c r="E16" s="53">
        <f t="shared" si="1"/>
        <v>-2382190.4000000004</v>
      </c>
      <c r="F16" s="54">
        <f t="shared" si="2"/>
        <v>41.340192735106015</v>
      </c>
      <c r="G16" s="52">
        <f>G17+G18</f>
        <v>4061026.64</v>
      </c>
      <c r="H16" s="52">
        <f>H17+H18</f>
        <v>1678836.24</v>
      </c>
      <c r="I16" s="53">
        <f t="shared" si="3"/>
        <v>-2382190.4000000004</v>
      </c>
      <c r="J16" s="55">
        <f t="shared" si="0"/>
        <v>41.340192735106015</v>
      </c>
      <c r="K16" s="7"/>
      <c r="L16" s="7"/>
      <c r="M16" s="7"/>
      <c r="N16" s="7"/>
      <c r="O16" s="7"/>
      <c r="P16" s="7"/>
      <c r="Q16" s="7"/>
      <c r="R16" s="7"/>
    </row>
    <row r="17" spans="1:18" s="3" customFormat="1" x14ac:dyDescent="0.3">
      <c r="A17" s="56" t="s">
        <v>26</v>
      </c>
      <c r="B17" s="57" t="s">
        <v>27</v>
      </c>
      <c r="C17" s="58">
        <f>1027199-20000</f>
        <v>1007199</v>
      </c>
      <c r="D17" s="58">
        <f>208770+45929+26485.3</f>
        <v>281184.3</v>
      </c>
      <c r="E17" s="53">
        <f>D17-C17</f>
        <v>-726014.7</v>
      </c>
      <c r="F17" s="54">
        <f>(D17/C17)*100</f>
        <v>27.917452261171821</v>
      </c>
      <c r="G17" s="58">
        <f>C17</f>
        <v>1007199</v>
      </c>
      <c r="H17" s="58">
        <f>D17</f>
        <v>281184.3</v>
      </c>
      <c r="I17" s="53">
        <f>H17-G17</f>
        <v>-726014.7</v>
      </c>
      <c r="J17" s="55">
        <f>(H17/G17)*100</f>
        <v>27.917452261171821</v>
      </c>
      <c r="K17" s="7"/>
      <c r="L17" s="7"/>
      <c r="M17" s="7"/>
      <c r="N17" s="7"/>
      <c r="O17" s="7"/>
      <c r="P17" s="7"/>
      <c r="Q17" s="7"/>
      <c r="R17" s="7"/>
    </row>
    <row r="18" spans="1:18" s="3" customFormat="1" ht="25.5" customHeight="1" x14ac:dyDescent="0.3">
      <c r="A18" s="56" t="s">
        <v>28</v>
      </c>
      <c r="B18" s="57" t="s">
        <v>29</v>
      </c>
      <c r="C18" s="58">
        <f>755081.64+93794+2204952</f>
        <v>3053827.64</v>
      </c>
      <c r="D18" s="58">
        <f>1678836.24-208770-45929-26485.3</f>
        <v>1397651.94</v>
      </c>
      <c r="E18" s="53">
        <f>D18-C18</f>
        <v>-1656175.7000000002</v>
      </c>
      <c r="F18" s="54">
        <f>(D18/C18)*100</f>
        <v>45.767217563071107</v>
      </c>
      <c r="G18" s="58">
        <f>C18</f>
        <v>3053827.64</v>
      </c>
      <c r="H18" s="58">
        <f>D18</f>
        <v>1397651.94</v>
      </c>
      <c r="I18" s="53">
        <f>H18-G18</f>
        <v>-1656175.7000000002</v>
      </c>
      <c r="J18" s="55">
        <f>(H18/G18)*100</f>
        <v>45.767217563071107</v>
      </c>
      <c r="K18" s="7"/>
      <c r="L18" s="7"/>
      <c r="M18" s="7"/>
      <c r="N18" s="7"/>
      <c r="O18" s="7"/>
      <c r="P18" s="7"/>
      <c r="Q18" s="7"/>
      <c r="R18" s="7"/>
    </row>
    <row r="19" spans="1:18" s="3" customFormat="1" x14ac:dyDescent="0.3">
      <c r="A19" s="59" t="s">
        <v>30</v>
      </c>
      <c r="B19" s="60">
        <v>1030</v>
      </c>
      <c r="C19" s="61">
        <f>C20+C21+C22+C23+C24+C25+C26+C27+C28</f>
        <v>992363.52000000002</v>
      </c>
      <c r="D19" s="61">
        <f>D20+D21+D22+D23+D24+D25+D26+D27+D28</f>
        <v>579479.51</v>
      </c>
      <c r="E19" s="61">
        <f t="shared" si="1"/>
        <v>-412884.01</v>
      </c>
      <c r="F19" s="62">
        <f t="shared" si="2"/>
        <v>58.393874655932535</v>
      </c>
      <c r="G19" s="61">
        <f>G20+G21+G22+G23+G24+G25+G26+G27+G28</f>
        <v>992363.52000000002</v>
      </c>
      <c r="H19" s="61">
        <f>H20+H21+H22+H23+H24+H25+H26+H27+H28</f>
        <v>579479.51</v>
      </c>
      <c r="I19" s="61">
        <f t="shared" si="3"/>
        <v>-412884.01</v>
      </c>
      <c r="J19" s="63">
        <f t="shared" si="0"/>
        <v>58.393874655932535</v>
      </c>
      <c r="K19" s="7"/>
      <c r="L19" s="7"/>
      <c r="M19" s="7"/>
      <c r="N19" s="7"/>
      <c r="O19" s="7"/>
      <c r="P19" s="7"/>
      <c r="Q19" s="7"/>
      <c r="R19" s="7"/>
    </row>
    <row r="20" spans="1:18" s="3" customFormat="1" ht="32.25" x14ac:dyDescent="0.3">
      <c r="A20" s="64" t="s">
        <v>31</v>
      </c>
      <c r="B20" s="65">
        <v>1031</v>
      </c>
      <c r="C20" s="66"/>
      <c r="D20" s="66"/>
      <c r="E20" s="38">
        <f t="shared" si="1"/>
        <v>0</v>
      </c>
      <c r="F20" s="39" t="e">
        <f t="shared" si="2"/>
        <v>#DIV/0!</v>
      </c>
      <c r="G20" s="66"/>
      <c r="H20" s="67"/>
      <c r="I20" s="38">
        <f t="shared" si="3"/>
        <v>0</v>
      </c>
      <c r="J20" s="40" t="e">
        <f t="shared" si="0"/>
        <v>#DIV/0!</v>
      </c>
      <c r="K20" s="7"/>
      <c r="L20" s="7"/>
      <c r="M20" s="7"/>
      <c r="N20" s="7"/>
      <c r="O20" s="7"/>
      <c r="P20" s="7"/>
      <c r="Q20" s="7"/>
      <c r="R20" s="7"/>
    </row>
    <row r="21" spans="1:18" ht="32.25" x14ac:dyDescent="0.3">
      <c r="A21" s="64" t="s">
        <v>32</v>
      </c>
      <c r="B21" s="65">
        <v>1032</v>
      </c>
      <c r="C21" s="66">
        <v>956321.21</v>
      </c>
      <c r="D21" s="66">
        <v>543437.19999999995</v>
      </c>
      <c r="E21" s="38">
        <f t="shared" si="1"/>
        <v>-412884.01</v>
      </c>
      <c r="F21" s="39">
        <f t="shared" si="2"/>
        <v>56.825802284569214</v>
      </c>
      <c r="G21" s="66">
        <f>C21</f>
        <v>956321.21</v>
      </c>
      <c r="H21" s="66">
        <f>D21</f>
        <v>543437.19999999995</v>
      </c>
      <c r="I21" s="38">
        <f t="shared" si="3"/>
        <v>-412884.01</v>
      </c>
      <c r="J21" s="40">
        <f t="shared" si="0"/>
        <v>56.825802284569214</v>
      </c>
    </row>
    <row r="22" spans="1:18" x14ac:dyDescent="0.3">
      <c r="A22" s="68" t="s">
        <v>33</v>
      </c>
      <c r="B22" s="65">
        <v>1033</v>
      </c>
      <c r="C22" s="66">
        <v>36042.31</v>
      </c>
      <c r="D22" s="66">
        <f>31586.06+3140+(78975/(5*12)*1)</f>
        <v>36042.31</v>
      </c>
      <c r="E22" s="38">
        <f t="shared" si="1"/>
        <v>0</v>
      </c>
      <c r="F22" s="39">
        <f t="shared" si="2"/>
        <v>100</v>
      </c>
      <c r="G22" s="66">
        <f>C22</f>
        <v>36042.31</v>
      </c>
      <c r="H22" s="67">
        <f>D22</f>
        <v>36042.31</v>
      </c>
      <c r="I22" s="38">
        <f t="shared" si="3"/>
        <v>0</v>
      </c>
      <c r="J22" s="40">
        <f t="shared" si="0"/>
        <v>100</v>
      </c>
      <c r="K22" s="7" t="s">
        <v>34</v>
      </c>
    </row>
    <row r="23" spans="1:18" ht="32.25" x14ac:dyDescent="0.3">
      <c r="A23" s="64" t="s">
        <v>35</v>
      </c>
      <c r="B23" s="65">
        <v>1034</v>
      </c>
      <c r="C23" s="66"/>
      <c r="D23" s="66"/>
      <c r="E23" s="38">
        <f t="shared" si="1"/>
        <v>0</v>
      </c>
      <c r="F23" s="39" t="e">
        <f t="shared" si="2"/>
        <v>#DIV/0!</v>
      </c>
      <c r="G23" s="69"/>
      <c r="H23" s="67"/>
      <c r="I23" s="38">
        <f t="shared" si="3"/>
        <v>0</v>
      </c>
      <c r="J23" s="40" t="e">
        <f t="shared" si="0"/>
        <v>#DIV/0!</v>
      </c>
      <c r="L23" s="7" t="s">
        <v>36</v>
      </c>
      <c r="M23" s="7" t="s">
        <v>37</v>
      </c>
    </row>
    <row r="24" spans="1:18" x14ac:dyDescent="0.3">
      <c r="A24" s="64" t="s">
        <v>38</v>
      </c>
      <c r="B24" s="65">
        <v>1035</v>
      </c>
      <c r="C24" s="66"/>
      <c r="D24" s="66"/>
      <c r="E24" s="38">
        <f t="shared" si="1"/>
        <v>0</v>
      </c>
      <c r="F24" s="39" t="e">
        <f t="shared" si="2"/>
        <v>#DIV/0!</v>
      </c>
      <c r="G24" s="69"/>
      <c r="H24" s="67"/>
      <c r="I24" s="38">
        <f t="shared" si="3"/>
        <v>0</v>
      </c>
      <c r="J24" s="40" t="e">
        <f t="shared" si="0"/>
        <v>#DIV/0!</v>
      </c>
      <c r="K24" s="7">
        <v>2210</v>
      </c>
      <c r="L24" s="7">
        <f>8905.36+8450.7</f>
        <v>17356.060000000001</v>
      </c>
      <c r="M24" s="70">
        <v>14230</v>
      </c>
      <c r="N24" s="71">
        <f>L24+M24</f>
        <v>31586.06</v>
      </c>
    </row>
    <row r="25" spans="1:18" x14ac:dyDescent="0.3">
      <c r="A25" s="68" t="s">
        <v>39</v>
      </c>
      <c r="B25" s="65">
        <v>1036</v>
      </c>
      <c r="C25" s="66"/>
      <c r="D25" s="66"/>
      <c r="E25" s="38">
        <f t="shared" si="1"/>
        <v>0</v>
      </c>
      <c r="F25" s="39" t="e">
        <f t="shared" si="2"/>
        <v>#DIV/0!</v>
      </c>
      <c r="G25" s="69"/>
      <c r="H25" s="67"/>
      <c r="I25" s="38">
        <f t="shared" si="3"/>
        <v>0</v>
      </c>
      <c r="J25" s="40" t="e">
        <f t="shared" si="0"/>
        <v>#DIV/0!</v>
      </c>
      <c r="K25" s="7">
        <v>2220</v>
      </c>
      <c r="M25" s="70">
        <f>1950+1190</f>
        <v>3140</v>
      </c>
      <c r="N25" s="71">
        <f>L25+M25</f>
        <v>3140</v>
      </c>
    </row>
    <row r="26" spans="1:18" x14ac:dyDescent="0.3">
      <c r="A26" s="56" t="s">
        <v>40</v>
      </c>
      <c r="B26" s="65">
        <v>1037</v>
      </c>
      <c r="C26" s="72"/>
      <c r="D26" s="72"/>
      <c r="E26" s="53">
        <f t="shared" si="1"/>
        <v>0</v>
      </c>
      <c r="F26" s="54" t="e">
        <f t="shared" si="2"/>
        <v>#DIV/0!</v>
      </c>
      <c r="G26" s="72"/>
      <c r="H26" s="49"/>
      <c r="I26" s="53">
        <f t="shared" si="3"/>
        <v>0</v>
      </c>
      <c r="J26" s="55" t="e">
        <f t="shared" si="0"/>
        <v>#DIV/0!</v>
      </c>
      <c r="K26" s="7">
        <v>2240</v>
      </c>
      <c r="N26" s="71">
        <f>L26+M26</f>
        <v>0</v>
      </c>
    </row>
    <row r="27" spans="1:18" x14ac:dyDescent="0.3">
      <c r="A27" s="73" t="s">
        <v>41</v>
      </c>
      <c r="B27" s="74">
        <v>1037</v>
      </c>
      <c r="C27" s="72"/>
      <c r="D27" s="72"/>
      <c r="E27" s="53">
        <f>D27-C27</f>
        <v>0</v>
      </c>
      <c r="F27" s="54" t="e">
        <f>(D27/C27)*100</f>
        <v>#DIV/0!</v>
      </c>
      <c r="G27" s="72"/>
      <c r="H27" s="49"/>
      <c r="I27" s="53">
        <f>H27-G27</f>
        <v>0</v>
      </c>
      <c r="J27" s="55" t="e">
        <f>(H27/G27)*100</f>
        <v>#DIV/0!</v>
      </c>
      <c r="K27" s="7">
        <v>3210</v>
      </c>
      <c r="L27" s="70">
        <v>78975</v>
      </c>
      <c r="N27" s="71">
        <f>L27+M27</f>
        <v>78975</v>
      </c>
    </row>
    <row r="28" spans="1:18" x14ac:dyDescent="0.3">
      <c r="A28" s="64" t="s">
        <v>42</v>
      </c>
      <c r="B28" s="65">
        <v>1038</v>
      </c>
      <c r="C28" s="66"/>
      <c r="D28" s="66"/>
      <c r="E28" s="53">
        <f>D28-C28</f>
        <v>0</v>
      </c>
      <c r="F28" s="54" t="e">
        <f>(D28/C28)*100</f>
        <v>#DIV/0!</v>
      </c>
      <c r="G28" s="72"/>
      <c r="H28" s="49"/>
      <c r="I28" s="53">
        <f>H28-G28</f>
        <v>0</v>
      </c>
      <c r="J28" s="55" t="e">
        <f>(H28/G28)*100</f>
        <v>#DIV/0!</v>
      </c>
      <c r="L28" s="71">
        <f>SUM(L24:L27)</f>
        <v>96331.06</v>
      </c>
      <c r="M28" s="71">
        <f>SUM(M24:M27)</f>
        <v>17370</v>
      </c>
      <c r="N28" s="71">
        <f>L28+M28</f>
        <v>113701.06</v>
      </c>
    </row>
    <row r="29" spans="1:18" x14ac:dyDescent="0.3">
      <c r="A29" s="75" t="s">
        <v>43</v>
      </c>
      <c r="B29" s="75"/>
      <c r="C29" s="75"/>
      <c r="D29" s="75"/>
      <c r="E29" s="75"/>
      <c r="F29" s="75"/>
      <c r="G29" s="75"/>
      <c r="H29" s="75"/>
      <c r="I29" s="75"/>
      <c r="J29" s="75"/>
      <c r="K29" s="7" t="s">
        <v>44</v>
      </c>
      <c r="L29" s="7" t="s">
        <v>45</v>
      </c>
      <c r="N29" s="7" t="s">
        <v>46</v>
      </c>
    </row>
    <row r="30" spans="1:18" x14ac:dyDescent="0.3">
      <c r="A30" s="76" t="s">
        <v>47</v>
      </c>
      <c r="B30" s="77">
        <v>1040</v>
      </c>
      <c r="C30" s="78">
        <f>1986166.71+2005991-127732</f>
        <v>3864425.71</v>
      </c>
      <c r="D30" s="78">
        <f>231737.74+2343183.23</f>
        <v>2574920.9699999997</v>
      </c>
      <c r="E30" s="61">
        <f t="shared" si="1"/>
        <v>-1289504.7400000002</v>
      </c>
      <c r="F30" s="62">
        <f t="shared" si="2"/>
        <v>66.631400451996257</v>
      </c>
      <c r="G30" s="79">
        <f>C30</f>
        <v>3864425.71</v>
      </c>
      <c r="H30" s="79">
        <f>D30</f>
        <v>2574920.9699999997</v>
      </c>
      <c r="I30" s="61">
        <f t="shared" ref="I30:I43" si="4">H30-G30</f>
        <v>-1289504.7400000002</v>
      </c>
      <c r="J30" s="63">
        <f t="shared" ref="J30:J43" si="5">(H30/G30)*100</f>
        <v>66.631400451996257</v>
      </c>
      <c r="K30" s="80">
        <f>1270288.23+1072895</f>
        <v>2343183.23</v>
      </c>
      <c r="L30" s="81">
        <f>231737.74+0</f>
        <v>231737.74</v>
      </c>
      <c r="M30" s="80">
        <f>K30+L30</f>
        <v>2574920.9699999997</v>
      </c>
      <c r="N30" s="76" t="s">
        <v>47</v>
      </c>
    </row>
    <row r="31" spans="1:18" x14ac:dyDescent="0.3">
      <c r="A31" s="82" t="s">
        <v>48</v>
      </c>
      <c r="B31" s="83">
        <v>1050</v>
      </c>
      <c r="C31" s="84">
        <f>433283.7+451491</f>
        <v>884774.7</v>
      </c>
      <c r="D31" s="84">
        <f>76480.33+518293.58</f>
        <v>594773.91</v>
      </c>
      <c r="E31" s="38">
        <f t="shared" si="1"/>
        <v>-290000.78999999992</v>
      </c>
      <c r="F31" s="39">
        <f t="shared" si="2"/>
        <v>67.223204958279211</v>
      </c>
      <c r="G31" s="79">
        <f t="shared" ref="G31:H41" si="6">C31</f>
        <v>884774.7</v>
      </c>
      <c r="H31" s="79">
        <f t="shared" si="6"/>
        <v>594773.91</v>
      </c>
      <c r="I31" s="38">
        <f t="shared" si="4"/>
        <v>-290000.78999999992</v>
      </c>
      <c r="J31" s="40">
        <f t="shared" si="5"/>
        <v>67.223204958279211</v>
      </c>
      <c r="K31" s="80">
        <f>282257.58+236036</f>
        <v>518293.58</v>
      </c>
      <c r="L31" s="81">
        <f>76480.33+0</f>
        <v>76480.33</v>
      </c>
      <c r="M31" s="80">
        <f t="shared" ref="M31:M44" si="7">K31+L31</f>
        <v>594773.91</v>
      </c>
      <c r="N31" s="82" t="s">
        <v>48</v>
      </c>
    </row>
    <row r="32" spans="1:18" x14ac:dyDescent="0.3">
      <c r="A32" s="82" t="s">
        <v>49</v>
      </c>
      <c r="B32" s="83">
        <v>1060</v>
      </c>
      <c r="C32" s="84">
        <f>47548+127348.4+31586.06</f>
        <v>206482.46</v>
      </c>
      <c r="D32" s="84">
        <v>31586.06</v>
      </c>
      <c r="E32" s="38">
        <f t="shared" si="1"/>
        <v>-174896.4</v>
      </c>
      <c r="F32" s="39">
        <f t="shared" si="2"/>
        <v>15.297212169982865</v>
      </c>
      <c r="G32" s="79">
        <f t="shared" si="6"/>
        <v>206482.46</v>
      </c>
      <c r="H32" s="79">
        <f t="shared" si="6"/>
        <v>31586.06</v>
      </c>
      <c r="I32" s="38">
        <f t="shared" si="4"/>
        <v>-174896.4</v>
      </c>
      <c r="J32" s="40">
        <f t="shared" si="5"/>
        <v>15.297212169982865</v>
      </c>
      <c r="K32" s="80"/>
      <c r="L32" s="81"/>
      <c r="M32" s="80">
        <f t="shared" si="7"/>
        <v>0</v>
      </c>
      <c r="N32" s="82" t="s">
        <v>49</v>
      </c>
      <c r="O32" s="7">
        <v>31586.06</v>
      </c>
    </row>
    <row r="33" spans="1:15" x14ac:dyDescent="0.3">
      <c r="A33" s="82" t="s">
        <v>50</v>
      </c>
      <c r="B33" s="83">
        <v>1070</v>
      </c>
      <c r="C33" s="84">
        <f>756154.66-106942+3140</f>
        <v>652352.66</v>
      </c>
      <c r="D33" s="84">
        <f>33997+0+3140</f>
        <v>37137</v>
      </c>
      <c r="E33" s="38">
        <f t="shared" si="1"/>
        <v>-615215.66</v>
      </c>
      <c r="F33" s="39">
        <f t="shared" si="2"/>
        <v>5.6927797305218313</v>
      </c>
      <c r="G33" s="79">
        <f t="shared" si="6"/>
        <v>652352.66</v>
      </c>
      <c r="H33" s="79">
        <f t="shared" si="6"/>
        <v>37137</v>
      </c>
      <c r="I33" s="38">
        <f t="shared" si="4"/>
        <v>-615215.66</v>
      </c>
      <c r="J33" s="40">
        <f t="shared" si="5"/>
        <v>5.6927797305218313</v>
      </c>
      <c r="K33" s="80"/>
      <c r="L33" s="81">
        <f>33997+0</f>
        <v>33997</v>
      </c>
      <c r="M33" s="80">
        <f t="shared" si="7"/>
        <v>33997</v>
      </c>
      <c r="N33" s="82" t="s">
        <v>50</v>
      </c>
      <c r="O33" s="7">
        <v>3140</v>
      </c>
    </row>
    <row r="34" spans="1:15" x14ac:dyDescent="0.3">
      <c r="A34" s="82" t="s">
        <v>51</v>
      </c>
      <c r="B34" s="83">
        <v>1080</v>
      </c>
      <c r="C34" s="84"/>
      <c r="D34" s="84"/>
      <c r="E34" s="38">
        <f t="shared" si="1"/>
        <v>0</v>
      </c>
      <c r="F34" s="39" t="e">
        <f t="shared" si="2"/>
        <v>#DIV/0!</v>
      </c>
      <c r="G34" s="79">
        <f t="shared" si="6"/>
        <v>0</v>
      </c>
      <c r="H34" s="79">
        <f t="shared" si="6"/>
        <v>0</v>
      </c>
      <c r="I34" s="38">
        <f t="shared" si="4"/>
        <v>0</v>
      </c>
      <c r="J34" s="40" t="e">
        <f t="shared" si="5"/>
        <v>#DIV/0!</v>
      </c>
      <c r="K34" s="80"/>
      <c r="L34" s="81"/>
      <c r="M34" s="80">
        <f t="shared" si="7"/>
        <v>0</v>
      </c>
      <c r="N34" s="82" t="s">
        <v>51</v>
      </c>
    </row>
    <row r="35" spans="1:15" x14ac:dyDescent="0.3">
      <c r="A35" s="82" t="s">
        <v>52</v>
      </c>
      <c r="B35" s="83">
        <v>1090</v>
      </c>
      <c r="C35" s="84">
        <f>95713.54+44576</f>
        <v>140289.53999999998</v>
      </c>
      <c r="D35" s="84">
        <f>17422+77+7690.24</f>
        <v>25189.239999999998</v>
      </c>
      <c r="E35" s="38">
        <f t="shared" si="1"/>
        <v>-115100.29999999999</v>
      </c>
      <c r="F35" s="39">
        <f t="shared" si="2"/>
        <v>17.955180407605585</v>
      </c>
      <c r="G35" s="79">
        <f t="shared" si="6"/>
        <v>140289.53999999998</v>
      </c>
      <c r="H35" s="79">
        <f t="shared" si="6"/>
        <v>25189.239999999998</v>
      </c>
      <c r="I35" s="38">
        <f t="shared" si="4"/>
        <v>-115100.29999999999</v>
      </c>
      <c r="J35" s="40">
        <f t="shared" si="5"/>
        <v>17.955180407605585</v>
      </c>
      <c r="K35" s="80">
        <v>7690.24</v>
      </c>
      <c r="L35" s="81">
        <f>17422+77</f>
        <v>17499</v>
      </c>
      <c r="M35" s="80">
        <f t="shared" si="7"/>
        <v>25189.239999999998</v>
      </c>
      <c r="N35" s="82" t="s">
        <v>52</v>
      </c>
    </row>
    <row r="36" spans="1:15" x14ac:dyDescent="0.3">
      <c r="A36" s="82" t="s">
        <v>53</v>
      </c>
      <c r="B36" s="83">
        <v>1100</v>
      </c>
      <c r="C36" s="84"/>
      <c r="D36" s="84"/>
      <c r="E36" s="38">
        <f t="shared" si="1"/>
        <v>0</v>
      </c>
      <c r="F36" s="39" t="e">
        <f t="shared" si="2"/>
        <v>#DIV/0!</v>
      </c>
      <c r="G36" s="79">
        <f t="shared" si="6"/>
        <v>0</v>
      </c>
      <c r="H36" s="79">
        <f t="shared" si="6"/>
        <v>0</v>
      </c>
      <c r="I36" s="38">
        <f t="shared" si="4"/>
        <v>0</v>
      </c>
      <c r="J36" s="40" t="e">
        <f t="shared" si="5"/>
        <v>#DIV/0!</v>
      </c>
      <c r="K36" s="80"/>
      <c r="L36" s="81"/>
      <c r="M36" s="80">
        <f t="shared" si="7"/>
        <v>0</v>
      </c>
      <c r="N36" s="82" t="s">
        <v>53</v>
      </c>
    </row>
    <row r="37" spans="1:15" x14ac:dyDescent="0.3">
      <c r="A37" s="82" t="s">
        <v>54</v>
      </c>
      <c r="B37" s="83">
        <v>1110</v>
      </c>
      <c r="C37" s="84">
        <f>296139.2+3000</f>
        <v>299139.20000000001</v>
      </c>
      <c r="D37" s="84">
        <f>24419.24+33178.27</f>
        <v>57597.509999999995</v>
      </c>
      <c r="E37" s="38">
        <f t="shared" si="1"/>
        <v>-241541.69</v>
      </c>
      <c r="F37" s="39">
        <f t="shared" si="2"/>
        <v>19.254417341491852</v>
      </c>
      <c r="G37" s="79">
        <f t="shared" si="6"/>
        <v>299139.20000000001</v>
      </c>
      <c r="H37" s="79">
        <f t="shared" si="6"/>
        <v>57597.509999999995</v>
      </c>
      <c r="I37" s="38">
        <f t="shared" si="4"/>
        <v>-241541.69</v>
      </c>
      <c r="J37" s="40">
        <f t="shared" si="5"/>
        <v>19.254417341491852</v>
      </c>
      <c r="K37" s="80">
        <f>5269.99+2570.4+23653.52+3829.22-2144.86</f>
        <v>33178.269999999997</v>
      </c>
      <c r="L37" s="81">
        <v>24419.24</v>
      </c>
      <c r="M37" s="80">
        <f t="shared" si="7"/>
        <v>57597.509999999995</v>
      </c>
      <c r="N37" s="82" t="s">
        <v>54</v>
      </c>
    </row>
    <row r="38" spans="1:15" ht="33.75" customHeight="1" x14ac:dyDescent="0.3">
      <c r="A38" s="85" t="s">
        <v>55</v>
      </c>
      <c r="B38" s="83">
        <v>1120</v>
      </c>
      <c r="C38" s="84">
        <f>21100-20000</f>
        <v>1100</v>
      </c>
      <c r="D38" s="84"/>
      <c r="E38" s="38">
        <f t="shared" si="1"/>
        <v>-1100</v>
      </c>
      <c r="F38" s="39">
        <f t="shared" si="2"/>
        <v>0</v>
      </c>
      <c r="G38" s="79">
        <f t="shared" si="6"/>
        <v>1100</v>
      </c>
      <c r="H38" s="79">
        <f t="shared" si="6"/>
        <v>0</v>
      </c>
      <c r="I38" s="38">
        <f t="shared" si="4"/>
        <v>-1100</v>
      </c>
      <c r="J38" s="40">
        <f t="shared" si="5"/>
        <v>0</v>
      </c>
      <c r="K38" s="80"/>
      <c r="L38" s="81"/>
      <c r="M38" s="80">
        <f t="shared" si="7"/>
        <v>0</v>
      </c>
      <c r="N38" s="85" t="s">
        <v>55</v>
      </c>
    </row>
    <row r="39" spans="1:15" x14ac:dyDescent="0.3">
      <c r="A39" s="85" t="s">
        <v>56</v>
      </c>
      <c r="B39" s="83">
        <v>1130</v>
      </c>
      <c r="C39" s="84">
        <f>357993.64-99370</f>
        <v>258623.64</v>
      </c>
      <c r="D39" s="84">
        <v>83277.06</v>
      </c>
      <c r="E39" s="38">
        <f t="shared" si="1"/>
        <v>-175346.58000000002</v>
      </c>
      <c r="F39" s="39">
        <f t="shared" si="2"/>
        <v>32.200095861306409</v>
      </c>
      <c r="G39" s="79">
        <f t="shared" si="6"/>
        <v>258623.64</v>
      </c>
      <c r="H39" s="79">
        <f t="shared" si="6"/>
        <v>83277.06</v>
      </c>
      <c r="I39" s="38">
        <f t="shared" si="4"/>
        <v>-175346.58000000002</v>
      </c>
      <c r="J39" s="40">
        <f t="shared" si="5"/>
        <v>32.200095861306409</v>
      </c>
      <c r="K39" s="80">
        <f>1684.36+81592.7</f>
        <v>83277.06</v>
      </c>
      <c r="L39" s="81"/>
      <c r="M39" s="80">
        <f t="shared" si="7"/>
        <v>83277.06</v>
      </c>
      <c r="N39" s="85" t="s">
        <v>56</v>
      </c>
    </row>
    <row r="40" spans="1:15" x14ac:dyDescent="0.3">
      <c r="A40" s="82" t="s">
        <v>57</v>
      </c>
      <c r="B40" s="83">
        <v>1140</v>
      </c>
      <c r="C40" s="84">
        <f>8433.4+383.6</f>
        <v>8817</v>
      </c>
      <c r="D40" s="84">
        <f>8817+0</f>
        <v>8817</v>
      </c>
      <c r="E40" s="38">
        <f t="shared" si="1"/>
        <v>0</v>
      </c>
      <c r="F40" s="39">
        <f t="shared" si="2"/>
        <v>100</v>
      </c>
      <c r="G40" s="79">
        <f t="shared" si="6"/>
        <v>8817</v>
      </c>
      <c r="H40" s="79">
        <f t="shared" si="6"/>
        <v>8817</v>
      </c>
      <c r="I40" s="38">
        <f t="shared" si="4"/>
        <v>0</v>
      </c>
      <c r="J40" s="40">
        <f t="shared" si="5"/>
        <v>100</v>
      </c>
      <c r="K40" s="80"/>
      <c r="L40" s="81">
        <f>8817+0</f>
        <v>8817</v>
      </c>
      <c r="M40" s="80">
        <f t="shared" si="7"/>
        <v>8817</v>
      </c>
      <c r="N40" s="82" t="s">
        <v>57</v>
      </c>
    </row>
    <row r="41" spans="1:15" x14ac:dyDescent="0.3">
      <c r="A41" s="86" t="s">
        <v>58</v>
      </c>
      <c r="B41" s="83">
        <v>1160</v>
      </c>
      <c r="C41" s="84">
        <v>1316.25</v>
      </c>
      <c r="D41" s="84">
        <v>1316.25</v>
      </c>
      <c r="E41" s="38">
        <f t="shared" si="1"/>
        <v>0</v>
      </c>
      <c r="F41" s="39">
        <f t="shared" si="2"/>
        <v>100</v>
      </c>
      <c r="G41" s="79">
        <f t="shared" si="6"/>
        <v>1316.25</v>
      </c>
      <c r="H41" s="79">
        <f t="shared" si="6"/>
        <v>1316.25</v>
      </c>
      <c r="I41" s="38">
        <f t="shared" si="4"/>
        <v>0</v>
      </c>
      <c r="J41" s="40">
        <f t="shared" si="5"/>
        <v>100</v>
      </c>
      <c r="K41" s="80"/>
      <c r="L41" s="81"/>
      <c r="M41" s="80">
        <f t="shared" si="7"/>
        <v>0</v>
      </c>
      <c r="N41" s="86"/>
      <c r="O41" s="7">
        <v>1316.25</v>
      </c>
    </row>
    <row r="42" spans="1:15" x14ac:dyDescent="0.3">
      <c r="A42" s="87" t="s">
        <v>59</v>
      </c>
      <c r="B42" s="88">
        <v>1170</v>
      </c>
      <c r="C42" s="44">
        <f>C13+C16+C19+C45+C56</f>
        <v>6362321.1600000001</v>
      </c>
      <c r="D42" s="44">
        <f>D13+D16+D19+D45+D56</f>
        <v>3567246.75</v>
      </c>
      <c r="E42" s="38">
        <f t="shared" si="1"/>
        <v>-2795074.41</v>
      </c>
      <c r="F42" s="39">
        <f t="shared" si="2"/>
        <v>56.06832255541152</v>
      </c>
      <c r="G42" s="44">
        <f>G13+G16+G19+G45+G56</f>
        <v>6362321.1600000001</v>
      </c>
      <c r="H42" s="44">
        <f>H13+H16+H19+H45+H56</f>
        <v>3567246.75</v>
      </c>
      <c r="I42" s="38">
        <f t="shared" si="4"/>
        <v>-2795074.41</v>
      </c>
      <c r="J42" s="40">
        <f t="shared" si="5"/>
        <v>56.06832255541152</v>
      </c>
      <c r="K42" s="80"/>
      <c r="L42" s="89" t="e">
        <f>L13+L16+L19+L45+L56</f>
        <v>#VALUE!</v>
      </c>
      <c r="M42" s="80" t="e">
        <f t="shared" si="7"/>
        <v>#VALUE!</v>
      </c>
      <c r="N42" s="87"/>
    </row>
    <row r="43" spans="1:15" x14ac:dyDescent="0.3">
      <c r="A43" s="87" t="s">
        <v>60</v>
      </c>
      <c r="B43" s="88">
        <v>1180</v>
      </c>
      <c r="C43" s="44">
        <f>C30+C31+C32+C33+C34+C35+C36+C37+C38+C39+C40+C41+C48+C61</f>
        <v>6362321.1600000001</v>
      </c>
      <c r="D43" s="44">
        <f>D30+D31+D32+D33+D34+D35+D36+D37+D38+D39+D40+D41+D48+D61</f>
        <v>3414615</v>
      </c>
      <c r="E43" s="38">
        <f t="shared" si="1"/>
        <v>-2947706.16</v>
      </c>
      <c r="F43" s="39">
        <f t="shared" si="2"/>
        <v>53.669327814944822</v>
      </c>
      <c r="G43" s="44">
        <f>G30+G31+G32+G33+G34+G35+G36+G37+G38+G39+G40+G41+G48+G61</f>
        <v>6362321.1600000001</v>
      </c>
      <c r="H43" s="44">
        <f>H30+H31+H32+H33+H34+H35+H36+H37+H38+H39+H40+H41+H48+H61</f>
        <v>3414615</v>
      </c>
      <c r="I43" s="38">
        <f t="shared" si="4"/>
        <v>-2947706.16</v>
      </c>
      <c r="J43" s="40">
        <f t="shared" si="5"/>
        <v>53.669327814944822</v>
      </c>
      <c r="K43" s="89">
        <f>K30+K31+K32+K33+K34+K35+K36+K37+K38+K39+K40+K41+K48+K61</f>
        <v>2985622.3800000004</v>
      </c>
      <c r="L43" s="89" t="e">
        <f>L30+L31+L32+L33+L34+L35+L36+L37+L38+L39+L40+L41+L48+L61</f>
        <v>#VALUE!</v>
      </c>
      <c r="M43" s="80" t="e">
        <f t="shared" si="7"/>
        <v>#VALUE!</v>
      </c>
      <c r="N43" s="87"/>
    </row>
    <row r="44" spans="1:15" x14ac:dyDescent="0.3">
      <c r="A44" s="90" t="s">
        <v>61</v>
      </c>
      <c r="B44" s="91"/>
      <c r="C44" s="91"/>
      <c r="D44" s="91"/>
      <c r="E44" s="91"/>
      <c r="F44" s="91"/>
      <c r="G44" s="91"/>
      <c r="H44" s="91"/>
      <c r="I44" s="91"/>
      <c r="J44" s="92"/>
      <c r="K44" s="93">
        <v>2985622.38</v>
      </c>
      <c r="L44" s="93">
        <v>392950.31</v>
      </c>
      <c r="M44" s="80">
        <f t="shared" si="7"/>
        <v>3378572.69</v>
      </c>
      <c r="N44" s="94">
        <f>M44</f>
        <v>3378572.69</v>
      </c>
    </row>
    <row r="45" spans="1:15" x14ac:dyDescent="0.3">
      <c r="A45" s="95" t="s">
        <v>62</v>
      </c>
      <c r="B45" s="96">
        <v>2010</v>
      </c>
      <c r="C45" s="38">
        <f>C46+C47</f>
        <v>0</v>
      </c>
      <c r="D45" s="38">
        <f>D46</f>
        <v>0</v>
      </c>
      <c r="E45" s="38">
        <f t="shared" si="1"/>
        <v>0</v>
      </c>
      <c r="F45" s="39" t="e">
        <f t="shared" ref="F45:F54" si="8">(D45/C45)*100</f>
        <v>#DIV/0!</v>
      </c>
      <c r="G45" s="38">
        <f>G46</f>
        <v>0</v>
      </c>
      <c r="H45" s="38">
        <f>H46</f>
        <v>0</v>
      </c>
      <c r="I45" s="38">
        <f t="shared" ref="I45:I54" si="9">H45-G45</f>
        <v>0</v>
      </c>
      <c r="J45" s="40" t="e">
        <f t="shared" ref="J45:J54" si="10">(H45/G45)*100</f>
        <v>#DIV/0!</v>
      </c>
      <c r="K45" s="97">
        <f>K44-K43</f>
        <v>0</v>
      </c>
      <c r="L45" s="97" t="e">
        <f>L44-L43</f>
        <v>#VALUE!</v>
      </c>
      <c r="N45" s="97">
        <f>D22</f>
        <v>36042.31</v>
      </c>
    </row>
    <row r="46" spans="1:15" ht="31.5" x14ac:dyDescent="0.3">
      <c r="A46" s="98" t="s">
        <v>63</v>
      </c>
      <c r="B46" s="65">
        <v>2011</v>
      </c>
      <c r="C46" s="38"/>
      <c r="D46" s="38"/>
      <c r="E46" s="38">
        <f t="shared" si="1"/>
        <v>0</v>
      </c>
      <c r="F46" s="39" t="e">
        <f t="shared" si="8"/>
        <v>#DIV/0!</v>
      </c>
      <c r="G46" s="38"/>
      <c r="H46" s="38"/>
      <c r="I46" s="38">
        <f t="shared" si="9"/>
        <v>0</v>
      </c>
      <c r="J46" s="40" t="e">
        <f t="shared" si="10"/>
        <v>#DIV/0!</v>
      </c>
      <c r="M46" s="97">
        <f>D42-D43</f>
        <v>152631.75</v>
      </c>
      <c r="N46" s="97">
        <f>N44+N45</f>
        <v>3414615</v>
      </c>
    </row>
    <row r="47" spans="1:15" x14ac:dyDescent="0.3">
      <c r="A47" s="98" t="s">
        <v>64</v>
      </c>
      <c r="B47" s="65">
        <v>2012</v>
      </c>
      <c r="C47" s="38"/>
      <c r="D47" s="38"/>
      <c r="E47" s="38">
        <f t="shared" si="1"/>
        <v>0</v>
      </c>
      <c r="F47" s="39" t="e">
        <f t="shared" si="8"/>
        <v>#DIV/0!</v>
      </c>
      <c r="G47" s="38"/>
      <c r="H47" s="38"/>
      <c r="I47" s="38">
        <f t="shared" si="9"/>
        <v>0</v>
      </c>
      <c r="J47" s="40" t="e">
        <f t="shared" si="10"/>
        <v>#DIV/0!</v>
      </c>
      <c r="L47" s="99" t="s">
        <v>65</v>
      </c>
      <c r="M47" s="7">
        <v>2144.86</v>
      </c>
      <c r="N47" s="7" t="s">
        <v>66</v>
      </c>
    </row>
    <row r="48" spans="1:15" x14ac:dyDescent="0.3">
      <c r="A48" s="100" t="s">
        <v>67</v>
      </c>
      <c r="B48" s="101">
        <v>3010</v>
      </c>
      <c r="C48" s="102">
        <f>C49+C50+C51+C52+C53+C54</f>
        <v>45000</v>
      </c>
      <c r="D48" s="102">
        <f>D49+D50+D51+D52+D53+D54</f>
        <v>0</v>
      </c>
      <c r="E48" s="38">
        <f t="shared" si="1"/>
        <v>-45000</v>
      </c>
      <c r="F48" s="39">
        <f t="shared" si="8"/>
        <v>0</v>
      </c>
      <c r="G48" s="102">
        <f>G49+G50+G51+G52+G53+G54</f>
        <v>45000</v>
      </c>
      <c r="H48" s="102">
        <f>H49+H50+H51+H52+H53+H54</f>
        <v>0</v>
      </c>
      <c r="I48" s="38">
        <f t="shared" si="9"/>
        <v>-45000</v>
      </c>
      <c r="J48" s="40">
        <f t="shared" si="10"/>
        <v>0</v>
      </c>
      <c r="L48" s="99" t="s">
        <v>68</v>
      </c>
      <c r="M48" s="7">
        <v>144645.39000000001</v>
      </c>
      <c r="N48" s="103">
        <f>M47+M48</f>
        <v>146790.25</v>
      </c>
    </row>
    <row r="49" spans="1:15" x14ac:dyDescent="0.3">
      <c r="A49" s="82" t="s">
        <v>69</v>
      </c>
      <c r="B49" s="83">
        <v>3011</v>
      </c>
      <c r="C49" s="84"/>
      <c r="D49" s="84"/>
      <c r="E49" s="38">
        <f t="shared" si="1"/>
        <v>0</v>
      </c>
      <c r="F49" s="39" t="e">
        <f t="shared" si="8"/>
        <v>#DIV/0!</v>
      </c>
      <c r="G49" s="104"/>
      <c r="H49" s="67"/>
      <c r="I49" s="38">
        <f t="shared" si="9"/>
        <v>0</v>
      </c>
      <c r="J49" s="40" t="e">
        <f t="shared" si="10"/>
        <v>#DIV/0!</v>
      </c>
      <c r="N49" s="105">
        <f>M46-N48</f>
        <v>5841.5</v>
      </c>
    </row>
    <row r="50" spans="1:15" x14ac:dyDescent="0.3">
      <c r="A50" s="82" t="s">
        <v>70</v>
      </c>
      <c r="B50" s="83">
        <v>3012</v>
      </c>
      <c r="C50" s="84">
        <f>45000</f>
        <v>45000</v>
      </c>
      <c r="D50" s="84"/>
      <c r="E50" s="38">
        <f t="shared" si="1"/>
        <v>-45000</v>
      </c>
      <c r="F50" s="39">
        <f t="shared" si="8"/>
        <v>0</v>
      </c>
      <c r="G50" s="104">
        <f>C50</f>
        <v>45000</v>
      </c>
      <c r="H50" s="67"/>
      <c r="I50" s="38">
        <f t="shared" si="9"/>
        <v>-45000</v>
      </c>
      <c r="J50" s="40">
        <f t="shared" si="10"/>
        <v>0</v>
      </c>
      <c r="N50" s="106">
        <v>200</v>
      </c>
      <c r="O50" s="7" t="s">
        <v>71</v>
      </c>
    </row>
    <row r="51" spans="1:15" x14ac:dyDescent="0.3">
      <c r="A51" s="82" t="s">
        <v>72</v>
      </c>
      <c r="B51" s="83">
        <v>3013</v>
      </c>
      <c r="C51" s="84"/>
      <c r="D51" s="84"/>
      <c r="E51" s="38">
        <f t="shared" si="1"/>
        <v>0</v>
      </c>
      <c r="F51" s="39" t="e">
        <f t="shared" si="8"/>
        <v>#DIV/0!</v>
      </c>
      <c r="G51" s="104"/>
      <c r="H51" s="67"/>
      <c r="I51" s="38">
        <f t="shared" si="9"/>
        <v>0</v>
      </c>
      <c r="J51" s="40" t="e">
        <f t="shared" si="10"/>
        <v>#DIV/0!</v>
      </c>
      <c r="N51" s="106">
        <v>5641.5</v>
      </c>
      <c r="O51" s="7" t="s">
        <v>73</v>
      </c>
    </row>
    <row r="52" spans="1:15" x14ac:dyDescent="0.3">
      <c r="A52" s="82" t="s">
        <v>74</v>
      </c>
      <c r="B52" s="83">
        <v>3014</v>
      </c>
      <c r="C52" s="84"/>
      <c r="D52" s="84"/>
      <c r="E52" s="38">
        <f t="shared" si="1"/>
        <v>0</v>
      </c>
      <c r="F52" s="39" t="e">
        <f t="shared" si="8"/>
        <v>#DIV/0!</v>
      </c>
      <c r="G52" s="104"/>
      <c r="H52" s="67"/>
      <c r="I52" s="38">
        <f t="shared" si="9"/>
        <v>0</v>
      </c>
      <c r="J52" s="40" t="e">
        <f t="shared" si="10"/>
        <v>#DIV/0!</v>
      </c>
    </row>
    <row r="53" spans="1:15" ht="31.5" x14ac:dyDescent="0.3">
      <c r="A53" s="82" t="s">
        <v>75</v>
      </c>
      <c r="B53" s="83">
        <v>3015</v>
      </c>
      <c r="C53" s="84"/>
      <c r="D53" s="84"/>
      <c r="E53" s="38">
        <f t="shared" si="1"/>
        <v>0</v>
      </c>
      <c r="F53" s="39" t="e">
        <f t="shared" si="8"/>
        <v>#DIV/0!</v>
      </c>
      <c r="G53" s="104"/>
      <c r="H53" s="67"/>
      <c r="I53" s="38">
        <f t="shared" si="9"/>
        <v>0</v>
      </c>
      <c r="J53" s="40" t="e">
        <f t="shared" si="10"/>
        <v>#DIV/0!</v>
      </c>
    </row>
    <row r="54" spans="1:15" x14ac:dyDescent="0.3">
      <c r="A54" s="82" t="s">
        <v>76</v>
      </c>
      <c r="B54" s="83">
        <v>3016</v>
      </c>
      <c r="C54" s="84"/>
      <c r="D54" s="84"/>
      <c r="E54" s="38">
        <f t="shared" si="1"/>
        <v>0</v>
      </c>
      <c r="F54" s="39" t="e">
        <f t="shared" si="8"/>
        <v>#DIV/0!</v>
      </c>
      <c r="G54" s="104"/>
      <c r="H54" s="67"/>
      <c r="I54" s="38">
        <f t="shared" si="9"/>
        <v>0</v>
      </c>
      <c r="J54" s="40" t="e">
        <f t="shared" si="10"/>
        <v>#DIV/0!</v>
      </c>
      <c r="M54" s="97">
        <f>C42-C43</f>
        <v>0</v>
      </c>
    </row>
    <row r="55" spans="1:15" x14ac:dyDescent="0.3">
      <c r="A55" s="90" t="s">
        <v>77</v>
      </c>
      <c r="B55" s="91"/>
      <c r="C55" s="91"/>
      <c r="D55" s="91"/>
      <c r="E55" s="91"/>
      <c r="F55" s="91"/>
      <c r="G55" s="91"/>
      <c r="H55" s="91"/>
      <c r="I55" s="91"/>
      <c r="J55" s="107"/>
    </row>
    <row r="56" spans="1:15" x14ac:dyDescent="0.3">
      <c r="A56" s="108" t="s">
        <v>78</v>
      </c>
      <c r="B56" s="96">
        <v>4010</v>
      </c>
      <c r="C56" s="109">
        <f>C57+C58+C59+C60</f>
        <v>0</v>
      </c>
      <c r="D56" s="109">
        <f>D57+D58+D59+D60</f>
        <v>0</v>
      </c>
      <c r="E56" s="38">
        <f t="shared" si="1"/>
        <v>0</v>
      </c>
      <c r="F56" s="39" t="e">
        <f t="shared" ref="F56:F65" si="11">(D56/C56)*100</f>
        <v>#DIV/0!</v>
      </c>
      <c r="G56" s="109">
        <f>G57+G58+G59+G60</f>
        <v>0</v>
      </c>
      <c r="H56" s="109">
        <f>H57+H58+H59+H60</f>
        <v>0</v>
      </c>
      <c r="I56" s="38">
        <f t="shared" ref="I56:I65" si="12">H56-G56</f>
        <v>0</v>
      </c>
      <c r="J56" s="40" t="e">
        <f t="shared" ref="J56:J65" si="13">(H56/G56)*100</f>
        <v>#DIV/0!</v>
      </c>
    </row>
    <row r="57" spans="1:15" x14ac:dyDescent="0.3">
      <c r="A57" s="82" t="s">
        <v>79</v>
      </c>
      <c r="B57" s="77">
        <v>4011</v>
      </c>
      <c r="C57" s="84"/>
      <c r="D57" s="84"/>
      <c r="E57" s="38">
        <f t="shared" si="1"/>
        <v>0</v>
      </c>
      <c r="F57" s="39" t="e">
        <f t="shared" si="11"/>
        <v>#DIV/0!</v>
      </c>
      <c r="G57" s="104"/>
      <c r="H57" s="67"/>
      <c r="I57" s="38">
        <f t="shared" si="12"/>
        <v>0</v>
      </c>
      <c r="J57" s="40" t="e">
        <f t="shared" si="13"/>
        <v>#DIV/0!</v>
      </c>
    </row>
    <row r="58" spans="1:15" x14ac:dyDescent="0.3">
      <c r="A58" s="82" t="s">
        <v>80</v>
      </c>
      <c r="B58" s="83">
        <v>4012</v>
      </c>
      <c r="C58" s="84"/>
      <c r="D58" s="84"/>
      <c r="E58" s="38">
        <f t="shared" si="1"/>
        <v>0</v>
      </c>
      <c r="F58" s="39" t="e">
        <f t="shared" si="11"/>
        <v>#DIV/0!</v>
      </c>
      <c r="G58" s="104"/>
      <c r="H58" s="67"/>
      <c r="I58" s="38">
        <f t="shared" si="12"/>
        <v>0</v>
      </c>
      <c r="J58" s="40" t="e">
        <f t="shared" si="13"/>
        <v>#DIV/0!</v>
      </c>
    </row>
    <row r="59" spans="1:15" x14ac:dyDescent="0.3">
      <c r="A59" s="82" t="s">
        <v>81</v>
      </c>
      <c r="B59" s="83">
        <v>4013</v>
      </c>
      <c r="C59" s="84"/>
      <c r="D59" s="84"/>
      <c r="E59" s="38">
        <f t="shared" si="1"/>
        <v>0</v>
      </c>
      <c r="F59" s="39" t="e">
        <f t="shared" si="11"/>
        <v>#DIV/0!</v>
      </c>
      <c r="G59" s="104"/>
      <c r="H59" s="67"/>
      <c r="I59" s="38">
        <f t="shared" si="12"/>
        <v>0</v>
      </c>
      <c r="J59" s="40" t="e">
        <f t="shared" si="13"/>
        <v>#DIV/0!</v>
      </c>
    </row>
    <row r="60" spans="1:15" x14ac:dyDescent="0.3">
      <c r="A60" s="82" t="s">
        <v>82</v>
      </c>
      <c r="B60" s="83">
        <v>4020</v>
      </c>
      <c r="C60" s="84"/>
      <c r="D60" s="84"/>
      <c r="E60" s="38">
        <f t="shared" si="1"/>
        <v>0</v>
      </c>
      <c r="F60" s="39" t="e">
        <f t="shared" si="11"/>
        <v>#DIV/0!</v>
      </c>
      <c r="G60" s="104"/>
      <c r="H60" s="67"/>
      <c r="I60" s="38">
        <f t="shared" si="12"/>
        <v>0</v>
      </c>
      <c r="J60" s="40" t="e">
        <f t="shared" si="13"/>
        <v>#DIV/0!</v>
      </c>
    </row>
    <row r="61" spans="1:15" x14ac:dyDescent="0.3">
      <c r="A61" s="87" t="s">
        <v>83</v>
      </c>
      <c r="B61" s="88">
        <v>4030</v>
      </c>
      <c r="C61" s="44">
        <f>C62+C63+C64+C65</f>
        <v>0</v>
      </c>
      <c r="D61" s="44">
        <f>D62+D63+D64+D65</f>
        <v>0</v>
      </c>
      <c r="E61" s="38">
        <f t="shared" si="1"/>
        <v>0</v>
      </c>
      <c r="F61" s="39" t="e">
        <f t="shared" si="11"/>
        <v>#DIV/0!</v>
      </c>
      <c r="G61" s="44">
        <f>G62+G63+G64+G65</f>
        <v>0</v>
      </c>
      <c r="H61" s="44">
        <f>H62+H63+H64+H65</f>
        <v>0</v>
      </c>
      <c r="I61" s="38">
        <f t="shared" si="12"/>
        <v>0</v>
      </c>
      <c r="J61" s="40" t="e">
        <f t="shared" si="13"/>
        <v>#DIV/0!</v>
      </c>
    </row>
    <row r="62" spans="1:15" x14ac:dyDescent="0.3">
      <c r="A62" s="82" t="s">
        <v>79</v>
      </c>
      <c r="B62" s="83">
        <v>4031</v>
      </c>
      <c r="C62" s="84"/>
      <c r="D62" s="84"/>
      <c r="E62" s="38">
        <f t="shared" si="1"/>
        <v>0</v>
      </c>
      <c r="F62" s="39" t="e">
        <f t="shared" si="11"/>
        <v>#DIV/0!</v>
      </c>
      <c r="G62" s="104"/>
      <c r="H62" s="67"/>
      <c r="I62" s="38">
        <f t="shared" si="12"/>
        <v>0</v>
      </c>
      <c r="J62" s="40" t="e">
        <f t="shared" si="13"/>
        <v>#DIV/0!</v>
      </c>
    </row>
    <row r="63" spans="1:15" x14ac:dyDescent="0.3">
      <c r="A63" s="82" t="s">
        <v>80</v>
      </c>
      <c r="B63" s="83">
        <v>4032</v>
      </c>
      <c r="C63" s="84"/>
      <c r="D63" s="84"/>
      <c r="E63" s="38">
        <f t="shared" si="1"/>
        <v>0</v>
      </c>
      <c r="F63" s="39" t="e">
        <f t="shared" si="11"/>
        <v>#DIV/0!</v>
      </c>
      <c r="G63" s="104"/>
      <c r="H63" s="67"/>
      <c r="I63" s="38">
        <f t="shared" si="12"/>
        <v>0</v>
      </c>
      <c r="J63" s="40" t="e">
        <f t="shared" si="13"/>
        <v>#DIV/0!</v>
      </c>
    </row>
    <row r="64" spans="1:15" x14ac:dyDescent="0.3">
      <c r="A64" s="82" t="s">
        <v>81</v>
      </c>
      <c r="B64" s="83">
        <v>4033</v>
      </c>
      <c r="C64" s="84"/>
      <c r="D64" s="84"/>
      <c r="E64" s="38">
        <f t="shared" si="1"/>
        <v>0</v>
      </c>
      <c r="F64" s="39" t="e">
        <f t="shared" si="11"/>
        <v>#DIV/0!</v>
      </c>
      <c r="G64" s="104"/>
      <c r="H64" s="67"/>
      <c r="I64" s="38">
        <f t="shared" si="12"/>
        <v>0</v>
      </c>
      <c r="J64" s="40" t="e">
        <f t="shared" si="13"/>
        <v>#DIV/0!</v>
      </c>
    </row>
    <row r="65" spans="1:15" x14ac:dyDescent="0.3">
      <c r="A65" s="85" t="s">
        <v>84</v>
      </c>
      <c r="B65" s="83">
        <v>4040</v>
      </c>
      <c r="C65" s="84"/>
      <c r="D65" s="84"/>
      <c r="E65" s="38">
        <f t="shared" si="1"/>
        <v>0</v>
      </c>
      <c r="F65" s="39" t="e">
        <f t="shared" si="11"/>
        <v>#DIV/0!</v>
      </c>
      <c r="G65" s="104"/>
      <c r="H65" s="67"/>
      <c r="I65" s="38">
        <f t="shared" si="12"/>
        <v>0</v>
      </c>
      <c r="J65" s="40" t="e">
        <f t="shared" si="13"/>
        <v>#DIV/0!</v>
      </c>
    </row>
    <row r="66" spans="1:15" x14ac:dyDescent="0.3">
      <c r="A66" s="110" t="s">
        <v>85</v>
      </c>
      <c r="B66" s="111"/>
      <c r="C66" s="111"/>
      <c r="D66" s="111"/>
      <c r="E66" s="111"/>
      <c r="F66" s="111"/>
      <c r="G66" s="111"/>
      <c r="H66" s="111"/>
      <c r="I66" s="111"/>
      <c r="J66" s="112"/>
    </row>
    <row r="67" spans="1:15" x14ac:dyDescent="0.3">
      <c r="A67" s="113" t="s">
        <v>86</v>
      </c>
      <c r="B67" s="96">
        <v>5010</v>
      </c>
      <c r="C67" s="38">
        <f>C42-C43</f>
        <v>0</v>
      </c>
      <c r="D67" s="38">
        <f>D42-D43</f>
        <v>152631.75</v>
      </c>
      <c r="E67" s="38">
        <f t="shared" si="1"/>
        <v>152631.75</v>
      </c>
      <c r="F67" s="39" t="e">
        <f>(D67/C67)*100</f>
        <v>#DIV/0!</v>
      </c>
      <c r="G67" s="38">
        <f>G42-G43</f>
        <v>0</v>
      </c>
      <c r="H67" s="38">
        <f>H42-H43</f>
        <v>152631.75</v>
      </c>
      <c r="I67" s="38">
        <f>H67-G67</f>
        <v>152631.75</v>
      </c>
      <c r="J67" s="40" t="e">
        <f>(H67/G67)*100</f>
        <v>#DIV/0!</v>
      </c>
    </row>
    <row r="68" spans="1:15" x14ac:dyDescent="0.3">
      <c r="A68" s="114" t="s">
        <v>87</v>
      </c>
      <c r="B68" s="65">
        <v>5011</v>
      </c>
      <c r="C68" s="38">
        <f>C67-C69</f>
        <v>0</v>
      </c>
      <c r="D68" s="38">
        <f>D67-D69</f>
        <v>152631.75</v>
      </c>
      <c r="E68" s="38">
        <f t="shared" si="1"/>
        <v>152631.75</v>
      </c>
      <c r="F68" s="39" t="e">
        <f>(D68/C68)*100</f>
        <v>#DIV/0!</v>
      </c>
      <c r="G68" s="38">
        <f>G67-G69</f>
        <v>0</v>
      </c>
      <c r="H68" s="38">
        <f>H67-H69</f>
        <v>152631.75</v>
      </c>
      <c r="I68" s="38">
        <f>H68-G68</f>
        <v>152631.75</v>
      </c>
      <c r="J68" s="40" t="e">
        <f>(H68/G68)*100</f>
        <v>#DIV/0!</v>
      </c>
    </row>
    <row r="69" spans="1:15" x14ac:dyDescent="0.3">
      <c r="A69" s="115" t="s">
        <v>88</v>
      </c>
      <c r="B69" s="65">
        <v>5012</v>
      </c>
      <c r="C69" s="38"/>
      <c r="D69" s="38"/>
      <c r="E69" s="38"/>
      <c r="F69" s="39" t="e">
        <f>(D69/C69)*100</f>
        <v>#DIV/0!</v>
      </c>
      <c r="G69" s="38"/>
      <c r="H69" s="116"/>
      <c r="I69" s="116"/>
      <c r="J69" s="40" t="e">
        <f>(H69/G69)*100</f>
        <v>#DIV/0!</v>
      </c>
      <c r="O69" s="7" t="s">
        <v>89</v>
      </c>
    </row>
    <row r="70" spans="1:15" x14ac:dyDescent="0.3">
      <c r="A70" s="90" t="s">
        <v>90</v>
      </c>
      <c r="B70" s="91"/>
      <c r="C70" s="91"/>
      <c r="D70" s="91"/>
      <c r="E70" s="91"/>
      <c r="F70" s="91"/>
      <c r="G70" s="91"/>
      <c r="H70" s="91"/>
      <c r="I70" s="91"/>
      <c r="J70" s="92"/>
      <c r="K70" s="7" t="s">
        <v>91</v>
      </c>
    </row>
    <row r="71" spans="1:15" x14ac:dyDescent="0.3">
      <c r="A71" s="95" t="s">
        <v>92</v>
      </c>
      <c r="B71" s="96">
        <v>6010</v>
      </c>
      <c r="C71" s="38">
        <f>C72+C73+C74+C75+C76+C77</f>
        <v>1651197.9400000002</v>
      </c>
      <c r="D71" s="38">
        <f>D72+D73+D74+D75+D76+D77</f>
        <v>1121065.9500000002</v>
      </c>
      <c r="E71" s="38">
        <f t="shared" ref="E71:E77" si="14">D71-C71</f>
        <v>-530131.99</v>
      </c>
      <c r="F71" s="39">
        <f t="shared" ref="F71:F77" si="15">(D71/C71)*100</f>
        <v>67.894098147917987</v>
      </c>
      <c r="G71" s="38">
        <f>G72+G73+G74+G75+G76+G77</f>
        <v>1651197.9400000002</v>
      </c>
      <c r="H71" s="38">
        <f>H72+H73+H74+H75+H76+H77</f>
        <v>1121065.9500000002</v>
      </c>
      <c r="I71" s="38">
        <f t="shared" ref="I71:I77" si="16">H71-G71</f>
        <v>-530131.99</v>
      </c>
      <c r="J71" s="40">
        <f t="shared" ref="J71:J77" si="17">(H71/G71)*100</f>
        <v>67.894098147917987</v>
      </c>
      <c r="K71" s="7" t="s">
        <v>44</v>
      </c>
      <c r="L71" s="7" t="s">
        <v>45</v>
      </c>
      <c r="M71" s="7" t="s">
        <v>93</v>
      </c>
      <c r="N71" s="94">
        <f>N72+N73+N74+N75+N76+N77</f>
        <v>1121065.9500000002</v>
      </c>
      <c r="O71" s="94">
        <f>O72+O73+O74+O75+O76+O77</f>
        <v>1651197.9400000002</v>
      </c>
    </row>
    <row r="72" spans="1:15" x14ac:dyDescent="0.3">
      <c r="A72" s="117" t="s">
        <v>94</v>
      </c>
      <c r="B72" s="77">
        <v>6011</v>
      </c>
      <c r="C72" s="78">
        <f>8433.4+383.6</f>
        <v>8817</v>
      </c>
      <c r="D72" s="78">
        <v>8817</v>
      </c>
      <c r="E72" s="38">
        <f t="shared" si="14"/>
        <v>0</v>
      </c>
      <c r="F72" s="39">
        <f t="shared" si="15"/>
        <v>100</v>
      </c>
      <c r="G72" s="79">
        <f t="shared" ref="G72:H77" si="18">C72</f>
        <v>8817</v>
      </c>
      <c r="H72" s="79">
        <f t="shared" si="18"/>
        <v>8817</v>
      </c>
      <c r="I72" s="38">
        <f t="shared" si="16"/>
        <v>0</v>
      </c>
      <c r="J72" s="40">
        <f t="shared" si="17"/>
        <v>100</v>
      </c>
      <c r="K72" s="118"/>
      <c r="L72" s="118">
        <v>8817</v>
      </c>
      <c r="M72" s="118"/>
      <c r="N72" s="119">
        <f t="shared" ref="N72:N77" si="19">K72+L72+M72</f>
        <v>8817</v>
      </c>
      <c r="O72" s="7">
        <v>8817</v>
      </c>
    </row>
    <row r="73" spans="1:15" x14ac:dyDescent="0.3">
      <c r="A73" s="120" t="s">
        <v>95</v>
      </c>
      <c r="B73" s="77">
        <v>6012</v>
      </c>
      <c r="C73" s="84">
        <v>57966.39</v>
      </c>
      <c r="D73" s="84">
        <v>38725.949999999997</v>
      </c>
      <c r="E73" s="38">
        <f t="shared" si="14"/>
        <v>-19240.440000000002</v>
      </c>
      <c r="F73" s="39">
        <f t="shared" si="15"/>
        <v>66.807593158725254</v>
      </c>
      <c r="G73" s="79">
        <f t="shared" si="18"/>
        <v>57966.39</v>
      </c>
      <c r="H73" s="79">
        <f t="shared" si="18"/>
        <v>38725.949999999997</v>
      </c>
      <c r="I73" s="38">
        <f t="shared" si="16"/>
        <v>-19240.440000000002</v>
      </c>
      <c r="J73" s="40">
        <f t="shared" si="17"/>
        <v>66.807593158725254</v>
      </c>
      <c r="K73" s="118">
        <f>15966.5+19181.38</f>
        <v>35147.880000000005</v>
      </c>
      <c r="L73" s="118">
        <f>1610.02+108.72+1823.93</f>
        <v>3542.67</v>
      </c>
      <c r="M73" s="118">
        <f>16.54+18.86</f>
        <v>35.4</v>
      </c>
      <c r="N73" s="119">
        <f t="shared" si="19"/>
        <v>38725.950000000004</v>
      </c>
      <c r="O73" s="7">
        <v>57966.39</v>
      </c>
    </row>
    <row r="74" spans="1:15" x14ac:dyDescent="0.3">
      <c r="A74" s="120" t="s">
        <v>96</v>
      </c>
      <c r="B74" s="77">
        <v>6013</v>
      </c>
      <c r="C74" s="84"/>
      <c r="D74" s="84"/>
      <c r="E74" s="38">
        <f t="shared" si="14"/>
        <v>0</v>
      </c>
      <c r="F74" s="39" t="e">
        <f t="shared" si="15"/>
        <v>#DIV/0!</v>
      </c>
      <c r="G74" s="79">
        <f t="shared" si="18"/>
        <v>0</v>
      </c>
      <c r="H74" s="79">
        <f t="shared" si="18"/>
        <v>0</v>
      </c>
      <c r="I74" s="38">
        <f t="shared" si="16"/>
        <v>0</v>
      </c>
      <c r="J74" s="40" t="e">
        <f t="shared" si="17"/>
        <v>#DIV/0!</v>
      </c>
      <c r="K74" s="118"/>
      <c r="L74" s="118"/>
      <c r="M74" s="118"/>
      <c r="N74" s="119">
        <f t="shared" si="19"/>
        <v>0</v>
      </c>
      <c r="O74" s="7">
        <v>0</v>
      </c>
    </row>
    <row r="75" spans="1:15" x14ac:dyDescent="0.3">
      <c r="A75" s="120" t="s">
        <v>97</v>
      </c>
      <c r="B75" s="77">
        <v>6014</v>
      </c>
      <c r="C75" s="84">
        <v>695596.63</v>
      </c>
      <c r="D75" s="84">
        <v>462151.8</v>
      </c>
      <c r="E75" s="38">
        <f t="shared" si="14"/>
        <v>-233444.83000000002</v>
      </c>
      <c r="F75" s="39">
        <f t="shared" si="15"/>
        <v>66.439626080419629</v>
      </c>
      <c r="G75" s="79">
        <f t="shared" si="18"/>
        <v>695596.63</v>
      </c>
      <c r="H75" s="79">
        <f t="shared" si="18"/>
        <v>462151.8</v>
      </c>
      <c r="I75" s="38">
        <f t="shared" si="16"/>
        <v>-233444.83000000002</v>
      </c>
      <c r="J75" s="40">
        <f t="shared" si="17"/>
        <v>66.439626080419629</v>
      </c>
      <c r="K75" s="118">
        <f>190791.99+230302.17</f>
        <v>421094.16000000003</v>
      </c>
      <c r="L75" s="118">
        <f>19267.51+1304.64+20287.13</f>
        <v>40859.279999999999</v>
      </c>
      <c r="M75" s="118">
        <f>198.36+0</f>
        <v>198.36</v>
      </c>
      <c r="N75" s="119">
        <f t="shared" si="19"/>
        <v>462151.80000000005</v>
      </c>
      <c r="O75" s="7">
        <v>695596.63</v>
      </c>
    </row>
    <row r="76" spans="1:15" ht="31.5" x14ac:dyDescent="0.3">
      <c r="A76" s="121" t="s">
        <v>98</v>
      </c>
      <c r="B76" s="77">
        <v>6015</v>
      </c>
      <c r="C76" s="122">
        <v>850173.66</v>
      </c>
      <c r="D76" s="122">
        <v>594773.91</v>
      </c>
      <c r="E76" s="38">
        <f t="shared" si="14"/>
        <v>-255399.75</v>
      </c>
      <c r="F76" s="39">
        <f t="shared" si="15"/>
        <v>69.959108119157676</v>
      </c>
      <c r="G76" s="79">
        <f t="shared" si="18"/>
        <v>850173.66</v>
      </c>
      <c r="H76" s="79">
        <f t="shared" si="18"/>
        <v>594773.91</v>
      </c>
      <c r="I76" s="38">
        <f t="shared" si="16"/>
        <v>-255399.75</v>
      </c>
      <c r="J76" s="40">
        <f t="shared" si="17"/>
        <v>69.959108119157676</v>
      </c>
      <c r="K76" s="118">
        <f>236036+282257.58</f>
        <v>518293.58</v>
      </c>
      <c r="L76" s="118">
        <f>37694.96+1905.5+36879.87</f>
        <v>76480.33</v>
      </c>
      <c r="M76" s="118"/>
      <c r="N76" s="119">
        <f t="shared" si="19"/>
        <v>594773.91</v>
      </c>
      <c r="O76" s="7">
        <v>850173.66</v>
      </c>
    </row>
    <row r="77" spans="1:15" x14ac:dyDescent="0.3">
      <c r="A77" s="123" t="s">
        <v>99</v>
      </c>
      <c r="B77" s="77">
        <v>6016</v>
      </c>
      <c r="C77" s="66">
        <v>38644.26</v>
      </c>
      <c r="D77" s="66">
        <v>16597.29</v>
      </c>
      <c r="E77" s="38">
        <f t="shared" si="14"/>
        <v>-22046.97</v>
      </c>
      <c r="F77" s="39">
        <f t="shared" si="15"/>
        <v>42.948914017243439</v>
      </c>
      <c r="G77" s="79">
        <f t="shared" si="18"/>
        <v>38644.26</v>
      </c>
      <c r="H77" s="79">
        <f t="shared" si="18"/>
        <v>16597.29</v>
      </c>
      <c r="I77" s="38">
        <f t="shared" si="16"/>
        <v>-22046.97</v>
      </c>
      <c r="J77" s="40">
        <f t="shared" si="17"/>
        <v>42.948914017243439</v>
      </c>
      <c r="K77" s="118">
        <f>2124.35+4956.8+137.16+8830.71</f>
        <v>16049.019999999999</v>
      </c>
      <c r="L77" s="118">
        <f>77.74+22.11+181.39+76.17+177.73+13.13</f>
        <v>548.27</v>
      </c>
      <c r="M77" s="118"/>
      <c r="N77" s="119">
        <f t="shared" si="19"/>
        <v>16597.289999999997</v>
      </c>
      <c r="O77" s="7">
        <v>38644.26</v>
      </c>
    </row>
    <row r="78" spans="1:15" x14ac:dyDescent="0.3">
      <c r="A78" s="124" t="s">
        <v>100</v>
      </c>
      <c r="B78" s="125"/>
      <c r="C78" s="125"/>
      <c r="D78" s="125"/>
      <c r="E78" s="125"/>
      <c r="F78" s="125"/>
      <c r="G78" s="125"/>
      <c r="H78" s="125"/>
      <c r="I78" s="125"/>
      <c r="J78" s="126"/>
      <c r="K78" s="119">
        <f>SUM(K73:K77)</f>
        <v>990584.64000000013</v>
      </c>
      <c r="L78" s="119">
        <f>SUM(L72:L77)</f>
        <v>130247.55</v>
      </c>
      <c r="M78" s="119">
        <f>SUM(M73:M77)</f>
        <v>233.76000000000002</v>
      </c>
      <c r="N78" s="119">
        <f>K78+L78+M78</f>
        <v>1121065.9500000002</v>
      </c>
    </row>
    <row r="79" spans="1:15" x14ac:dyDescent="0.3">
      <c r="A79" s="98" t="s">
        <v>101</v>
      </c>
      <c r="B79" s="77">
        <v>7010</v>
      </c>
      <c r="C79" s="127">
        <f>214.5+62.25</f>
        <v>276.75</v>
      </c>
      <c r="D79" s="127">
        <f>198+23</f>
        <v>221</v>
      </c>
      <c r="E79" s="128"/>
      <c r="F79" s="128"/>
      <c r="G79" s="127">
        <v>276.75</v>
      </c>
      <c r="H79" s="127">
        <v>221</v>
      </c>
      <c r="I79" s="128"/>
      <c r="J79" s="128"/>
      <c r="N79" s="97"/>
    </row>
    <row r="80" spans="1:15" x14ac:dyDescent="0.3">
      <c r="A80" s="98"/>
      <c r="B80" s="77"/>
      <c r="C80" s="128"/>
      <c r="D80" s="128"/>
      <c r="E80" s="128"/>
      <c r="F80" s="128"/>
      <c r="G80" s="128" t="s">
        <v>102</v>
      </c>
      <c r="H80" s="128" t="s">
        <v>103</v>
      </c>
      <c r="I80" s="128" t="s">
        <v>104</v>
      </c>
      <c r="J80" s="128" t="s">
        <v>105</v>
      </c>
      <c r="N80" s="94"/>
    </row>
    <row r="81" spans="1:14" x14ac:dyDescent="0.3">
      <c r="A81" s="98" t="s">
        <v>106</v>
      </c>
      <c r="B81" s="83">
        <v>7011</v>
      </c>
      <c r="C81" s="84"/>
      <c r="D81" s="84"/>
      <c r="E81" s="84"/>
      <c r="F81" s="84"/>
      <c r="G81" s="84"/>
      <c r="H81" s="84">
        <v>5664989.0700000003</v>
      </c>
      <c r="I81" s="84"/>
      <c r="J81" s="78"/>
    </row>
    <row r="82" spans="1:14" x14ac:dyDescent="0.3">
      <c r="A82" s="98" t="s">
        <v>107</v>
      </c>
      <c r="B82" s="83">
        <v>7012</v>
      </c>
      <c r="C82" s="84"/>
      <c r="D82" s="84"/>
      <c r="E82" s="84"/>
      <c r="F82" s="84"/>
      <c r="G82" s="104"/>
      <c r="H82" s="67">
        <v>0</v>
      </c>
      <c r="I82" s="67"/>
      <c r="J82" s="67"/>
    </row>
    <row r="83" spans="1:14" x14ac:dyDescent="0.3">
      <c r="A83" s="98" t="s">
        <v>108</v>
      </c>
      <c r="B83" s="83">
        <v>7013</v>
      </c>
      <c r="C83" s="84"/>
      <c r="D83" s="84"/>
      <c r="E83" s="84"/>
      <c r="F83" s="84"/>
      <c r="G83" s="104"/>
      <c r="H83" s="67">
        <v>0</v>
      </c>
      <c r="I83" s="67"/>
      <c r="J83" s="67"/>
    </row>
    <row r="84" spans="1:14" x14ac:dyDescent="0.3">
      <c r="A84" s="98" t="s">
        <v>109</v>
      </c>
      <c r="B84" s="129">
        <v>7016</v>
      </c>
      <c r="C84" s="122"/>
      <c r="D84" s="122"/>
      <c r="E84" s="122"/>
      <c r="F84" s="122"/>
      <c r="G84" s="48"/>
      <c r="H84" s="49">
        <v>0</v>
      </c>
      <c r="I84" s="49"/>
      <c r="J84" s="49"/>
      <c r="K84" s="7" t="s">
        <v>34</v>
      </c>
    </row>
    <row r="85" spans="1:14" x14ac:dyDescent="0.3">
      <c r="A85" s="98" t="s">
        <v>110</v>
      </c>
      <c r="B85" s="65">
        <v>7020</v>
      </c>
      <c r="C85" s="38"/>
      <c r="D85" s="38"/>
      <c r="E85" s="38"/>
      <c r="F85" s="38"/>
      <c r="G85" s="38"/>
      <c r="H85" s="116">
        <v>0</v>
      </c>
      <c r="I85" s="116"/>
      <c r="J85" s="116"/>
      <c r="L85" s="7" t="s">
        <v>36</v>
      </c>
      <c r="M85" s="7" t="s">
        <v>37</v>
      </c>
    </row>
    <row r="86" spans="1:14" x14ac:dyDescent="0.3">
      <c r="A86" s="130"/>
      <c r="B86" s="131"/>
      <c r="C86" s="132"/>
      <c r="D86" s="132"/>
      <c r="E86" s="132"/>
      <c r="F86" s="132"/>
      <c r="G86" s="132"/>
      <c r="H86" s="133"/>
      <c r="I86" s="133"/>
      <c r="J86" s="133"/>
      <c r="K86" s="7">
        <v>2210</v>
      </c>
      <c r="L86" s="7">
        <f>8905.36+8450.7</f>
        <v>17356.060000000001</v>
      </c>
      <c r="M86" s="70">
        <v>14230</v>
      </c>
      <c r="N86" s="71">
        <f>L86+M86</f>
        <v>31586.06</v>
      </c>
    </row>
    <row r="87" spans="1:14" x14ac:dyDescent="0.3">
      <c r="A87" s="134" t="s">
        <v>111</v>
      </c>
      <c r="B87" s="135"/>
      <c r="C87" s="136"/>
      <c r="D87" s="135"/>
      <c r="E87" s="137"/>
      <c r="F87" s="138" t="s">
        <v>112</v>
      </c>
      <c r="G87" s="138"/>
      <c r="H87" s="139"/>
      <c r="I87" s="140"/>
      <c r="J87" s="140"/>
      <c r="K87" s="7">
        <v>2220</v>
      </c>
      <c r="M87" s="70">
        <f>1950+1190</f>
        <v>3140</v>
      </c>
      <c r="N87" s="71">
        <f>L87+M87</f>
        <v>3140</v>
      </c>
    </row>
    <row r="88" spans="1:14" x14ac:dyDescent="0.3">
      <c r="A88" s="141"/>
      <c r="B88" s="142"/>
      <c r="C88" s="143" t="s">
        <v>113</v>
      </c>
      <c r="D88" s="143"/>
      <c r="E88" s="144" t="s">
        <v>114</v>
      </c>
      <c r="F88" s="144"/>
      <c r="G88" s="144"/>
      <c r="K88" s="7">
        <v>2240</v>
      </c>
      <c r="N88" s="71">
        <f>L88+M88</f>
        <v>0</v>
      </c>
    </row>
    <row r="89" spans="1:14" x14ac:dyDescent="0.3">
      <c r="A89" s="141" t="s">
        <v>115</v>
      </c>
      <c r="B89" s="142"/>
      <c r="C89" s="145"/>
      <c r="D89" s="142"/>
      <c r="E89" s="142"/>
      <c r="F89" s="146" t="s">
        <v>116</v>
      </c>
      <c r="G89" s="146"/>
      <c r="K89" s="7">
        <v>3210</v>
      </c>
      <c r="L89" s="70">
        <v>78975</v>
      </c>
      <c r="N89" s="71">
        <f>L89+M89</f>
        <v>78975</v>
      </c>
    </row>
    <row r="90" spans="1:14" x14ac:dyDescent="0.3">
      <c r="A90" s="141"/>
      <c r="B90" s="142"/>
      <c r="C90" s="143" t="s">
        <v>113</v>
      </c>
      <c r="D90" s="143"/>
      <c r="E90" s="144" t="s">
        <v>114</v>
      </c>
      <c r="F90" s="144"/>
      <c r="G90" s="144"/>
      <c r="L90" s="71">
        <f>SUM(L86:L89)</f>
        <v>96331.06</v>
      </c>
      <c r="M90" s="71">
        <f>SUM(M86:M89)</f>
        <v>17370</v>
      </c>
      <c r="N90" s="71">
        <f>L90+M90</f>
        <v>113701.06</v>
      </c>
    </row>
    <row r="91" spans="1:14" x14ac:dyDescent="0.3">
      <c r="A91" s="141" t="s">
        <v>117</v>
      </c>
      <c r="B91" s="142"/>
      <c r="C91" s="145"/>
      <c r="D91" s="142"/>
      <c r="E91" s="142"/>
      <c r="F91" s="146" t="s">
        <v>118</v>
      </c>
      <c r="G91" s="146"/>
    </row>
    <row r="92" spans="1:14" x14ac:dyDescent="0.3">
      <c r="A92" s="141"/>
      <c r="B92" s="142"/>
      <c r="C92" s="143" t="s">
        <v>113</v>
      </c>
      <c r="D92" s="143"/>
      <c r="E92" s="144" t="s">
        <v>114</v>
      </c>
      <c r="F92" s="144"/>
      <c r="G92" s="144"/>
    </row>
    <row r="93" spans="1:14" x14ac:dyDescent="0.3">
      <c r="A93"/>
      <c r="B93"/>
      <c r="C93"/>
      <c r="D93"/>
      <c r="E93"/>
      <c r="F93"/>
      <c r="G93"/>
    </row>
  </sheetData>
  <mergeCells count="22">
    <mergeCell ref="E92:G92"/>
    <mergeCell ref="A78:J78"/>
    <mergeCell ref="F87:G87"/>
    <mergeCell ref="E88:G88"/>
    <mergeCell ref="F89:G89"/>
    <mergeCell ref="E90:G90"/>
    <mergeCell ref="F91:G91"/>
    <mergeCell ref="A12:J12"/>
    <mergeCell ref="A29:J29"/>
    <mergeCell ref="A44:J44"/>
    <mergeCell ref="A55:J55"/>
    <mergeCell ref="A66:J66"/>
    <mergeCell ref="A70:J70"/>
    <mergeCell ref="E2:J2"/>
    <mergeCell ref="A4:J4"/>
    <mergeCell ref="A5:J5"/>
    <mergeCell ref="A6:J6"/>
    <mergeCell ref="A7:J7"/>
    <mergeCell ref="A9:A10"/>
    <mergeCell ref="B9:B10"/>
    <mergeCell ref="C9:F9"/>
    <mergeCell ref="G9:J9"/>
  </mergeCells>
  <pageMargins left="0.43307086614173229" right="0.23622047244094491" top="0.74803149606299213" bottom="0.74803149606299213" header="0" footer="0"/>
  <pageSetup paperSize="9" scale="71" fitToHeight="4" orientation="landscape" r:id="rId1"/>
  <rowBreaks count="2" manualBreakCount="2">
    <brk id="28" max="14" man="1"/>
    <brk id="60" max="14" man="1"/>
  </rowBreaks>
  <colBreaks count="1" manualBreakCount="1">
    <brk id="10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Фін.звіт</vt:lpstr>
      <vt:lpstr>'Додаток 2 Фін.звіт'!Область_печати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2021-05-24T11:14:31Z</dcterms:created>
  <dcterms:modified xsi:type="dcterms:W3CDTF">2021-05-24T11:15:16Z</dcterms:modified>
</cp:coreProperties>
</file>