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3\Звіт за півріччя 2023\"/>
    </mc:Choice>
  </mc:AlternateContent>
  <xr:revisionPtr revIDLastSave="0" documentId="13_ncr:1_{64149513-F22D-4164-B74D-B9E6BE624ED5}" xr6:coauthVersionLast="47" xr6:coauthVersionMax="47" xr10:uidLastSave="{00000000-0000-0000-0000-000000000000}"/>
  <bookViews>
    <workbookView xWindow="3800" yWindow="2620" windowWidth="23530" windowHeight="18260" tabRatio="909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результат'!$A$1:$R$187</definedName>
    <definedName name="_xlnm.Print_Area" localSheetId="2">'2. Розрахунки з бюджетом'!$A$2:$G$42</definedName>
    <definedName name="_xlnm.Print_Area" localSheetId="3">'3. Рух грошових коштів'!$A$1:$V$94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0" l="1"/>
  <c r="E59" i="2"/>
  <c r="J30" i="10" l="1"/>
  <c r="J28" i="10"/>
  <c r="J21" i="10"/>
  <c r="J29" i="10" s="1"/>
  <c r="J22" i="10"/>
  <c r="E78" i="2"/>
  <c r="J24" i="10"/>
  <c r="E179" i="2"/>
  <c r="E20" i="2"/>
  <c r="E181" i="2" s="1"/>
  <c r="E18" i="2"/>
  <c r="J26" i="10" s="1"/>
  <c r="E17" i="2"/>
  <c r="E80" i="2"/>
  <c r="E79" i="2"/>
  <c r="J25" i="10" s="1"/>
  <c r="E70" i="14"/>
  <c r="G51" i="10"/>
  <c r="E19" i="11"/>
  <c r="E68" i="18"/>
  <c r="E25" i="18"/>
  <c r="E17" i="18"/>
  <c r="E177" i="2"/>
  <c r="E178" i="2"/>
  <c r="E176" i="2"/>
  <c r="E142" i="2"/>
  <c r="E14" i="2"/>
  <c r="E113" i="2"/>
  <c r="E97" i="2"/>
  <c r="E92" i="2" s="1"/>
  <c r="G88" i="2"/>
  <c r="F88" i="2"/>
  <c r="F54" i="2"/>
  <c r="F53" i="2"/>
  <c r="F52" i="2"/>
  <c r="F56" i="2"/>
  <c r="F35" i="2"/>
  <c r="G35" i="2"/>
  <c r="E31" i="2"/>
  <c r="E32" i="2"/>
  <c r="G46" i="2"/>
  <c r="E23" i="2"/>
  <c r="E11" i="2"/>
  <c r="E9" i="2" s="1"/>
  <c r="D19" i="11"/>
  <c r="E180" i="2" l="1"/>
  <c r="E21" i="2"/>
  <c r="E13" i="2" s="1"/>
  <c r="C179" i="2"/>
  <c r="C180" i="2"/>
  <c r="C181" i="2"/>
  <c r="C170" i="2" s="1"/>
  <c r="C178" i="2"/>
  <c r="C146" i="2"/>
  <c r="C113" i="2"/>
  <c r="C92" i="2"/>
  <c r="D76" i="14"/>
  <c r="D72" i="14"/>
  <c r="D71" i="14"/>
  <c r="D68" i="14"/>
  <c r="D67" i="14"/>
  <c r="E50" i="10"/>
  <c r="E49" i="10"/>
  <c r="H22" i="10"/>
  <c r="H30" i="10" s="1"/>
  <c r="H21" i="10"/>
  <c r="H29" i="10" s="1"/>
  <c r="H20" i="10"/>
  <c r="H28" i="10" s="1"/>
  <c r="D113" i="2"/>
  <c r="D108" i="2" s="1"/>
  <c r="D59" i="2"/>
  <c r="H25" i="10" l="1"/>
  <c r="H24" i="10"/>
  <c r="H26" i="10"/>
  <c r="D163" i="2"/>
  <c r="E73" i="14" l="1"/>
  <c r="N9" i="9"/>
  <c r="N8" i="9"/>
  <c r="J32" i="10"/>
  <c r="E20" i="18"/>
  <c r="N10" i="9" l="1"/>
  <c r="J33" i="10"/>
  <c r="E37" i="19" l="1"/>
  <c r="G99" i="2"/>
  <c r="F99" i="2"/>
  <c r="E70" i="2"/>
  <c r="D70" i="14"/>
  <c r="C9" i="19"/>
  <c r="D92" i="2"/>
  <c r="D70" i="2" s="1"/>
  <c r="D21" i="2"/>
  <c r="D13" i="2" s="1"/>
  <c r="C73" i="14"/>
  <c r="C70" i="14"/>
  <c r="D33" i="10"/>
  <c r="D34" i="10"/>
  <c r="D32" i="10"/>
  <c r="C10" i="3"/>
  <c r="C6" i="3" s="1"/>
  <c r="C81" i="18"/>
  <c r="C68" i="18"/>
  <c r="C49" i="18"/>
  <c r="C55" i="18" s="1"/>
  <c r="C29" i="19"/>
  <c r="E35" i="19"/>
  <c r="C177" i="2"/>
  <c r="E146" i="2"/>
  <c r="E165" i="2" s="1"/>
  <c r="C21" i="2"/>
  <c r="U10" i="9"/>
  <c r="E166" i="2" l="1"/>
  <c r="E170" i="2"/>
  <c r="E11" i="18"/>
  <c r="E15" i="18" s="1"/>
  <c r="J34" i="10"/>
  <c r="E29" i="19"/>
  <c r="E26" i="19" s="1"/>
  <c r="E10" i="3" l="1"/>
  <c r="E6" i="3" s="1"/>
  <c r="E49" i="18"/>
  <c r="E55" i="18" s="1"/>
  <c r="E18" i="18" s="1"/>
  <c r="E14" i="18" s="1"/>
  <c r="E108" i="2" l="1"/>
  <c r="E163" i="2" s="1"/>
  <c r="F132" i="2"/>
  <c r="G132" i="2"/>
  <c r="E58" i="2" l="1"/>
  <c r="E7" i="11" s="1"/>
  <c r="D15" i="11"/>
  <c r="D14" i="11" l="1"/>
  <c r="C25" i="18"/>
  <c r="C142" i="2"/>
  <c r="C108" i="2"/>
  <c r="C13" i="2"/>
  <c r="H34" i="10" l="1"/>
  <c r="H33" i="10"/>
  <c r="D68" i="18"/>
  <c r="D25" i="18"/>
  <c r="D176" i="2"/>
  <c r="D183" i="2" s="1"/>
  <c r="D146" i="2"/>
  <c r="D142" i="2"/>
  <c r="D165" i="2" l="1"/>
  <c r="D41" i="14" s="1"/>
  <c r="R10" i="9"/>
  <c r="X10" i="9"/>
  <c r="C176" i="2" l="1"/>
  <c r="D17" i="18" l="1"/>
  <c r="C20" i="18" l="1"/>
  <c r="C17" i="18"/>
  <c r="C14" i="18" s="1"/>
  <c r="G176" i="2" l="1"/>
  <c r="G14" i="2"/>
  <c r="F170" i="2"/>
  <c r="V35" i="9"/>
  <c r="E41" i="14"/>
  <c r="G67" i="2"/>
  <c r="F67" i="2"/>
  <c r="F31" i="2"/>
  <c r="G50" i="2"/>
  <c r="G51" i="2"/>
  <c r="F51" i="2"/>
  <c r="J51" i="10"/>
  <c r="G50" i="10"/>
  <c r="I50" i="10" s="1"/>
  <c r="N49" i="10"/>
  <c r="C70" i="2"/>
  <c r="C34" i="14" s="1"/>
  <c r="F43" i="2"/>
  <c r="G43" i="2"/>
  <c r="E15" i="11"/>
  <c r="C165" i="2"/>
  <c r="C41" i="14" s="1"/>
  <c r="C59" i="2"/>
  <c r="C65" i="14"/>
  <c r="C11" i="18"/>
  <c r="G29" i="19"/>
  <c r="C9" i="2"/>
  <c r="C31" i="14" s="1"/>
  <c r="G49" i="10"/>
  <c r="G52" i="10" s="1"/>
  <c r="AA10" i="9"/>
  <c r="F92" i="2"/>
  <c r="U36" i="9"/>
  <c r="K50" i="10"/>
  <c r="D14" i="18"/>
  <c r="F50" i="18"/>
  <c r="F51" i="18"/>
  <c r="F49" i="18"/>
  <c r="F86" i="18"/>
  <c r="G86" i="18"/>
  <c r="G8" i="19"/>
  <c r="F8" i="19"/>
  <c r="E58" i="14"/>
  <c r="E54" i="14"/>
  <c r="E49" i="14"/>
  <c r="E14" i="11"/>
  <c r="E65" i="14" s="1"/>
  <c r="F10" i="3"/>
  <c r="F57" i="2"/>
  <c r="F49" i="2"/>
  <c r="F50" i="2"/>
  <c r="G76" i="14"/>
  <c r="F72" i="14"/>
  <c r="D6" i="3"/>
  <c r="D61" i="14" s="1"/>
  <c r="D55" i="18"/>
  <c r="G84" i="2"/>
  <c r="G23" i="2"/>
  <c r="D54" i="14"/>
  <c r="D51" i="14"/>
  <c r="D49" i="14"/>
  <c r="K49" i="10"/>
  <c r="D50" i="10"/>
  <c r="F50" i="10" s="1"/>
  <c r="D35" i="19"/>
  <c r="D26" i="19" s="1"/>
  <c r="D9" i="2"/>
  <c r="D58" i="2" s="1"/>
  <c r="D137" i="2" s="1"/>
  <c r="D58" i="14"/>
  <c r="F15" i="2"/>
  <c r="G57" i="2"/>
  <c r="F41" i="2"/>
  <c r="F47" i="2"/>
  <c r="G36" i="2"/>
  <c r="G38" i="2"/>
  <c r="G39" i="2"/>
  <c r="F42" i="2"/>
  <c r="G42" i="2"/>
  <c r="F44" i="2"/>
  <c r="G44" i="2"/>
  <c r="F45" i="2"/>
  <c r="G45" i="2"/>
  <c r="F46" i="2"/>
  <c r="C35" i="19"/>
  <c r="D51" i="10"/>
  <c r="AC32" i="9"/>
  <c r="AC33" i="9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11" i="18"/>
  <c r="F24" i="19"/>
  <c r="G24" i="19"/>
  <c r="F30" i="19"/>
  <c r="G30" i="19"/>
  <c r="F36" i="19"/>
  <c r="G36" i="19"/>
  <c r="F37" i="19"/>
  <c r="G37" i="19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60" i="2"/>
  <c r="G60" i="2"/>
  <c r="F68" i="2"/>
  <c r="F76" i="2"/>
  <c r="G76" i="2"/>
  <c r="F77" i="2"/>
  <c r="G77" i="2"/>
  <c r="F79" i="2"/>
  <c r="F85" i="2"/>
  <c r="G85" i="2"/>
  <c r="F91" i="2"/>
  <c r="F93" i="2"/>
  <c r="G93" i="2"/>
  <c r="F94" i="2"/>
  <c r="G94" i="2"/>
  <c r="F95" i="2"/>
  <c r="G95" i="2"/>
  <c r="F96" i="2"/>
  <c r="G96" i="2"/>
  <c r="G97" i="2"/>
  <c r="F98" i="2"/>
  <c r="F115" i="2"/>
  <c r="G115" i="2"/>
  <c r="F127" i="2"/>
  <c r="F128" i="2"/>
  <c r="F152" i="2"/>
  <c r="G152" i="2"/>
  <c r="C164" i="2"/>
  <c r="D164" i="2"/>
  <c r="E164" i="2"/>
  <c r="F178" i="2"/>
  <c r="G178" i="2"/>
  <c r="F180" i="2"/>
  <c r="G180" i="2"/>
  <c r="F181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F51" i="14" s="1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2" i="18" s="1"/>
  <c r="F97" i="2"/>
  <c r="G32" i="2"/>
  <c r="F14" i="2"/>
  <c r="F84" i="2"/>
  <c r="F80" i="2"/>
  <c r="G80" i="2"/>
  <c r="G79" i="2"/>
  <c r="G71" i="2"/>
  <c r="F71" i="2"/>
  <c r="F32" i="2"/>
  <c r="L20" i="10"/>
  <c r="G71" i="14"/>
  <c r="D56" i="14"/>
  <c r="F113" i="2"/>
  <c r="G113" i="2"/>
  <c r="I49" i="10"/>
  <c r="I52" i="10" s="1"/>
  <c r="N50" i="10"/>
  <c r="D32" i="14"/>
  <c r="N21" i="10"/>
  <c r="L21" i="10"/>
  <c r="F17" i="2"/>
  <c r="F78" i="2"/>
  <c r="G78" i="2"/>
  <c r="F176" i="2"/>
  <c r="F29" i="19"/>
  <c r="G146" i="2"/>
  <c r="G17" i="2"/>
  <c r="G12" i="2"/>
  <c r="F11" i="2"/>
  <c r="M51" i="10" l="1"/>
  <c r="AC36" i="9"/>
  <c r="M37" i="9" s="1"/>
  <c r="F59" i="2"/>
  <c r="D36" i="14"/>
  <c r="J50" i="10"/>
  <c r="G59" i="2"/>
  <c r="F35" i="19"/>
  <c r="G35" i="19"/>
  <c r="M50" i="10"/>
  <c r="L50" i="10"/>
  <c r="E31" i="14"/>
  <c r="E18" i="11" s="1"/>
  <c r="F49" i="14"/>
  <c r="F9" i="2"/>
  <c r="G9" i="2"/>
  <c r="F146" i="2"/>
  <c r="G92" i="2"/>
  <c r="G170" i="2"/>
  <c r="E50" i="14"/>
  <c r="D31" i="14"/>
  <c r="D33" i="14" s="1"/>
  <c r="D169" i="2"/>
  <c r="C166" i="2"/>
  <c r="C58" i="2"/>
  <c r="D166" i="2"/>
  <c r="G166" i="2" s="1"/>
  <c r="J49" i="10"/>
  <c r="G11" i="18"/>
  <c r="G181" i="2"/>
  <c r="G177" i="2"/>
  <c r="F177" i="2"/>
  <c r="C56" i="14"/>
  <c r="C163" i="2"/>
  <c r="C36" i="14" s="1"/>
  <c r="C26" i="19"/>
  <c r="C50" i="14" s="1"/>
  <c r="M49" i="10"/>
  <c r="F15" i="18"/>
  <c r="F54" i="14"/>
  <c r="D50" i="14"/>
  <c r="F26" i="19"/>
  <c r="D73" i="14"/>
  <c r="F73" i="14" s="1"/>
  <c r="G21" i="2"/>
  <c r="G26" i="19"/>
  <c r="G51" i="14"/>
  <c r="G54" i="14"/>
  <c r="F55" i="18"/>
  <c r="E56" i="14"/>
  <c r="F56" i="14" s="1"/>
  <c r="G70" i="14"/>
  <c r="F70" i="14"/>
  <c r="G18" i="2"/>
  <c r="F18" i="2"/>
  <c r="F165" i="2"/>
  <c r="G165" i="2"/>
  <c r="G108" i="2"/>
  <c r="F108" i="2"/>
  <c r="C32" i="14"/>
  <c r="C33" i="14" s="1"/>
  <c r="D34" i="14"/>
  <c r="L28" i="10"/>
  <c r="H32" i="10"/>
  <c r="N32" i="10" s="1"/>
  <c r="F20" i="2"/>
  <c r="G20" i="2"/>
  <c r="N29" i="10"/>
  <c r="L29" i="10"/>
  <c r="D52" i="10"/>
  <c r="N22" i="10"/>
  <c r="N28" i="10"/>
  <c r="G49" i="14"/>
  <c r="F49" i="10"/>
  <c r="F52" i="10" s="1"/>
  <c r="F11" i="18"/>
  <c r="D17" i="11"/>
  <c r="D18" i="11"/>
  <c r="C61" i="14"/>
  <c r="E61" i="14"/>
  <c r="F61" i="14" s="1"/>
  <c r="E17" i="11"/>
  <c r="F6" i="3"/>
  <c r="V34" i="9"/>
  <c r="W34" i="9" s="1"/>
  <c r="V33" i="9"/>
  <c r="V36" i="9" l="1"/>
  <c r="Q37" i="9"/>
  <c r="F50" i="14"/>
  <c r="F166" i="2"/>
  <c r="F31" i="14"/>
  <c r="G70" i="2"/>
  <c r="G31" i="14"/>
  <c r="G73" i="14"/>
  <c r="G50" i="14"/>
  <c r="F21" i="2"/>
  <c r="F179" i="2"/>
  <c r="G179" i="2"/>
  <c r="L22" i="10"/>
  <c r="N26" i="10"/>
  <c r="L26" i="10"/>
  <c r="F70" i="2"/>
  <c r="E34" i="14"/>
  <c r="G34" i="14" s="1"/>
  <c r="D65" i="14"/>
  <c r="F65" i="14" s="1"/>
  <c r="D174" i="2"/>
  <c r="D38" i="14" s="1"/>
  <c r="D39" i="14" s="1"/>
  <c r="D37" i="14"/>
  <c r="D155" i="2"/>
  <c r="D156" i="2" s="1"/>
  <c r="D167" i="2" s="1"/>
  <c r="L32" i="10"/>
  <c r="N24" i="10"/>
  <c r="L24" i="10"/>
  <c r="N25" i="10"/>
  <c r="L25" i="10"/>
  <c r="G41" i="14"/>
  <c r="F41" i="14"/>
  <c r="L49" i="10"/>
  <c r="N33" i="10"/>
  <c r="L33" i="10"/>
  <c r="D7" i="11"/>
  <c r="C137" i="2"/>
  <c r="F163" i="2"/>
  <c r="E36" i="14"/>
  <c r="G163" i="2"/>
  <c r="W36" i="9"/>
  <c r="AD33" i="9"/>
  <c r="AD36" i="9" s="1"/>
  <c r="E32" i="14" l="1"/>
  <c r="F32" i="14" s="1"/>
  <c r="F13" i="2"/>
  <c r="G13" i="2"/>
  <c r="G65" i="14"/>
  <c r="N30" i="10"/>
  <c r="L30" i="10"/>
  <c r="F34" i="14"/>
  <c r="F14" i="18"/>
  <c r="E137" i="2"/>
  <c r="E169" i="2" s="1"/>
  <c r="F58" i="2"/>
  <c r="G58" i="2"/>
  <c r="F36" i="14"/>
  <c r="G36" i="14"/>
  <c r="C37" i="14"/>
  <c r="C169" i="2"/>
  <c r="C174" i="2" s="1"/>
  <c r="C155" i="2"/>
  <c r="D158" i="2"/>
  <c r="D10" i="19" s="1"/>
  <c r="D42" i="14"/>
  <c r="D9" i="18"/>
  <c r="E33" i="14" l="1"/>
  <c r="F33" i="14" s="1"/>
  <c r="G32" i="14"/>
  <c r="D19" i="18"/>
  <c r="D30" i="18" s="1"/>
  <c r="N34" i="10"/>
  <c r="L34" i="10"/>
  <c r="D159" i="2"/>
  <c r="D44" i="14"/>
  <c r="D63" i="14" s="1"/>
  <c r="D160" i="2"/>
  <c r="C9" i="18"/>
  <c r="C19" i="18" s="1"/>
  <c r="C42" i="14"/>
  <c r="C167" i="2"/>
  <c r="C182" i="2" s="1"/>
  <c r="G137" i="2"/>
  <c r="E37" i="14"/>
  <c r="F137" i="2"/>
  <c r="E155" i="2"/>
  <c r="D31" i="18"/>
  <c r="D43" i="14"/>
  <c r="D23" i="19"/>
  <c r="D48" i="14" s="1"/>
  <c r="C38" i="14"/>
  <c r="D13" i="11" s="1"/>
  <c r="D8" i="11"/>
  <c r="E156" i="2" l="1"/>
  <c r="E23" i="19" s="1"/>
  <c r="E9" i="18"/>
  <c r="G33" i="14"/>
  <c r="C183" i="2"/>
  <c r="C30" i="18"/>
  <c r="D32" i="18"/>
  <c r="D55" i="14" s="1"/>
  <c r="C158" i="2"/>
  <c r="F37" i="14"/>
  <c r="G37" i="14"/>
  <c r="C39" i="14"/>
  <c r="F155" i="2"/>
  <c r="E42" i="14"/>
  <c r="G155" i="2"/>
  <c r="G169" i="2"/>
  <c r="E174" i="2"/>
  <c r="E8" i="11" s="1"/>
  <c r="F169" i="2"/>
  <c r="C31" i="18"/>
  <c r="C48" i="14"/>
  <c r="C43" i="14"/>
  <c r="D9" i="19"/>
  <c r="D21" i="19"/>
  <c r="D45" i="14"/>
  <c r="D64" i="14"/>
  <c r="E158" i="2" l="1"/>
  <c r="E10" i="19" s="1"/>
  <c r="E11" i="19" s="1"/>
  <c r="E19" i="18"/>
  <c r="E30" i="18" s="1"/>
  <c r="D9" i="11"/>
  <c r="C63" i="14" s="1"/>
  <c r="E167" i="2"/>
  <c r="C32" i="18"/>
  <c r="C55" i="14" s="1"/>
  <c r="D10" i="11"/>
  <c r="C64" i="14" s="1"/>
  <c r="E11" i="11"/>
  <c r="E45" i="14" s="1"/>
  <c r="F45" i="14" s="1"/>
  <c r="E9" i="11"/>
  <c r="E63" i="14" s="1"/>
  <c r="C160" i="2"/>
  <c r="D11" i="11"/>
  <c r="C45" i="14" s="1"/>
  <c r="C44" i="14"/>
  <c r="C159" i="2"/>
  <c r="C22" i="19"/>
  <c r="C72" i="18" s="1"/>
  <c r="E160" i="2"/>
  <c r="D71" i="18"/>
  <c r="D84" i="18" s="1"/>
  <c r="D20" i="19"/>
  <c r="D38" i="19" s="1"/>
  <c r="E38" i="14"/>
  <c r="E13" i="11" s="1"/>
  <c r="F174" i="2"/>
  <c r="G174" i="2"/>
  <c r="F9" i="18"/>
  <c r="G9" i="18"/>
  <c r="E31" i="18"/>
  <c r="F156" i="2"/>
  <c r="E43" i="14"/>
  <c r="F42" i="14"/>
  <c r="G42" i="14"/>
  <c r="E44" i="14" l="1"/>
  <c r="E182" i="2"/>
  <c r="E183" i="2" s="1"/>
  <c r="E10" i="11"/>
  <c r="E64" i="14" s="1"/>
  <c r="G64" i="14" s="1"/>
  <c r="F158" i="2"/>
  <c r="G158" i="2"/>
  <c r="E159" i="2"/>
  <c r="F159" i="2" s="1"/>
  <c r="G10" i="19"/>
  <c r="E32" i="18"/>
  <c r="C18" i="19"/>
  <c r="C21" i="19"/>
  <c r="C71" i="18" s="1"/>
  <c r="C84" i="18" s="1"/>
  <c r="C88" i="18" s="1"/>
  <c r="F167" i="2"/>
  <c r="G167" i="2"/>
  <c r="F31" i="18"/>
  <c r="G31" i="18"/>
  <c r="D47" i="14"/>
  <c r="D52" i="14"/>
  <c r="F63" i="14"/>
  <c r="G63" i="14"/>
  <c r="E48" i="14"/>
  <c r="F48" i="14" s="1"/>
  <c r="F23" i="19"/>
  <c r="G19" i="18"/>
  <c r="F19" i="18"/>
  <c r="E39" i="14"/>
  <c r="F39" i="14" s="1"/>
  <c r="G38" i="14"/>
  <c r="F38" i="14"/>
  <c r="D57" i="14"/>
  <c r="D88" i="18"/>
  <c r="D59" i="14" s="1"/>
  <c r="D69" i="14" s="1"/>
  <c r="D89" i="18"/>
  <c r="G44" i="14"/>
  <c r="F44" i="14"/>
  <c r="G182" i="2" l="1"/>
  <c r="F182" i="2"/>
  <c r="F64" i="14"/>
  <c r="G159" i="2"/>
  <c r="F10" i="19"/>
  <c r="E71" i="18"/>
  <c r="E55" i="14"/>
  <c r="E9" i="19"/>
  <c r="E21" i="19"/>
  <c r="C20" i="19"/>
  <c r="C38" i="19" s="1"/>
  <c r="C52" i="14" s="1"/>
  <c r="F183" i="2"/>
  <c r="G183" i="2"/>
  <c r="C57" i="14"/>
  <c r="C89" i="18"/>
  <c r="G69" i="14"/>
  <c r="F69" i="14"/>
  <c r="F30" i="18"/>
  <c r="G30" i="18"/>
  <c r="G21" i="19" l="1"/>
  <c r="G71" i="18"/>
  <c r="F71" i="18"/>
  <c r="F21" i="19"/>
  <c r="E72" i="18"/>
  <c r="E84" i="18" s="1"/>
  <c r="E88" i="18" s="1"/>
  <c r="F11" i="19"/>
  <c r="G11" i="19"/>
  <c r="E22" i="19"/>
  <c r="E20" i="19" s="1"/>
  <c r="C47" i="14"/>
  <c r="C59" i="14"/>
  <c r="G32" i="18"/>
  <c r="F32" i="18"/>
  <c r="E18" i="19" l="1"/>
  <c r="G9" i="19"/>
  <c r="F9" i="19"/>
  <c r="G22" i="19"/>
  <c r="F22" i="19"/>
  <c r="F72" i="18"/>
  <c r="G72" i="18"/>
  <c r="G55" i="14"/>
  <c r="F55" i="14"/>
  <c r="G84" i="18" l="1"/>
  <c r="E57" i="14"/>
  <c r="F84" i="18"/>
  <c r="E89" i="18"/>
  <c r="E38" i="19"/>
  <c r="E47" i="14"/>
  <c r="F20" i="19"/>
  <c r="G20" i="19"/>
  <c r="F18" i="19"/>
  <c r="G18" i="19"/>
  <c r="E52" i="14" l="1"/>
  <c r="F38" i="19"/>
  <c r="G38" i="19"/>
  <c r="F47" i="14"/>
  <c r="G47" i="14"/>
  <c r="F89" i="18"/>
  <c r="G89" i="18"/>
  <c r="G57" i="14"/>
  <c r="F57" i="14"/>
  <c r="F88" i="18"/>
  <c r="G88" i="18"/>
  <c r="E59" i="14"/>
  <c r="F59" i="14" l="1"/>
  <c r="G59" i="14"/>
  <c r="F52" i="14"/>
  <c r="G52" i="14"/>
</calcChain>
</file>

<file path=xl/sharedStrings.xml><?xml version="1.0" encoding="utf-8"?>
<sst xmlns="http://schemas.openxmlformats.org/spreadsheetml/2006/main" count="804" uniqueCount="623">
  <si>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</si>
  <si>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</si>
  <si>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</si>
  <si>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</si>
  <si>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</si>
  <si>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</si>
  <si>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</si>
  <si>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</si>
  <si>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</si>
  <si>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</si>
  <si>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</si>
  <si>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</si>
  <si>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</si>
  <si>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</si>
  <si>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</si>
  <si>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</si>
  <si>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</si>
  <si>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</si>
  <si>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</si>
  <si>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</si>
  <si>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</si>
  <si>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</si>
  <si>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</si>
  <si>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</si>
  <si>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</si>
  <si>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</si>
  <si>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</si>
  <si>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</si>
  <si>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</si>
  <si>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</si>
  <si>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</si>
  <si>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</si>
  <si>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</si>
  <si>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</si>
  <si>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</si>
  <si>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</si>
  <si>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</si>
  <si>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</si>
  <si>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</si>
  <si>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</si>
  <si>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</si>
  <si>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</si>
  <si>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</si>
  <si>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</si>
  <si>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</si>
  <si>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</si>
  <si>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</si>
  <si>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</si>
  <si>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</si>
  <si>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</si>
  <si>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</si>
  <si>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</si>
  <si>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</si>
  <si>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</si>
  <si>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</si>
  <si>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</si>
  <si>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</si>
  <si>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</si>
  <si>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</si>
  <si>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</si>
  <si>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</si>
  <si>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</si>
  <si>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</si>
  <si>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</si>
  <si>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</si>
  <si>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</si>
  <si>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</si>
  <si>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</si>
  <si>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</si>
  <si>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</si>
  <si>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</si>
  <si>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</si>
  <si>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</si>
  <si>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</si>
  <si>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</si>
  <si>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</si>
  <si>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</si>
  <si>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</si>
  <si>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</si>
  <si>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</si>
  <si>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</si>
  <si>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</si>
  <si>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</si>
  <si>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</si>
  <si>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</si>
  <si>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</si>
  <si>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</si>
  <si>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</si>
  <si>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</si>
  <si>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</si>
  <si>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</si>
  <si>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</si>
  <si>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</si>
  <si>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</si>
  <si>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</si>
  <si>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</si>
  <si>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</si>
  <si>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</si>
  <si>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</si>
  <si>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</si>
  <si>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</si>
  <si>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</si>
  <si>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</si>
  <si>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</si>
  <si>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</si>
  <si>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</si>
  <si>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</si>
  <si>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</si>
  <si>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</si>
  <si>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</si>
  <si>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</si>
  <si>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</si>
  <si>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</si>
  <si>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</si>
  <si>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</si>
  <si>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</si>
  <si>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</si>
  <si>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</si>
  <si>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</si>
  <si>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</si>
  <si>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</si>
  <si>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</si>
  <si>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</si>
  <si>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</si>
  <si>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</si>
  <si>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</si>
  <si>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</si>
  <si>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</si>
  <si>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</si>
  <si>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</si>
  <si>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</si>
  <si>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</si>
  <si>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</si>
  <si>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</si>
  <si>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</si>
  <si>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</si>
  <si>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</si>
  <si>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</si>
  <si>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</si>
  <si>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</si>
  <si>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</si>
  <si>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</si>
  <si>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</si>
  <si>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</si>
  <si>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</si>
  <si>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</si>
  <si>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</si>
  <si>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</si>
  <si>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</si>
  <si>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</si>
  <si>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</si>
  <si>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</si>
  <si>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</si>
  <si>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</si>
  <si>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</si>
  <si>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</si>
  <si>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</si>
  <si>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</si>
  <si>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</si>
  <si>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</si>
  <si>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</si>
  <si>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</si>
  <si>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</si>
  <si>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</si>
  <si>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</si>
  <si>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</si>
  <si>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</si>
  <si>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</si>
  <si>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</si>
  <si>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</si>
  <si>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</si>
  <si>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</si>
  <si>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</si>
  <si>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</si>
  <si>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</si>
  <si>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</si>
  <si>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</si>
  <si>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</si>
  <si>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</si>
  <si>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</si>
  <si>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</si>
  <si>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</si>
  <si>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</si>
  <si>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</si>
  <si>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</si>
  <si>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</si>
  <si>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</si>
  <si>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</si>
  <si>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</si>
  <si>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</si>
  <si>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</si>
  <si>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</si>
  <si>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</si>
  <si>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</si>
  <si>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</si>
  <si>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</si>
  <si>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</si>
  <si>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</si>
  <si>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</si>
  <si>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</si>
  <si>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</si>
  <si>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</si>
  <si>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</si>
  <si>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</si>
  <si>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</si>
  <si>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</si>
  <si>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</si>
  <si>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</si>
  <si>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</si>
  <si>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</si>
  <si>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</si>
  <si>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</si>
  <si>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</si>
  <si>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</si>
  <si>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</si>
  <si>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</si>
  <si>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</si>
  <si>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</si>
  <si>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</si>
  <si>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</si>
  <si>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</si>
  <si>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</si>
  <si>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</si>
  <si>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</si>
  <si>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</si>
  <si>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</si>
  <si>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</si>
  <si>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</si>
  <si>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</si>
  <si>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</si>
  <si>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</si>
  <si>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</si>
  <si>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</si>
  <si>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</si>
  <si>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</si>
  <si>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</si>
  <si>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</si>
  <si>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</si>
  <si>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</si>
  <si>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</si>
  <si>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</si>
  <si>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</si>
  <si>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</si>
  <si>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</si>
  <si>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</si>
  <si>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</si>
  <si>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</si>
  <si>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</si>
  <si>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</si>
  <si>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</si>
  <si>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</si>
  <si>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</si>
  <si>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</si>
  <si>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</si>
  <si>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</si>
  <si>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</si>
  <si>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</si>
  <si>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</si>
  <si>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</si>
  <si>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</si>
  <si>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</si>
  <si>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</si>
  <si>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</si>
  <si>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</si>
  <si>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</si>
  <si>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</si>
  <si>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</si>
  <si>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</si>
  <si>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</si>
  <si>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</si>
  <si>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</si>
  <si>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</si>
  <si>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</si>
  <si>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</si>
  <si>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</si>
  <si>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</si>
  <si>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</si>
  <si>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</si>
  <si>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</si>
  <si>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</si>
  <si>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</si>
  <si>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</si>
  <si>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</si>
  <si>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</si>
  <si>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</si>
  <si>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</si>
  <si>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</si>
  <si>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</si>
  <si>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</si>
  <si>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</si>
  <si>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</si>
  <si>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</si>
  <si>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</si>
  <si>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</si>
  <si>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</si>
  <si>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</si>
  <si>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</si>
  <si>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</si>
  <si>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</si>
  <si>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</si>
  <si>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</si>
  <si>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</si>
  <si>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</si>
  <si>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</si>
  <si>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</si>
  <si>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</si>
  <si>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</si>
  <si>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</si>
  <si>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</si>
  <si>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</si>
  <si>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</si>
  <si>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</si>
  <si>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</si>
  <si>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</si>
  <si>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</si>
  <si>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</si>
  <si>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</si>
  <si>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</si>
  <si>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</si>
  <si>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</si>
  <si>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</si>
  <si>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</si>
  <si>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</si>
  <si>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</si>
  <si>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</si>
  <si>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</si>
  <si>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</si>
  <si>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</si>
  <si>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</si>
  <si>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</si>
  <si>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</si>
  <si>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</si>
  <si>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</si>
  <si>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</si>
  <si>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</si>
  <si>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</si>
  <si>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</si>
  <si>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</si>
  <si>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</si>
  <si>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</si>
  <si>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</si>
  <si>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</si>
  <si>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</si>
  <si>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</si>
  <si>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</si>
  <si>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</si>
  <si>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</si>
  <si>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</si>
  <si>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</si>
  <si>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</si>
  <si>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</si>
  <si>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</si>
  <si>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</si>
  <si>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</si>
  <si>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</si>
  <si>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</si>
  <si>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</si>
  <si>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</si>
  <si>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</si>
  <si>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</si>
  <si>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</si>
  <si>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</si>
  <si>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</si>
  <si>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</si>
  <si>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</si>
  <si>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</si>
  <si>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</si>
  <si>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</si>
  <si>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</si>
  <si>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</si>
  <si>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</si>
  <si>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</si>
  <si>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</si>
  <si>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</si>
  <si>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</si>
  <si>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</si>
  <si>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</si>
  <si>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</si>
  <si>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</si>
  <si>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</si>
  <si>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</si>
  <si>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</si>
  <si>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</si>
  <si>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</si>
  <si>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</si>
  <si>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</si>
  <si>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</si>
  <si>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</si>
  <si>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</si>
  <si>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</si>
  <si>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</si>
  <si>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</si>
  <si>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49107, м. Дніпро, вул. Шинна, 26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</si>
  <si>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</si>
  <si>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</si>
  <si>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</si>
  <si>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</si>
  <si>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</si>
  <si>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</si>
  <si>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</si>
  <si>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</si>
  <si>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</si>
  <si>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</si>
  <si>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</si>
  <si>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</si>
  <si>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</si>
  <si>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</si>
  <si>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</si>
  <si>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</si>
  <si>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</si>
  <si>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</si>
  <si>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</si>
  <si>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</si>
  <si>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</si>
  <si>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</si>
  <si>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</si>
  <si>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</si>
  <si>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</si>
  <si>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</si>
  <si>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</si>
  <si>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</si>
  <si>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</si>
  <si>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</si>
  <si>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</si>
  <si>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</si>
  <si>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</si>
  <si>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</si>
  <si>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</si>
  <si>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</si>
  <si>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</si>
  <si>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</si>
  <si>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</si>
  <si>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</si>
  <si>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</si>
  <si>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</si>
  <si>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</si>
  <si>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</si>
  <si>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</si>
  <si>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</si>
  <si>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</si>
  <si>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</si>
  <si>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</si>
  <si>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</si>
  <si>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</si>
  <si>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</si>
  <si>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</si>
  <si>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</si>
  <si>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</si>
  <si>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</si>
  <si>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</si>
  <si>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</si>
  <si>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</si>
  <si>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</si>
  <si>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</si>
  <si>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</si>
  <si>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</si>
  <si>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</si>
  <si>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</si>
  <si>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</si>
  <si>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</si>
  <si>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</si>
  <si>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</si>
  <si>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</si>
  <si>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</si>
  <si>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</si>
  <si>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</si>
  <si>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</si>
  <si>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</si>
  <si>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</si>
  <si>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</si>
  <si>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надлишки матеріальних цінностей при інвентарізації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</si>
  <si>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</si>
  <si>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</si>
  <si>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</si>
  <si>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</si>
  <si>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</si>
  <si>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</si>
  <si>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</si>
  <si>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</si>
  <si>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</si>
  <si>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</si>
  <si>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</si>
  <si>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</si>
  <si>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</si>
  <si>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</si>
  <si>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</si>
  <si>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</si>
  <si>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</si>
  <si>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</si>
  <si>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</si>
  <si>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</si>
  <si>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</si>
  <si>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</si>
  <si>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</si>
  <si>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</si>
  <si>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</si>
  <si>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</si>
  <si>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</si>
  <si>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</si>
  <si>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</si>
  <si>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</si>
  <si>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</si>
  <si>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</si>
  <si>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</si>
  <si>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</si>
  <si>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</si>
  <si>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</si>
  <si>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</si>
  <si>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</si>
  <si>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</si>
  <si>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</si>
  <si>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</si>
  <si>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</si>
  <si>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</si>
  <si>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</si>
  <si>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</si>
  <si>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</si>
  <si>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</si>
  <si>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</si>
  <si>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</si>
  <si>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</si>
  <si>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</si>
  <si>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</si>
  <si>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</si>
  <si>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</si>
  <si>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</si>
  <si>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відстрочені податкові активи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</si>
  <si>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</si>
  <si>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</si>
  <si>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</si>
  <si>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</si>
  <si>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</si>
  <si>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</si>
  <si>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</si>
  <si>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</si>
  <si>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</si>
  <si>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</si>
  <si>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</si>
  <si>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</si>
  <si>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</si>
  <si>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</si>
  <si>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</si>
  <si>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</si>
  <si>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</si>
  <si>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</si>
  <si>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</si>
  <si>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</si>
  <si>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Відшкодування пенсій у ПФ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</si>
  <si>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</si>
  <si>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</si>
  <si>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</si>
  <si>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</si>
  <si>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</si>
  <si>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</si>
  <si>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</si>
  <si>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</si>
  <si>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</si>
  <si>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 xml:space="preserve">Оцінка мереж зовнішнього освітлення </t>
  </si>
  <si>
    <t>1018/28</t>
  </si>
  <si>
    <t>Освітлювальне обладнання по вул. Набережна Перемоги (р-н скверу Прибрежний)</t>
  </si>
  <si>
    <t>33.14</t>
  </si>
  <si>
    <t>Ремонт та технічне обслуговування електричного устаткування</t>
  </si>
  <si>
    <t>Січовий М. Ю.</t>
  </si>
  <si>
    <t>Утилізація ламп, опор</t>
  </si>
  <si>
    <t>Ремонт обладанння, будівель</t>
  </si>
  <si>
    <t>Списання безнадійної дебіторської заборгованості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</si>
  <si>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</si>
  <si>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</si>
  <si>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</si>
  <si>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</si>
  <si>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</si>
  <si>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</si>
  <si>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</si>
  <si>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</si>
  <si>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Відхилення суми зумовлено на підставі збільшення виконання послуг по поточному ремонту та утриманню мереж зовнішнього освітлення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</si>
  <si>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</si>
  <si>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</si>
  <si>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</si>
  <si>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</si>
  <si>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</si>
  <si>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</si>
  <si>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</si>
  <si>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</si>
  <si>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</si>
  <si>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</si>
  <si>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</si>
  <si>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</si>
  <si>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</si>
  <si>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</si>
  <si>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</si>
  <si>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</si>
  <si>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</si>
  <si>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Директор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</si>
  <si>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</si>
  <si>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</si>
  <si>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</si>
  <si>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</si>
  <si>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</si>
  <si>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</si>
  <si>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</si>
  <si>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</si>
  <si>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</si>
  <si>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>Оплата за арендовані мережі, оренда приміщення</t>
  </si>
  <si>
    <t>1062/7</t>
  </si>
  <si>
    <t>Олександр ОЛЕФІРЕНКО</t>
  </si>
  <si>
    <t xml:space="preserve">Послуги з поточного ремонту мереж зовнішнього освітлення </t>
  </si>
  <si>
    <t>-</t>
  </si>
  <si>
    <t>за півріччя 2023 рік</t>
  </si>
  <si>
    <t>Таблиця VI. Інформація до фінансового плану за півріччя 2023 року</t>
  </si>
  <si>
    <t>В. о. директора</t>
  </si>
  <si>
    <t>Ремонт та обслуговування оргтехніки, ОЗ</t>
  </si>
  <si>
    <t>Невикористаний резерв відпусток, та ЕСВ на нього</t>
  </si>
  <si>
    <t>Послуги досудової експертизи</t>
  </si>
  <si>
    <t xml:space="preserve">Компенсаційне ПДВ на використання в негосподаській діяльності </t>
  </si>
  <si>
    <t>канцтовари, бланки</t>
  </si>
  <si>
    <t>Реалізація матеріалів робітникам підприємства</t>
  </si>
  <si>
    <t>Матеріали використані в негосподарській діяльності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</si>
  <si>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17325,0 тис. гривень. Середньомісячна заробітна плата фактично 21960,26 гривень. Середньооблікова кількість усіх працівників в еквіваленті повної зайнятості за півріччя 2023 року - 139 особи, у тому числі  АУП - 22 особи.</t>
  </si>
  <si>
    <t>1018/34</t>
  </si>
  <si>
    <t>1018/35</t>
  </si>
  <si>
    <t>1085/22</t>
  </si>
  <si>
    <t>1085/23</t>
  </si>
  <si>
    <t>1018/36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</si>
</sst>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  <numFmt numFmtId="180" formatCode="#,##0.00000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12">
    <xf numFmtId="0" fontId="0" fillId="0" borderId="0" xfId="0"/>
    <xf numFmtId="0" fontId="64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3" fontId="65" fillId="0" borderId="3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68" fillId="0" borderId="0" xfId="245" applyFont="1" applyAlignment="1">
      <alignment horizontal="center" vertical="center"/>
    </xf>
    <xf numFmtId="0" fontId="65" fillId="0" borderId="0" xfId="245" applyFont="1" applyAlignment="1">
      <alignment vertical="center"/>
    </xf>
    <xf numFmtId="0" fontId="65" fillId="0" borderId="0" xfId="245" applyFont="1" applyAlignment="1">
      <alignment horizontal="center" vertical="center"/>
    </xf>
    <xf numFmtId="0" fontId="68" fillId="0" borderId="0" xfId="245" applyFont="1" applyAlignment="1">
      <alignment vertical="center"/>
    </xf>
    <xf numFmtId="0" fontId="65" fillId="0" borderId="0" xfId="245" applyFont="1" applyAlignment="1">
      <alignment horizontal="left" vertical="center" wrapText="1"/>
    </xf>
    <xf numFmtId="0" fontId="65" fillId="0" borderId="0" xfId="245" applyFont="1" applyAlignment="1">
      <alignment vertical="center" wrapText="1"/>
    </xf>
    <xf numFmtId="0" fontId="65" fillId="0" borderId="3" xfId="0" applyFont="1" applyBorder="1" applyAlignment="1">
      <alignment horizontal="center" vertical="center"/>
    </xf>
    <xf numFmtId="0" fontId="65" fillId="0" borderId="0" xfId="0" applyFont="1"/>
    <xf numFmtId="0" fontId="65" fillId="0" borderId="0" xfId="0" applyFont="1" applyAlignment="1">
      <alignment horizontal="left" vertical="center" wrapText="1" shrinkToFi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 shrinkToFit="1"/>
    </xf>
    <xf numFmtId="169" fontId="68" fillId="0" borderId="0" xfId="0" applyNumberFormat="1" applyFont="1" applyAlignment="1">
      <alignment horizontal="right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170" fontId="72" fillId="0" borderId="3" xfId="0" applyNumberFormat="1" applyFont="1" applyBorder="1" applyAlignment="1">
      <alignment horizontal="center" vertical="center" wrapText="1"/>
    </xf>
    <xf numFmtId="169" fontId="68" fillId="0" borderId="0" xfId="0" applyNumberFormat="1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65" fillId="0" borderId="3" xfId="0" applyFont="1" applyBorder="1"/>
    <xf numFmtId="0" fontId="68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 wrapText="1" shrinkToFit="1"/>
    </xf>
    <xf numFmtId="0" fontId="67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169" fontId="73" fillId="0" borderId="0" xfId="0" applyNumberFormat="1" applyFont="1" applyAlignment="1">
      <alignment horizontal="right" vertical="center"/>
    </xf>
    <xf numFmtId="0" fontId="70" fillId="0" borderId="3" xfId="182" applyFont="1" applyFill="1" applyBorder="1" applyAlignment="1">
      <alignment horizontal="left" vertical="center" wrapText="1"/>
      <protection locked="0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80" fillId="0" borderId="0" xfId="0" applyFont="1" applyAlignment="1">
      <alignment vertical="center"/>
    </xf>
    <xf numFmtId="0" fontId="65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81" fillId="0" borderId="3" xfId="182" applyFont="1" applyFill="1" applyBorder="1" applyAlignment="1">
      <alignment horizontal="left" vertical="center" wrapText="1"/>
      <protection locked="0"/>
    </xf>
    <xf numFmtId="3" fontId="65" fillId="0" borderId="0" xfId="245" applyNumberFormat="1" applyFont="1" applyAlignment="1">
      <alignment vertical="center"/>
    </xf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0" xfId="245" applyFont="1" applyFill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3" fontId="65" fillId="29" borderId="0" xfId="0" applyNumberFormat="1" applyFont="1" applyFill="1" applyAlignment="1">
      <alignment horizontal="center" vertical="center" wrapText="1"/>
    </xf>
    <xf numFmtId="0" fontId="65" fillId="29" borderId="0" xfId="0" applyFont="1" applyFill="1" applyAlignment="1">
      <alignment horizontal="left" vertical="center" wrapText="1" shrinkToFit="1"/>
    </xf>
    <xf numFmtId="0" fontId="65" fillId="29" borderId="14" xfId="0" applyFont="1" applyFill="1" applyBorder="1" applyAlignment="1">
      <alignment horizontal="center" vertical="center"/>
    </xf>
    <xf numFmtId="49" fontId="65" fillId="29" borderId="0" xfId="0" applyNumberFormat="1" applyFont="1" applyFill="1" applyAlignment="1">
      <alignment horizontal="center" vertical="center" wrapText="1"/>
    </xf>
    <xf numFmtId="49" fontId="65" fillId="29" borderId="0" xfId="0" applyNumberFormat="1" applyFont="1" applyFill="1" applyAlignment="1">
      <alignment horizontal="left" vertical="center" wrapText="1"/>
    </xf>
    <xf numFmtId="0" fontId="65" fillId="29" borderId="0" xfId="0" applyFont="1" applyFill="1" applyAlignment="1">
      <alignment horizontal="right" vertical="center"/>
    </xf>
    <xf numFmtId="1" fontId="65" fillId="29" borderId="0" xfId="0" applyNumberFormat="1" applyFont="1" applyFill="1" applyAlignment="1">
      <alignment horizontal="center" vertical="center"/>
    </xf>
    <xf numFmtId="0" fontId="68" fillId="29" borderId="0" xfId="0" applyFont="1" applyFill="1" applyAlignment="1">
      <alignment horizontal="center" vertical="center"/>
    </xf>
    <xf numFmtId="0" fontId="68" fillId="29" borderId="0" xfId="0" applyFont="1" applyFill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8" fillId="29" borderId="15" xfId="0" applyFont="1" applyFill="1" applyBorder="1" applyAlignment="1">
      <alignment horizontal="left" vertical="center" wrapText="1"/>
    </xf>
    <xf numFmtId="170" fontId="68" fillId="29" borderId="0" xfId="0" applyNumberFormat="1" applyFont="1" applyFill="1" applyAlignment="1">
      <alignment horizontal="center" vertical="center" wrapText="1"/>
    </xf>
    <xf numFmtId="0" fontId="68" fillId="29" borderId="0" xfId="0" applyFont="1" applyFill="1" applyAlignment="1">
      <alignment horizontal="left" vertical="center"/>
    </xf>
    <xf numFmtId="0" fontId="65" fillId="29" borderId="15" xfId="0" applyFont="1" applyFill="1" applyBorder="1" applyAlignment="1">
      <alignment horizontal="center" vertical="center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Alignment="1">
      <alignment horizontal="right" vertical="center"/>
    </xf>
    <xf numFmtId="0" fontId="65" fillId="29" borderId="0" xfId="0" applyFont="1" applyFill="1" applyAlignment="1">
      <alignment vertical="center" wrapText="1" shrinkToFit="1"/>
    </xf>
    <xf numFmtId="169" fontId="68" fillId="29" borderId="0" xfId="0" applyNumberFormat="1" applyFont="1" applyFill="1" applyAlignment="1">
      <alignment horizontal="center" vertical="center" wrapText="1"/>
    </xf>
    <xf numFmtId="170" fontId="68" fillId="29" borderId="0" xfId="0" applyNumberFormat="1" applyFont="1" applyFill="1" applyAlignment="1">
      <alignment horizontal="center" vertical="center"/>
    </xf>
    <xf numFmtId="0" fontId="65" fillId="29" borderId="15" xfId="0" applyFont="1" applyFill="1" applyBorder="1" applyAlignment="1">
      <alignment vertical="center"/>
    </xf>
    <xf numFmtId="170" fontId="72" fillId="29" borderId="3" xfId="0" applyNumberFormat="1" applyFont="1" applyFill="1" applyBorder="1" applyAlignment="1">
      <alignment horizontal="center" vertical="center" wrapText="1"/>
    </xf>
    <xf numFmtId="3" fontId="65" fillId="29" borderId="16" xfId="0" applyNumberFormat="1" applyFont="1" applyFill="1" applyBorder="1" applyAlignment="1">
      <alignment vertical="center" wrapText="1"/>
    </xf>
    <xf numFmtId="170" fontId="68" fillId="29" borderId="0" xfId="0" applyNumberFormat="1" applyFont="1" applyFill="1" applyAlignment="1">
      <alignment vertical="center"/>
    </xf>
    <xf numFmtId="0" fontId="65" fillId="0" borderId="3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3" fontId="68" fillId="0" borderId="3" xfId="0" applyNumberFormat="1" applyFont="1" applyBorder="1" applyAlignment="1">
      <alignment horizontal="center" vertical="center" wrapText="1"/>
    </xf>
    <xf numFmtId="170" fontId="68" fillId="0" borderId="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4" fillId="0" borderId="0" xfId="0" applyFont="1"/>
    <xf numFmtId="0" fontId="75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14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3" xfId="0" applyFont="1" applyBorder="1" applyAlignment="1">
      <alignment horizontal="left" vertical="center"/>
    </xf>
    <xf numFmtId="0" fontId="70" fillId="0" borderId="3" xfId="0" applyFont="1" applyBorder="1" applyAlignment="1">
      <alignment horizontal="center" vertical="center"/>
    </xf>
    <xf numFmtId="0" fontId="70" fillId="0" borderId="14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0" fontId="70" fillId="0" borderId="3" xfId="0" applyFont="1" applyBorder="1" applyAlignment="1">
      <alignment vertical="center"/>
    </xf>
    <xf numFmtId="49" fontId="70" fillId="0" borderId="3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8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quotePrefix="1" applyFont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170" fontId="65" fillId="0" borderId="3" xfId="0" applyNumberFormat="1" applyFont="1" applyBorder="1" applyAlignment="1">
      <alignment horizontal="center" vertical="center" wrapText="1"/>
    </xf>
    <xf numFmtId="0" fontId="65" fillId="0" borderId="3" xfId="0" quotePrefix="1" applyFont="1" applyBorder="1" applyAlignment="1">
      <alignment horizontal="center" vertical="center"/>
    </xf>
    <xf numFmtId="170" fontId="65" fillId="0" borderId="3" xfId="0" quotePrefix="1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70" fillId="0" borderId="3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3" xfId="245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3" fontId="70" fillId="0" borderId="3" xfId="0" applyNumberFormat="1" applyFont="1" applyBorder="1" applyAlignment="1">
      <alignment horizontal="center" vertical="center" wrapText="1"/>
    </xf>
    <xf numFmtId="170" fontId="70" fillId="0" borderId="3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left" vertical="center" wrapText="1"/>
    </xf>
    <xf numFmtId="0" fontId="73" fillId="0" borderId="3" xfId="0" applyFont="1" applyBorder="1" applyAlignment="1" applyProtection="1">
      <alignment horizontal="left" vertical="center" wrapText="1"/>
      <protection locked="0"/>
    </xf>
    <xf numFmtId="0" fontId="70" fillId="0" borderId="3" xfId="0" applyFont="1" applyBorder="1" applyAlignment="1" applyProtection="1">
      <alignment horizontal="left" vertical="center" wrapText="1"/>
      <protection locked="0"/>
    </xf>
    <xf numFmtId="4" fontId="70" fillId="0" borderId="3" xfId="0" applyNumberFormat="1" applyFont="1" applyBorder="1" applyAlignment="1">
      <alignment horizontal="center" vertical="center" wrapText="1"/>
    </xf>
    <xf numFmtId="0" fontId="70" fillId="0" borderId="3" xfId="0" applyFont="1" applyBorder="1" applyAlignment="1">
      <alignment horizontal="left" vertical="center" wrapText="1"/>
    </xf>
    <xf numFmtId="178" fontId="70" fillId="0" borderId="3" xfId="0" applyNumberFormat="1" applyFont="1" applyBorder="1" applyAlignment="1">
      <alignment horizontal="center" vertical="center" wrapText="1"/>
    </xf>
    <xf numFmtId="180" fontId="70" fillId="0" borderId="3" xfId="0" applyNumberFormat="1" applyFont="1" applyBorder="1" applyAlignment="1">
      <alignment horizontal="center" vertical="center" wrapText="1"/>
    </xf>
    <xf numFmtId="0" fontId="70" fillId="0" borderId="3" xfId="245" applyFont="1" applyBorder="1" applyAlignment="1">
      <alignment horizontal="left" vertical="center" wrapText="1"/>
    </xf>
    <xf numFmtId="179" fontId="70" fillId="0" borderId="3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81" fillId="0" borderId="3" xfId="0" applyFont="1" applyBorder="1" applyAlignment="1">
      <alignment horizontal="left" vertical="center" wrapText="1"/>
    </xf>
    <xf numFmtId="0" fontId="81" fillId="0" borderId="3" xfId="0" quotePrefix="1" applyFont="1" applyBorder="1" applyAlignment="1">
      <alignment horizontal="center" vertical="center"/>
    </xf>
    <xf numFmtId="3" fontId="81" fillId="0" borderId="3" xfId="0" quotePrefix="1" applyNumberFormat="1" applyFont="1" applyBorder="1" applyAlignment="1">
      <alignment horizontal="center" vertical="center" wrapText="1"/>
    </xf>
    <xf numFmtId="170" fontId="81" fillId="0" borderId="3" xfId="0" quotePrefix="1" applyNumberFormat="1" applyFont="1" applyBorder="1" applyAlignment="1">
      <alignment horizontal="center" vertical="center" wrapText="1"/>
    </xf>
    <xf numFmtId="49" fontId="84" fillId="0" borderId="3" xfId="0" applyNumberFormat="1" applyFont="1" applyBorder="1" applyAlignment="1">
      <alignment vertical="center" wrapText="1"/>
    </xf>
    <xf numFmtId="3" fontId="80" fillId="0" borderId="0" xfId="0" applyNumberFormat="1" applyFont="1" applyAlignment="1">
      <alignment vertical="center"/>
    </xf>
    <xf numFmtId="3" fontId="79" fillId="0" borderId="0" xfId="0" applyNumberFormat="1" applyFont="1" applyAlignment="1">
      <alignment vertical="center"/>
    </xf>
    <xf numFmtId="1" fontId="81" fillId="0" borderId="3" xfId="0" applyNumberFormat="1" applyFont="1" applyBorder="1" applyAlignment="1">
      <alignment horizontal="center" vertical="center" wrapText="1"/>
    </xf>
    <xf numFmtId="1" fontId="81" fillId="0" borderId="3" xfId="0" applyNumberFormat="1" applyFont="1" applyBorder="1" applyAlignment="1" applyProtection="1">
      <alignment horizontal="center" vertical="center" wrapText="1"/>
      <protection locked="0"/>
    </xf>
    <xf numFmtId="0" fontId="81" fillId="0" borderId="21" xfId="0" applyFont="1" applyBorder="1" applyAlignment="1">
      <alignment horizontal="left" vertical="center" wrapText="1"/>
    </xf>
    <xf numFmtId="49" fontId="81" fillId="0" borderId="3" xfId="0" applyNumberFormat="1" applyFont="1" applyBorder="1" applyAlignment="1">
      <alignment vertical="center" wrapText="1"/>
    </xf>
    <xf numFmtId="49" fontId="84" fillId="0" borderId="3" xfId="0" quotePrefix="1" applyNumberFormat="1" applyFont="1" applyBorder="1" applyAlignment="1">
      <alignment horizontal="left" vertical="center" wrapText="1"/>
    </xf>
    <xf numFmtId="3" fontId="81" fillId="0" borderId="3" xfId="0" applyNumberFormat="1" applyFont="1" applyBorder="1" applyAlignment="1">
      <alignment horizontal="center" vertical="center" wrapText="1"/>
    </xf>
    <xf numFmtId="49" fontId="81" fillId="0" borderId="3" xfId="0" applyNumberFormat="1" applyFont="1" applyBorder="1" applyAlignment="1">
      <alignment horizontal="left" vertical="center" wrapText="1"/>
    </xf>
    <xf numFmtId="170" fontId="81" fillId="0" borderId="3" xfId="0" applyNumberFormat="1" applyFont="1" applyBorder="1" applyAlignment="1">
      <alignment horizontal="center" vertical="center" wrapText="1"/>
    </xf>
    <xf numFmtId="49" fontId="84" fillId="0" borderId="3" xfId="0" applyNumberFormat="1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3" xfId="0" quotePrefix="1" applyFont="1" applyBorder="1" applyAlignment="1">
      <alignment horizontal="center" vertical="center"/>
    </xf>
    <xf numFmtId="3" fontId="83" fillId="0" borderId="3" xfId="0" quotePrefix="1" applyNumberFormat="1" applyFont="1" applyBorder="1" applyAlignment="1">
      <alignment horizontal="center" vertical="center" wrapText="1"/>
    </xf>
    <xf numFmtId="170" fontId="83" fillId="0" borderId="3" xfId="0" quotePrefix="1" applyNumberFormat="1" applyFont="1" applyBorder="1" applyAlignment="1">
      <alignment horizontal="center" vertical="center" wrapText="1"/>
    </xf>
    <xf numFmtId="49" fontId="83" fillId="0" borderId="3" xfId="0" quotePrefix="1" applyNumberFormat="1" applyFont="1" applyBorder="1" applyAlignment="1">
      <alignment horizontal="left" vertical="center" wrapText="1"/>
    </xf>
    <xf numFmtId="49" fontId="81" fillId="0" borderId="3" xfId="0" quotePrefix="1" applyNumberFormat="1" applyFont="1" applyBorder="1" applyAlignment="1">
      <alignment horizontal="left" vertical="center" wrapText="1"/>
    </xf>
    <xf numFmtId="0" fontId="81" fillId="0" borderId="19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left" vertical="center" wrapText="1" shrinkToFit="1"/>
    </xf>
    <xf numFmtId="0" fontId="81" fillId="0" borderId="3" xfId="0" applyFont="1" applyBorder="1" applyAlignment="1" applyProtection="1">
      <alignment horizontal="left" vertical="center" wrapText="1"/>
      <protection locked="0"/>
    </xf>
    <xf numFmtId="0" fontId="81" fillId="0" borderId="3" xfId="0" applyFont="1" applyBorder="1" applyAlignment="1">
      <alignment horizontal="center"/>
    </xf>
    <xf numFmtId="0" fontId="81" fillId="0" borderId="3" xfId="0" quotePrefix="1" applyFont="1" applyBorder="1" applyAlignment="1">
      <alignment horizontal="center"/>
    </xf>
    <xf numFmtId="0" fontId="83" fillId="0" borderId="3" xfId="0" quotePrefix="1" applyFont="1" applyBorder="1" applyAlignment="1">
      <alignment horizontal="center"/>
    </xf>
    <xf numFmtId="0" fontId="79" fillId="0" borderId="0" xfId="0" applyFont="1" applyAlignment="1">
      <alignment horizontal="left" vertical="center" wrapText="1"/>
    </xf>
    <xf numFmtId="0" fontId="79" fillId="0" borderId="0" xfId="0" quotePrefix="1" applyFont="1" applyAlignment="1">
      <alignment horizontal="center"/>
    </xf>
    <xf numFmtId="0" fontId="79" fillId="0" borderId="0" xfId="0" applyFont="1" applyAlignment="1">
      <alignment horizontal="center" vertical="top"/>
    </xf>
    <xf numFmtId="3" fontId="65" fillId="0" borderId="0" xfId="0" applyNumberFormat="1" applyFont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81" fillId="0" borderId="3" xfId="245" applyFont="1" applyBorder="1" applyAlignment="1">
      <alignment horizontal="left" vertical="center" wrapText="1"/>
    </xf>
    <xf numFmtId="0" fontId="65" fillId="0" borderId="3" xfId="245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245" applyFont="1" applyBorder="1" applyAlignment="1">
      <alignment horizontal="left" vertical="center" wrapText="1"/>
    </xf>
    <xf numFmtId="3" fontId="65" fillId="0" borderId="3" xfId="245" applyNumberFormat="1" applyFont="1" applyBorder="1" applyAlignment="1">
      <alignment horizontal="center" vertical="center" wrapText="1"/>
    </xf>
    <xf numFmtId="170" fontId="65" fillId="0" borderId="3" xfId="245" applyNumberFormat="1" applyFont="1" applyBorder="1" applyAlignment="1">
      <alignment horizontal="center" vertical="center" wrapText="1"/>
    </xf>
    <xf numFmtId="0" fontId="4" fillId="0" borderId="3" xfId="245" applyFont="1" applyBorder="1" applyAlignment="1">
      <alignment horizontal="left" vertical="center" wrapText="1"/>
    </xf>
    <xf numFmtId="0" fontId="68" fillId="0" borderId="3" xfId="245" applyFont="1" applyBorder="1" applyAlignment="1">
      <alignment horizontal="center" vertical="center"/>
    </xf>
    <xf numFmtId="3" fontId="68" fillId="0" borderId="3" xfId="245" applyNumberFormat="1" applyFont="1" applyBorder="1" applyAlignment="1">
      <alignment horizontal="center" vertical="center" wrapText="1"/>
    </xf>
    <xf numFmtId="0" fontId="68" fillId="0" borderId="3" xfId="245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9" fillId="0" borderId="0" xfId="245" applyFont="1"/>
    <xf numFmtId="0" fontId="5" fillId="0" borderId="3" xfId="0" quotePrefix="1" applyFont="1" applyBorder="1" applyAlignment="1">
      <alignment horizontal="center" vertical="center"/>
    </xf>
    <xf numFmtId="3" fontId="5" fillId="0" borderId="3" xfId="0" quotePrefix="1" applyNumberFormat="1" applyFont="1" applyBorder="1" applyAlignment="1">
      <alignment horizontal="center" vertical="center" wrapText="1"/>
    </xf>
    <xf numFmtId="170" fontId="5" fillId="0" borderId="3" xfId="0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quotePrefix="1" applyNumberFormat="1" applyFont="1" applyAlignment="1">
      <alignment vertical="center" wrapText="1"/>
    </xf>
    <xf numFmtId="3" fontId="65" fillId="0" borderId="3" xfId="0" quotePrefix="1" applyNumberFormat="1" applyFont="1" applyBorder="1" applyAlignment="1">
      <alignment horizontal="center" vertical="center" wrapText="1"/>
    </xf>
    <xf numFmtId="0" fontId="65" fillId="0" borderId="3" xfId="237" applyFont="1" applyBorder="1" applyAlignment="1">
      <alignment horizontal="center" vertical="center"/>
    </xf>
    <xf numFmtId="0" fontId="65" fillId="0" borderId="3" xfId="237" applyFont="1" applyBorder="1" applyAlignment="1">
      <alignment horizontal="center" vertical="center" wrapText="1"/>
    </xf>
    <xf numFmtId="10" fontId="65" fillId="0" borderId="3" xfId="237" applyNumberFormat="1" applyFont="1" applyBorder="1" applyAlignment="1">
      <alignment horizontal="center" vertical="center" wrapText="1"/>
    </xf>
    <xf numFmtId="0" fontId="65" fillId="0" borderId="3" xfId="237" applyFont="1" applyBorder="1" applyAlignment="1">
      <alignment horizontal="left" vertical="center" wrapText="1"/>
    </xf>
    <xf numFmtId="0" fontId="65" fillId="0" borderId="3" xfId="237" applyFont="1" applyBorder="1" applyAlignment="1">
      <alignment horizontal="left" vertical="top" wrapText="1"/>
    </xf>
    <xf numFmtId="179" fontId="65" fillId="0" borderId="3" xfId="237" applyNumberFormat="1" applyFont="1" applyBorder="1" applyAlignment="1">
      <alignment horizontal="center" vertical="center" wrapText="1"/>
    </xf>
    <xf numFmtId="4" fontId="65" fillId="0" borderId="3" xfId="237" applyNumberFormat="1" applyFont="1" applyBorder="1" applyAlignment="1">
      <alignment horizontal="center" vertical="center" wrapText="1"/>
    </xf>
    <xf numFmtId="170" fontId="65" fillId="0" borderId="3" xfId="237" applyNumberFormat="1" applyFont="1" applyBorder="1" applyAlignment="1">
      <alignment horizontal="center" vertical="center" wrapText="1"/>
    </xf>
    <xf numFmtId="49" fontId="65" fillId="0" borderId="3" xfId="237" applyNumberFormat="1" applyFont="1" applyBorder="1" applyAlignment="1">
      <alignment horizontal="left" vertical="center" wrapText="1"/>
    </xf>
    <xf numFmtId="1" fontId="65" fillId="0" borderId="3" xfId="0" applyNumberFormat="1" applyFont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70" fontId="65" fillId="0" borderId="0" xfId="0" applyNumberFormat="1" applyFont="1" applyAlignment="1">
      <alignment vertical="center"/>
    </xf>
    <xf numFmtId="3" fontId="65" fillId="0" borderId="0" xfId="0" applyNumberFormat="1" applyFont="1" applyAlignment="1">
      <alignment horizontal="center" vertical="center" wrapText="1"/>
    </xf>
    <xf numFmtId="170" fontId="65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3" fillId="0" borderId="3" xfId="237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3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0" fillId="0" borderId="3" xfId="245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7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83" fillId="0" borderId="14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8" fillId="0" borderId="14" xfId="245" applyFont="1" applyBorder="1" applyAlignment="1">
      <alignment horizontal="center" vertical="center" wrapText="1"/>
    </xf>
    <xf numFmtId="0" fontId="68" fillId="0" borderId="18" xfId="245" applyFont="1" applyBorder="1" applyAlignment="1">
      <alignment horizontal="center" vertical="center" wrapText="1"/>
    </xf>
    <xf numFmtId="0" fontId="68" fillId="0" borderId="17" xfId="245" applyFont="1" applyBorder="1" applyAlignment="1">
      <alignment horizontal="center" vertical="center" wrapText="1"/>
    </xf>
    <xf numFmtId="0" fontId="65" fillId="29" borderId="0" xfId="0" applyFont="1" applyFill="1" applyAlignment="1">
      <alignment horizontal="center" vertical="center"/>
    </xf>
    <xf numFmtId="0" fontId="68" fillId="0" borderId="0" xfId="245" applyFont="1" applyAlignment="1">
      <alignment horizontal="center" vertical="center"/>
    </xf>
    <xf numFmtId="0" fontId="65" fillId="0" borderId="3" xfId="245" applyFont="1" applyBorder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4" fillId="0" borderId="14" xfId="245" applyFont="1" applyBorder="1" applyAlignment="1">
      <alignment horizontal="center" vertical="center" wrapText="1"/>
    </xf>
    <xf numFmtId="0" fontId="4" fillId="0" borderId="18" xfId="245" applyFont="1" applyBorder="1" applyAlignment="1">
      <alignment horizontal="center" vertical="center" wrapText="1"/>
    </xf>
    <xf numFmtId="0" fontId="4" fillId="0" borderId="17" xfId="245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245" applyFont="1" applyBorder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8" fillId="0" borderId="0" xfId="237" applyFont="1" applyAlignment="1">
      <alignment horizontal="center" vertical="center" wrapText="1"/>
    </xf>
    <xf numFmtId="0" fontId="65" fillId="0" borderId="13" xfId="237" applyFont="1" applyBorder="1" applyAlignment="1">
      <alignment horizontal="center" vertical="center" wrapText="1"/>
    </xf>
    <xf numFmtId="0" fontId="65" fillId="0" borderId="21" xfId="237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8" fillId="0" borderId="14" xfId="237" applyFont="1" applyBorder="1" applyAlignment="1">
      <alignment horizontal="center" vertical="center"/>
    </xf>
    <xf numFmtId="0" fontId="68" fillId="0" borderId="18" xfId="237" applyFont="1" applyBorder="1" applyAlignment="1">
      <alignment horizontal="center" vertical="center"/>
    </xf>
    <xf numFmtId="0" fontId="68" fillId="0" borderId="17" xfId="237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8" fillId="29" borderId="0" xfId="0" applyFont="1" applyFill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8" xfId="0" applyNumberFormat="1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9" fontId="65" fillId="29" borderId="16" xfId="0" applyNumberFormat="1" applyFont="1" applyFill="1" applyBorder="1" applyAlignment="1">
      <alignment horizontal="right" vertical="center" wrapText="1"/>
    </xf>
    <xf numFmtId="49" fontId="65" fillId="29" borderId="0" xfId="0" applyNumberFormat="1" applyFont="1" applyFill="1" applyAlignment="1">
      <alignment horizontal="right" vertical="center" wrapText="1"/>
    </xf>
    <xf numFmtId="170" fontId="65" fillId="0" borderId="3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/>
    </xf>
    <xf numFmtId="1" fontId="65" fillId="0" borderId="3" xfId="0" applyNumberFormat="1" applyFont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8" fillId="29" borderId="15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left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center" vertical="center" wrapText="1"/>
    </xf>
    <xf numFmtId="0" fontId="65" fillId="29" borderId="0" xfId="0" applyFont="1" applyFill="1" applyAlignment="1">
      <alignment horizontal="justify" vertical="center" wrapText="1" shrinkToFit="1"/>
    </xf>
    <xf numFmtId="0" fontId="65" fillId="2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left" vertical="center"/>
    </xf>
    <xf numFmtId="2" fontId="65" fillId="29" borderId="13" xfId="0" applyNumberFormat="1" applyFont="1" applyFill="1" applyBorder="1" applyAlignment="1">
      <alignment horizontal="center" vertical="center" wrapText="1"/>
    </xf>
    <xf numFmtId="2" fontId="65" fillId="29" borderId="21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3" xfId="0" applyFont="1" applyBorder="1" applyAlignment="1">
      <alignment horizontal="left" vertical="center" wrapText="1" shrinkToFit="1"/>
    </xf>
    <xf numFmtId="0" fontId="70" fillId="0" borderId="14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center" vertical="center" wrapText="1" shrinkToFit="1"/>
    </xf>
    <xf numFmtId="3" fontId="65" fillId="0" borderId="17" xfId="0" applyNumberFormat="1" applyFont="1" applyBorder="1" applyAlignment="1">
      <alignment horizontal="center" vertical="center" wrapText="1" shrinkToFit="1"/>
    </xf>
    <xf numFmtId="2" fontId="65" fillId="29" borderId="14" xfId="0" applyNumberFormat="1" applyFont="1" applyFill="1" applyBorder="1" applyAlignment="1">
      <alignment horizontal="center" vertical="center" wrapText="1"/>
    </xf>
    <xf numFmtId="2" fontId="65" fillId="29" borderId="18" xfId="0" applyNumberFormat="1" applyFont="1" applyFill="1" applyBorder="1" applyAlignment="1">
      <alignment horizontal="center" vertical="center" wrapText="1"/>
    </xf>
    <xf numFmtId="2" fontId="65" fillId="29" borderId="17" xfId="0" applyNumberFormat="1" applyFont="1" applyFill="1" applyBorder="1" applyAlignment="1">
      <alignment horizontal="center" vertical="center" wrapText="1"/>
    </xf>
    <xf numFmtId="14" fontId="65" fillId="0" borderId="14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22" xfId="0" applyFont="1" applyBorder="1" applyAlignment="1">
      <alignment horizontal="center" vertical="center" wrapText="1" shrinkToFit="1"/>
    </xf>
    <xf numFmtId="0" fontId="65" fillId="0" borderId="21" xfId="0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 shrinkToFi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wrapText="1" shrinkToFit="1"/>
    </xf>
    <xf numFmtId="0" fontId="70" fillId="0" borderId="27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28" xfId="0" applyFont="1" applyBorder="1" applyAlignment="1">
      <alignment horizontal="center" vertical="center" wrapText="1" shrinkToFit="1"/>
    </xf>
    <xf numFmtId="0" fontId="70" fillId="0" borderId="26" xfId="0" applyFont="1" applyBorder="1" applyAlignment="1">
      <alignment horizontal="center" vertical="center" wrapText="1" shrinkToFit="1"/>
    </xf>
    <xf numFmtId="0" fontId="70" fillId="0" borderId="15" xfId="0" applyFont="1" applyBorder="1" applyAlignment="1">
      <alignment horizontal="center" vertical="center" wrapText="1" shrinkToFit="1"/>
    </xf>
    <xf numFmtId="0" fontId="70" fillId="0" borderId="24" xfId="0" applyFont="1" applyBorder="1" applyAlignment="1">
      <alignment horizontal="center" vertical="center" wrapText="1" shrinkToFit="1"/>
    </xf>
    <xf numFmtId="2" fontId="65" fillId="0" borderId="13" xfId="0" applyNumberFormat="1" applyFont="1" applyBorder="1" applyAlignment="1">
      <alignment horizontal="center" vertical="center" wrapText="1"/>
    </xf>
    <xf numFmtId="2" fontId="65" fillId="0" borderId="21" xfId="0" applyNumberFormat="1" applyFont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 wrapText="1"/>
    </xf>
    <xf numFmtId="177" fontId="65" fillId="29" borderId="3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 shrinkToFit="1"/>
    </xf>
    <xf numFmtId="0" fontId="65" fillId="0" borderId="18" xfId="0" applyFont="1" applyBorder="1" applyAlignment="1">
      <alignment horizontal="left" vertical="center" wrapText="1" shrinkToFit="1"/>
    </xf>
    <xf numFmtId="0" fontId="65" fillId="0" borderId="17" xfId="0" applyFont="1" applyBorder="1" applyAlignment="1">
      <alignment horizontal="left" vertical="center" wrapText="1" shrinkToFi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 wrapText="1"/>
    </xf>
    <xf numFmtId="0" fontId="70" fillId="29" borderId="25" xfId="0" applyFont="1" applyFill="1" applyBorder="1" applyAlignment="1">
      <alignment horizontal="center" vertical="center" wrapText="1"/>
    </xf>
    <xf numFmtId="0" fontId="70" fillId="29" borderId="23" xfId="0" applyFont="1" applyFill="1" applyBorder="1" applyAlignment="1">
      <alignment horizontal="center" vertical="center" wrapText="1"/>
    </xf>
    <xf numFmtId="0" fontId="70" fillId="29" borderId="26" xfId="0" applyFont="1" applyFill="1" applyBorder="1" applyAlignment="1">
      <alignment horizontal="center" vertical="center" wrapText="1"/>
    </xf>
    <xf numFmtId="0" fontId="70" fillId="29" borderId="24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17" xfId="0" applyFont="1" applyBorder="1" applyAlignment="1">
      <alignment horizontal="center" vertical="center" wrapText="1" shrinkToFit="1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1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2" fontId="65" fillId="0" borderId="14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169" fontId="73" fillId="0" borderId="0" xfId="0" applyNumberFormat="1" applyFont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14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7" xfId="0" applyFont="1" applyBorder="1" applyAlignment="1">
      <alignment horizontal="left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185</xdr:row>
      <xdr:rowOff>0</xdr:rowOff>
    </xdr:from>
    <xdr:to>
      <xdr:col>0</xdr:col>
      <xdr:colOff>4838700</xdr:colOff>
      <xdr:row>185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62531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185</xdr:row>
      <xdr:rowOff>0</xdr:rowOff>
    </xdr:from>
    <xdr:to>
      <xdr:col>4</xdr:col>
      <xdr:colOff>552450</xdr:colOff>
      <xdr:row>185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619750" y="6253162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185</xdr:row>
      <xdr:rowOff>0</xdr:rowOff>
    </xdr:from>
    <xdr:to>
      <xdr:col>7</xdr:col>
      <xdr:colOff>1619250</xdr:colOff>
      <xdr:row>185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315450" y="625316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92</xdr:row>
      <xdr:rowOff>0</xdr:rowOff>
    </xdr:from>
    <xdr:to>
      <xdr:col>0</xdr:col>
      <xdr:colOff>3971925</xdr:colOff>
      <xdr:row>92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92</xdr:row>
      <xdr:rowOff>0</xdr:rowOff>
    </xdr:from>
    <xdr:to>
      <xdr:col>3</xdr:col>
      <xdr:colOff>723900</xdr:colOff>
      <xdr:row>92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92</xdr:row>
      <xdr:rowOff>0</xdr:rowOff>
    </xdr:from>
    <xdr:to>
      <xdr:col>7</xdr:col>
      <xdr:colOff>38100</xdr:colOff>
      <xdr:row>92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tabSelected="1" view="pageBreakPreview" zoomScale="60" zoomScaleNormal="60" workbookViewId="0">
      <selection activeCell="A21" sqref="A21:G21"/>
    </sheetView>
  </sheetViews>
  <sheetFormatPr defaultColWidth="9.1796875" defaultRowHeight="23"/>
  <cols>
    <col min="1" max="1" width="72.54296875" style="8" customWidth="1"/>
    <col min="2" max="2" width="17.1796875" style="88" customWidth="1"/>
    <col min="3" max="4" width="25.26953125" style="88" customWidth="1"/>
    <col min="5" max="5" width="23.453125" style="88" customWidth="1"/>
    <col min="6" max="6" width="23.81640625" style="88" customWidth="1"/>
    <col min="7" max="7" width="22.453125" style="88" customWidth="1"/>
    <col min="8" max="8" width="10" style="8" customWidth="1"/>
    <col min="9" max="9" width="9.54296875" style="8" customWidth="1"/>
    <col min="10" max="16384" width="9.1796875" style="8"/>
  </cols>
  <sheetData>
    <row r="1" spans="1:11" ht="23.25" customHeight="1">
      <c r="B1" s="87"/>
      <c r="D1" s="8"/>
      <c r="E1" s="8" t="s">
        <v>239</v>
      </c>
      <c r="F1" s="8"/>
      <c r="G1" s="8"/>
      <c r="H1" s="89"/>
      <c r="I1" s="89"/>
      <c r="J1" s="89"/>
      <c r="K1" s="89"/>
    </row>
    <row r="2" spans="1:11" ht="18.75" customHeight="1">
      <c r="A2" s="90"/>
      <c r="D2" s="91"/>
      <c r="E2" s="234" t="s">
        <v>356</v>
      </c>
      <c r="F2" s="234"/>
      <c r="G2" s="234"/>
      <c r="H2" s="89"/>
      <c r="I2" s="89"/>
      <c r="J2" s="89"/>
      <c r="K2" s="89"/>
    </row>
    <row r="3" spans="1:11" ht="18.75" customHeight="1">
      <c r="A3" s="88"/>
      <c r="C3" s="91"/>
      <c r="D3" s="91"/>
      <c r="E3" s="234"/>
      <c r="F3" s="234"/>
      <c r="G3" s="234"/>
      <c r="H3" s="89"/>
      <c r="I3" s="89"/>
      <c r="J3" s="89"/>
      <c r="K3" s="89"/>
    </row>
    <row r="4" spans="1:11" ht="18.75" customHeight="1">
      <c r="A4" s="88"/>
      <c r="C4" s="91"/>
      <c r="D4" s="91"/>
      <c r="E4" s="234"/>
      <c r="F4" s="234"/>
      <c r="G4" s="234"/>
      <c r="H4" s="89"/>
      <c r="I4" s="89"/>
      <c r="J4" s="89"/>
      <c r="K4" s="89"/>
    </row>
    <row r="5" spans="1:11" ht="71.25" customHeight="1">
      <c r="E5" s="235"/>
      <c r="F5" s="235"/>
      <c r="G5" s="235"/>
    </row>
    <row r="6" spans="1:11" ht="25.5" customHeight="1">
      <c r="A6" s="92"/>
      <c r="B6" s="223"/>
      <c r="C6" s="223"/>
      <c r="D6" s="223"/>
      <c r="E6" s="93"/>
      <c r="F6" s="94" t="s">
        <v>138</v>
      </c>
      <c r="G6" s="95" t="s">
        <v>260</v>
      </c>
    </row>
    <row r="7" spans="1:11" ht="25.5" customHeight="1">
      <c r="A7" s="96" t="s">
        <v>14</v>
      </c>
      <c r="B7" s="223" t="s">
        <v>545</v>
      </c>
      <c r="C7" s="223"/>
      <c r="D7" s="223"/>
      <c r="E7" s="97"/>
      <c r="F7" s="98" t="s">
        <v>131</v>
      </c>
      <c r="G7" s="99" t="s">
        <v>546</v>
      </c>
    </row>
    <row r="8" spans="1:11" ht="25.5" customHeight="1">
      <c r="A8" s="92" t="s">
        <v>15</v>
      </c>
      <c r="B8" s="223" t="s">
        <v>389</v>
      </c>
      <c r="C8" s="223"/>
      <c r="D8" s="223"/>
      <c r="E8" s="93"/>
      <c r="F8" s="98" t="s">
        <v>130</v>
      </c>
      <c r="G8" s="95"/>
    </row>
    <row r="9" spans="1:11" ht="25.5" customHeight="1">
      <c r="A9" s="92" t="s">
        <v>19</v>
      </c>
      <c r="B9" s="223"/>
      <c r="C9" s="223"/>
      <c r="D9" s="223"/>
      <c r="E9" s="93"/>
      <c r="F9" s="98" t="s">
        <v>129</v>
      </c>
      <c r="G9" s="95">
        <v>1210136600</v>
      </c>
    </row>
    <row r="10" spans="1:11" ht="25.5" customHeight="1">
      <c r="A10" s="96" t="s">
        <v>380</v>
      </c>
      <c r="B10" s="223" t="s">
        <v>390</v>
      </c>
      <c r="C10" s="223"/>
      <c r="D10" s="223"/>
      <c r="E10" s="241"/>
      <c r="F10" s="98" t="s">
        <v>9</v>
      </c>
      <c r="G10" s="95">
        <v>1009</v>
      </c>
    </row>
    <row r="11" spans="1:11" ht="25.5" customHeight="1">
      <c r="A11" s="96" t="s">
        <v>17</v>
      </c>
      <c r="B11" s="223"/>
      <c r="C11" s="223"/>
      <c r="D11" s="223"/>
      <c r="E11" s="97"/>
      <c r="F11" s="98" t="s">
        <v>8</v>
      </c>
      <c r="G11" s="95">
        <v>90219</v>
      </c>
    </row>
    <row r="12" spans="1:11" ht="48.75" customHeight="1">
      <c r="A12" s="96" t="s">
        <v>16</v>
      </c>
      <c r="B12" s="223" t="s">
        <v>561</v>
      </c>
      <c r="C12" s="223"/>
      <c r="D12" s="223"/>
      <c r="E12" s="241"/>
      <c r="F12" s="98" t="s">
        <v>10</v>
      </c>
      <c r="G12" s="95" t="s">
        <v>560</v>
      </c>
    </row>
    <row r="13" spans="1:11" ht="25.5" customHeight="1">
      <c r="A13" s="96" t="s">
        <v>327</v>
      </c>
      <c r="B13" s="223" t="s">
        <v>391</v>
      </c>
      <c r="C13" s="223"/>
      <c r="D13" s="223"/>
      <c r="E13" s="223" t="s">
        <v>193</v>
      </c>
      <c r="F13" s="241"/>
      <c r="G13" s="100"/>
    </row>
    <row r="14" spans="1:11" ht="25.5" customHeight="1">
      <c r="A14" s="96" t="s">
        <v>20</v>
      </c>
      <c r="B14" s="223" t="s">
        <v>389</v>
      </c>
      <c r="C14" s="223"/>
      <c r="D14" s="223"/>
      <c r="E14" s="223" t="s">
        <v>194</v>
      </c>
      <c r="F14" s="224"/>
      <c r="G14" s="100"/>
    </row>
    <row r="15" spans="1:11" ht="25.5" customHeight="1">
      <c r="A15" s="96" t="s">
        <v>105</v>
      </c>
      <c r="B15" s="223">
        <v>139</v>
      </c>
      <c r="C15" s="223"/>
      <c r="D15" s="223"/>
      <c r="E15" s="101"/>
      <c r="F15" s="101"/>
      <c r="G15" s="101"/>
    </row>
    <row r="16" spans="1:11" ht="25.5" customHeight="1">
      <c r="A16" s="92" t="s">
        <v>11</v>
      </c>
      <c r="B16" s="223" t="s">
        <v>392</v>
      </c>
      <c r="C16" s="223"/>
      <c r="D16" s="223"/>
      <c r="E16" s="102"/>
      <c r="F16" s="102"/>
      <c r="G16" s="102"/>
    </row>
    <row r="17" spans="1:17" ht="25.5" customHeight="1">
      <c r="A17" s="96" t="s">
        <v>12</v>
      </c>
      <c r="B17" s="223" t="s">
        <v>393</v>
      </c>
      <c r="C17" s="223"/>
      <c r="D17" s="223"/>
      <c r="E17" s="101"/>
      <c r="F17" s="101"/>
      <c r="G17" s="101"/>
    </row>
    <row r="18" spans="1:17" ht="25.5" customHeight="1">
      <c r="A18" s="92" t="s">
        <v>13</v>
      </c>
      <c r="B18" s="223" t="s">
        <v>562</v>
      </c>
      <c r="C18" s="223"/>
      <c r="D18" s="223"/>
      <c r="E18" s="102"/>
      <c r="F18" s="102"/>
      <c r="G18" s="102"/>
    </row>
    <row r="19" spans="1:17" ht="13.5" customHeight="1">
      <c r="A19" s="103"/>
      <c r="B19" s="8"/>
      <c r="C19" s="8"/>
      <c r="D19" s="8"/>
      <c r="E19" s="8"/>
      <c r="F19" s="8"/>
      <c r="G19" s="8"/>
    </row>
    <row r="20" spans="1:17" ht="46.5" customHeight="1">
      <c r="A20" s="221" t="s">
        <v>240</v>
      </c>
      <c r="B20" s="221"/>
      <c r="C20" s="221"/>
      <c r="D20" s="221"/>
      <c r="E20" s="221"/>
      <c r="F20" s="221"/>
      <c r="G20" s="221"/>
    </row>
    <row r="21" spans="1:17" ht="27.5">
      <c r="A21" s="221" t="s">
        <v>379</v>
      </c>
      <c r="B21" s="221"/>
      <c r="C21" s="221"/>
      <c r="D21" s="221"/>
      <c r="E21" s="221"/>
      <c r="F21" s="221"/>
      <c r="G21" s="221"/>
    </row>
    <row r="22" spans="1:17">
      <c r="A22" s="238" t="s">
        <v>607</v>
      </c>
      <c r="B22" s="238"/>
      <c r="C22" s="238"/>
      <c r="D22" s="238"/>
      <c r="E22" s="238"/>
      <c r="F22" s="238"/>
      <c r="G22" s="238"/>
    </row>
    <row r="23" spans="1:17">
      <c r="A23" s="222" t="s">
        <v>354</v>
      </c>
      <c r="B23" s="222"/>
      <c r="C23" s="222"/>
      <c r="D23" s="222"/>
      <c r="E23" s="222"/>
      <c r="F23" s="222"/>
      <c r="G23" s="222"/>
    </row>
    <row r="24" spans="1:17" ht="9" customHeight="1">
      <c r="A24" s="104"/>
      <c r="B24" s="104"/>
      <c r="C24" s="104"/>
      <c r="D24" s="104"/>
      <c r="E24" s="104"/>
      <c r="F24" s="104"/>
      <c r="G24" s="104"/>
    </row>
    <row r="25" spans="1:17">
      <c r="A25" s="238" t="s">
        <v>206</v>
      </c>
      <c r="B25" s="238"/>
      <c r="C25" s="238"/>
      <c r="D25" s="238"/>
      <c r="E25" s="238"/>
      <c r="F25" s="238"/>
      <c r="G25" s="238"/>
    </row>
    <row r="26" spans="1:17" ht="12" customHeight="1">
      <c r="B26" s="103"/>
      <c r="C26" s="103"/>
      <c r="D26" s="103"/>
      <c r="E26" s="103"/>
      <c r="F26" s="103"/>
      <c r="G26" s="103"/>
    </row>
    <row r="27" spans="1:17" ht="43.5" customHeight="1">
      <c r="A27" s="240" t="s">
        <v>287</v>
      </c>
      <c r="B27" s="237" t="s">
        <v>18</v>
      </c>
      <c r="C27" s="231" t="s">
        <v>355</v>
      </c>
      <c r="D27" s="239" t="s">
        <v>353</v>
      </c>
      <c r="E27" s="239"/>
      <c r="F27" s="239"/>
      <c r="G27" s="239"/>
      <c r="Q27" s="8" t="s">
        <v>372</v>
      </c>
    </row>
    <row r="28" spans="1:17" ht="44.25" customHeight="1">
      <c r="A28" s="240"/>
      <c r="B28" s="237"/>
      <c r="C28" s="232"/>
      <c r="D28" s="116" t="s">
        <v>265</v>
      </c>
      <c r="E28" s="116" t="s">
        <v>248</v>
      </c>
      <c r="F28" s="116" t="s">
        <v>275</v>
      </c>
      <c r="G28" s="116" t="s">
        <v>276</v>
      </c>
    </row>
    <row r="29" spans="1:17" ht="30" customHeight="1">
      <c r="A29" s="95">
        <v>1</v>
      </c>
      <c r="B29" s="113">
        <v>2</v>
      </c>
      <c r="C29" s="95">
        <v>3</v>
      </c>
      <c r="D29" s="95">
        <v>4</v>
      </c>
      <c r="E29" s="113">
        <v>5</v>
      </c>
      <c r="F29" s="95">
        <v>6</v>
      </c>
      <c r="G29" s="113">
        <v>7</v>
      </c>
    </row>
    <row r="30" spans="1:17" ht="25" customHeight="1">
      <c r="A30" s="236" t="s">
        <v>98</v>
      </c>
      <c r="B30" s="236"/>
      <c r="C30" s="236"/>
      <c r="D30" s="236"/>
      <c r="E30" s="236"/>
      <c r="F30" s="236"/>
      <c r="G30" s="236"/>
    </row>
    <row r="31" spans="1:17" ht="46">
      <c r="A31" s="38" t="s">
        <v>207</v>
      </c>
      <c r="B31" s="113">
        <f>'1. Фін результат'!B9</f>
        <v>1000</v>
      </c>
      <c r="C31" s="117">
        <f>'1. Фін результат'!C9</f>
        <v>89938</v>
      </c>
      <c r="D31" s="117">
        <f>'1. Фін результат'!D9</f>
        <v>198850</v>
      </c>
      <c r="E31" s="117">
        <f>'1. Фін результат'!E9</f>
        <v>103352</v>
      </c>
      <c r="F31" s="117">
        <f>E31-D31</f>
        <v>-95498</v>
      </c>
      <c r="G31" s="118">
        <f>E31/D31*100</f>
        <v>51.974855418657285</v>
      </c>
    </row>
    <row r="32" spans="1:17" ht="46">
      <c r="A32" s="38" t="s">
        <v>176</v>
      </c>
      <c r="B32" s="113">
        <f>'1. Фін результат'!B13</f>
        <v>1010</v>
      </c>
      <c r="C32" s="117">
        <f>'1. Фін результат'!C13</f>
        <v>94871</v>
      </c>
      <c r="D32" s="117">
        <f>'1. Фін результат'!D13</f>
        <v>194232</v>
      </c>
      <c r="E32" s="117">
        <f>'1. Фін результат'!E13</f>
        <v>95306</v>
      </c>
      <c r="F32" s="117">
        <f t="shared" ref="F32:F44" si="0">E32-D32</f>
        <v>-98926</v>
      </c>
      <c r="G32" s="118">
        <f t="shared" ref="G32:G44" si="1">E32/D32*100</f>
        <v>49.068124716833481</v>
      </c>
    </row>
    <row r="33" spans="1:7">
      <c r="A33" s="39" t="s">
        <v>266</v>
      </c>
      <c r="B33" s="113">
        <f>'1. Фін результат'!B58</f>
        <v>1020</v>
      </c>
      <c r="C33" s="117">
        <f>C31-C32</f>
        <v>-4933</v>
      </c>
      <c r="D33" s="117">
        <f>D31-D32</f>
        <v>4618</v>
      </c>
      <c r="E33" s="117">
        <f>E31-E32</f>
        <v>8046</v>
      </c>
      <c r="F33" s="117">
        <f t="shared" si="0"/>
        <v>3428</v>
      </c>
      <c r="G33" s="118">
        <f t="shared" si="1"/>
        <v>174.23126894759636</v>
      </c>
    </row>
    <row r="34" spans="1:7">
      <c r="A34" s="38" t="s">
        <v>142</v>
      </c>
      <c r="B34" s="113">
        <f>'1. Фін результат'!B70</f>
        <v>1040</v>
      </c>
      <c r="C34" s="117">
        <f>'1. Фін результат'!C70</f>
        <v>5579</v>
      </c>
      <c r="D34" s="117">
        <f>'1. Фін результат'!D70</f>
        <v>5278</v>
      </c>
      <c r="E34" s="117">
        <f>'1. Фін результат'!E70</f>
        <v>6759</v>
      </c>
      <c r="F34" s="117">
        <f t="shared" si="0"/>
        <v>1481</v>
      </c>
      <c r="G34" s="118">
        <f t="shared" si="1"/>
        <v>128.05987116331946</v>
      </c>
    </row>
    <row r="35" spans="1:7">
      <c r="A35" s="38" t="s">
        <v>139</v>
      </c>
      <c r="B35" s="113">
        <f>'1. Фін результат'!B100</f>
        <v>1070</v>
      </c>
      <c r="C35" s="117"/>
      <c r="D35" s="117"/>
      <c r="E35" s="117"/>
      <c r="F35" s="117"/>
      <c r="G35" s="118"/>
    </row>
    <row r="36" spans="1:7">
      <c r="A36" s="38" t="s">
        <v>143</v>
      </c>
      <c r="B36" s="113">
        <f>'1. Фін результат'!B163</f>
        <v>1300</v>
      </c>
      <c r="C36" s="117">
        <f>'1. Фін результат'!C163</f>
        <v>611</v>
      </c>
      <c r="D36" s="117">
        <f>'1. Фін результат'!D163</f>
        <v>1420</v>
      </c>
      <c r="E36" s="117">
        <f>'1. Фін результат'!E163</f>
        <v>1326</v>
      </c>
      <c r="F36" s="117">
        <f t="shared" si="0"/>
        <v>-94</v>
      </c>
      <c r="G36" s="118">
        <f t="shared" si="1"/>
        <v>93.380281690140848</v>
      </c>
    </row>
    <row r="37" spans="1:7" ht="45">
      <c r="A37" s="119" t="s">
        <v>4</v>
      </c>
      <c r="B37" s="113">
        <f>'1. Фін результат'!B137</f>
        <v>1100</v>
      </c>
      <c r="C37" s="117">
        <f>'1. Фін результат'!C137</f>
        <v>-9901</v>
      </c>
      <c r="D37" s="117">
        <f>'1. Фін результат'!D137</f>
        <v>760</v>
      </c>
      <c r="E37" s="117">
        <f>'1. Фін результат'!E137</f>
        <v>2613</v>
      </c>
      <c r="F37" s="117">
        <f t="shared" si="0"/>
        <v>1853</v>
      </c>
      <c r="G37" s="118">
        <f t="shared" si="1"/>
        <v>343.81578947368422</v>
      </c>
    </row>
    <row r="38" spans="1:7">
      <c r="A38" s="120" t="s">
        <v>144</v>
      </c>
      <c r="B38" s="113">
        <f>'1. Фін результат'!B174</f>
        <v>1410</v>
      </c>
      <c r="C38" s="117">
        <f>'1. Фін результат'!C174</f>
        <v>-8271</v>
      </c>
      <c r="D38" s="117">
        <f>'1. Фін результат'!D174</f>
        <v>3080</v>
      </c>
      <c r="E38" s="117">
        <f>'1. Фін результат'!E174</f>
        <v>4335</v>
      </c>
      <c r="F38" s="117">
        <f t="shared" si="0"/>
        <v>1255</v>
      </c>
      <c r="G38" s="118">
        <f t="shared" si="1"/>
        <v>140.74675324675326</v>
      </c>
    </row>
    <row r="39" spans="1:7">
      <c r="A39" s="121" t="s">
        <v>230</v>
      </c>
      <c r="B39" s="113">
        <f>' 5. Коефіцієнти'!B8</f>
        <v>5010</v>
      </c>
      <c r="C39" s="122">
        <f>C38*100/C31</f>
        <v>-9.1963352531744089</v>
      </c>
      <c r="D39" s="122">
        <f>D38*100/D31</f>
        <v>1.5489062107115916</v>
      </c>
      <c r="E39" s="122">
        <f>E38*100/E31</f>
        <v>4.1944035916092579</v>
      </c>
      <c r="F39" s="117">
        <f>E39-D39</f>
        <v>2.6454973808976661</v>
      </c>
      <c r="G39" s="118"/>
    </row>
    <row r="40" spans="1:7" ht="46">
      <c r="A40" s="121" t="s">
        <v>145</v>
      </c>
      <c r="B40" s="113">
        <f>'1. Фін результат'!B164</f>
        <v>1310</v>
      </c>
      <c r="C40" s="117"/>
      <c r="D40" s="117"/>
      <c r="E40" s="117"/>
      <c r="F40" s="117"/>
      <c r="G40" s="118"/>
    </row>
    <row r="41" spans="1:7">
      <c r="A41" s="38" t="s">
        <v>234</v>
      </c>
      <c r="B41" s="113">
        <f>'1. Фін результат'!B165</f>
        <v>1320</v>
      </c>
      <c r="C41" s="117">
        <f>'1. Фін результат'!C165</f>
        <v>73</v>
      </c>
      <c r="D41" s="117">
        <f>'1. Фін результат'!D165</f>
        <v>-750</v>
      </c>
      <c r="E41" s="117">
        <f>'1. Фін результат'!E165</f>
        <v>-189</v>
      </c>
      <c r="F41" s="117">
        <f t="shared" si="0"/>
        <v>561</v>
      </c>
      <c r="G41" s="118">
        <f t="shared" si="1"/>
        <v>25.2</v>
      </c>
    </row>
    <row r="42" spans="1:7">
      <c r="A42" s="120" t="s">
        <v>96</v>
      </c>
      <c r="B42" s="113">
        <f>'1. Фін результат'!B155</f>
        <v>1170</v>
      </c>
      <c r="C42" s="117">
        <f>'1. Фін результат'!C155</f>
        <v>-9828</v>
      </c>
      <c r="D42" s="117">
        <f>'1. Фін результат'!D155</f>
        <v>10</v>
      </c>
      <c r="E42" s="117">
        <f>'1. Фін результат'!E155</f>
        <v>2424</v>
      </c>
      <c r="F42" s="117">
        <f t="shared" si="0"/>
        <v>2414</v>
      </c>
      <c r="G42" s="118">
        <f t="shared" si="1"/>
        <v>24240</v>
      </c>
    </row>
    <row r="43" spans="1:7">
      <c r="A43" s="123" t="s">
        <v>140</v>
      </c>
      <c r="B43" s="113">
        <f>'1. Фін результат'!B156</f>
        <v>1180</v>
      </c>
      <c r="C43" s="117">
        <f>'1. Фін результат'!C156</f>
        <v>0</v>
      </c>
      <c r="D43" s="117">
        <f>'1. Фін результат'!D156</f>
        <v>1.7999999999999998</v>
      </c>
      <c r="E43" s="117">
        <f>'1. Фін результат'!E156</f>
        <v>436.32</v>
      </c>
      <c r="F43" s="117"/>
      <c r="G43" s="118"/>
    </row>
    <row r="44" spans="1:7">
      <c r="A44" s="119" t="s">
        <v>231</v>
      </c>
      <c r="B44" s="113">
        <f>'1. Фін результат'!B158</f>
        <v>1200</v>
      </c>
      <c r="C44" s="117">
        <f>'1. Фін результат'!C158</f>
        <v>-9828</v>
      </c>
      <c r="D44" s="117">
        <f>'1. Фін результат'!D158</f>
        <v>8.1999999999999993</v>
      </c>
      <c r="E44" s="117">
        <f>'1. Фін результат'!E158</f>
        <v>1987.68</v>
      </c>
      <c r="F44" s="117">
        <f t="shared" si="0"/>
        <v>1979.48</v>
      </c>
      <c r="G44" s="118">
        <f t="shared" si="1"/>
        <v>24240.000000000004</v>
      </c>
    </row>
    <row r="45" spans="1:7">
      <c r="A45" s="121" t="s">
        <v>232</v>
      </c>
      <c r="B45" s="113">
        <f>' 5. Коефіцієнти'!B11</f>
        <v>5040</v>
      </c>
      <c r="C45" s="124">
        <f>' 5. Коефіцієнти'!D11</f>
        <v>-0.10927527852520626</v>
      </c>
      <c r="D45" s="125">
        <f>D44/D31</f>
        <v>4.1237113402061855E-5</v>
      </c>
      <c r="E45" s="124">
        <f>' 5. Коефіцієнти'!E11</f>
        <v>1.9232138710426505E-2</v>
      </c>
      <c r="F45" s="117">
        <f>E45-D45</f>
        <v>1.9190901597024444E-2</v>
      </c>
      <c r="G45" s="118"/>
    </row>
    <row r="46" spans="1:7">
      <c r="A46" s="226" t="s">
        <v>157</v>
      </c>
      <c r="B46" s="227"/>
      <c r="C46" s="227"/>
      <c r="D46" s="227"/>
      <c r="E46" s="227"/>
      <c r="F46" s="227"/>
      <c r="G46" s="228"/>
    </row>
    <row r="47" spans="1:7">
      <c r="A47" s="121" t="s">
        <v>357</v>
      </c>
      <c r="B47" s="113">
        <f>'2. Розрахунки з бюджетом'!B20</f>
        <v>2100</v>
      </c>
      <c r="C47" s="117">
        <f>'2. Розрахунки з бюджетом'!C20</f>
        <v>0</v>
      </c>
      <c r="D47" s="117">
        <f>'2. Розрахунки з бюджетом'!D20</f>
        <v>5.2299999999999995</v>
      </c>
      <c r="E47" s="117">
        <f>'2. Розрахунки з бюджетом'!E20</f>
        <v>1311.8688</v>
      </c>
      <c r="F47" s="117">
        <f t="shared" ref="F47:F52" si="2">E47-D47</f>
        <v>1306.6387999999999</v>
      </c>
      <c r="G47" s="118">
        <f t="shared" ref="G47:G52" si="3">E47/D47*100</f>
        <v>25083.533460803061</v>
      </c>
    </row>
    <row r="48" spans="1:7">
      <c r="A48" s="126" t="s">
        <v>156</v>
      </c>
      <c r="B48" s="113">
        <f>'2. Розрахунки з бюджетом'!B23</f>
        <v>2110</v>
      </c>
      <c r="C48" s="117">
        <f>'2. Розрахунки з бюджетом'!C23</f>
        <v>65</v>
      </c>
      <c r="D48" s="117">
        <f>'2. Розрахунки з бюджетом'!D23</f>
        <v>1.7999999999999998</v>
      </c>
      <c r="E48" s="117">
        <f>'2. Розрахунки з бюджетом'!E23</f>
        <v>436.32</v>
      </c>
      <c r="F48" s="117">
        <f t="shared" si="2"/>
        <v>434.52</v>
      </c>
      <c r="G48" s="118"/>
    </row>
    <row r="49" spans="1:7" ht="46">
      <c r="A49" s="126" t="s">
        <v>348</v>
      </c>
      <c r="B49" s="113" t="s">
        <v>320</v>
      </c>
      <c r="C49" s="117">
        <f>'2. Розрахунки з бюджетом'!C24</f>
        <v>811</v>
      </c>
      <c r="D49" s="117">
        <f>'2. Розрахунки з бюджетом'!D24</f>
        <v>2300</v>
      </c>
      <c r="E49" s="117">
        <f>'2. Розрахунки з бюджетом'!E24</f>
        <v>4065</v>
      </c>
      <c r="F49" s="117">
        <f t="shared" si="2"/>
        <v>1765</v>
      </c>
      <c r="G49" s="118">
        <f t="shared" si="3"/>
        <v>176.7391304347826</v>
      </c>
    </row>
    <row r="50" spans="1:7" ht="46">
      <c r="A50" s="121" t="s">
        <v>258</v>
      </c>
      <c r="B50" s="113">
        <f>'2. Розрахунки з бюджетом'!B26</f>
        <v>2140</v>
      </c>
      <c r="C50" s="117">
        <f>'2. Розрахунки з бюджетом'!C26</f>
        <v>3568</v>
      </c>
      <c r="D50" s="117">
        <f>'2. Розрахунки з бюджетом'!D26</f>
        <v>3767</v>
      </c>
      <c r="E50" s="117">
        <f>'2. Розрахунки з бюджетом'!E26</f>
        <v>3843</v>
      </c>
      <c r="F50" s="117">
        <f t="shared" si="2"/>
        <v>76</v>
      </c>
      <c r="G50" s="118">
        <f t="shared" si="3"/>
        <v>102.01752057340059</v>
      </c>
    </row>
    <row r="51" spans="1:7" ht="46">
      <c r="A51" s="121" t="s">
        <v>83</v>
      </c>
      <c r="B51" s="113">
        <f>'2. Розрахунки з бюджетом'!B37</f>
        <v>2150</v>
      </c>
      <c r="C51" s="117">
        <f>'2. Розрахунки з бюджетом'!C37</f>
        <v>3490</v>
      </c>
      <c r="D51" s="117">
        <f>'2. Розрахунки з бюджетом'!D37</f>
        <v>3890</v>
      </c>
      <c r="E51" s="117">
        <f>'2. Розрахунки з бюджетом'!E37</f>
        <v>3946</v>
      </c>
      <c r="F51" s="117">
        <f t="shared" si="2"/>
        <v>56</v>
      </c>
      <c r="G51" s="118">
        <f t="shared" si="3"/>
        <v>101.43958868894603</v>
      </c>
    </row>
    <row r="52" spans="1:7">
      <c r="A52" s="120" t="s">
        <v>267</v>
      </c>
      <c r="B52" s="113">
        <f>'2. Розрахунки з бюджетом'!B38</f>
        <v>2200</v>
      </c>
      <c r="C52" s="117">
        <f>'2. Розрахунки з бюджетом'!C38</f>
        <v>7934</v>
      </c>
      <c r="D52" s="117">
        <f>'2. Розрахунки з бюджетом'!D38</f>
        <v>9964.0299999999988</v>
      </c>
      <c r="E52" s="117">
        <f>'2. Розрахунки з бюджетом'!E38</f>
        <v>13602.1888</v>
      </c>
      <c r="F52" s="117">
        <f t="shared" si="2"/>
        <v>3638.1588000000011</v>
      </c>
      <c r="G52" s="118">
        <f t="shared" si="3"/>
        <v>136.51292499119333</v>
      </c>
    </row>
    <row r="53" spans="1:7">
      <c r="A53" s="226" t="s">
        <v>155</v>
      </c>
      <c r="B53" s="227"/>
      <c r="C53" s="227"/>
      <c r="D53" s="227"/>
      <c r="E53" s="227"/>
      <c r="F53" s="227"/>
      <c r="G53" s="228"/>
    </row>
    <row r="54" spans="1:7">
      <c r="A54" s="120" t="s">
        <v>146</v>
      </c>
      <c r="B54" s="113">
        <f>'3. Рух грошових коштів'!B86</f>
        <v>3600</v>
      </c>
      <c r="C54" s="117">
        <f>'3. Рух грошових коштів'!C86</f>
        <v>30806</v>
      </c>
      <c r="D54" s="117">
        <f>'3. Рух грошових коштів'!D86</f>
        <v>25889</v>
      </c>
      <c r="E54" s="117">
        <f>'3. Рух грошових коштів'!E86</f>
        <v>27620</v>
      </c>
      <c r="F54" s="117">
        <f>E54-D54</f>
        <v>1731</v>
      </c>
      <c r="G54" s="118">
        <f>E54/D54*100</f>
        <v>106.68623739812276</v>
      </c>
    </row>
    <row r="55" spans="1:7" ht="46">
      <c r="A55" s="121" t="s">
        <v>147</v>
      </c>
      <c r="B55" s="113">
        <f>'3. Рух грошових коштів'!B32</f>
        <v>3090</v>
      </c>
      <c r="C55" s="117">
        <f>'3. Рух грошових коштів'!C32</f>
        <v>-20336</v>
      </c>
      <c r="D55" s="117">
        <f>'3. Рух грошових коштів'!D32</f>
        <v>2328.1999999999998</v>
      </c>
      <c r="E55" s="117">
        <f>'3. Рух грошових коштів'!E32</f>
        <v>-27972.32</v>
      </c>
      <c r="F55" s="117">
        <f>E55-D55</f>
        <v>-30300.52</v>
      </c>
      <c r="G55" s="118">
        <f>E55/D55*100</f>
        <v>-1201.4569195086335</v>
      </c>
    </row>
    <row r="56" spans="1:7" ht="46">
      <c r="A56" s="121" t="s">
        <v>235</v>
      </c>
      <c r="B56" s="113">
        <f>'3. Рух грошових коштів'!B55</f>
        <v>3320</v>
      </c>
      <c r="C56" s="117">
        <f>'3. Рух грошових коштів'!C55</f>
        <v>-13300</v>
      </c>
      <c r="D56" s="117">
        <f>'3. Рух грошових коштів'!D55</f>
        <v>0</v>
      </c>
      <c r="E56" s="117">
        <f>'3. Рух грошових коштів'!E55</f>
        <v>0</v>
      </c>
      <c r="F56" s="117">
        <f>E56-D56</f>
        <v>0</v>
      </c>
      <c r="G56" s="118"/>
    </row>
    <row r="57" spans="1:7" ht="46">
      <c r="A57" s="121" t="s">
        <v>148</v>
      </c>
      <c r="B57" s="113">
        <f>'3. Рух грошових коштів'!B84</f>
        <v>3580</v>
      </c>
      <c r="C57" s="117">
        <f>'3. Рух грошових коштів'!C84</f>
        <v>21871</v>
      </c>
      <c r="D57" s="117">
        <f>'3. Рух грошових коштів'!D84</f>
        <v>-5.2299999999999995</v>
      </c>
      <c r="E57" s="117">
        <f>'3. Рух грошових коштів'!E84</f>
        <v>22762.1312</v>
      </c>
      <c r="F57" s="117">
        <f>E57-D57</f>
        <v>22767.361199999999</v>
      </c>
      <c r="G57" s="118">
        <f>E57/D57*100</f>
        <v>-435222.3938814532</v>
      </c>
    </row>
    <row r="58" spans="1:7" ht="54" customHeight="1">
      <c r="A58" s="121" t="s">
        <v>171</v>
      </c>
      <c r="B58" s="113">
        <f>'3. Рух грошових коштів'!B87</f>
        <v>3610</v>
      </c>
      <c r="C58" s="117">
        <f>'3. Рух грошових коштів'!C87</f>
        <v>0</v>
      </c>
      <c r="D58" s="117">
        <f>'3. Рух грошових коштів'!D87</f>
        <v>0</v>
      </c>
      <c r="E58" s="117">
        <f>'3. Рух грошових коштів'!E87</f>
        <v>0</v>
      </c>
      <c r="F58" s="117"/>
      <c r="G58" s="118"/>
    </row>
    <row r="59" spans="1:7" ht="38.25" customHeight="1">
      <c r="A59" s="120" t="s">
        <v>149</v>
      </c>
      <c r="B59" s="113">
        <f>'3. Рух грошових коштів'!B88</f>
        <v>3620</v>
      </c>
      <c r="C59" s="117">
        <f>'3. Рух грошових коштів'!C88</f>
        <v>19041</v>
      </c>
      <c r="D59" s="117">
        <f>'3. Рух грошових коштів'!D88</f>
        <v>28211.97</v>
      </c>
      <c r="E59" s="117">
        <f>'3. Рух грошових коштів'!E88</f>
        <v>22409.8112</v>
      </c>
      <c r="F59" s="117">
        <f>E59-D59</f>
        <v>-5802.1588000000011</v>
      </c>
      <c r="G59" s="118">
        <f>E59/D59*100</f>
        <v>79.433698532927693</v>
      </c>
    </row>
    <row r="60" spans="1:7">
      <c r="A60" s="229" t="s">
        <v>214</v>
      </c>
      <c r="B60" s="230"/>
      <c r="C60" s="230"/>
      <c r="D60" s="230"/>
      <c r="E60" s="230"/>
      <c r="F60" s="230"/>
      <c r="G60" s="230"/>
    </row>
    <row r="61" spans="1:7">
      <c r="A61" s="121" t="s">
        <v>213</v>
      </c>
      <c r="B61" s="95">
        <f>'4. Кап. інвестиції'!B6</f>
        <v>4000</v>
      </c>
      <c r="C61" s="117">
        <f>'4. Кап. інвестиції'!C6</f>
        <v>11083.333333333334</v>
      </c>
      <c r="D61" s="122">
        <f>'4. Кап. інвестиції'!D6</f>
        <v>0</v>
      </c>
      <c r="E61" s="122">
        <f>'4. Кап. інвестиції'!E6</f>
        <v>0</v>
      </c>
      <c r="F61" s="117">
        <f>E61-D61</f>
        <v>0</v>
      </c>
      <c r="G61" s="118"/>
    </row>
    <row r="62" spans="1:7">
      <c r="A62" s="225" t="s">
        <v>216</v>
      </c>
      <c r="B62" s="225"/>
      <c r="C62" s="225"/>
      <c r="D62" s="225"/>
      <c r="E62" s="225"/>
      <c r="F62" s="225"/>
      <c r="G62" s="225"/>
    </row>
    <row r="63" spans="1:7">
      <c r="A63" s="121" t="s">
        <v>174</v>
      </c>
      <c r="B63" s="95">
        <f>' 5. Коефіцієнти'!B9</f>
        <v>5020</v>
      </c>
      <c r="C63" s="127">
        <f>' 5. Коефіцієнти'!D9</f>
        <v>-2.3772434812055536E-2</v>
      </c>
      <c r="D63" s="125">
        <f>D44/D70</f>
        <v>2.5998195978840003E-5</v>
      </c>
      <c r="E63" s="127">
        <f>' 5. Коефіцієнти'!E9</f>
        <v>3.8912696625913999E-3</v>
      </c>
      <c r="F63" s="117">
        <f>E63-D63</f>
        <v>3.8652714666125598E-3</v>
      </c>
      <c r="G63" s="118">
        <f>E63/D63*100</f>
        <v>14967.460302855297</v>
      </c>
    </row>
    <row r="64" spans="1:7">
      <c r="A64" s="121" t="s">
        <v>170</v>
      </c>
      <c r="B64" s="95">
        <f>' 5. Коефіцієнти'!B10</f>
        <v>5030</v>
      </c>
      <c r="C64" s="127">
        <f>' 5. Коефіцієнти'!D10</f>
        <v>-2.5235847845400904E-2</v>
      </c>
      <c r="D64" s="125">
        <f>D44/D76</f>
        <v>1.3670927439051836E-5</v>
      </c>
      <c r="E64" s="127">
        <f>' 5. Коефіцієнти'!E10</f>
        <v>4.1012774193282149E-3</v>
      </c>
      <c r="F64" s="117">
        <f>E64-D64</f>
        <v>4.0876064918891628E-3</v>
      </c>
      <c r="G64" s="118">
        <f>E64/D64*100</f>
        <v>29999.994057555061</v>
      </c>
    </row>
    <row r="65" spans="1:7">
      <c r="A65" s="121" t="s">
        <v>233</v>
      </c>
      <c r="B65" s="95">
        <f>' 5. Коефіцієнти'!B14</f>
        <v>5110</v>
      </c>
      <c r="C65" s="122">
        <f>' 5. Коефіцієнти'!D14</f>
        <v>25.833897180762854</v>
      </c>
      <c r="D65" s="122">
        <f>D76/D73</f>
        <v>38.697612903225803</v>
      </c>
      <c r="E65" s="122">
        <f>' 5. Коефіцієнти'!E14</f>
        <v>28.035460172383871</v>
      </c>
      <c r="F65" s="117">
        <f>E65-D65</f>
        <v>-10.662152730841932</v>
      </c>
      <c r="G65" s="118">
        <f>E65/D65*100</f>
        <v>72.447518255181208</v>
      </c>
    </row>
    <row r="66" spans="1:7">
      <c r="A66" s="226" t="s">
        <v>215</v>
      </c>
      <c r="B66" s="227"/>
      <c r="C66" s="227"/>
      <c r="D66" s="227"/>
      <c r="E66" s="227"/>
      <c r="F66" s="227"/>
      <c r="G66" s="228"/>
    </row>
    <row r="67" spans="1:7">
      <c r="A67" s="121" t="s">
        <v>150</v>
      </c>
      <c r="B67" s="95">
        <v>6000</v>
      </c>
      <c r="C67" s="117">
        <v>358817</v>
      </c>
      <c r="D67" s="117">
        <f>549460/2</f>
        <v>274730</v>
      </c>
      <c r="E67" s="117">
        <v>456400</v>
      </c>
      <c r="F67" s="117">
        <f>E67-D67</f>
        <v>181670</v>
      </c>
      <c r="G67" s="118">
        <f>E67/D67*100</f>
        <v>166.12674262002693</v>
      </c>
    </row>
    <row r="68" spans="1:7">
      <c r="A68" s="121" t="s">
        <v>151</v>
      </c>
      <c r="B68" s="95">
        <v>6010</v>
      </c>
      <c r="C68" s="117">
        <v>54603</v>
      </c>
      <c r="D68" s="117">
        <f>81353/2</f>
        <v>40676.5</v>
      </c>
      <c r="E68" s="117">
        <v>54405</v>
      </c>
      <c r="F68" s="117">
        <f>E68-D68</f>
        <v>13728.5</v>
      </c>
      <c r="G68" s="118">
        <f>E68/D68*100</f>
        <v>133.75044558897645</v>
      </c>
    </row>
    <row r="69" spans="1:7">
      <c r="A69" s="121" t="s">
        <v>270</v>
      </c>
      <c r="B69" s="95">
        <v>6020</v>
      </c>
      <c r="C69" s="117">
        <v>19041</v>
      </c>
      <c r="D69" s="117">
        <f>D59</f>
        <v>28211.97</v>
      </c>
      <c r="E69" s="117">
        <v>22410</v>
      </c>
      <c r="F69" s="117">
        <f>E69-D69</f>
        <v>-5801.9700000000012</v>
      </c>
      <c r="G69" s="118">
        <f>E69/D69*100</f>
        <v>79.434367752411475</v>
      </c>
    </row>
    <row r="70" spans="1:7" s="105" customFormat="1">
      <c r="A70" s="120" t="s">
        <v>268</v>
      </c>
      <c r="B70" s="95">
        <v>6030</v>
      </c>
      <c r="C70" s="117">
        <f>C67+C68</f>
        <v>413420</v>
      </c>
      <c r="D70" s="117">
        <f>D67+D68</f>
        <v>315406.5</v>
      </c>
      <c r="E70" s="117">
        <f>E67+E68</f>
        <v>510805</v>
      </c>
      <c r="F70" s="117">
        <f t="shared" ref="F70:F76" si="4">E70-D70</f>
        <v>195398.5</v>
      </c>
      <c r="G70" s="118">
        <f t="shared" ref="G70:G76" si="5">E70/D70*100</f>
        <v>161.95132313379719</v>
      </c>
    </row>
    <row r="71" spans="1:7">
      <c r="A71" s="121" t="s">
        <v>172</v>
      </c>
      <c r="B71" s="95">
        <v>6040</v>
      </c>
      <c r="C71" s="117">
        <v>8899</v>
      </c>
      <c r="D71" s="117">
        <f>1500/2</f>
        <v>750</v>
      </c>
      <c r="E71" s="117">
        <v>8869</v>
      </c>
      <c r="F71" s="117">
        <f>E71-D71</f>
        <v>8119</v>
      </c>
      <c r="G71" s="118">
        <f>E71/D71*100</f>
        <v>1182.5333333333333</v>
      </c>
    </row>
    <row r="72" spans="1:7">
      <c r="A72" s="121" t="s">
        <v>173</v>
      </c>
      <c r="B72" s="95">
        <v>6050</v>
      </c>
      <c r="C72" s="117">
        <v>15075</v>
      </c>
      <c r="D72" s="117">
        <f>29500/2</f>
        <v>14750</v>
      </c>
      <c r="E72" s="117">
        <v>17287</v>
      </c>
      <c r="F72" s="117">
        <f t="shared" si="4"/>
        <v>2537</v>
      </c>
      <c r="G72" s="118">
        <f t="shared" si="5"/>
        <v>117.19999999999999</v>
      </c>
    </row>
    <row r="73" spans="1:7" s="105" customFormat="1">
      <c r="A73" s="120" t="s">
        <v>269</v>
      </c>
      <c r="B73" s="95">
        <v>6060</v>
      </c>
      <c r="C73" s="117">
        <f>C72+C71</f>
        <v>23974</v>
      </c>
      <c r="D73" s="117">
        <f>D72+D71</f>
        <v>15500</v>
      </c>
      <c r="E73" s="117">
        <f>E72+E71</f>
        <v>26156</v>
      </c>
      <c r="F73" s="117">
        <f t="shared" si="4"/>
        <v>10656</v>
      </c>
      <c r="G73" s="118">
        <f t="shared" si="5"/>
        <v>168.7483870967742</v>
      </c>
    </row>
    <row r="74" spans="1:7">
      <c r="A74" s="121" t="s">
        <v>271</v>
      </c>
      <c r="B74" s="95">
        <v>6070</v>
      </c>
      <c r="C74" s="117"/>
      <c r="D74" s="117"/>
      <c r="E74" s="117"/>
      <c r="F74" s="117"/>
      <c r="G74" s="118"/>
    </row>
    <row r="75" spans="1:7">
      <c r="A75" s="121" t="s">
        <v>272</v>
      </c>
      <c r="B75" s="95">
        <v>6080</v>
      </c>
      <c r="C75" s="117"/>
      <c r="D75" s="117"/>
      <c r="E75" s="117"/>
      <c r="F75" s="117"/>
      <c r="G75" s="118"/>
    </row>
    <row r="76" spans="1:7" s="105" customFormat="1">
      <c r="A76" s="120" t="s">
        <v>152</v>
      </c>
      <c r="B76" s="95">
        <v>6090</v>
      </c>
      <c r="C76" s="117">
        <v>389446</v>
      </c>
      <c r="D76" s="117">
        <f>599813</f>
        <v>599813</v>
      </c>
      <c r="E76" s="117">
        <v>484649</v>
      </c>
      <c r="F76" s="117">
        <f t="shared" si="4"/>
        <v>-115164</v>
      </c>
      <c r="G76" s="118">
        <f t="shared" si="5"/>
        <v>80.800016004988223</v>
      </c>
    </row>
    <row r="77" spans="1:7" ht="83.25" customHeight="1">
      <c r="A77" s="106"/>
    </row>
    <row r="78" spans="1:7" ht="30" customHeight="1">
      <c r="A78" s="42" t="s">
        <v>609</v>
      </c>
      <c r="B78" s="107"/>
      <c r="C78" s="8"/>
      <c r="D78" s="8"/>
      <c r="E78" s="8"/>
      <c r="F78" s="222" t="s">
        <v>604</v>
      </c>
      <c r="G78" s="222"/>
    </row>
    <row r="79" spans="1:7">
      <c r="A79" s="103" t="s">
        <v>386</v>
      </c>
      <c r="B79" s="8"/>
      <c r="C79" s="222" t="s">
        <v>78</v>
      </c>
      <c r="D79" s="222"/>
      <c r="E79" s="8"/>
      <c r="F79" s="8" t="s">
        <v>102</v>
      </c>
      <c r="G79" s="8"/>
    </row>
    <row r="81" spans="1:7" ht="42.75" customHeight="1">
      <c r="A81" s="91"/>
    </row>
    <row r="82" spans="1:7" ht="113.25" customHeight="1">
      <c r="A82" s="233"/>
      <c r="B82" s="233"/>
      <c r="C82" s="233"/>
      <c r="D82" s="233"/>
      <c r="E82" s="233"/>
      <c r="F82" s="233"/>
      <c r="G82" s="233"/>
    </row>
    <row r="83" spans="1:7">
      <c r="A83" s="91"/>
    </row>
    <row r="84" spans="1:7">
      <c r="A84" s="91"/>
    </row>
    <row r="85" spans="1:7">
      <c r="A85" s="91"/>
    </row>
    <row r="86" spans="1:7">
      <c r="A86" s="91"/>
    </row>
    <row r="87" spans="1:7">
      <c r="A87" s="91"/>
    </row>
    <row r="88" spans="1:7">
      <c r="A88" s="91"/>
    </row>
    <row r="89" spans="1:7">
      <c r="A89" s="91"/>
    </row>
    <row r="90" spans="1:7">
      <c r="A90" s="91"/>
    </row>
    <row r="91" spans="1:7">
      <c r="A91" s="91"/>
    </row>
    <row r="92" spans="1:7">
      <c r="A92" s="91"/>
    </row>
    <row r="93" spans="1:7">
      <c r="A93" s="91"/>
    </row>
    <row r="94" spans="1:7">
      <c r="A94" s="91"/>
    </row>
    <row r="95" spans="1:7">
      <c r="A95" s="91"/>
    </row>
    <row r="96" spans="1:7">
      <c r="A96" s="91"/>
    </row>
    <row r="97" spans="1:1">
      <c r="A97" s="91"/>
    </row>
    <row r="98" spans="1:1">
      <c r="A98" s="91"/>
    </row>
    <row r="99" spans="1:1">
      <c r="A99" s="91"/>
    </row>
    <row r="100" spans="1:1">
      <c r="A100" s="91"/>
    </row>
    <row r="101" spans="1:1">
      <c r="A101" s="91"/>
    </row>
    <row r="102" spans="1:1">
      <c r="A102" s="91"/>
    </row>
    <row r="103" spans="1:1">
      <c r="A103" s="91"/>
    </row>
    <row r="104" spans="1:1">
      <c r="A104" s="91"/>
    </row>
    <row r="105" spans="1:1">
      <c r="A105" s="91"/>
    </row>
    <row r="106" spans="1:1">
      <c r="A106" s="91"/>
    </row>
    <row r="107" spans="1:1">
      <c r="A107" s="91"/>
    </row>
    <row r="108" spans="1:1">
      <c r="A108" s="91"/>
    </row>
    <row r="109" spans="1:1">
      <c r="A109" s="91"/>
    </row>
    <row r="110" spans="1:1">
      <c r="A110" s="91"/>
    </row>
    <row r="111" spans="1:1">
      <c r="A111" s="91"/>
    </row>
    <row r="112" spans="1:1">
      <c r="A112" s="91"/>
    </row>
    <row r="113" spans="1:1">
      <c r="A113" s="91"/>
    </row>
    <row r="114" spans="1:1">
      <c r="A114" s="91"/>
    </row>
    <row r="115" spans="1:1">
      <c r="A115" s="91"/>
    </row>
    <row r="116" spans="1:1">
      <c r="A116" s="91"/>
    </row>
    <row r="117" spans="1:1">
      <c r="A117" s="91"/>
    </row>
    <row r="118" spans="1:1">
      <c r="A118" s="91"/>
    </row>
    <row r="119" spans="1:1">
      <c r="A119" s="91"/>
    </row>
    <row r="120" spans="1:1">
      <c r="A120" s="91"/>
    </row>
    <row r="121" spans="1:1">
      <c r="A121" s="91"/>
    </row>
    <row r="122" spans="1:1">
      <c r="A122" s="91"/>
    </row>
    <row r="123" spans="1:1">
      <c r="A123" s="91"/>
    </row>
    <row r="124" spans="1:1">
      <c r="A124" s="91"/>
    </row>
    <row r="125" spans="1:1">
      <c r="A125" s="91"/>
    </row>
    <row r="126" spans="1:1">
      <c r="A126" s="91"/>
    </row>
    <row r="127" spans="1:1">
      <c r="A127" s="91"/>
    </row>
    <row r="128" spans="1:1">
      <c r="A128" s="91"/>
    </row>
    <row r="129" spans="1:1">
      <c r="A129" s="91"/>
    </row>
    <row r="130" spans="1:1">
      <c r="A130" s="91"/>
    </row>
    <row r="131" spans="1:1">
      <c r="A131" s="91"/>
    </row>
    <row r="132" spans="1:1">
      <c r="A132" s="91"/>
    </row>
    <row r="133" spans="1:1">
      <c r="A133" s="91"/>
    </row>
    <row r="134" spans="1:1">
      <c r="A134" s="91"/>
    </row>
    <row r="135" spans="1:1">
      <c r="A135" s="91"/>
    </row>
    <row r="136" spans="1:1">
      <c r="A136" s="91"/>
    </row>
    <row r="137" spans="1:1">
      <c r="A137" s="91"/>
    </row>
    <row r="138" spans="1:1">
      <c r="A138" s="91"/>
    </row>
    <row r="139" spans="1:1">
      <c r="A139" s="91"/>
    </row>
    <row r="140" spans="1:1">
      <c r="A140" s="91"/>
    </row>
    <row r="141" spans="1:1">
      <c r="A141" s="91"/>
    </row>
    <row r="142" spans="1:1">
      <c r="A142" s="91"/>
    </row>
    <row r="143" spans="1:1">
      <c r="A143" s="91"/>
    </row>
    <row r="144" spans="1:1">
      <c r="A144" s="91"/>
    </row>
    <row r="145" spans="1:1">
      <c r="A145" s="91"/>
    </row>
    <row r="146" spans="1:1">
      <c r="A146" s="91"/>
    </row>
    <row r="147" spans="1:1">
      <c r="A147" s="91"/>
    </row>
    <row r="148" spans="1:1">
      <c r="A148" s="91"/>
    </row>
    <row r="149" spans="1:1">
      <c r="A149" s="91"/>
    </row>
    <row r="150" spans="1:1">
      <c r="A150" s="91"/>
    </row>
    <row r="151" spans="1:1">
      <c r="A151" s="91"/>
    </row>
    <row r="152" spans="1:1">
      <c r="A152" s="91"/>
    </row>
    <row r="153" spans="1:1">
      <c r="A153" s="91"/>
    </row>
    <row r="154" spans="1:1">
      <c r="A154" s="91"/>
    </row>
    <row r="155" spans="1:1">
      <c r="A155" s="91"/>
    </row>
    <row r="156" spans="1:1">
      <c r="A156" s="91"/>
    </row>
    <row r="157" spans="1:1">
      <c r="A157" s="91"/>
    </row>
    <row r="158" spans="1:1">
      <c r="A158" s="91"/>
    </row>
    <row r="159" spans="1:1">
      <c r="A159" s="91"/>
    </row>
    <row r="160" spans="1:1">
      <c r="A160" s="91"/>
    </row>
    <row r="161" spans="1:1">
      <c r="A161" s="91"/>
    </row>
    <row r="162" spans="1:1">
      <c r="A162" s="91"/>
    </row>
    <row r="163" spans="1:1">
      <c r="A163" s="91"/>
    </row>
    <row r="164" spans="1:1">
      <c r="A164" s="91"/>
    </row>
    <row r="165" spans="1:1">
      <c r="A165" s="91"/>
    </row>
    <row r="166" spans="1:1">
      <c r="A166" s="91"/>
    </row>
    <row r="167" spans="1:1">
      <c r="A167" s="91"/>
    </row>
    <row r="168" spans="1:1">
      <c r="A168" s="91"/>
    </row>
    <row r="169" spans="1:1">
      <c r="A169" s="91"/>
    </row>
    <row r="170" spans="1:1">
      <c r="A170" s="91"/>
    </row>
    <row r="171" spans="1:1">
      <c r="A171" s="91"/>
    </row>
    <row r="172" spans="1:1">
      <c r="A172" s="91"/>
    </row>
    <row r="173" spans="1:1">
      <c r="A173" s="91"/>
    </row>
    <row r="174" spans="1:1">
      <c r="A174" s="91"/>
    </row>
    <row r="175" spans="1:1">
      <c r="A175" s="91"/>
    </row>
    <row r="176" spans="1:1">
      <c r="A176" s="91"/>
    </row>
    <row r="177" spans="1:1">
      <c r="A177" s="91"/>
    </row>
    <row r="178" spans="1:1">
      <c r="A178" s="91"/>
    </row>
    <row r="179" spans="1:1">
      <c r="A179" s="91"/>
    </row>
    <row r="180" spans="1:1">
      <c r="A180" s="91"/>
    </row>
    <row r="181" spans="1:1">
      <c r="A181" s="91"/>
    </row>
    <row r="182" spans="1:1">
      <c r="A182" s="91"/>
    </row>
    <row r="183" spans="1:1">
      <c r="A183" s="91"/>
    </row>
    <row r="184" spans="1:1">
      <c r="A184" s="91"/>
    </row>
    <row r="185" spans="1:1">
      <c r="A185" s="91"/>
    </row>
    <row r="186" spans="1:1">
      <c r="A186" s="91"/>
    </row>
    <row r="187" spans="1:1">
      <c r="A187" s="91"/>
    </row>
    <row r="188" spans="1:1">
      <c r="A188" s="91"/>
    </row>
    <row r="189" spans="1:1">
      <c r="A189" s="91"/>
    </row>
    <row r="190" spans="1:1">
      <c r="A190" s="91"/>
    </row>
    <row r="191" spans="1:1">
      <c r="A191" s="91"/>
    </row>
    <row r="192" spans="1:1">
      <c r="A192" s="91"/>
    </row>
    <row r="193" spans="1:1">
      <c r="A193" s="91"/>
    </row>
    <row r="194" spans="1:1">
      <c r="A194" s="91"/>
    </row>
    <row r="195" spans="1:1">
      <c r="A195" s="91"/>
    </row>
    <row r="196" spans="1:1">
      <c r="A196" s="91"/>
    </row>
    <row r="197" spans="1:1">
      <c r="A197" s="91"/>
    </row>
    <row r="198" spans="1:1">
      <c r="A198" s="91"/>
    </row>
    <row r="199" spans="1:1">
      <c r="A199" s="91"/>
    </row>
    <row r="200" spans="1:1">
      <c r="A200" s="91"/>
    </row>
    <row r="201" spans="1:1">
      <c r="A201" s="91"/>
    </row>
    <row r="202" spans="1:1">
      <c r="A202" s="91"/>
    </row>
    <row r="203" spans="1:1">
      <c r="A203" s="91"/>
    </row>
    <row r="204" spans="1:1">
      <c r="A204" s="91"/>
    </row>
    <row r="205" spans="1:1">
      <c r="A205" s="91"/>
    </row>
    <row r="206" spans="1:1">
      <c r="A206" s="91"/>
    </row>
    <row r="207" spans="1:1">
      <c r="A207" s="91"/>
    </row>
    <row r="208" spans="1:1">
      <c r="A208" s="91"/>
    </row>
    <row r="209" spans="1:1">
      <c r="A209" s="91"/>
    </row>
    <row r="210" spans="1:1">
      <c r="A210" s="91"/>
    </row>
    <row r="211" spans="1:1">
      <c r="A211" s="91"/>
    </row>
    <row r="212" spans="1:1">
      <c r="A212" s="91"/>
    </row>
    <row r="213" spans="1:1">
      <c r="A213" s="91"/>
    </row>
    <row r="214" spans="1:1">
      <c r="A214" s="91"/>
    </row>
    <row r="215" spans="1:1">
      <c r="A215" s="91"/>
    </row>
    <row r="216" spans="1:1">
      <c r="A216" s="91"/>
    </row>
    <row r="217" spans="1:1">
      <c r="A217" s="91"/>
    </row>
    <row r="218" spans="1:1">
      <c r="A218" s="91"/>
    </row>
    <row r="219" spans="1:1">
      <c r="A219" s="91"/>
    </row>
    <row r="220" spans="1:1">
      <c r="A220" s="91"/>
    </row>
    <row r="221" spans="1:1">
      <c r="A221" s="91"/>
    </row>
    <row r="222" spans="1:1">
      <c r="A222" s="91"/>
    </row>
    <row r="223" spans="1:1">
      <c r="A223" s="91"/>
    </row>
    <row r="224" spans="1:1">
      <c r="A224" s="91"/>
    </row>
    <row r="225" spans="1:1">
      <c r="A225" s="91"/>
    </row>
    <row r="226" spans="1:1">
      <c r="A226" s="91"/>
    </row>
    <row r="227" spans="1:1">
      <c r="A227" s="91"/>
    </row>
    <row r="228" spans="1:1">
      <c r="A228" s="91"/>
    </row>
    <row r="229" spans="1:1">
      <c r="A229" s="91"/>
    </row>
    <row r="230" spans="1:1">
      <c r="A230" s="91"/>
    </row>
    <row r="231" spans="1:1">
      <c r="A231" s="91"/>
    </row>
    <row r="232" spans="1:1">
      <c r="A232" s="91"/>
    </row>
    <row r="233" spans="1:1">
      <c r="A233" s="91"/>
    </row>
    <row r="234" spans="1:1">
      <c r="A234" s="91"/>
    </row>
    <row r="235" spans="1:1">
      <c r="A235" s="91"/>
    </row>
    <row r="236" spans="1:1">
      <c r="A236" s="91"/>
    </row>
    <row r="237" spans="1:1">
      <c r="A237" s="91"/>
    </row>
    <row r="238" spans="1:1">
      <c r="A238" s="91"/>
    </row>
    <row r="239" spans="1:1">
      <c r="A239" s="91"/>
    </row>
    <row r="240" spans="1:1">
      <c r="A240" s="91"/>
    </row>
    <row r="241" spans="1:1">
      <c r="A241" s="91"/>
    </row>
    <row r="242" spans="1:1">
      <c r="A242" s="91"/>
    </row>
    <row r="243" spans="1:1">
      <c r="A243" s="91"/>
    </row>
    <row r="244" spans="1:1">
      <c r="A244" s="91"/>
    </row>
    <row r="245" spans="1:1">
      <c r="A245" s="91"/>
    </row>
    <row r="246" spans="1:1">
      <c r="A246" s="91"/>
    </row>
    <row r="247" spans="1:1">
      <c r="A247" s="91"/>
    </row>
    <row r="248" spans="1:1">
      <c r="A248" s="91"/>
    </row>
  </sheetData>
  <mergeCells count="34">
    <mergeCell ref="B11:D11"/>
    <mergeCell ref="B10:E10"/>
    <mergeCell ref="B9:D9"/>
    <mergeCell ref="E13:F13"/>
    <mergeCell ref="B12:E12"/>
    <mergeCell ref="B13:D13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C79:D79"/>
    <mergeCell ref="A23:G23"/>
    <mergeCell ref="A62:G62"/>
    <mergeCell ref="A53:G53"/>
    <mergeCell ref="A60:G60"/>
    <mergeCell ref="C27:C28"/>
    <mergeCell ref="A20:G20"/>
    <mergeCell ref="F78:G78"/>
    <mergeCell ref="B14:D14"/>
    <mergeCell ref="E14:F14"/>
    <mergeCell ref="B17:D17"/>
    <mergeCell ref="B18:D18"/>
  </mergeCells>
  <phoneticPr fontId="3" type="noConversion"/>
  <printOptions horizontalCentered="1"/>
  <pageMargins left="0.39370078740157483" right="0.39370078740157483" top="0.59055118110236227" bottom="0.39370078740157483" header="0.31496062992125984" footer="0.19685039370078741"/>
  <pageSetup paperSize="9" scale="41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11"/>
  <sheetViews>
    <sheetView view="pageBreakPreview" topLeftCell="A163" zoomScale="75" zoomScaleNormal="75" zoomScaleSheetLayoutView="75" workbookViewId="0">
      <selection activeCell="B57" sqref="B57"/>
    </sheetView>
  </sheetViews>
  <sheetFormatPr defaultColWidth="9.1796875" defaultRowHeight="20.5" outlineLevelRow="1"/>
  <cols>
    <col min="1" max="1" width="72.54296875" style="2" customWidth="1"/>
    <col min="2" max="2" width="12" style="4" customWidth="1"/>
    <col min="3" max="3" width="17" style="4" customWidth="1"/>
    <col min="4" max="4" width="12.7265625" style="4" customWidth="1"/>
    <col min="5" max="5" width="13.54296875" style="4" customWidth="1"/>
    <col min="6" max="6" width="11.81640625" style="4" customWidth="1"/>
    <col min="7" max="7" width="15.1796875" style="4" customWidth="1"/>
    <col min="8" max="8" width="29.453125" style="4" customWidth="1"/>
    <col min="9" max="9" width="13.7265625" style="2" customWidth="1"/>
    <col min="10" max="10" width="11.54296875" style="2" bestFit="1" customWidth="1"/>
    <col min="11" max="16384" width="9.1796875" style="2"/>
  </cols>
  <sheetData>
    <row r="1" spans="1:13" hidden="1" outlineLevel="1">
      <c r="B1" s="5"/>
      <c r="C1" s="5"/>
      <c r="D1" s="5"/>
      <c r="E1" s="5"/>
      <c r="F1" s="5"/>
      <c r="G1" s="5"/>
      <c r="H1" s="3" t="s">
        <v>241</v>
      </c>
    </row>
    <row r="2" spans="1:13" hidden="1" outlineLevel="1">
      <c r="B2" s="5"/>
      <c r="C2" s="5"/>
      <c r="D2" s="5"/>
      <c r="E2" s="5"/>
      <c r="F2" s="5"/>
      <c r="G2" s="5"/>
      <c r="H2" s="3" t="s">
        <v>225</v>
      </c>
    </row>
    <row r="3" spans="1:13" s="40" customFormat="1" ht="21.5" collapsed="1">
      <c r="A3" s="246" t="s">
        <v>373</v>
      </c>
      <c r="B3" s="246"/>
      <c r="C3" s="246"/>
      <c r="D3" s="246"/>
      <c r="E3" s="246"/>
      <c r="F3" s="246"/>
      <c r="G3" s="246"/>
      <c r="H3" s="246"/>
    </row>
    <row r="4" spans="1:13" s="40" customFormat="1" ht="12.75" customHeight="1">
      <c r="A4" s="128"/>
      <c r="B4" s="129"/>
      <c r="C4" s="129"/>
      <c r="D4" s="129"/>
      <c r="E4" s="129"/>
      <c r="F4" s="129"/>
      <c r="G4" s="129"/>
      <c r="H4" s="129"/>
    </row>
    <row r="5" spans="1:13" s="40" customFormat="1" ht="25.5" customHeight="1">
      <c r="A5" s="251" t="s">
        <v>287</v>
      </c>
      <c r="B5" s="252" t="s">
        <v>18</v>
      </c>
      <c r="C5" s="253" t="s">
        <v>382</v>
      </c>
      <c r="D5" s="251" t="s">
        <v>353</v>
      </c>
      <c r="E5" s="251"/>
      <c r="F5" s="251"/>
      <c r="G5" s="251"/>
      <c r="H5" s="251"/>
    </row>
    <row r="6" spans="1:13" s="40" customFormat="1" ht="95">
      <c r="A6" s="251"/>
      <c r="B6" s="252"/>
      <c r="C6" s="254"/>
      <c r="D6" s="131" t="s">
        <v>265</v>
      </c>
      <c r="E6" s="131" t="s">
        <v>248</v>
      </c>
      <c r="F6" s="132" t="s">
        <v>381</v>
      </c>
      <c r="G6" s="132" t="s">
        <v>276</v>
      </c>
      <c r="H6" s="131" t="s">
        <v>274</v>
      </c>
    </row>
    <row r="7" spans="1:13" s="40" customFormat="1" ht="21.5">
      <c r="A7" s="130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13" s="133" customFormat="1" ht="26.25" customHeight="1">
      <c r="A8" s="242" t="s">
        <v>273</v>
      </c>
      <c r="B8" s="243"/>
      <c r="C8" s="243"/>
      <c r="D8" s="243"/>
      <c r="E8" s="243"/>
      <c r="F8" s="243"/>
      <c r="G8" s="243"/>
      <c r="H8" s="244"/>
    </row>
    <row r="9" spans="1:13" s="133" customFormat="1" ht="43.5" customHeight="1">
      <c r="A9" s="134" t="s">
        <v>107</v>
      </c>
      <c r="B9" s="135">
        <v>1000</v>
      </c>
      <c r="C9" s="136">
        <f>C10+C11+C12</f>
        <v>89938</v>
      </c>
      <c r="D9" s="136">
        <f>D10+D11+D12</f>
        <v>198850</v>
      </c>
      <c r="E9" s="136">
        <f>E10+E11+E12</f>
        <v>103352</v>
      </c>
      <c r="F9" s="136">
        <f>E9-D9</f>
        <v>-95498</v>
      </c>
      <c r="G9" s="137">
        <f>E9/D9*100</f>
        <v>51.974855418657285</v>
      </c>
      <c r="H9" s="138"/>
      <c r="I9" s="139"/>
      <c r="J9" s="140"/>
    </row>
    <row r="10" spans="1:13" s="133" customFormat="1" ht="38">
      <c r="A10" s="134" t="s">
        <v>605</v>
      </c>
      <c r="B10" s="135" t="s">
        <v>394</v>
      </c>
      <c r="C10" s="136">
        <v>25234</v>
      </c>
      <c r="D10" s="141">
        <v>33850</v>
      </c>
      <c r="E10" s="136">
        <v>40511</v>
      </c>
      <c r="F10" s="136">
        <f t="shared" ref="F10:F18" si="0">E10-D10</f>
        <v>6661</v>
      </c>
      <c r="G10" s="137">
        <f t="shared" ref="G10:G18" si="1">E10/D10*100</f>
        <v>119.67799113737074</v>
      </c>
      <c r="H10" s="138"/>
    </row>
    <row r="11" spans="1:13" s="133" customFormat="1" ht="38">
      <c r="A11" s="134" t="s">
        <v>575</v>
      </c>
      <c r="B11" s="135" t="s">
        <v>395</v>
      </c>
      <c r="C11" s="136">
        <v>63430</v>
      </c>
      <c r="D11" s="142">
        <v>163250</v>
      </c>
      <c r="E11" s="136">
        <f>60647+794</f>
        <v>61441</v>
      </c>
      <c r="F11" s="136">
        <f t="shared" si="0"/>
        <v>-101809</v>
      </c>
      <c r="G11" s="137">
        <f t="shared" si="1"/>
        <v>37.636140888208267</v>
      </c>
      <c r="H11" s="138"/>
    </row>
    <row r="12" spans="1:13" s="133" customFormat="1" ht="38">
      <c r="A12" s="143" t="s">
        <v>397</v>
      </c>
      <c r="B12" s="135" t="s">
        <v>396</v>
      </c>
      <c r="C12" s="136">
        <v>1274</v>
      </c>
      <c r="D12" s="142">
        <v>1750</v>
      </c>
      <c r="E12" s="136">
        <v>1400</v>
      </c>
      <c r="F12" s="136">
        <f t="shared" si="0"/>
        <v>-350</v>
      </c>
      <c r="G12" s="137">
        <f t="shared" si="1"/>
        <v>80</v>
      </c>
      <c r="H12" s="144"/>
    </row>
    <row r="13" spans="1:13" s="40" customFormat="1" ht="38">
      <c r="A13" s="134" t="s">
        <v>125</v>
      </c>
      <c r="B13" s="135">
        <v>1010</v>
      </c>
      <c r="C13" s="136">
        <f>C14+C15+C17+C18+C19+C20+C21+C16</f>
        <v>94871</v>
      </c>
      <c r="D13" s="136">
        <f>D14+D15+D16+D17+D18+D19+D20+D21-1</f>
        <v>194232</v>
      </c>
      <c r="E13" s="136">
        <f>E14+E15+E17+E18+E19+E20+E21+E16</f>
        <v>95306</v>
      </c>
      <c r="F13" s="136">
        <f t="shared" si="0"/>
        <v>-98926</v>
      </c>
      <c r="G13" s="137">
        <f>E13/D13*100</f>
        <v>49.068124716833481</v>
      </c>
      <c r="H13" s="145"/>
      <c r="J13" s="139"/>
      <c r="M13" s="139"/>
    </row>
    <row r="14" spans="1:13" s="40" customFormat="1" ht="21.5">
      <c r="A14" s="134" t="s">
        <v>286</v>
      </c>
      <c r="B14" s="131">
        <v>1011</v>
      </c>
      <c r="C14" s="146">
        <v>7365</v>
      </c>
      <c r="D14" s="142">
        <v>17640</v>
      </c>
      <c r="E14" s="146">
        <f>34760-E15-E16-1560</f>
        <v>3978</v>
      </c>
      <c r="F14" s="136">
        <f t="shared" si="0"/>
        <v>-13662</v>
      </c>
      <c r="G14" s="137">
        <f t="shared" si="1"/>
        <v>22.551020408163268</v>
      </c>
      <c r="H14" s="147"/>
    </row>
    <row r="15" spans="1:13" s="40" customFormat="1" ht="21.5">
      <c r="A15" s="134" t="s">
        <v>65</v>
      </c>
      <c r="B15" s="131">
        <v>1012</v>
      </c>
      <c r="C15" s="146">
        <v>2240</v>
      </c>
      <c r="D15" s="142">
        <v>2650</v>
      </c>
      <c r="E15" s="146">
        <v>2600</v>
      </c>
      <c r="F15" s="136">
        <f t="shared" si="0"/>
        <v>-50</v>
      </c>
      <c r="G15" s="137">
        <f t="shared" si="1"/>
        <v>98.113207547169807</v>
      </c>
      <c r="H15" s="147"/>
    </row>
    <row r="16" spans="1:13" s="40" customFormat="1" ht="21.5">
      <c r="A16" s="134" t="s">
        <v>64</v>
      </c>
      <c r="B16" s="131">
        <v>1013</v>
      </c>
      <c r="C16" s="146">
        <v>34067</v>
      </c>
      <c r="D16" s="142">
        <v>124250</v>
      </c>
      <c r="E16" s="146">
        <v>26622</v>
      </c>
      <c r="F16" s="136">
        <f t="shared" si="0"/>
        <v>-97628</v>
      </c>
      <c r="G16" s="137"/>
      <c r="H16" s="147"/>
    </row>
    <row r="17" spans="1:10" s="40" customFormat="1" ht="21.5">
      <c r="A17" s="134" t="s">
        <v>40</v>
      </c>
      <c r="B17" s="131">
        <v>1014</v>
      </c>
      <c r="C17" s="146">
        <v>11616</v>
      </c>
      <c r="D17" s="142">
        <v>14951</v>
      </c>
      <c r="E17" s="146">
        <f>17325-E78-224</f>
        <v>12808</v>
      </c>
      <c r="F17" s="136">
        <f>E17-D17</f>
        <v>-2143</v>
      </c>
      <c r="G17" s="137">
        <f t="shared" si="1"/>
        <v>85.666510601297574</v>
      </c>
      <c r="H17" s="147"/>
    </row>
    <row r="18" spans="1:10" s="40" customFormat="1" ht="21.5">
      <c r="A18" s="134" t="s">
        <v>41</v>
      </c>
      <c r="B18" s="131">
        <v>1015</v>
      </c>
      <c r="C18" s="146">
        <v>2704</v>
      </c>
      <c r="D18" s="142">
        <v>3173</v>
      </c>
      <c r="E18" s="146">
        <f>3946-E79-40</f>
        <v>2990</v>
      </c>
      <c r="F18" s="136">
        <f t="shared" si="0"/>
        <v>-183</v>
      </c>
      <c r="G18" s="137">
        <f t="shared" si="1"/>
        <v>94.232587456665613</v>
      </c>
      <c r="H18" s="147"/>
    </row>
    <row r="19" spans="1:10" s="40" customFormat="1" ht="57">
      <c r="A19" s="134" t="s">
        <v>262</v>
      </c>
      <c r="B19" s="131">
        <v>1016</v>
      </c>
      <c r="C19" s="146"/>
      <c r="D19" s="142"/>
      <c r="E19" s="146"/>
      <c r="F19" s="146"/>
      <c r="G19" s="148"/>
      <c r="H19" s="147"/>
    </row>
    <row r="20" spans="1:10" s="40" customFormat="1" ht="21.5">
      <c r="A20" s="134" t="s">
        <v>63</v>
      </c>
      <c r="B20" s="131">
        <v>1017</v>
      </c>
      <c r="C20" s="146">
        <v>1514</v>
      </c>
      <c r="D20" s="142">
        <v>2200</v>
      </c>
      <c r="E20" s="146">
        <f>1722-E80-E128-6</f>
        <v>1598</v>
      </c>
      <c r="F20" s="136">
        <f t="shared" ref="F20:F25" si="2">E20-D20</f>
        <v>-602</v>
      </c>
      <c r="G20" s="137">
        <f>E20/D20*100</f>
        <v>72.636363636363626</v>
      </c>
      <c r="H20" s="149"/>
    </row>
    <row r="21" spans="1:10" s="40" customFormat="1" ht="21.5">
      <c r="A21" s="134" t="s">
        <v>123</v>
      </c>
      <c r="B21" s="131">
        <v>1018</v>
      </c>
      <c r="C21" s="146">
        <f>C22+C23+C24+C25+C30+C31+C32+C33+C38+C39+C40+C42+C46+C47+C51+C57+C29+C35+C36+C44+C56</f>
        <v>35365</v>
      </c>
      <c r="D21" s="146">
        <f>D22+D23+D24+D25+D26+D27+D28+D29+D30+D31+D32+D33+D35+D36+D38+D39+D40+D41+D42+D43+D44+D45+D46+D47+D50+D51+D55+D57</f>
        <v>29369</v>
      </c>
      <c r="E21" s="146">
        <f>E22+E23+E24+E25+E30+E31+E32+E33+E38+E39+E40+E42+E46+E47+E51+E57+E29+E35+E36+E44+E56+E52+E53+E54</f>
        <v>44710</v>
      </c>
      <c r="F21" s="136">
        <f t="shared" si="2"/>
        <v>15341</v>
      </c>
      <c r="G21" s="137">
        <f>E21/D21*100</f>
        <v>152.23535019918961</v>
      </c>
      <c r="H21" s="147"/>
      <c r="J21" s="139"/>
    </row>
    <row r="22" spans="1:10" s="40" customFormat="1" ht="21.5">
      <c r="A22" s="134" t="s">
        <v>399</v>
      </c>
      <c r="B22" s="131" t="s">
        <v>398</v>
      </c>
      <c r="C22" s="146">
        <v>106</v>
      </c>
      <c r="D22" s="146">
        <v>150</v>
      </c>
      <c r="E22" s="146">
        <v>124</v>
      </c>
      <c r="F22" s="136">
        <f t="shared" si="2"/>
        <v>-26</v>
      </c>
      <c r="G22" s="137">
        <f>E22/D22*100</f>
        <v>82.666666666666671</v>
      </c>
      <c r="H22" s="147"/>
    </row>
    <row r="23" spans="1:10" s="40" customFormat="1" ht="21.5">
      <c r="A23" s="134" t="s">
        <v>400</v>
      </c>
      <c r="B23" s="131" t="s">
        <v>401</v>
      </c>
      <c r="C23" s="146">
        <v>11</v>
      </c>
      <c r="D23" s="146">
        <v>140</v>
      </c>
      <c r="E23" s="146">
        <f>12+63</f>
        <v>75</v>
      </c>
      <c r="F23" s="136">
        <f t="shared" si="2"/>
        <v>-65</v>
      </c>
      <c r="G23" s="137">
        <f t="shared" ref="G23:G39" si="3">E23/D23*100</f>
        <v>53.571428571428569</v>
      </c>
      <c r="H23" s="147"/>
    </row>
    <row r="24" spans="1:10" s="40" customFormat="1" ht="21.5">
      <c r="A24" s="134" t="s">
        <v>493</v>
      </c>
      <c r="B24" s="131" t="s">
        <v>402</v>
      </c>
      <c r="C24" s="146">
        <v>1127</v>
      </c>
      <c r="D24" s="146">
        <v>998</v>
      </c>
      <c r="E24" s="146">
        <v>394</v>
      </c>
      <c r="F24" s="136">
        <f t="shared" si="2"/>
        <v>-604</v>
      </c>
      <c r="G24" s="137">
        <f t="shared" si="3"/>
        <v>39.478957915831664</v>
      </c>
      <c r="H24" s="147"/>
    </row>
    <row r="25" spans="1:10" s="40" customFormat="1" ht="38">
      <c r="A25" s="134" t="s">
        <v>409</v>
      </c>
      <c r="B25" s="131" t="s">
        <v>403</v>
      </c>
      <c r="C25" s="146">
        <v>80</v>
      </c>
      <c r="D25" s="146">
        <v>70</v>
      </c>
      <c r="E25" s="146">
        <v>28</v>
      </c>
      <c r="F25" s="136">
        <f t="shared" si="2"/>
        <v>-42</v>
      </c>
      <c r="G25" s="137">
        <f t="shared" si="3"/>
        <v>40</v>
      </c>
      <c r="H25" s="147"/>
    </row>
    <row r="26" spans="1:10" s="40" customFormat="1" ht="21.5">
      <c r="A26" s="134" t="s">
        <v>410</v>
      </c>
      <c r="B26" s="131" t="s">
        <v>404</v>
      </c>
      <c r="C26" s="146"/>
      <c r="D26" s="146">
        <v>10</v>
      </c>
      <c r="E26" s="146"/>
      <c r="F26" s="136">
        <f t="shared" ref="F26:F33" si="4">E26-D26</f>
        <v>-10</v>
      </c>
      <c r="G26" s="137"/>
      <c r="H26" s="147"/>
    </row>
    <row r="27" spans="1:10" s="40" customFormat="1" ht="21.5">
      <c r="A27" s="134" t="s">
        <v>411</v>
      </c>
      <c r="B27" s="131" t="s">
        <v>405</v>
      </c>
      <c r="C27" s="146"/>
      <c r="D27" s="146">
        <v>10</v>
      </c>
      <c r="E27" s="146"/>
      <c r="F27" s="136">
        <f t="shared" si="4"/>
        <v>-10</v>
      </c>
      <c r="G27" s="137">
        <f t="shared" si="3"/>
        <v>0</v>
      </c>
      <c r="H27" s="147"/>
    </row>
    <row r="28" spans="1:10" s="40" customFormat="1" ht="21.5">
      <c r="A28" s="134" t="s">
        <v>412</v>
      </c>
      <c r="B28" s="131" t="s">
        <v>406</v>
      </c>
      <c r="C28" s="146"/>
      <c r="D28" s="146">
        <v>10</v>
      </c>
      <c r="E28" s="146"/>
      <c r="F28" s="136">
        <f t="shared" si="4"/>
        <v>-10</v>
      </c>
      <c r="G28" s="137">
        <f t="shared" si="3"/>
        <v>0</v>
      </c>
      <c r="H28" s="147"/>
    </row>
    <row r="29" spans="1:10" s="40" customFormat="1" ht="21.5">
      <c r="A29" s="134" t="s">
        <v>610</v>
      </c>
      <c r="B29" s="131" t="s">
        <v>407</v>
      </c>
      <c r="C29" s="146">
        <v>5</v>
      </c>
      <c r="D29" s="146">
        <v>18</v>
      </c>
      <c r="E29" s="146">
        <v>85</v>
      </c>
      <c r="F29" s="136">
        <f t="shared" si="4"/>
        <v>67</v>
      </c>
      <c r="G29" s="137">
        <f t="shared" si="3"/>
        <v>472.22222222222223</v>
      </c>
      <c r="H29" s="147"/>
    </row>
    <row r="30" spans="1:10" s="40" customFormat="1" ht="21.5">
      <c r="A30" s="134" t="s">
        <v>422</v>
      </c>
      <c r="B30" s="131" t="s">
        <v>408</v>
      </c>
      <c r="C30" s="146">
        <v>70</v>
      </c>
      <c r="D30" s="146">
        <v>65</v>
      </c>
      <c r="E30" s="146">
        <v>108</v>
      </c>
      <c r="F30" s="136">
        <f t="shared" si="4"/>
        <v>43</v>
      </c>
      <c r="G30" s="137">
        <f t="shared" si="3"/>
        <v>166.15384615384616</v>
      </c>
      <c r="H30" s="147"/>
    </row>
    <row r="31" spans="1:10" s="40" customFormat="1" ht="21.5">
      <c r="A31" s="134" t="s">
        <v>548</v>
      </c>
      <c r="B31" s="131" t="s">
        <v>413</v>
      </c>
      <c r="C31" s="146">
        <v>127</v>
      </c>
      <c r="D31" s="146">
        <v>288</v>
      </c>
      <c r="E31" s="146">
        <f>205+18</f>
        <v>223</v>
      </c>
      <c r="F31" s="136">
        <f t="shared" si="4"/>
        <v>-65</v>
      </c>
      <c r="G31" s="137">
        <f t="shared" si="3"/>
        <v>77.430555555555557</v>
      </c>
      <c r="H31" s="147"/>
    </row>
    <row r="32" spans="1:10" s="40" customFormat="1" ht="38">
      <c r="A32" s="134" t="s">
        <v>537</v>
      </c>
      <c r="B32" s="131" t="s">
        <v>414</v>
      </c>
      <c r="C32" s="146">
        <v>64</v>
      </c>
      <c r="D32" s="146">
        <v>60</v>
      </c>
      <c r="E32" s="146">
        <f>7+18</f>
        <v>25</v>
      </c>
      <c r="F32" s="136">
        <f t="shared" si="4"/>
        <v>-35</v>
      </c>
      <c r="G32" s="137">
        <f t="shared" si="3"/>
        <v>41.666666666666671</v>
      </c>
      <c r="H32" s="147"/>
    </row>
    <row r="33" spans="1:8" s="40" customFormat="1" ht="21.5">
      <c r="A33" s="134" t="s">
        <v>602</v>
      </c>
      <c r="B33" s="131" t="s">
        <v>415</v>
      </c>
      <c r="C33" s="146">
        <v>10</v>
      </c>
      <c r="D33" s="146">
        <v>344</v>
      </c>
      <c r="E33" s="146">
        <v>10</v>
      </c>
      <c r="F33" s="136">
        <f t="shared" si="4"/>
        <v>-334</v>
      </c>
      <c r="G33" s="137">
        <f t="shared" si="3"/>
        <v>2.9069767441860463</v>
      </c>
      <c r="H33" s="147"/>
    </row>
    <row r="34" spans="1:8" s="40" customFormat="1" ht="21.5">
      <c r="A34" s="134" t="s">
        <v>541</v>
      </c>
      <c r="B34" s="131" t="s">
        <v>416</v>
      </c>
      <c r="C34" s="146"/>
      <c r="D34" s="146"/>
      <c r="E34" s="146"/>
      <c r="F34" s="136"/>
      <c r="G34" s="137"/>
      <c r="H34" s="147"/>
    </row>
    <row r="35" spans="1:8" s="40" customFormat="1" ht="21.5">
      <c r="A35" s="134" t="s">
        <v>596</v>
      </c>
      <c r="B35" s="131" t="s">
        <v>417</v>
      </c>
      <c r="C35" s="146">
        <v>41</v>
      </c>
      <c r="D35" s="146">
        <v>43</v>
      </c>
      <c r="E35" s="146">
        <v>1</v>
      </c>
      <c r="F35" s="136">
        <f t="shared" ref="F35" si="5">E35-D35</f>
        <v>-42</v>
      </c>
      <c r="G35" s="137">
        <f t="shared" ref="G35" si="6">E35/D35*100</f>
        <v>2.3255813953488373</v>
      </c>
      <c r="H35" s="147"/>
    </row>
    <row r="36" spans="1:8" s="40" customFormat="1" ht="21.5">
      <c r="A36" s="134" t="s">
        <v>423</v>
      </c>
      <c r="B36" s="131" t="s">
        <v>418</v>
      </c>
      <c r="C36" s="146">
        <v>57</v>
      </c>
      <c r="D36" s="146">
        <v>40</v>
      </c>
      <c r="E36" s="146">
        <v>81</v>
      </c>
      <c r="F36" s="136">
        <f t="shared" ref="F36:F43" si="7">E36-D36</f>
        <v>41</v>
      </c>
      <c r="G36" s="137">
        <f t="shared" si="3"/>
        <v>202.5</v>
      </c>
      <c r="H36" s="147"/>
    </row>
    <row r="37" spans="1:8" s="40" customFormat="1" ht="21.5">
      <c r="A37" s="134" t="s">
        <v>549</v>
      </c>
      <c r="B37" s="131" t="s">
        <v>419</v>
      </c>
      <c r="C37" s="146"/>
      <c r="D37" s="146"/>
      <c r="E37" s="146"/>
      <c r="F37" s="136">
        <f t="shared" si="7"/>
        <v>0</v>
      </c>
      <c r="G37" s="137"/>
      <c r="H37" s="147"/>
    </row>
    <row r="38" spans="1:8" s="40" customFormat="1" ht="38">
      <c r="A38" s="150" t="s">
        <v>424</v>
      </c>
      <c r="B38" s="131" t="s">
        <v>420</v>
      </c>
      <c r="C38" s="146">
        <v>184</v>
      </c>
      <c r="D38" s="146">
        <v>170</v>
      </c>
      <c r="E38" s="146">
        <v>176</v>
      </c>
      <c r="F38" s="136">
        <f t="shared" si="7"/>
        <v>6</v>
      </c>
      <c r="G38" s="137">
        <f t="shared" si="3"/>
        <v>103.5294117647059</v>
      </c>
      <c r="H38" s="147"/>
    </row>
    <row r="39" spans="1:8" s="40" customFormat="1" ht="21.5">
      <c r="A39" s="151" t="s">
        <v>425</v>
      </c>
      <c r="B39" s="131" t="s">
        <v>421</v>
      </c>
      <c r="C39" s="146">
        <v>24</v>
      </c>
      <c r="D39" s="146">
        <v>30</v>
      </c>
      <c r="E39" s="146">
        <v>27</v>
      </c>
      <c r="F39" s="136">
        <f t="shared" si="7"/>
        <v>-3</v>
      </c>
      <c r="G39" s="137">
        <f t="shared" si="3"/>
        <v>90</v>
      </c>
      <c r="H39" s="147"/>
    </row>
    <row r="40" spans="1:8" s="40" customFormat="1" ht="21.5">
      <c r="A40" s="134" t="s">
        <v>47</v>
      </c>
      <c r="B40" s="131" t="s">
        <v>426</v>
      </c>
      <c r="C40" s="146">
        <v>75</v>
      </c>
      <c r="D40" s="146">
        <v>125</v>
      </c>
      <c r="E40" s="146">
        <v>90</v>
      </c>
      <c r="F40" s="136">
        <f t="shared" si="7"/>
        <v>-35</v>
      </c>
      <c r="G40" s="137">
        <f>E40/D40*100</f>
        <v>72</v>
      </c>
      <c r="H40" s="147"/>
    </row>
    <row r="41" spans="1:8" s="40" customFormat="1" ht="21.5">
      <c r="A41" s="134" t="s">
        <v>465</v>
      </c>
      <c r="B41" s="131" t="s">
        <v>499</v>
      </c>
      <c r="C41" s="146"/>
      <c r="D41" s="146">
        <v>4</v>
      </c>
      <c r="E41" s="146"/>
      <c r="F41" s="136">
        <f t="shared" si="7"/>
        <v>-4</v>
      </c>
      <c r="G41" s="137"/>
      <c r="H41" s="147"/>
    </row>
    <row r="42" spans="1:8" s="40" customFormat="1" ht="38">
      <c r="A42" s="134" t="s">
        <v>502</v>
      </c>
      <c r="B42" s="131" t="s">
        <v>500</v>
      </c>
      <c r="C42" s="146">
        <v>1220</v>
      </c>
      <c r="D42" s="146">
        <v>750</v>
      </c>
      <c r="E42" s="146"/>
      <c r="F42" s="136">
        <f t="shared" si="7"/>
        <v>-750</v>
      </c>
      <c r="G42" s="137">
        <f>E42/D42*100</f>
        <v>0</v>
      </c>
      <c r="H42" s="147"/>
    </row>
    <row r="43" spans="1:8" s="40" customFormat="1" ht="21.5">
      <c r="A43" s="134" t="s">
        <v>580</v>
      </c>
      <c r="B43" s="131" t="s">
        <v>501</v>
      </c>
      <c r="C43" s="146"/>
      <c r="D43" s="146">
        <v>150</v>
      </c>
      <c r="E43" s="146"/>
      <c r="F43" s="136">
        <f t="shared" si="7"/>
        <v>-150</v>
      </c>
      <c r="G43" s="137">
        <f>E43/D43*100</f>
        <v>0</v>
      </c>
      <c r="H43" s="147"/>
    </row>
    <row r="44" spans="1:8" s="40" customFormat="1" ht="21.5">
      <c r="A44" s="134" t="s">
        <v>563</v>
      </c>
      <c r="B44" s="131" t="s">
        <v>503</v>
      </c>
      <c r="C44" s="146">
        <v>47</v>
      </c>
      <c r="D44" s="146">
        <v>25</v>
      </c>
      <c r="E44" s="146">
        <v>17</v>
      </c>
      <c r="F44" s="136">
        <f>E44-D44</f>
        <v>-8</v>
      </c>
      <c r="G44" s="137">
        <f>E44/D44*100</f>
        <v>68</v>
      </c>
      <c r="H44" s="147"/>
    </row>
    <row r="45" spans="1:8" s="40" customFormat="1" ht="21.5">
      <c r="A45" s="134" t="s">
        <v>564</v>
      </c>
      <c r="B45" s="131" t="s">
        <v>504</v>
      </c>
      <c r="C45" s="146"/>
      <c r="D45" s="146">
        <v>50</v>
      </c>
      <c r="E45" s="146"/>
      <c r="F45" s="136">
        <f>E45-D45</f>
        <v>-50</v>
      </c>
      <c r="G45" s="137">
        <f>E45/D45*100</f>
        <v>0</v>
      </c>
      <c r="H45" s="147"/>
    </row>
    <row r="46" spans="1:8" s="40" customFormat="1" ht="21.5">
      <c r="A46" s="134" t="s">
        <v>586</v>
      </c>
      <c r="B46" s="131" t="s">
        <v>519</v>
      </c>
      <c r="C46" s="146">
        <v>248</v>
      </c>
      <c r="D46" s="146">
        <v>263</v>
      </c>
      <c r="E46" s="146">
        <v>281</v>
      </c>
      <c r="F46" s="136">
        <f>E46-D46</f>
        <v>18</v>
      </c>
      <c r="G46" s="137">
        <f>E46/D46*100</f>
        <v>106.84410646387832</v>
      </c>
      <c r="H46" s="147"/>
    </row>
    <row r="47" spans="1:8" s="40" customFormat="1" ht="21.5">
      <c r="A47" s="134" t="s">
        <v>585</v>
      </c>
      <c r="B47" s="131" t="s">
        <v>520</v>
      </c>
      <c r="C47" s="146">
        <v>16</v>
      </c>
      <c r="D47" s="146">
        <v>18</v>
      </c>
      <c r="E47" s="146">
        <v>23</v>
      </c>
      <c r="F47" s="136">
        <f>E47-D47</f>
        <v>5</v>
      </c>
      <c r="G47" s="137"/>
      <c r="H47" s="147"/>
    </row>
    <row r="48" spans="1:8" s="40" customFormat="1" ht="21.5">
      <c r="A48" s="134" t="s">
        <v>557</v>
      </c>
      <c r="B48" s="131" t="s">
        <v>521</v>
      </c>
      <c r="C48" s="146"/>
      <c r="D48" s="146"/>
      <c r="E48" s="146"/>
      <c r="F48" s="136"/>
      <c r="G48" s="137"/>
      <c r="H48" s="147"/>
    </row>
    <row r="49" spans="1:8" s="40" customFormat="1" ht="21.5">
      <c r="A49" s="134" t="s">
        <v>565</v>
      </c>
      <c r="B49" s="131" t="s">
        <v>558</v>
      </c>
      <c r="C49" s="146"/>
      <c r="D49" s="146"/>
      <c r="E49" s="146"/>
      <c r="F49" s="136">
        <f t="shared" ref="F49:F60" si="8">E49-D49</f>
        <v>0</v>
      </c>
      <c r="G49" s="137"/>
      <c r="H49" s="147"/>
    </row>
    <row r="50" spans="1:8" s="40" customFormat="1" ht="21.5">
      <c r="A50" s="134" t="s">
        <v>566</v>
      </c>
      <c r="B50" s="131" t="s">
        <v>567</v>
      </c>
      <c r="C50" s="146"/>
      <c r="D50" s="146">
        <v>128</v>
      </c>
      <c r="E50" s="146"/>
      <c r="F50" s="136">
        <f t="shared" si="8"/>
        <v>-128</v>
      </c>
      <c r="G50" s="137">
        <f>E50/D50*100</f>
        <v>0</v>
      </c>
      <c r="H50" s="147"/>
    </row>
    <row r="51" spans="1:8" s="40" customFormat="1" ht="57">
      <c r="A51" s="134" t="s">
        <v>581</v>
      </c>
      <c r="B51" s="131" t="s">
        <v>568</v>
      </c>
      <c r="C51" s="146">
        <v>853</v>
      </c>
      <c r="D51" s="146">
        <v>700</v>
      </c>
      <c r="E51" s="146">
        <v>898</v>
      </c>
      <c r="F51" s="136">
        <f t="shared" si="8"/>
        <v>198</v>
      </c>
      <c r="G51" s="137">
        <f>E51/D51*100</f>
        <v>128.28571428571428</v>
      </c>
      <c r="H51" s="147"/>
    </row>
    <row r="52" spans="1:8" s="40" customFormat="1" ht="21.5">
      <c r="A52" s="134" t="s">
        <v>611</v>
      </c>
      <c r="B52" s="131" t="s">
        <v>569</v>
      </c>
      <c r="C52" s="146"/>
      <c r="D52" s="146"/>
      <c r="E52" s="146">
        <v>1151</v>
      </c>
      <c r="F52" s="136">
        <f t="shared" ref="F52:F56" si="9">E52-D52</f>
        <v>1151</v>
      </c>
      <c r="G52" s="137"/>
      <c r="H52" s="147"/>
    </row>
    <row r="53" spans="1:8" s="40" customFormat="1" ht="21.5">
      <c r="A53" s="134" t="s">
        <v>612</v>
      </c>
      <c r="B53" s="131" t="s">
        <v>583</v>
      </c>
      <c r="C53" s="146"/>
      <c r="D53" s="146"/>
      <c r="E53" s="146">
        <v>12</v>
      </c>
      <c r="F53" s="136">
        <f t="shared" si="9"/>
        <v>12</v>
      </c>
      <c r="G53" s="137"/>
      <c r="H53" s="147"/>
    </row>
    <row r="54" spans="1:8" s="40" customFormat="1" ht="38">
      <c r="A54" s="134" t="s">
        <v>613</v>
      </c>
      <c r="B54" s="131" t="s">
        <v>584</v>
      </c>
      <c r="C54" s="146"/>
      <c r="D54" s="146"/>
      <c r="E54" s="146">
        <v>45</v>
      </c>
      <c r="F54" s="136">
        <f t="shared" si="9"/>
        <v>45</v>
      </c>
      <c r="G54" s="137"/>
      <c r="H54" s="147"/>
    </row>
    <row r="55" spans="1:8" s="40" customFormat="1" ht="21.5">
      <c r="A55" s="134" t="s">
        <v>582</v>
      </c>
      <c r="B55" s="131" t="s">
        <v>618</v>
      </c>
      <c r="C55" s="146"/>
      <c r="D55" s="146">
        <v>10</v>
      </c>
      <c r="E55" s="146"/>
      <c r="F55" s="136"/>
      <c r="G55" s="137"/>
      <c r="H55" s="147"/>
    </row>
    <row r="56" spans="1:8" s="40" customFormat="1" ht="21.5">
      <c r="A56" s="134" t="s">
        <v>597</v>
      </c>
      <c r="B56" s="131" t="s">
        <v>619</v>
      </c>
      <c r="C56" s="146">
        <v>8417</v>
      </c>
      <c r="D56" s="146"/>
      <c r="E56" s="146">
        <v>5201</v>
      </c>
      <c r="F56" s="136">
        <f t="shared" si="9"/>
        <v>5201</v>
      </c>
      <c r="G56" s="137"/>
      <c r="H56" s="147"/>
    </row>
    <row r="57" spans="1:8" s="40" customFormat="1" ht="93">
      <c r="A57" s="134" t="s">
        <v>505</v>
      </c>
      <c r="B57" s="131" t="s">
        <v>622</v>
      </c>
      <c r="C57" s="146">
        <v>22583</v>
      </c>
      <c r="D57" s="146">
        <v>24700</v>
      </c>
      <c r="E57" s="146">
        <v>35635</v>
      </c>
      <c r="F57" s="136">
        <f t="shared" si="8"/>
        <v>10935</v>
      </c>
      <c r="G57" s="137">
        <f>E57/D57*100</f>
        <v>144.27125506072875</v>
      </c>
      <c r="H57" s="149" t="s">
        <v>574</v>
      </c>
    </row>
    <row r="58" spans="1:8" s="133" customFormat="1" ht="21">
      <c r="A58" s="152" t="s">
        <v>23</v>
      </c>
      <c r="B58" s="153">
        <v>1020</v>
      </c>
      <c r="C58" s="154">
        <f>C9-C13</f>
        <v>-4933</v>
      </c>
      <c r="D58" s="154">
        <f>D9-D13</f>
        <v>4618</v>
      </c>
      <c r="E58" s="154">
        <f>E9-E13</f>
        <v>8046</v>
      </c>
      <c r="F58" s="154">
        <f t="shared" si="8"/>
        <v>3428</v>
      </c>
      <c r="G58" s="155">
        <f>E58/D58*100</f>
        <v>174.23126894759636</v>
      </c>
      <c r="H58" s="156"/>
    </row>
    <row r="59" spans="1:8" s="40" customFormat="1" ht="21.5">
      <c r="A59" s="134" t="s">
        <v>218</v>
      </c>
      <c r="B59" s="135">
        <v>1030</v>
      </c>
      <c r="C59" s="136">
        <f>C60+C61+C62+C63+C64+C65+C66+C67+C68</f>
        <v>880</v>
      </c>
      <c r="D59" s="136">
        <f>D60+D61+D62+D68+D67</f>
        <v>1988</v>
      </c>
      <c r="E59" s="136">
        <f>E60+E61+E62+E63+E64+E65+E66+E67+E68</f>
        <v>1724</v>
      </c>
      <c r="F59" s="136">
        <f t="shared" si="8"/>
        <v>-264</v>
      </c>
      <c r="G59" s="137">
        <f>E59/D59*100</f>
        <v>86.720321931589538</v>
      </c>
      <c r="H59" s="157"/>
    </row>
    <row r="60" spans="1:8" s="40" customFormat="1" ht="21.5">
      <c r="A60" s="158" t="s">
        <v>570</v>
      </c>
      <c r="B60" s="135" t="s">
        <v>427</v>
      </c>
      <c r="C60" s="136">
        <v>371</v>
      </c>
      <c r="D60" s="136">
        <v>1150</v>
      </c>
      <c r="E60" s="136">
        <v>213</v>
      </c>
      <c r="F60" s="136">
        <f t="shared" si="8"/>
        <v>-937</v>
      </c>
      <c r="G60" s="137">
        <f>E60/D60*100</f>
        <v>18.521739130434785</v>
      </c>
      <c r="H60" s="157"/>
    </row>
    <row r="61" spans="1:8" s="40" customFormat="1" ht="21.5">
      <c r="A61" s="158" t="s">
        <v>425</v>
      </c>
      <c r="B61" s="135" t="s">
        <v>428</v>
      </c>
      <c r="C61" s="136">
        <v>359</v>
      </c>
      <c r="D61" s="136">
        <v>488</v>
      </c>
      <c r="E61" s="136">
        <v>1480</v>
      </c>
      <c r="F61" s="136"/>
      <c r="G61" s="137"/>
      <c r="H61" s="157"/>
    </row>
    <row r="62" spans="1:8" s="40" customFormat="1" ht="21.5">
      <c r="A62" s="158" t="s">
        <v>7</v>
      </c>
      <c r="B62" s="135" t="s">
        <v>429</v>
      </c>
      <c r="C62" s="136"/>
      <c r="D62" s="136"/>
      <c r="E62" s="136"/>
      <c r="F62" s="136"/>
      <c r="G62" s="137"/>
      <c r="H62" s="157"/>
    </row>
    <row r="63" spans="1:8" s="40" customFormat="1" ht="21.5">
      <c r="A63" s="158" t="s">
        <v>598</v>
      </c>
      <c r="B63" s="135" t="s">
        <v>430</v>
      </c>
      <c r="C63" s="136"/>
      <c r="D63" s="136"/>
      <c r="E63" s="136"/>
      <c r="F63" s="136"/>
      <c r="G63" s="137"/>
      <c r="H63" s="157"/>
    </row>
    <row r="64" spans="1:8" s="40" customFormat="1" ht="21.5">
      <c r="A64" s="158" t="s">
        <v>599</v>
      </c>
      <c r="B64" s="135" t="s">
        <v>431</v>
      </c>
      <c r="C64" s="136"/>
      <c r="D64" s="136"/>
      <c r="E64" s="136"/>
      <c r="F64" s="136"/>
      <c r="G64" s="137"/>
      <c r="H64" s="157"/>
    </row>
    <row r="65" spans="1:10" s="40" customFormat="1" ht="21.5">
      <c r="A65" s="158" t="s">
        <v>435</v>
      </c>
      <c r="B65" s="135" t="s">
        <v>432</v>
      </c>
      <c r="C65" s="136"/>
      <c r="D65" s="136"/>
      <c r="E65" s="136"/>
      <c r="F65" s="136"/>
      <c r="G65" s="137"/>
      <c r="H65" s="157"/>
    </row>
    <row r="66" spans="1:10" s="40" customFormat="1" ht="21.5">
      <c r="A66" s="158" t="s">
        <v>596</v>
      </c>
      <c r="B66" s="135" t="s">
        <v>433</v>
      </c>
      <c r="C66" s="136"/>
      <c r="D66" s="136"/>
      <c r="E66" s="136"/>
      <c r="F66" s="136"/>
      <c r="G66" s="137"/>
      <c r="H66" s="157"/>
    </row>
    <row r="67" spans="1:10" s="40" customFormat="1" ht="21.5">
      <c r="A67" s="158" t="s">
        <v>571</v>
      </c>
      <c r="B67" s="135" t="s">
        <v>434</v>
      </c>
      <c r="C67" s="136">
        <v>150</v>
      </c>
      <c r="D67" s="136">
        <v>350</v>
      </c>
      <c r="E67" s="136">
        <v>31</v>
      </c>
      <c r="F67" s="136">
        <f>E67-D67</f>
        <v>-319</v>
      </c>
      <c r="G67" s="137">
        <f>E67/D67*100</f>
        <v>8.8571428571428559</v>
      </c>
      <c r="H67" s="157"/>
    </row>
    <row r="68" spans="1:10" s="40" customFormat="1" ht="21.5">
      <c r="A68" s="150" t="s">
        <v>506</v>
      </c>
      <c r="B68" s="135" t="s">
        <v>507</v>
      </c>
      <c r="C68" s="136"/>
      <c r="D68" s="136"/>
      <c r="E68" s="136"/>
      <c r="F68" s="136">
        <f>E68-D68</f>
        <v>0</v>
      </c>
      <c r="G68" s="137"/>
      <c r="H68" s="157"/>
    </row>
    <row r="69" spans="1:10" s="40" customFormat="1" ht="21.5">
      <c r="A69" s="134" t="s">
        <v>219</v>
      </c>
      <c r="B69" s="135">
        <v>1031</v>
      </c>
      <c r="C69" s="136"/>
      <c r="D69" s="136"/>
      <c r="E69" s="136"/>
      <c r="F69" s="136"/>
      <c r="G69" s="137"/>
      <c r="H69" s="157"/>
    </row>
    <row r="70" spans="1:10" s="40" customFormat="1" ht="21.5">
      <c r="A70" s="134" t="s">
        <v>228</v>
      </c>
      <c r="B70" s="135">
        <v>1040</v>
      </c>
      <c r="C70" s="136">
        <f>C71+C72+C73+C74+C75+C76+C77+C78+C79+C80+C85+C91+C92+C84+C88</f>
        <v>5579</v>
      </c>
      <c r="D70" s="136">
        <f>D71+D76+D77+D78+D79+D80+D84+D85+D90+D92+D88</f>
        <v>5278</v>
      </c>
      <c r="E70" s="136">
        <f>E71+E74+E76+E77+E78+E79+E80+E84+E85+E86+E88+E89+E90+E92+E91</f>
        <v>6759</v>
      </c>
      <c r="F70" s="136">
        <f>E70-D70</f>
        <v>1481</v>
      </c>
      <c r="G70" s="137">
        <f>E70/D70*100</f>
        <v>128.05987116331946</v>
      </c>
      <c r="H70" s="157"/>
      <c r="J70" s="139"/>
    </row>
    <row r="71" spans="1:10" s="40" customFormat="1" ht="38">
      <c r="A71" s="134" t="s">
        <v>106</v>
      </c>
      <c r="B71" s="135">
        <v>1041</v>
      </c>
      <c r="C71" s="136">
        <v>429</v>
      </c>
      <c r="D71" s="136">
        <v>498</v>
      </c>
      <c r="E71" s="136">
        <v>456</v>
      </c>
      <c r="F71" s="136">
        <f>E71-D71</f>
        <v>-42</v>
      </c>
      <c r="G71" s="137">
        <f>E71/D71*100</f>
        <v>91.566265060240966</v>
      </c>
      <c r="H71" s="157"/>
      <c r="J71" s="139"/>
    </row>
    <row r="72" spans="1:10" s="40" customFormat="1" ht="21.5">
      <c r="A72" s="134" t="s">
        <v>209</v>
      </c>
      <c r="B72" s="135">
        <v>1042</v>
      </c>
      <c r="C72" s="136"/>
      <c r="D72" s="136"/>
      <c r="E72" s="136"/>
      <c r="F72" s="136"/>
      <c r="G72" s="137"/>
      <c r="H72" s="157"/>
    </row>
    <row r="73" spans="1:10" s="40" customFormat="1" ht="21.5">
      <c r="A73" s="134" t="s">
        <v>62</v>
      </c>
      <c r="B73" s="135">
        <v>1043</v>
      </c>
      <c r="C73" s="136"/>
      <c r="D73" s="136"/>
      <c r="E73" s="136"/>
      <c r="F73" s="136"/>
      <c r="G73" s="137"/>
      <c r="H73" s="157"/>
    </row>
    <row r="74" spans="1:10" s="40" customFormat="1" ht="21.5">
      <c r="A74" s="134" t="s">
        <v>21</v>
      </c>
      <c r="B74" s="135">
        <v>1044</v>
      </c>
      <c r="C74" s="136"/>
      <c r="D74" s="136"/>
      <c r="E74" s="136"/>
      <c r="F74" s="136"/>
      <c r="G74" s="137"/>
      <c r="H74" s="157"/>
    </row>
    <row r="75" spans="1:10" s="40" customFormat="1" ht="21.5">
      <c r="A75" s="134" t="s">
        <v>22</v>
      </c>
      <c r="B75" s="135">
        <v>1045</v>
      </c>
      <c r="C75" s="136"/>
      <c r="D75" s="136"/>
      <c r="E75" s="136"/>
      <c r="F75" s="136"/>
      <c r="G75" s="137"/>
      <c r="H75" s="157"/>
    </row>
    <row r="76" spans="1:10" s="40" customFormat="1" ht="21.5">
      <c r="A76" s="134" t="s">
        <v>38</v>
      </c>
      <c r="B76" s="135">
        <v>1046</v>
      </c>
      <c r="C76" s="136">
        <v>6</v>
      </c>
      <c r="D76" s="136">
        <v>11</v>
      </c>
      <c r="E76" s="136">
        <v>7</v>
      </c>
      <c r="F76" s="136">
        <f>E76-D76</f>
        <v>-4</v>
      </c>
      <c r="G76" s="137">
        <f>E76/D76*100</f>
        <v>63.636363636363633</v>
      </c>
      <c r="H76" s="157"/>
    </row>
    <row r="77" spans="1:10" s="40" customFormat="1" ht="21.5">
      <c r="A77" s="134" t="s">
        <v>39</v>
      </c>
      <c r="B77" s="135">
        <v>1047</v>
      </c>
      <c r="C77" s="136">
        <v>14</v>
      </c>
      <c r="D77" s="136">
        <v>30</v>
      </c>
      <c r="E77" s="136">
        <v>13</v>
      </c>
      <c r="F77" s="136">
        <f>E77-D77</f>
        <v>-17</v>
      </c>
      <c r="G77" s="137">
        <f>E77/D77*100</f>
        <v>43.333333333333336</v>
      </c>
      <c r="H77" s="157"/>
    </row>
    <row r="78" spans="1:10" s="40" customFormat="1" ht="21.5">
      <c r="A78" s="134" t="s">
        <v>40</v>
      </c>
      <c r="B78" s="135">
        <v>1048</v>
      </c>
      <c r="C78" s="136">
        <v>3531</v>
      </c>
      <c r="D78" s="136">
        <v>3224</v>
      </c>
      <c r="E78" s="136">
        <f>4517-224</f>
        <v>4293</v>
      </c>
      <c r="F78" s="136">
        <f>E78-D78</f>
        <v>1069</v>
      </c>
      <c r="G78" s="137">
        <f>E78/D78*100</f>
        <v>133.1575682382134</v>
      </c>
      <c r="H78" s="157"/>
    </row>
    <row r="79" spans="1:10" s="40" customFormat="1" ht="21.5">
      <c r="A79" s="134" t="s">
        <v>41</v>
      </c>
      <c r="B79" s="135">
        <v>1049</v>
      </c>
      <c r="C79" s="136">
        <v>732</v>
      </c>
      <c r="D79" s="136">
        <v>658</v>
      </c>
      <c r="E79" s="136">
        <f>956-40</f>
        <v>916</v>
      </c>
      <c r="F79" s="136">
        <f>E79-D79</f>
        <v>258</v>
      </c>
      <c r="G79" s="137">
        <f>E79/D79*100</f>
        <v>139.209726443769</v>
      </c>
      <c r="H79" s="157"/>
    </row>
    <row r="80" spans="1:10" s="40" customFormat="1" ht="38">
      <c r="A80" s="134" t="s">
        <v>42</v>
      </c>
      <c r="B80" s="135">
        <v>1050</v>
      </c>
      <c r="C80" s="136">
        <v>96</v>
      </c>
      <c r="D80" s="136">
        <v>100</v>
      </c>
      <c r="E80" s="136">
        <f>124-6</f>
        <v>118</v>
      </c>
      <c r="F80" s="136">
        <f>E80-D80</f>
        <v>18</v>
      </c>
      <c r="G80" s="137">
        <f>E80/D80*100</f>
        <v>118</v>
      </c>
      <c r="H80" s="157"/>
    </row>
    <row r="81" spans="1:8" s="40" customFormat="1" ht="38">
      <c r="A81" s="134" t="s">
        <v>43</v>
      </c>
      <c r="B81" s="135">
        <v>1051</v>
      </c>
      <c r="C81" s="136"/>
      <c r="D81" s="136"/>
      <c r="E81" s="136"/>
      <c r="F81" s="136"/>
      <c r="G81" s="137"/>
      <c r="H81" s="157"/>
    </row>
    <row r="82" spans="1:8" s="40" customFormat="1" ht="38">
      <c r="A82" s="134" t="s">
        <v>44</v>
      </c>
      <c r="B82" s="135">
        <v>1052</v>
      </c>
      <c r="C82" s="136"/>
      <c r="D82" s="136"/>
      <c r="E82" s="136"/>
      <c r="F82" s="136"/>
      <c r="G82" s="137"/>
      <c r="H82" s="157"/>
    </row>
    <row r="83" spans="1:8" s="40" customFormat="1" ht="21.5">
      <c r="A83" s="134" t="s">
        <v>45</v>
      </c>
      <c r="B83" s="135">
        <v>1053</v>
      </c>
      <c r="C83" s="136"/>
      <c r="D83" s="136"/>
      <c r="E83" s="136"/>
      <c r="F83" s="136"/>
      <c r="G83" s="137"/>
      <c r="H83" s="157"/>
    </row>
    <row r="84" spans="1:8" s="40" customFormat="1" ht="21.5">
      <c r="A84" s="134" t="s">
        <v>46</v>
      </c>
      <c r="B84" s="135">
        <v>1054</v>
      </c>
      <c r="C84" s="136">
        <v>22</v>
      </c>
      <c r="D84" s="136">
        <v>23</v>
      </c>
      <c r="E84" s="136">
        <v>8</v>
      </c>
      <c r="F84" s="136">
        <f>E84-D84</f>
        <v>-15</v>
      </c>
      <c r="G84" s="137">
        <f>E84/D84*100</f>
        <v>34.782608695652172</v>
      </c>
      <c r="H84" s="157"/>
    </row>
    <row r="85" spans="1:8" s="40" customFormat="1" ht="21.5">
      <c r="A85" s="134" t="s">
        <v>66</v>
      </c>
      <c r="B85" s="135">
        <v>1055</v>
      </c>
      <c r="C85" s="136">
        <v>13</v>
      </c>
      <c r="D85" s="136">
        <v>75</v>
      </c>
      <c r="E85" s="136">
        <v>42</v>
      </c>
      <c r="F85" s="136">
        <f>E85-D85</f>
        <v>-33</v>
      </c>
      <c r="G85" s="137">
        <f>E85/D85*100</f>
        <v>56.000000000000007</v>
      </c>
      <c r="H85" s="157"/>
    </row>
    <row r="86" spans="1:8" s="40" customFormat="1" ht="21.5">
      <c r="A86" s="134" t="s">
        <v>47</v>
      </c>
      <c r="B86" s="135">
        <v>1056</v>
      </c>
      <c r="C86" s="136"/>
      <c r="D86" s="136"/>
      <c r="E86" s="136"/>
      <c r="F86" s="136"/>
      <c r="G86" s="137"/>
      <c r="H86" s="157"/>
    </row>
    <row r="87" spans="1:8" s="40" customFormat="1" ht="21.5">
      <c r="A87" s="134" t="s">
        <v>48</v>
      </c>
      <c r="B87" s="135">
        <v>1057</v>
      </c>
      <c r="C87" s="136"/>
      <c r="D87" s="136"/>
      <c r="E87" s="136"/>
      <c r="F87" s="136"/>
      <c r="G87" s="137"/>
      <c r="H87" s="157"/>
    </row>
    <row r="88" spans="1:8" s="40" customFormat="1" ht="38">
      <c r="A88" s="134" t="s">
        <v>49</v>
      </c>
      <c r="B88" s="135">
        <v>1058</v>
      </c>
      <c r="C88" s="136">
        <v>14</v>
      </c>
      <c r="D88" s="136">
        <v>23</v>
      </c>
      <c r="E88" s="136">
        <v>56</v>
      </c>
      <c r="F88" s="136">
        <f>E88-D88</f>
        <v>33</v>
      </c>
      <c r="G88" s="137">
        <f>E88/D88*100</f>
        <v>243.47826086956525</v>
      </c>
      <c r="H88" s="157"/>
    </row>
    <row r="89" spans="1:8" s="40" customFormat="1" ht="38">
      <c r="A89" s="134" t="s">
        <v>50</v>
      </c>
      <c r="B89" s="135">
        <v>1059</v>
      </c>
      <c r="C89" s="136"/>
      <c r="D89" s="136"/>
      <c r="E89" s="136"/>
      <c r="F89" s="136"/>
      <c r="G89" s="137"/>
      <c r="H89" s="157"/>
    </row>
    <row r="90" spans="1:8" s="40" customFormat="1" ht="57">
      <c r="A90" s="134" t="s">
        <v>76</v>
      </c>
      <c r="B90" s="135">
        <v>1060</v>
      </c>
      <c r="C90" s="136"/>
      <c r="D90" s="136">
        <v>30</v>
      </c>
      <c r="E90" s="136"/>
      <c r="F90" s="136"/>
      <c r="G90" s="137"/>
      <c r="H90" s="157"/>
    </row>
    <row r="91" spans="1:8" s="40" customFormat="1" ht="21.5">
      <c r="A91" s="134" t="s">
        <v>51</v>
      </c>
      <c r="B91" s="135">
        <v>1061</v>
      </c>
      <c r="C91" s="136"/>
      <c r="D91" s="136"/>
      <c r="E91" s="136"/>
      <c r="F91" s="136">
        <f>E91-D91</f>
        <v>0</v>
      </c>
      <c r="G91" s="137"/>
      <c r="H91" s="147"/>
    </row>
    <row r="92" spans="1:8" s="40" customFormat="1" ht="21.5">
      <c r="A92" s="134" t="s">
        <v>110</v>
      </c>
      <c r="B92" s="135">
        <v>1062</v>
      </c>
      <c r="C92" s="136">
        <f>C93+C94+C95+C96+C97+C98+C99</f>
        <v>722</v>
      </c>
      <c r="D92" s="136">
        <f>D93+D94+D95+D96+D97+D98</f>
        <v>606</v>
      </c>
      <c r="E92" s="136">
        <f>E93+E94+E95+E96+E97+E98+E107+E99</f>
        <v>850</v>
      </c>
      <c r="F92" s="136">
        <f t="shared" ref="F92:F97" si="10">E92-D92</f>
        <v>244</v>
      </c>
      <c r="G92" s="137">
        <f t="shared" ref="G92:G99" si="11">E92/D92*100</f>
        <v>140.26402640264027</v>
      </c>
      <c r="H92" s="157"/>
    </row>
    <row r="93" spans="1:8" s="40" customFormat="1" ht="21.5">
      <c r="A93" s="158" t="s">
        <v>436</v>
      </c>
      <c r="B93" s="135" t="s">
        <v>439</v>
      </c>
      <c r="C93" s="136">
        <v>24</v>
      </c>
      <c r="D93" s="136">
        <v>28</v>
      </c>
      <c r="E93" s="136">
        <v>27</v>
      </c>
      <c r="F93" s="136">
        <f t="shared" si="10"/>
        <v>-1</v>
      </c>
      <c r="G93" s="137">
        <f t="shared" si="11"/>
        <v>96.428571428571431</v>
      </c>
      <c r="H93" s="157"/>
    </row>
    <row r="94" spans="1:8" s="40" customFormat="1" ht="21.5">
      <c r="A94" s="158" t="s">
        <v>614</v>
      </c>
      <c r="B94" s="135" t="s">
        <v>440</v>
      </c>
      <c r="C94" s="136">
        <v>27</v>
      </c>
      <c r="D94" s="136">
        <v>25</v>
      </c>
      <c r="E94" s="136">
        <v>60</v>
      </c>
      <c r="F94" s="136">
        <f t="shared" si="10"/>
        <v>35</v>
      </c>
      <c r="G94" s="137">
        <f t="shared" si="11"/>
        <v>240</v>
      </c>
      <c r="H94" s="157"/>
    </row>
    <row r="95" spans="1:8" s="40" customFormat="1" ht="21.5">
      <c r="A95" s="158" t="s">
        <v>438</v>
      </c>
      <c r="B95" s="135" t="s">
        <v>441</v>
      </c>
      <c r="C95" s="136">
        <v>163</v>
      </c>
      <c r="D95" s="136">
        <v>170</v>
      </c>
      <c r="E95" s="136">
        <v>176</v>
      </c>
      <c r="F95" s="136">
        <f t="shared" si="10"/>
        <v>6</v>
      </c>
      <c r="G95" s="137">
        <f t="shared" si="11"/>
        <v>103.5294117647059</v>
      </c>
      <c r="H95" s="157"/>
    </row>
    <row r="96" spans="1:8" s="40" customFormat="1" ht="57">
      <c r="A96" s="158" t="s">
        <v>528</v>
      </c>
      <c r="B96" s="135" t="s">
        <v>442</v>
      </c>
      <c r="C96" s="136">
        <v>2</v>
      </c>
      <c r="D96" s="136">
        <v>13</v>
      </c>
      <c r="E96" s="136">
        <v>39</v>
      </c>
      <c r="F96" s="136">
        <f t="shared" si="10"/>
        <v>26</v>
      </c>
      <c r="G96" s="137">
        <f t="shared" si="11"/>
        <v>300</v>
      </c>
      <c r="H96" s="157"/>
    </row>
    <row r="97" spans="1:8" s="40" customFormat="1" ht="21.5">
      <c r="A97" s="151" t="s">
        <v>542</v>
      </c>
      <c r="B97" s="135" t="s">
        <v>443</v>
      </c>
      <c r="C97" s="136">
        <v>140</v>
      </c>
      <c r="D97" s="136">
        <v>120</v>
      </c>
      <c r="E97" s="136">
        <f>112+9</f>
        <v>121</v>
      </c>
      <c r="F97" s="136">
        <f t="shared" si="10"/>
        <v>1</v>
      </c>
      <c r="G97" s="137">
        <f t="shared" si="11"/>
        <v>100.83333333333333</v>
      </c>
      <c r="H97" s="157"/>
    </row>
    <row r="98" spans="1:8" s="40" customFormat="1" ht="38">
      <c r="A98" s="134" t="s">
        <v>502</v>
      </c>
      <c r="B98" s="135" t="s">
        <v>508</v>
      </c>
      <c r="C98" s="136">
        <v>230</v>
      </c>
      <c r="D98" s="136">
        <v>250</v>
      </c>
      <c r="E98" s="136">
        <v>258</v>
      </c>
      <c r="F98" s="136">
        <f>E98-D98</f>
        <v>8</v>
      </c>
      <c r="G98" s="137"/>
      <c r="H98" s="157"/>
    </row>
    <row r="99" spans="1:8" s="40" customFormat="1" ht="57">
      <c r="A99" s="134" t="s">
        <v>581</v>
      </c>
      <c r="B99" s="135" t="s">
        <v>603</v>
      </c>
      <c r="C99" s="136">
        <v>136</v>
      </c>
      <c r="D99" s="136">
        <v>150</v>
      </c>
      <c r="E99" s="136">
        <v>169</v>
      </c>
      <c r="F99" s="136">
        <f>E99-D99</f>
        <v>19</v>
      </c>
      <c r="G99" s="137">
        <f t="shared" si="11"/>
        <v>112.66666666666667</v>
      </c>
      <c r="H99" s="157"/>
    </row>
    <row r="100" spans="1:8" s="40" customFormat="1" ht="21.5">
      <c r="A100" s="134" t="s">
        <v>229</v>
      </c>
      <c r="B100" s="135">
        <v>1070</v>
      </c>
      <c r="C100" s="136"/>
      <c r="D100" s="136"/>
      <c r="E100" s="136"/>
      <c r="F100" s="136"/>
      <c r="G100" s="137"/>
      <c r="H100" s="157"/>
    </row>
    <row r="101" spans="1:8" s="40" customFormat="1" ht="21.5">
      <c r="A101" s="134" t="s">
        <v>188</v>
      </c>
      <c r="B101" s="135">
        <v>1071</v>
      </c>
      <c r="C101" s="136"/>
      <c r="D101" s="136"/>
      <c r="E101" s="136"/>
      <c r="F101" s="136"/>
      <c r="G101" s="137"/>
      <c r="H101" s="157"/>
    </row>
    <row r="102" spans="1:8" s="40" customFormat="1" ht="21.5">
      <c r="A102" s="134" t="s">
        <v>189</v>
      </c>
      <c r="B102" s="135">
        <v>1072</v>
      </c>
      <c r="C102" s="136"/>
      <c r="D102" s="136"/>
      <c r="E102" s="136"/>
      <c r="F102" s="136"/>
      <c r="G102" s="137"/>
      <c r="H102" s="157"/>
    </row>
    <row r="103" spans="1:8" s="40" customFormat="1" ht="21.5">
      <c r="A103" s="134" t="s">
        <v>40</v>
      </c>
      <c r="B103" s="135">
        <v>1073</v>
      </c>
      <c r="C103" s="136"/>
      <c r="D103" s="136"/>
      <c r="E103" s="136"/>
      <c r="F103" s="136"/>
      <c r="G103" s="137"/>
      <c r="H103" s="157"/>
    </row>
    <row r="104" spans="1:8" s="40" customFormat="1" ht="21.5">
      <c r="A104" s="134" t="s">
        <v>63</v>
      </c>
      <c r="B104" s="135">
        <v>1074</v>
      </c>
      <c r="C104" s="136"/>
      <c r="D104" s="136"/>
      <c r="E104" s="136"/>
      <c r="F104" s="136"/>
      <c r="G104" s="137"/>
      <c r="H104" s="157"/>
    </row>
    <row r="105" spans="1:8" s="40" customFormat="1" ht="21.5">
      <c r="A105" s="134" t="s">
        <v>79</v>
      </c>
      <c r="B105" s="135">
        <v>1075</v>
      </c>
      <c r="C105" s="136"/>
      <c r="D105" s="136"/>
      <c r="E105" s="136"/>
      <c r="F105" s="136"/>
      <c r="G105" s="137"/>
      <c r="H105" s="157"/>
    </row>
    <row r="106" spans="1:8" s="40" customFormat="1" ht="21.5">
      <c r="A106" s="134" t="s">
        <v>124</v>
      </c>
      <c r="B106" s="135">
        <v>1076</v>
      </c>
      <c r="C106" s="136"/>
      <c r="D106" s="136"/>
      <c r="E106" s="136"/>
      <c r="F106" s="136"/>
      <c r="G106" s="137"/>
      <c r="H106" s="157"/>
    </row>
    <row r="107" spans="1:8" s="40" customFormat="1" ht="21.5">
      <c r="A107" s="134" t="s">
        <v>41</v>
      </c>
      <c r="B107" s="135" t="s">
        <v>444</v>
      </c>
      <c r="C107" s="136"/>
      <c r="D107" s="136"/>
      <c r="E107" s="136"/>
      <c r="F107" s="136"/>
      <c r="G107" s="137"/>
      <c r="H107" s="157"/>
    </row>
    <row r="108" spans="1:8" s="40" customFormat="1" ht="21.5">
      <c r="A108" s="159" t="s">
        <v>80</v>
      </c>
      <c r="B108" s="135">
        <v>1080</v>
      </c>
      <c r="C108" s="136">
        <f>C110+C111+C113</f>
        <v>269</v>
      </c>
      <c r="D108" s="136">
        <f>D110+D111+D113</f>
        <v>568</v>
      </c>
      <c r="E108" s="136">
        <f>E110+E111+E113</f>
        <v>398</v>
      </c>
      <c r="F108" s="136">
        <f>E108-D108</f>
        <v>-170</v>
      </c>
      <c r="G108" s="137">
        <f>E108/D108*100</f>
        <v>70.070422535211264</v>
      </c>
      <c r="H108" s="157"/>
    </row>
    <row r="109" spans="1:8" s="40" customFormat="1" ht="21.5">
      <c r="A109" s="134" t="s">
        <v>72</v>
      </c>
      <c r="B109" s="135">
        <v>1081</v>
      </c>
      <c r="C109" s="136"/>
      <c r="D109" s="136"/>
      <c r="E109" s="136"/>
      <c r="F109" s="136"/>
      <c r="G109" s="137"/>
      <c r="H109" s="157"/>
    </row>
    <row r="110" spans="1:8" s="40" customFormat="1" ht="21.5">
      <c r="A110" s="134" t="s">
        <v>52</v>
      </c>
      <c r="B110" s="135">
        <v>1082</v>
      </c>
      <c r="C110" s="136"/>
      <c r="D110" s="136"/>
      <c r="E110" s="136"/>
      <c r="F110" s="136"/>
      <c r="G110" s="137"/>
      <c r="H110" s="157"/>
    </row>
    <row r="111" spans="1:8" s="40" customFormat="1" ht="21.5">
      <c r="A111" s="134" t="s">
        <v>510</v>
      </c>
      <c r="B111" s="135">
        <v>1083</v>
      </c>
      <c r="C111" s="136"/>
      <c r="D111" s="136"/>
      <c r="E111" s="136"/>
      <c r="F111" s="136"/>
      <c r="G111" s="137"/>
      <c r="H111" s="157"/>
    </row>
    <row r="112" spans="1:8" s="40" customFormat="1" ht="21.5">
      <c r="A112" s="134" t="s">
        <v>219</v>
      </c>
      <c r="B112" s="135">
        <v>1084</v>
      </c>
      <c r="C112" s="136"/>
      <c r="D112" s="136"/>
      <c r="E112" s="136"/>
      <c r="F112" s="136"/>
      <c r="G112" s="137"/>
      <c r="H112" s="157"/>
    </row>
    <row r="113" spans="1:10" s="40" customFormat="1" ht="21.5">
      <c r="A113" s="134" t="s">
        <v>263</v>
      </c>
      <c r="B113" s="135">
        <v>1085</v>
      </c>
      <c r="C113" s="136">
        <f>C116+C120+C123+C127+C128+C131+C132+C136+C115+C122+C133+C124+C125</f>
        <v>269</v>
      </c>
      <c r="D113" s="136">
        <f>D115+D116+D121+D120+D122+D123+D125+D127+D128+D129+D126+D131+D117+D132</f>
        <v>568</v>
      </c>
      <c r="E113" s="136">
        <f>E116+E120+E123+E127+E128+E131+E132+E136+E115+E122+E133+E124+E125+E134+E135</f>
        <v>398</v>
      </c>
      <c r="F113" s="136">
        <f>E113-D113</f>
        <v>-170</v>
      </c>
      <c r="G113" s="137">
        <f>E113/D113*100</f>
        <v>70.070422535211264</v>
      </c>
      <c r="H113" s="157"/>
      <c r="J113" s="139"/>
    </row>
    <row r="114" spans="1:10" s="40" customFormat="1" ht="21.5">
      <c r="A114" s="158" t="s">
        <v>461</v>
      </c>
      <c r="B114" s="135" t="s">
        <v>445</v>
      </c>
      <c r="C114" s="136"/>
      <c r="D114" s="136"/>
      <c r="E114" s="136"/>
      <c r="F114" s="136"/>
      <c r="G114" s="137"/>
      <c r="H114" s="157"/>
    </row>
    <row r="115" spans="1:10" s="40" customFormat="1" ht="21.5">
      <c r="A115" s="158" t="s">
        <v>578</v>
      </c>
      <c r="B115" s="135" t="s">
        <v>446</v>
      </c>
      <c r="C115" s="136">
        <v>57</v>
      </c>
      <c r="D115" s="136">
        <v>38</v>
      </c>
      <c r="E115" s="136">
        <v>81</v>
      </c>
      <c r="F115" s="136">
        <f>E115-D115</f>
        <v>43</v>
      </c>
      <c r="G115" s="137">
        <f>E115/D115*100</f>
        <v>213.15789473684214</v>
      </c>
      <c r="H115" s="157"/>
    </row>
    <row r="116" spans="1:10" s="40" customFormat="1" ht="38">
      <c r="A116" s="158" t="s">
        <v>543</v>
      </c>
      <c r="B116" s="135" t="s">
        <v>447</v>
      </c>
      <c r="C116" s="136"/>
      <c r="D116" s="136">
        <v>175</v>
      </c>
      <c r="E116" s="136"/>
      <c r="F116" s="136"/>
      <c r="G116" s="137"/>
      <c r="H116" s="157"/>
    </row>
    <row r="117" spans="1:10" s="40" customFormat="1" ht="21.5">
      <c r="A117" s="158" t="s">
        <v>494</v>
      </c>
      <c r="B117" s="135" t="s">
        <v>448</v>
      </c>
      <c r="C117" s="136"/>
      <c r="D117" s="136"/>
      <c r="E117" s="136"/>
      <c r="F117" s="136"/>
      <c r="G117" s="137"/>
      <c r="H117" s="157"/>
    </row>
    <row r="118" spans="1:10" s="40" customFormat="1" ht="21.5">
      <c r="A118" s="158" t="s">
        <v>493</v>
      </c>
      <c r="B118" s="135" t="s">
        <v>449</v>
      </c>
      <c r="C118" s="136"/>
      <c r="D118" s="136"/>
      <c r="E118" s="136"/>
      <c r="F118" s="136"/>
      <c r="G118" s="137"/>
      <c r="H118" s="157"/>
    </row>
    <row r="119" spans="1:10" s="40" customFormat="1" ht="21.5">
      <c r="A119" s="158" t="s">
        <v>462</v>
      </c>
      <c r="B119" s="135" t="s">
        <v>450</v>
      </c>
      <c r="C119" s="136"/>
      <c r="D119" s="136"/>
      <c r="E119" s="136"/>
      <c r="F119" s="136"/>
      <c r="G119" s="137"/>
      <c r="H119" s="157"/>
    </row>
    <row r="120" spans="1:10" s="40" customFormat="1" ht="21.5">
      <c r="A120" s="158" t="s">
        <v>463</v>
      </c>
      <c r="B120" s="135" t="s">
        <v>451</v>
      </c>
      <c r="C120" s="136"/>
      <c r="D120" s="136"/>
      <c r="E120" s="136"/>
      <c r="F120" s="136"/>
      <c r="G120" s="137"/>
      <c r="H120" s="157"/>
    </row>
    <row r="121" spans="1:10" s="40" customFormat="1" ht="27" customHeight="1">
      <c r="A121" s="158" t="s">
        <v>464</v>
      </c>
      <c r="B121" s="135" t="s">
        <v>452</v>
      </c>
      <c r="C121" s="136"/>
      <c r="D121" s="136"/>
      <c r="E121" s="136"/>
      <c r="F121" s="136"/>
      <c r="G121" s="137"/>
      <c r="H121" s="157"/>
    </row>
    <row r="122" spans="1:10" s="40" customFormat="1" ht="21.5">
      <c r="A122" s="158" t="s">
        <v>572</v>
      </c>
      <c r="B122" s="135" t="s">
        <v>453</v>
      </c>
      <c r="C122" s="136"/>
      <c r="D122" s="136"/>
      <c r="E122" s="136"/>
      <c r="F122" s="136"/>
      <c r="G122" s="137"/>
      <c r="H122" s="157"/>
    </row>
    <row r="123" spans="1:10" s="40" customFormat="1" ht="21.5">
      <c r="A123" s="158" t="s">
        <v>550</v>
      </c>
      <c r="B123" s="135" t="s">
        <v>454</v>
      </c>
      <c r="C123" s="136"/>
      <c r="D123" s="136"/>
      <c r="E123" s="136"/>
      <c r="F123" s="136"/>
      <c r="G123" s="137"/>
      <c r="H123" s="157"/>
    </row>
    <row r="124" spans="1:10" s="40" customFormat="1" ht="21.5">
      <c r="A124" s="158" t="s">
        <v>599</v>
      </c>
      <c r="B124" s="135" t="s">
        <v>455</v>
      </c>
      <c r="C124" s="136">
        <v>21</v>
      </c>
      <c r="D124" s="136"/>
      <c r="E124" s="136"/>
      <c r="F124" s="136"/>
      <c r="G124" s="137"/>
      <c r="H124" s="157"/>
    </row>
    <row r="125" spans="1:10" s="40" customFormat="1" ht="21.5">
      <c r="A125" s="158" t="s">
        <v>596</v>
      </c>
      <c r="B125" s="135" t="s">
        <v>456</v>
      </c>
      <c r="C125" s="136">
        <v>41</v>
      </c>
      <c r="D125" s="136"/>
      <c r="E125" s="136">
        <v>1</v>
      </c>
      <c r="F125" s="136"/>
      <c r="G125" s="137"/>
      <c r="H125" s="157"/>
    </row>
    <row r="126" spans="1:10" s="40" customFormat="1" ht="38">
      <c r="A126" s="158" t="s">
        <v>544</v>
      </c>
      <c r="B126" s="135" t="s">
        <v>457</v>
      </c>
      <c r="C126" s="136"/>
      <c r="D126" s="136">
        <v>5</v>
      </c>
      <c r="E126" s="136"/>
      <c r="F126" s="136"/>
      <c r="G126" s="137"/>
      <c r="H126" s="157"/>
    </row>
    <row r="127" spans="1:10" s="40" customFormat="1" ht="21.5">
      <c r="A127" s="158" t="s">
        <v>465</v>
      </c>
      <c r="B127" s="135" t="s">
        <v>458</v>
      </c>
      <c r="C127" s="136"/>
      <c r="D127" s="136"/>
      <c r="E127" s="136"/>
      <c r="F127" s="136">
        <f>E127-D127</f>
        <v>0</v>
      </c>
      <c r="G127" s="137"/>
      <c r="H127" s="157"/>
    </row>
    <row r="128" spans="1:10" s="40" customFormat="1" ht="21.5">
      <c r="A128" s="158" t="s">
        <v>466</v>
      </c>
      <c r="B128" s="135" t="s">
        <v>459</v>
      </c>
      <c r="C128" s="136"/>
      <c r="D128" s="136"/>
      <c r="E128" s="136"/>
      <c r="F128" s="136">
        <f>E128-D128</f>
        <v>0</v>
      </c>
      <c r="G128" s="137"/>
      <c r="H128" s="157"/>
    </row>
    <row r="129" spans="1:8" s="40" customFormat="1" ht="24" customHeight="1">
      <c r="A129" s="158" t="s">
        <v>538</v>
      </c>
      <c r="B129" s="135" t="s">
        <v>460</v>
      </c>
      <c r="C129" s="136"/>
      <c r="D129" s="136"/>
      <c r="E129" s="136"/>
      <c r="F129" s="136"/>
      <c r="G129" s="137"/>
      <c r="H129" s="157"/>
    </row>
    <row r="130" spans="1:8" s="40" customFormat="1" ht="21.5">
      <c r="A130" s="158" t="s">
        <v>437</v>
      </c>
      <c r="B130" s="135" t="s">
        <v>539</v>
      </c>
      <c r="C130" s="136"/>
      <c r="D130" s="136"/>
      <c r="E130" s="136"/>
      <c r="F130" s="136"/>
      <c r="G130" s="137"/>
      <c r="H130" s="157"/>
    </row>
    <row r="131" spans="1:8" s="40" customFormat="1" ht="21.5">
      <c r="A131" s="151" t="s">
        <v>547</v>
      </c>
      <c r="B131" s="135" t="s">
        <v>540</v>
      </c>
      <c r="C131" s="136"/>
      <c r="D131" s="136"/>
      <c r="E131" s="136"/>
      <c r="F131" s="136"/>
      <c r="G131" s="137"/>
      <c r="H131" s="157"/>
    </row>
    <row r="132" spans="1:8" s="40" customFormat="1" ht="21.5">
      <c r="A132" s="134" t="s">
        <v>551</v>
      </c>
      <c r="B132" s="135" t="s">
        <v>552</v>
      </c>
      <c r="C132" s="136">
        <v>150</v>
      </c>
      <c r="D132" s="136">
        <v>350</v>
      </c>
      <c r="E132" s="136">
        <v>27</v>
      </c>
      <c r="F132" s="136">
        <f t="shared" ref="F132" si="12">E132-D132</f>
        <v>-323</v>
      </c>
      <c r="G132" s="137">
        <f t="shared" ref="G132" si="13">E132/D132*100</f>
        <v>7.7142857142857135</v>
      </c>
      <c r="H132" s="157"/>
    </row>
    <row r="133" spans="1:8" s="40" customFormat="1" ht="21.5">
      <c r="A133" s="134" t="s">
        <v>615</v>
      </c>
      <c r="B133" s="135" t="s">
        <v>553</v>
      </c>
      <c r="C133" s="136"/>
      <c r="D133" s="136"/>
      <c r="E133" s="136">
        <v>4</v>
      </c>
      <c r="F133" s="136"/>
      <c r="G133" s="137"/>
      <c r="H133" s="157"/>
    </row>
    <row r="134" spans="1:8" s="40" customFormat="1" ht="21.5">
      <c r="A134" s="134" t="s">
        <v>616</v>
      </c>
      <c r="B134" s="135" t="s">
        <v>573</v>
      </c>
      <c r="C134" s="136"/>
      <c r="D134" s="136"/>
      <c r="E134" s="136">
        <v>240</v>
      </c>
      <c r="F134" s="136"/>
      <c r="G134" s="137"/>
      <c r="H134" s="157"/>
    </row>
    <row r="135" spans="1:8" s="40" customFormat="1" ht="38">
      <c r="A135" s="134" t="s">
        <v>613</v>
      </c>
      <c r="B135" s="135" t="s">
        <v>620</v>
      </c>
      <c r="C135" s="136"/>
      <c r="D135" s="136"/>
      <c r="E135" s="136">
        <v>45</v>
      </c>
      <c r="F135" s="136"/>
      <c r="G135" s="137"/>
      <c r="H135" s="157"/>
    </row>
    <row r="136" spans="1:8" s="40" customFormat="1" ht="57">
      <c r="A136" s="134" t="s">
        <v>554</v>
      </c>
      <c r="B136" s="135" t="s">
        <v>621</v>
      </c>
      <c r="C136" s="136"/>
      <c r="D136" s="136"/>
      <c r="E136" s="136"/>
      <c r="F136" s="136"/>
      <c r="G136" s="137"/>
      <c r="H136" s="157"/>
    </row>
    <row r="137" spans="1:8" s="133" customFormat="1" ht="21">
      <c r="A137" s="152" t="s">
        <v>4</v>
      </c>
      <c r="B137" s="153">
        <v>1100</v>
      </c>
      <c r="C137" s="154">
        <f>C58+C59-C70-C108</f>
        <v>-9901</v>
      </c>
      <c r="D137" s="154">
        <f>D58+D59-D70-D108</f>
        <v>760</v>
      </c>
      <c r="E137" s="154">
        <f>E58+E59-E70-E108</f>
        <v>2613</v>
      </c>
      <c r="F137" s="154">
        <f>E137-D137</f>
        <v>1853</v>
      </c>
      <c r="G137" s="155">
        <f>E137/D137*100</f>
        <v>343.81578947368422</v>
      </c>
      <c r="H137" s="156"/>
    </row>
    <row r="138" spans="1:8" s="40" customFormat="1" ht="21.5">
      <c r="A138" s="134" t="s">
        <v>108</v>
      </c>
      <c r="B138" s="135">
        <v>1110</v>
      </c>
      <c r="C138" s="136"/>
      <c r="D138" s="136"/>
      <c r="E138" s="136"/>
      <c r="F138" s="136"/>
      <c r="G138" s="137"/>
      <c r="H138" s="157"/>
    </row>
    <row r="139" spans="1:8" s="40" customFormat="1" ht="21.5">
      <c r="A139" s="134" t="s">
        <v>109</v>
      </c>
      <c r="B139" s="135">
        <v>1120</v>
      </c>
      <c r="C139" s="136"/>
      <c r="D139" s="136"/>
      <c r="E139" s="136"/>
      <c r="F139" s="136"/>
      <c r="G139" s="137"/>
      <c r="H139" s="157"/>
    </row>
    <row r="140" spans="1:8" s="40" customFormat="1" ht="21.5">
      <c r="A140" s="134" t="s">
        <v>112</v>
      </c>
      <c r="B140" s="135">
        <v>1130</v>
      </c>
      <c r="C140" s="136"/>
      <c r="D140" s="136"/>
      <c r="E140" s="136"/>
      <c r="F140" s="136"/>
      <c r="G140" s="137"/>
      <c r="H140" s="157"/>
    </row>
    <row r="141" spans="1:8" s="40" customFormat="1" ht="21.5">
      <c r="A141" s="134" t="s">
        <v>111</v>
      </c>
      <c r="B141" s="135">
        <v>1140</v>
      </c>
      <c r="C141" s="136"/>
      <c r="D141" s="136"/>
      <c r="E141" s="136"/>
      <c r="F141" s="136"/>
      <c r="G141" s="137"/>
      <c r="H141" s="157"/>
    </row>
    <row r="142" spans="1:8" s="40" customFormat="1" ht="21.5">
      <c r="A142" s="134" t="s">
        <v>220</v>
      </c>
      <c r="B142" s="135">
        <v>1150</v>
      </c>
      <c r="C142" s="136">
        <f>C143</f>
        <v>25176</v>
      </c>
      <c r="D142" s="136">
        <f>D143</f>
        <v>23500</v>
      </c>
      <c r="E142" s="136">
        <f>E143</f>
        <v>21742</v>
      </c>
      <c r="F142" s="136"/>
      <c r="G142" s="137"/>
      <c r="H142" s="157"/>
    </row>
    <row r="143" spans="1:8" s="40" customFormat="1" ht="21.5">
      <c r="A143" s="158" t="s">
        <v>587</v>
      </c>
      <c r="B143" s="135" t="s">
        <v>467</v>
      </c>
      <c r="C143" s="136">
        <v>25176</v>
      </c>
      <c r="D143" s="136">
        <v>23500</v>
      </c>
      <c r="E143" s="136">
        <v>21742</v>
      </c>
      <c r="F143" s="136"/>
      <c r="G143" s="137"/>
      <c r="H143" s="157"/>
    </row>
    <row r="144" spans="1:8" s="40" customFormat="1" ht="21.5">
      <c r="A144" s="158" t="s">
        <v>470</v>
      </c>
      <c r="B144" s="135" t="s">
        <v>468</v>
      </c>
      <c r="C144" s="136"/>
      <c r="D144" s="136"/>
      <c r="E144" s="136"/>
      <c r="F144" s="136"/>
      <c r="G144" s="137"/>
      <c r="H144" s="157"/>
    </row>
    <row r="145" spans="1:8" s="40" customFormat="1" ht="21.5">
      <c r="A145" s="134" t="s">
        <v>219</v>
      </c>
      <c r="B145" s="135">
        <v>1151</v>
      </c>
      <c r="C145" s="136"/>
      <c r="D145" s="136"/>
      <c r="E145" s="136"/>
      <c r="F145" s="136"/>
      <c r="G145" s="137"/>
      <c r="H145" s="157"/>
    </row>
    <row r="146" spans="1:8" s="40" customFormat="1" ht="21.5">
      <c r="A146" s="134" t="s">
        <v>221</v>
      </c>
      <c r="B146" s="135">
        <v>1160</v>
      </c>
      <c r="C146" s="136">
        <f>C150+C152+C151</f>
        <v>25103</v>
      </c>
      <c r="D146" s="136">
        <f>D150+D151+D152</f>
        <v>24250</v>
      </c>
      <c r="E146" s="136">
        <f>E150+E152+E151</f>
        <v>21931</v>
      </c>
      <c r="F146" s="136">
        <f>E146-D146</f>
        <v>-2319</v>
      </c>
      <c r="G146" s="137">
        <f>E146/D146*100</f>
        <v>90.437113402061854</v>
      </c>
      <c r="H146" s="157"/>
    </row>
    <row r="147" spans="1:8" s="40" customFormat="1" ht="21.5" hidden="1">
      <c r="A147" s="158" t="s">
        <v>469</v>
      </c>
      <c r="B147" s="135" t="s">
        <v>471</v>
      </c>
      <c r="C147" s="136"/>
      <c r="D147" s="136"/>
      <c r="E147" s="136"/>
      <c r="F147" s="136"/>
      <c r="G147" s="137"/>
      <c r="H147" s="157"/>
    </row>
    <row r="148" spans="1:8" s="40" customFormat="1" ht="21.5" hidden="1">
      <c r="A148" s="151" t="s">
        <v>474</v>
      </c>
      <c r="B148" s="135" t="s">
        <v>472</v>
      </c>
      <c r="C148" s="136"/>
      <c r="D148" s="136"/>
      <c r="E148" s="136"/>
      <c r="F148" s="136"/>
      <c r="G148" s="137"/>
      <c r="H148" s="157"/>
    </row>
    <row r="149" spans="1:8" s="40" customFormat="1" ht="38" hidden="1">
      <c r="A149" s="134" t="s">
        <v>475</v>
      </c>
      <c r="B149" s="135" t="s">
        <v>473</v>
      </c>
      <c r="C149" s="136"/>
      <c r="D149" s="136"/>
      <c r="E149" s="136"/>
      <c r="F149" s="136"/>
      <c r="G149" s="137"/>
      <c r="H149" s="157"/>
    </row>
    <row r="150" spans="1:8" s="40" customFormat="1" ht="21.5">
      <c r="A150" s="134" t="s">
        <v>566</v>
      </c>
      <c r="B150" s="135" t="s">
        <v>471</v>
      </c>
      <c r="C150" s="136">
        <v>7</v>
      </c>
      <c r="D150" s="136">
        <v>800</v>
      </c>
      <c r="E150" s="136">
        <v>258</v>
      </c>
      <c r="F150" s="136"/>
      <c r="G150" s="137"/>
      <c r="H150" s="157"/>
    </row>
    <row r="151" spans="1:8" s="40" customFormat="1" ht="21.5">
      <c r="A151" s="134" t="s">
        <v>7</v>
      </c>
      <c r="B151" s="135" t="s">
        <v>472</v>
      </c>
      <c r="C151" s="136">
        <v>25048</v>
      </c>
      <c r="D151" s="136">
        <v>23200</v>
      </c>
      <c r="E151" s="136">
        <v>21673</v>
      </c>
      <c r="F151" s="136"/>
      <c r="G151" s="137"/>
      <c r="H151" s="157"/>
    </row>
    <row r="152" spans="1:8" s="40" customFormat="1" ht="21.5">
      <c r="A152" s="134" t="s">
        <v>476</v>
      </c>
      <c r="B152" s="135" t="s">
        <v>473</v>
      </c>
      <c r="C152" s="136">
        <v>48</v>
      </c>
      <c r="D152" s="136">
        <v>250</v>
      </c>
      <c r="E152" s="136"/>
      <c r="F152" s="136">
        <f>E152-D152</f>
        <v>-250</v>
      </c>
      <c r="G152" s="137">
        <f>E152/D152*100</f>
        <v>0</v>
      </c>
      <c r="H152" s="157"/>
    </row>
    <row r="153" spans="1:8" s="40" customFormat="1" ht="21.5" hidden="1">
      <c r="A153" s="134" t="s">
        <v>495</v>
      </c>
      <c r="B153" s="135" t="s">
        <v>509</v>
      </c>
      <c r="C153" s="136"/>
      <c r="D153" s="136"/>
      <c r="E153" s="136"/>
      <c r="F153" s="136"/>
      <c r="G153" s="137"/>
      <c r="H153" s="157"/>
    </row>
    <row r="154" spans="1:8" s="40" customFormat="1" ht="21.5">
      <c r="A154" s="134" t="s">
        <v>219</v>
      </c>
      <c r="B154" s="135">
        <v>1161</v>
      </c>
      <c r="C154" s="136"/>
      <c r="D154" s="136"/>
      <c r="E154" s="136"/>
      <c r="F154" s="136"/>
      <c r="G154" s="137"/>
      <c r="H154" s="157"/>
    </row>
    <row r="155" spans="1:8" s="133" customFormat="1" ht="21">
      <c r="A155" s="152" t="s">
        <v>96</v>
      </c>
      <c r="B155" s="153">
        <v>1170</v>
      </c>
      <c r="C155" s="154">
        <f>C137+C142-C146</f>
        <v>-9828</v>
      </c>
      <c r="D155" s="154">
        <f>D137+D142-D146</f>
        <v>10</v>
      </c>
      <c r="E155" s="154">
        <f>E137+E142-E146</f>
        <v>2424</v>
      </c>
      <c r="F155" s="154">
        <f>E155-D155</f>
        <v>2414</v>
      </c>
      <c r="G155" s="155">
        <f>E155/D155*100</f>
        <v>24240</v>
      </c>
      <c r="H155" s="156"/>
    </row>
    <row r="156" spans="1:8" s="40" customFormat="1" ht="21.5">
      <c r="A156" s="134" t="s">
        <v>140</v>
      </c>
      <c r="B156" s="135">
        <v>1180</v>
      </c>
      <c r="C156" s="141"/>
      <c r="D156" s="141">
        <f>D155*0.18</f>
        <v>1.7999999999999998</v>
      </c>
      <c r="E156" s="141">
        <f>E155*0.18</f>
        <v>436.32</v>
      </c>
      <c r="F156" s="136">
        <f>E156-D156</f>
        <v>434.52</v>
      </c>
      <c r="G156" s="137"/>
      <c r="H156" s="157"/>
    </row>
    <row r="157" spans="1:8" s="40" customFormat="1" ht="38">
      <c r="A157" s="134" t="s">
        <v>141</v>
      </c>
      <c r="B157" s="135">
        <v>1190</v>
      </c>
      <c r="C157" s="136"/>
      <c r="D157" s="136"/>
      <c r="E157" s="136"/>
      <c r="F157" s="136"/>
      <c r="G157" s="137"/>
      <c r="H157" s="157"/>
    </row>
    <row r="158" spans="1:8" s="133" customFormat="1" ht="21">
      <c r="A158" s="152" t="s">
        <v>97</v>
      </c>
      <c r="B158" s="153">
        <v>1200</v>
      </c>
      <c r="C158" s="154">
        <f>C155-C156</f>
        <v>-9828</v>
      </c>
      <c r="D158" s="154">
        <f>D155-D156</f>
        <v>8.1999999999999993</v>
      </c>
      <c r="E158" s="154">
        <f>E155-E156</f>
        <v>1987.68</v>
      </c>
      <c r="F158" s="154">
        <f>E158-D158</f>
        <v>1979.48</v>
      </c>
      <c r="G158" s="155">
        <f>E158/D158*100</f>
        <v>24240.000000000004</v>
      </c>
      <c r="H158" s="156"/>
    </row>
    <row r="159" spans="1:8" s="40" customFormat="1" ht="21.5">
      <c r="A159" s="134" t="s">
        <v>24</v>
      </c>
      <c r="B159" s="130">
        <v>1201</v>
      </c>
      <c r="C159" s="141">
        <f>SUMIF(C158,"&gt;0")</f>
        <v>0</v>
      </c>
      <c r="D159" s="141">
        <f>SUMIF(D158,"&gt;0")</f>
        <v>8.1999999999999993</v>
      </c>
      <c r="E159" s="141">
        <f>SUMIF(E158,"&gt;0")</f>
        <v>1987.68</v>
      </c>
      <c r="F159" s="136">
        <f>E159-D159</f>
        <v>1979.48</v>
      </c>
      <c r="G159" s="137">
        <f>E159/D159*100</f>
        <v>24240.000000000004</v>
      </c>
      <c r="H159" s="147"/>
    </row>
    <row r="160" spans="1:8" s="40" customFormat="1" ht="21.5">
      <c r="A160" s="134" t="s">
        <v>25</v>
      </c>
      <c r="B160" s="130">
        <v>1202</v>
      </c>
      <c r="C160" s="141">
        <f>SUMIF(C158,"&lt;0")</f>
        <v>-9828</v>
      </c>
      <c r="D160" s="141">
        <f>SUMIF(D158,"&lt;0")</f>
        <v>0</v>
      </c>
      <c r="E160" s="141">
        <f>SUMIF(E158,"&lt;0")</f>
        <v>0</v>
      </c>
      <c r="F160" s="146"/>
      <c r="G160" s="148"/>
      <c r="H160" s="147"/>
    </row>
    <row r="161" spans="1:9" s="40" customFormat="1" ht="21.5">
      <c r="A161" s="134" t="s">
        <v>264</v>
      </c>
      <c r="B161" s="135">
        <v>1210</v>
      </c>
      <c r="C161" s="136"/>
      <c r="D161" s="136"/>
      <c r="E161" s="136"/>
      <c r="F161" s="136"/>
      <c r="G161" s="137"/>
      <c r="H161" s="157"/>
    </row>
    <row r="162" spans="1:9" s="133" customFormat="1" ht="27.75" customHeight="1">
      <c r="A162" s="242" t="s">
        <v>277</v>
      </c>
      <c r="B162" s="243"/>
      <c r="C162" s="243"/>
      <c r="D162" s="243"/>
      <c r="E162" s="243"/>
      <c r="F162" s="243"/>
      <c r="G162" s="243"/>
      <c r="H162" s="244"/>
    </row>
    <row r="163" spans="1:9" s="40" customFormat="1" ht="38">
      <c r="A163" s="44" t="s">
        <v>278</v>
      </c>
      <c r="B163" s="130">
        <v>1300</v>
      </c>
      <c r="C163" s="146">
        <f>C59-C108</f>
        <v>611</v>
      </c>
      <c r="D163" s="146">
        <f>D59-D108</f>
        <v>1420</v>
      </c>
      <c r="E163" s="146">
        <f>E59-E108</f>
        <v>1326</v>
      </c>
      <c r="F163" s="136">
        <f>E163-D163</f>
        <v>-94</v>
      </c>
      <c r="G163" s="137">
        <f>E163/D163*100</f>
        <v>93.380281690140848</v>
      </c>
      <c r="H163" s="147"/>
    </row>
    <row r="164" spans="1:9" s="40" customFormat="1" ht="70.5" customHeight="1">
      <c r="A164" s="160" t="s">
        <v>279</v>
      </c>
      <c r="B164" s="130">
        <v>1310</v>
      </c>
      <c r="C164" s="146">
        <f>C138+C139-C140-C141</f>
        <v>0</v>
      </c>
      <c r="D164" s="146">
        <f>D138+D139-D140-D141</f>
        <v>0</v>
      </c>
      <c r="E164" s="146">
        <f>E138+E139-E140-E141</f>
        <v>0</v>
      </c>
      <c r="F164" s="146"/>
      <c r="G164" s="148"/>
      <c r="H164" s="147"/>
    </row>
    <row r="165" spans="1:9" s="40" customFormat="1" ht="38">
      <c r="A165" s="44" t="s">
        <v>280</v>
      </c>
      <c r="B165" s="130">
        <v>1320</v>
      </c>
      <c r="C165" s="146">
        <f>C142-C146</f>
        <v>73</v>
      </c>
      <c r="D165" s="146">
        <f>D142-D146</f>
        <v>-750</v>
      </c>
      <c r="E165" s="146">
        <f>E142-E146</f>
        <v>-189</v>
      </c>
      <c r="F165" s="136">
        <f>E165-D165</f>
        <v>561</v>
      </c>
      <c r="G165" s="137">
        <f>E165/D165*100</f>
        <v>25.2</v>
      </c>
      <c r="H165" s="147"/>
    </row>
    <row r="166" spans="1:9" s="40" customFormat="1" ht="46.5" customHeight="1">
      <c r="A166" s="134" t="s">
        <v>383</v>
      </c>
      <c r="B166" s="135">
        <v>1330</v>
      </c>
      <c r="C166" s="136">
        <f>C9+C59+C138+C139+C142</f>
        <v>115994</v>
      </c>
      <c r="D166" s="136">
        <f>D9+D59+D138+D139+D142</f>
        <v>224338</v>
      </c>
      <c r="E166" s="136">
        <f>E9+E59+E138+E139+E142</f>
        <v>126818</v>
      </c>
      <c r="F166" s="136">
        <f>E166-D166</f>
        <v>-97520</v>
      </c>
      <c r="G166" s="137">
        <f>E166/D166*100</f>
        <v>56.529879021833132</v>
      </c>
      <c r="H166" s="157"/>
    </row>
    <row r="167" spans="1:9" s="40" customFormat="1" ht="65.25" customHeight="1">
      <c r="A167" s="134" t="s">
        <v>384</v>
      </c>
      <c r="B167" s="135">
        <v>1340</v>
      </c>
      <c r="C167" s="136">
        <f>C13+C70+C100+C108+C140+C141+C146+C156+C157</f>
        <v>125822</v>
      </c>
      <c r="D167" s="136">
        <f>D13+D70+D100+D108+D140+D141+D146+D156+D157</f>
        <v>224329.8</v>
      </c>
      <c r="E167" s="136">
        <f>E13+E70+E100+E108+E140+E141+E146+E156+E157</f>
        <v>124830.32</v>
      </c>
      <c r="F167" s="136">
        <f>E167-D167</f>
        <v>-99499.479999999981</v>
      </c>
      <c r="G167" s="137">
        <f>E167/D167*100</f>
        <v>55.645892788207377</v>
      </c>
      <c r="H167" s="147"/>
      <c r="I167" s="139"/>
    </row>
    <row r="168" spans="1:9" s="40" customFormat="1" ht="21.5">
      <c r="A168" s="245" t="s">
        <v>169</v>
      </c>
      <c r="B168" s="245"/>
      <c r="C168" s="245"/>
      <c r="D168" s="245"/>
      <c r="E168" s="245"/>
      <c r="F168" s="245"/>
      <c r="G168" s="245"/>
      <c r="H168" s="245"/>
    </row>
    <row r="169" spans="1:9" s="40" customFormat="1" ht="38">
      <c r="A169" s="134" t="s">
        <v>281</v>
      </c>
      <c r="B169" s="135">
        <v>1400</v>
      </c>
      <c r="C169" s="136">
        <f>C137</f>
        <v>-9901</v>
      </c>
      <c r="D169" s="136">
        <f>D137</f>
        <v>760</v>
      </c>
      <c r="E169" s="136">
        <f>E137</f>
        <v>2613</v>
      </c>
      <c r="F169" s="136">
        <f>E169-D169</f>
        <v>1853</v>
      </c>
      <c r="G169" s="137">
        <f>E169/D169*100</f>
        <v>343.81578947368422</v>
      </c>
      <c r="H169" s="157"/>
    </row>
    <row r="170" spans="1:9" s="40" customFormat="1" ht="21.5">
      <c r="A170" s="134" t="s">
        <v>282</v>
      </c>
      <c r="B170" s="135">
        <v>1401</v>
      </c>
      <c r="C170" s="136">
        <f>C181</f>
        <v>1630</v>
      </c>
      <c r="D170" s="136">
        <v>2320</v>
      </c>
      <c r="E170" s="136">
        <f>E181</f>
        <v>1722</v>
      </c>
      <c r="F170" s="136">
        <f>E170-D170</f>
        <v>-598</v>
      </c>
      <c r="G170" s="137">
        <f>E170/D170*100</f>
        <v>74.224137931034477</v>
      </c>
      <c r="H170" s="157"/>
    </row>
    <row r="171" spans="1:9" s="40" customFormat="1" ht="21.5">
      <c r="A171" s="134" t="s">
        <v>283</v>
      </c>
      <c r="B171" s="135">
        <v>1402</v>
      </c>
      <c r="C171" s="136"/>
      <c r="D171" s="136"/>
      <c r="E171" s="136"/>
      <c r="F171" s="136"/>
      <c r="G171" s="137"/>
      <c r="H171" s="157"/>
    </row>
    <row r="172" spans="1:9" s="40" customFormat="1" ht="28.5" customHeight="1">
      <c r="A172" s="134" t="s">
        <v>284</v>
      </c>
      <c r="B172" s="135">
        <v>1403</v>
      </c>
      <c r="C172" s="136"/>
      <c r="D172" s="136"/>
      <c r="E172" s="136"/>
      <c r="F172" s="136"/>
      <c r="G172" s="137"/>
      <c r="H172" s="157"/>
    </row>
    <row r="173" spans="1:9" s="40" customFormat="1" ht="38">
      <c r="A173" s="134" t="s">
        <v>328</v>
      </c>
      <c r="B173" s="135">
        <v>1404</v>
      </c>
      <c r="C173" s="136"/>
      <c r="D173" s="136"/>
      <c r="E173" s="136"/>
      <c r="F173" s="136"/>
      <c r="G173" s="137"/>
      <c r="H173" s="157"/>
    </row>
    <row r="174" spans="1:9" s="133" customFormat="1" ht="21">
      <c r="A174" s="152" t="s">
        <v>144</v>
      </c>
      <c r="B174" s="153">
        <v>1410</v>
      </c>
      <c r="C174" s="154">
        <f>SUM(C169:C173)</f>
        <v>-8271</v>
      </c>
      <c r="D174" s="154">
        <f>SUM(D169:D173)</f>
        <v>3080</v>
      </c>
      <c r="E174" s="154">
        <f>SUM(E169:E173)</f>
        <v>4335</v>
      </c>
      <c r="F174" s="154">
        <f>E174-D174</f>
        <v>1255</v>
      </c>
      <c r="G174" s="155">
        <f>E174/D174*100</f>
        <v>140.74675324675326</v>
      </c>
      <c r="H174" s="156"/>
    </row>
    <row r="175" spans="1:9" s="40" customFormat="1" ht="21.5">
      <c r="A175" s="248" t="s">
        <v>236</v>
      </c>
      <c r="B175" s="249"/>
      <c r="C175" s="249"/>
      <c r="D175" s="249"/>
      <c r="E175" s="249"/>
      <c r="F175" s="249"/>
      <c r="G175" s="249"/>
      <c r="H175" s="250"/>
    </row>
    <row r="176" spans="1:9" s="40" customFormat="1" ht="21.5">
      <c r="A176" s="134" t="s">
        <v>285</v>
      </c>
      <c r="B176" s="135">
        <v>1500</v>
      </c>
      <c r="C176" s="136">
        <f>C177+C178</f>
        <v>43672</v>
      </c>
      <c r="D176" s="136">
        <f>D177+D178</f>
        <v>144690</v>
      </c>
      <c r="E176" s="136">
        <f>E177+E178</f>
        <v>33200</v>
      </c>
      <c r="F176" s="136">
        <f>E176-D176</f>
        <v>-111490</v>
      </c>
      <c r="G176" s="137">
        <f>E176/D176*100</f>
        <v>22.945607851268228</v>
      </c>
      <c r="H176" s="157"/>
    </row>
    <row r="177" spans="1:8" s="40" customFormat="1" ht="21.5">
      <c r="A177" s="134" t="s">
        <v>286</v>
      </c>
      <c r="B177" s="161">
        <v>1501</v>
      </c>
      <c r="C177" s="146">
        <f>C14</f>
        <v>7365</v>
      </c>
      <c r="D177" s="146">
        <v>17640</v>
      </c>
      <c r="E177" s="146">
        <f>E14</f>
        <v>3978</v>
      </c>
      <c r="F177" s="136">
        <f t="shared" ref="F177:F183" si="14">E177-D177</f>
        <v>-13662</v>
      </c>
      <c r="G177" s="137">
        <f t="shared" ref="G177:G183" si="15">E177/D177*100</f>
        <v>22.551020408163268</v>
      </c>
      <c r="H177" s="147"/>
    </row>
    <row r="178" spans="1:8" s="40" customFormat="1" ht="21.5">
      <c r="A178" s="134" t="s">
        <v>28</v>
      </c>
      <c r="B178" s="161">
        <v>1502</v>
      </c>
      <c r="C178" s="146">
        <f>C15+C16</f>
        <v>36307</v>
      </c>
      <c r="D178" s="146">
        <v>127050</v>
      </c>
      <c r="E178" s="146">
        <f>E15+E16</f>
        <v>29222</v>
      </c>
      <c r="F178" s="136">
        <f t="shared" si="14"/>
        <v>-97828</v>
      </c>
      <c r="G178" s="137">
        <f t="shared" si="15"/>
        <v>23.000393545848091</v>
      </c>
      <c r="H178" s="147"/>
    </row>
    <row r="179" spans="1:8" s="40" customFormat="1" ht="21.5">
      <c r="A179" s="134" t="s">
        <v>5</v>
      </c>
      <c r="B179" s="162">
        <v>1510</v>
      </c>
      <c r="C179" s="136">
        <f>C17+C78+244</f>
        <v>15391</v>
      </c>
      <c r="D179" s="136">
        <v>18443</v>
      </c>
      <c r="E179" s="136">
        <f>E17+E78+224</f>
        <v>17325</v>
      </c>
      <c r="F179" s="136">
        <f t="shared" si="14"/>
        <v>-1118</v>
      </c>
      <c r="G179" s="137">
        <f t="shared" si="15"/>
        <v>93.938079488152681</v>
      </c>
      <c r="H179" s="157"/>
    </row>
    <row r="180" spans="1:8" s="40" customFormat="1" ht="21.5">
      <c r="A180" s="134" t="s">
        <v>6</v>
      </c>
      <c r="B180" s="162">
        <v>1520</v>
      </c>
      <c r="C180" s="136">
        <f>C18+C79+54</f>
        <v>3490</v>
      </c>
      <c r="D180" s="136">
        <v>3890</v>
      </c>
      <c r="E180" s="136">
        <f>E18+E79+40</f>
        <v>3946</v>
      </c>
      <c r="F180" s="136">
        <f t="shared" si="14"/>
        <v>56</v>
      </c>
      <c r="G180" s="137">
        <f t="shared" si="15"/>
        <v>101.43958868894603</v>
      </c>
      <c r="H180" s="157"/>
    </row>
    <row r="181" spans="1:8" s="40" customFormat="1" ht="21.5">
      <c r="A181" s="134" t="s">
        <v>7</v>
      </c>
      <c r="B181" s="162">
        <v>1530</v>
      </c>
      <c r="C181" s="136">
        <f>C20+C80+C128+20</f>
        <v>1630</v>
      </c>
      <c r="D181" s="136">
        <v>2320</v>
      </c>
      <c r="E181" s="136">
        <f>E20+E80+E128+6</f>
        <v>1722</v>
      </c>
      <c r="F181" s="136">
        <f t="shared" si="14"/>
        <v>-598</v>
      </c>
      <c r="G181" s="137">
        <f t="shared" si="15"/>
        <v>74.224137931034477</v>
      </c>
      <c r="H181" s="157"/>
    </row>
    <row r="182" spans="1:8" s="40" customFormat="1" ht="21.5">
      <c r="A182" s="134" t="s">
        <v>29</v>
      </c>
      <c r="B182" s="162">
        <v>1540</v>
      </c>
      <c r="C182" s="136">
        <f>C167-C156-C176-C179-C180-C181</f>
        <v>61639</v>
      </c>
      <c r="D182" s="136">
        <v>30735</v>
      </c>
      <c r="E182" s="136">
        <f>E167-E156-E176-E179-E180-E181</f>
        <v>68201</v>
      </c>
      <c r="F182" s="136">
        <f t="shared" si="14"/>
        <v>37466</v>
      </c>
      <c r="G182" s="137">
        <f t="shared" si="15"/>
        <v>221.90011387668781</v>
      </c>
      <c r="H182" s="157"/>
    </row>
    <row r="183" spans="1:8" s="133" customFormat="1" ht="21">
      <c r="A183" s="152" t="s">
        <v>58</v>
      </c>
      <c r="B183" s="163">
        <v>1550</v>
      </c>
      <c r="C183" s="154">
        <f>C176+C179+C180+C181+C182</f>
        <v>125822</v>
      </c>
      <c r="D183" s="154">
        <f>D176+D179+D180+D181+D182</f>
        <v>200078</v>
      </c>
      <c r="E183" s="154">
        <f>E176+E179+E180+E181+E182</f>
        <v>124394</v>
      </c>
      <c r="F183" s="154">
        <f t="shared" si="14"/>
        <v>-75684</v>
      </c>
      <c r="G183" s="155">
        <f t="shared" si="15"/>
        <v>62.17275262647567</v>
      </c>
      <c r="H183" s="156"/>
    </row>
    <row r="184" spans="1:8" s="133" customFormat="1" ht="56.25" customHeight="1">
      <c r="A184" s="164"/>
      <c r="B184" s="165"/>
      <c r="C184" s="166"/>
      <c r="D184" s="165"/>
      <c r="E184" s="165"/>
      <c r="F184" s="165"/>
      <c r="G184" s="165"/>
      <c r="H184" s="165"/>
    </row>
    <row r="185" spans="1:8" ht="28.5" customHeight="1">
      <c r="A185" s="42" t="s">
        <v>609</v>
      </c>
      <c r="B185" s="41"/>
      <c r="C185" s="2"/>
      <c r="D185" s="2"/>
      <c r="E185" s="2"/>
      <c r="F185" s="2"/>
      <c r="G185" s="247" t="s">
        <v>604</v>
      </c>
      <c r="H185" s="247"/>
    </row>
    <row r="186" spans="1:8">
      <c r="A186" s="5" t="s">
        <v>385</v>
      </c>
      <c r="B186" s="247" t="s">
        <v>78</v>
      </c>
      <c r="C186" s="247"/>
      <c r="D186" s="247"/>
      <c r="E186" s="247"/>
      <c r="F186" s="2"/>
      <c r="G186" s="2" t="s">
        <v>102</v>
      </c>
      <c r="H186" s="2"/>
    </row>
    <row r="187" spans="1:8" ht="35.25" customHeight="1">
      <c r="A187" s="114"/>
      <c r="B187" s="167"/>
      <c r="C187" s="167"/>
      <c r="D187" s="167"/>
      <c r="E187" s="167"/>
      <c r="F187" s="167"/>
    </row>
    <row r="188" spans="1:8" s="8" customFormat="1" ht="102.75" customHeight="1">
      <c r="A188" s="233"/>
      <c r="B188" s="233"/>
      <c r="C188" s="233"/>
      <c r="D188" s="233"/>
      <c r="E188" s="233"/>
      <c r="F188" s="233"/>
      <c r="G188" s="233"/>
      <c r="H188" s="233"/>
    </row>
    <row r="189" spans="1:8">
      <c r="A189" s="114"/>
    </row>
    <row r="190" spans="1:8">
      <c r="A190" s="114"/>
    </row>
    <row r="191" spans="1:8">
      <c r="A191" s="114"/>
    </row>
    <row r="192" spans="1:8">
      <c r="A192" s="114"/>
    </row>
    <row r="193" spans="1:1">
      <c r="A193" s="114"/>
    </row>
    <row r="194" spans="1:1">
      <c r="A194" s="114"/>
    </row>
    <row r="195" spans="1:1">
      <c r="A195" s="114"/>
    </row>
    <row r="196" spans="1:1">
      <c r="A196" s="114"/>
    </row>
    <row r="197" spans="1:1">
      <c r="A197" s="114"/>
    </row>
    <row r="198" spans="1:1">
      <c r="A198" s="114"/>
    </row>
    <row r="199" spans="1:1">
      <c r="A199" s="114"/>
    </row>
    <row r="200" spans="1:1">
      <c r="A200" s="114"/>
    </row>
    <row r="201" spans="1:1">
      <c r="A201" s="114"/>
    </row>
    <row r="202" spans="1:1">
      <c r="A202" s="114"/>
    </row>
    <row r="203" spans="1:1">
      <c r="A203" s="114"/>
    </row>
    <row r="204" spans="1:1">
      <c r="A204" s="114"/>
    </row>
    <row r="205" spans="1:1">
      <c r="A205" s="114"/>
    </row>
    <row r="206" spans="1:1">
      <c r="A206" s="114"/>
    </row>
    <row r="207" spans="1:1">
      <c r="A207" s="114"/>
    </row>
    <row r="208" spans="1:1">
      <c r="A208" s="114"/>
    </row>
    <row r="209" spans="1:1">
      <c r="A209" s="114"/>
    </row>
    <row r="210" spans="1:1">
      <c r="A210" s="114"/>
    </row>
    <row r="211" spans="1:1">
      <c r="A211" s="114"/>
    </row>
    <row r="212" spans="1:1">
      <c r="A212" s="114"/>
    </row>
    <row r="213" spans="1:1">
      <c r="A213" s="114"/>
    </row>
    <row r="214" spans="1:1">
      <c r="A214" s="114"/>
    </row>
    <row r="215" spans="1:1">
      <c r="A215" s="114"/>
    </row>
    <row r="216" spans="1:1">
      <c r="A216" s="114"/>
    </row>
    <row r="217" spans="1:1">
      <c r="A217" s="114"/>
    </row>
    <row r="218" spans="1:1">
      <c r="A218" s="114"/>
    </row>
    <row r="219" spans="1:1">
      <c r="A219" s="114"/>
    </row>
    <row r="220" spans="1:1">
      <c r="A220" s="114"/>
    </row>
    <row r="221" spans="1:1">
      <c r="A221" s="114"/>
    </row>
    <row r="222" spans="1:1">
      <c r="A222" s="114"/>
    </row>
    <row r="223" spans="1:1">
      <c r="A223" s="114"/>
    </row>
    <row r="224" spans="1:1">
      <c r="A224" s="114"/>
    </row>
    <row r="225" spans="1:1">
      <c r="A225" s="114"/>
    </row>
    <row r="226" spans="1:1">
      <c r="A226" s="114"/>
    </row>
    <row r="227" spans="1:1">
      <c r="A227" s="114"/>
    </row>
    <row r="228" spans="1:1">
      <c r="A228" s="114"/>
    </row>
    <row r="229" spans="1:1">
      <c r="A229" s="114"/>
    </row>
    <row r="230" spans="1:1">
      <c r="A230" s="114"/>
    </row>
    <row r="231" spans="1:1">
      <c r="A231" s="114"/>
    </row>
    <row r="232" spans="1:1">
      <c r="A232" s="114"/>
    </row>
    <row r="233" spans="1:1">
      <c r="A233" s="114"/>
    </row>
    <row r="234" spans="1:1">
      <c r="A234" s="114"/>
    </row>
    <row r="235" spans="1:1">
      <c r="A235" s="114"/>
    </row>
    <row r="236" spans="1:1">
      <c r="A236" s="114"/>
    </row>
    <row r="237" spans="1:1">
      <c r="A237" s="114"/>
    </row>
    <row r="238" spans="1:1">
      <c r="A238" s="114"/>
    </row>
    <row r="239" spans="1:1">
      <c r="A239" s="114"/>
    </row>
    <row r="240" spans="1:1">
      <c r="A240" s="114"/>
    </row>
    <row r="241" spans="1:1">
      <c r="A241" s="114"/>
    </row>
    <row r="242" spans="1:1">
      <c r="A242" s="114"/>
    </row>
    <row r="243" spans="1:1">
      <c r="A243" s="114"/>
    </row>
    <row r="244" spans="1:1">
      <c r="A244" s="114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</sheetData>
  <mergeCells count="12">
    <mergeCell ref="A162:H162"/>
    <mergeCell ref="A168:H168"/>
    <mergeCell ref="A3:H3"/>
    <mergeCell ref="G185:H185"/>
    <mergeCell ref="A188:H188"/>
    <mergeCell ref="A175:H175"/>
    <mergeCell ref="D5:H5"/>
    <mergeCell ref="B5:B6"/>
    <mergeCell ref="A5:A6"/>
    <mergeCell ref="C5:C6"/>
    <mergeCell ref="A8:H8"/>
    <mergeCell ref="B186:E186"/>
  </mergeCells>
  <phoneticPr fontId="0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42" orientation="portrait" r:id="rId1"/>
  <headerFooter alignWithMargins="0"/>
  <rowBreaks count="2" manualBreakCount="2">
    <brk id="69" max="17" man="1"/>
    <brk id="137" max="17" man="1"/>
  </rowBreaks>
  <colBreaks count="1" manualBreakCount="1">
    <brk id="8" max="1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K188"/>
  <sheetViews>
    <sheetView view="pageBreakPreview" topLeftCell="A21" zoomScale="75" zoomScaleNormal="75" zoomScaleSheetLayoutView="75" workbookViewId="0">
      <selection activeCell="D4" sqref="D4:G4"/>
    </sheetView>
  </sheetViews>
  <sheetFormatPr defaultColWidth="9.1796875" defaultRowHeight="20.5" outlineLevelRow="1"/>
  <cols>
    <col min="1" max="1" width="64.1796875" style="10" customWidth="1"/>
    <col min="2" max="2" width="15.26953125" style="11" customWidth="1"/>
    <col min="3" max="3" width="18.7265625" style="48" customWidth="1"/>
    <col min="4" max="4" width="14.54296875" style="48" customWidth="1"/>
    <col min="5" max="5" width="14" style="48" customWidth="1"/>
    <col min="6" max="6" width="18.7265625" style="11" customWidth="1"/>
    <col min="7" max="7" width="15.54296875" style="11" customWidth="1"/>
    <col min="8" max="8" width="10" style="10" customWidth="1"/>
    <col min="9" max="9" width="0.26953125" style="10" customWidth="1"/>
    <col min="10" max="11" width="9.1796875" style="10" hidden="1" customWidth="1"/>
    <col min="12" max="16384" width="9.1796875" style="10"/>
  </cols>
  <sheetData>
    <row r="1" spans="1:7" hidden="1" outlineLevel="1">
      <c r="C1" s="11"/>
      <c r="D1" s="11"/>
      <c r="E1" s="11"/>
      <c r="G1" s="3" t="s">
        <v>241</v>
      </c>
    </row>
    <row r="2" spans="1:7" hidden="1" outlineLevel="1">
      <c r="C2" s="11"/>
      <c r="D2" s="11"/>
      <c r="E2" s="11"/>
      <c r="G2" s="3" t="s">
        <v>226</v>
      </c>
    </row>
    <row r="3" spans="1:7" collapsed="1">
      <c r="A3" s="260" t="s">
        <v>374</v>
      </c>
      <c r="B3" s="260"/>
      <c r="C3" s="260"/>
      <c r="D3" s="260"/>
      <c r="E3" s="260"/>
      <c r="F3" s="260"/>
      <c r="G3" s="260"/>
    </row>
    <row r="4" spans="1:7" ht="38.25" customHeight="1">
      <c r="A4" s="261" t="s">
        <v>287</v>
      </c>
      <c r="B4" s="262" t="s">
        <v>18</v>
      </c>
      <c r="C4" s="263" t="s">
        <v>355</v>
      </c>
      <c r="D4" s="261" t="s">
        <v>353</v>
      </c>
      <c r="E4" s="261"/>
      <c r="F4" s="261"/>
      <c r="G4" s="261"/>
    </row>
    <row r="5" spans="1:7" ht="38.25" customHeight="1">
      <c r="A5" s="261"/>
      <c r="B5" s="262"/>
      <c r="C5" s="264"/>
      <c r="D5" s="82" t="s">
        <v>265</v>
      </c>
      <c r="E5" s="82" t="s">
        <v>248</v>
      </c>
      <c r="F5" s="108" t="s">
        <v>275</v>
      </c>
      <c r="G5" s="108" t="s">
        <v>276</v>
      </c>
    </row>
    <row r="6" spans="1:7">
      <c r="A6" s="115">
        <v>1</v>
      </c>
      <c r="B6" s="168">
        <v>2</v>
      </c>
      <c r="C6" s="115">
        <v>3</v>
      </c>
      <c r="D6" s="115">
        <v>4</v>
      </c>
      <c r="E6" s="168">
        <v>5</v>
      </c>
      <c r="F6" s="115">
        <v>6</v>
      </c>
      <c r="G6" s="168">
        <v>7</v>
      </c>
    </row>
    <row r="7" spans="1:7">
      <c r="A7" s="256" t="s">
        <v>153</v>
      </c>
      <c r="B7" s="257"/>
      <c r="C7" s="257"/>
      <c r="D7" s="257"/>
      <c r="E7" s="257"/>
      <c r="F7" s="257"/>
      <c r="G7" s="258"/>
    </row>
    <row r="8" spans="1:7" ht="45.75" customHeight="1">
      <c r="A8" s="169" t="s">
        <v>60</v>
      </c>
      <c r="B8" s="15">
        <v>2000</v>
      </c>
      <c r="C8" s="6">
        <v>-6452</v>
      </c>
      <c r="D8" s="6">
        <v>-6406</v>
      </c>
      <c r="E8" s="6">
        <v>-19896</v>
      </c>
      <c r="F8" s="6">
        <f>E8-D8</f>
        <v>-13490</v>
      </c>
      <c r="G8" s="109">
        <f>E8/D8*100</f>
        <v>310.58382766156728</v>
      </c>
    </row>
    <row r="9" spans="1:7" ht="41">
      <c r="A9" s="170" t="s">
        <v>208</v>
      </c>
      <c r="B9" s="15">
        <v>2010</v>
      </c>
      <c r="C9" s="6">
        <f>C10+C11</f>
        <v>0</v>
      </c>
      <c r="D9" s="6">
        <f>D10+D11</f>
        <v>5.2299999999999995</v>
      </c>
      <c r="E9" s="6">
        <f>E10+E11</f>
        <v>1311.8688</v>
      </c>
      <c r="F9" s="6">
        <f>E9-D9</f>
        <v>1306.6387999999999</v>
      </c>
      <c r="G9" s="109">
        <f>E9/D9*100</f>
        <v>25083.533460803061</v>
      </c>
    </row>
    <row r="10" spans="1:7" ht="41">
      <c r="A10" s="81" t="s">
        <v>359</v>
      </c>
      <c r="B10" s="15">
        <v>2011</v>
      </c>
      <c r="C10" s="6"/>
      <c r="D10" s="6">
        <f>'1. Фін результат'!D158*0.15</f>
        <v>1.2299999999999998</v>
      </c>
      <c r="E10" s="6">
        <f>'1. Фін результат'!E158*0.15</f>
        <v>298.15199999999999</v>
      </c>
      <c r="F10" s="6">
        <f>E10-D10</f>
        <v>296.92199999999997</v>
      </c>
      <c r="G10" s="109">
        <f>E10/D10*100</f>
        <v>24240.000000000004</v>
      </c>
    </row>
    <row r="11" spans="1:7" ht="90">
      <c r="A11" s="171" t="s">
        <v>360</v>
      </c>
      <c r="B11" s="15">
        <v>2012</v>
      </c>
      <c r="C11" s="6"/>
      <c r="D11" s="6">
        <v>4</v>
      </c>
      <c r="E11" s="6">
        <f>('1. Фін результат'!E158-'2. Розрахунки з бюджетом'!E10)*0.6</f>
        <v>1013.7167999999999</v>
      </c>
      <c r="F11" s="6">
        <f>E11-D11</f>
        <v>1009.7167999999999</v>
      </c>
      <c r="G11" s="109">
        <f>E11/D11*100</f>
        <v>25342.92</v>
      </c>
    </row>
    <row r="12" spans="1:7">
      <c r="A12" s="81" t="s">
        <v>195</v>
      </c>
      <c r="B12" s="15">
        <v>2020</v>
      </c>
      <c r="C12" s="6"/>
      <c r="D12" s="6"/>
      <c r="E12" s="6"/>
      <c r="F12" s="6"/>
      <c r="G12" s="109"/>
    </row>
    <row r="13" spans="1:7" s="12" customFormat="1">
      <c r="A13" s="170" t="s">
        <v>71</v>
      </c>
      <c r="B13" s="15">
        <v>2030</v>
      </c>
      <c r="C13" s="6"/>
      <c r="D13" s="6"/>
      <c r="E13" s="6"/>
      <c r="F13" s="6"/>
      <c r="G13" s="109"/>
    </row>
    <row r="14" spans="1:7" ht="24" customHeight="1">
      <c r="A14" s="172" t="s">
        <v>132</v>
      </c>
      <c r="B14" s="15">
        <v>2031</v>
      </c>
      <c r="C14" s="6"/>
      <c r="D14" s="6"/>
      <c r="E14" s="6"/>
      <c r="F14" s="6"/>
      <c r="G14" s="109"/>
    </row>
    <row r="15" spans="1:7">
      <c r="A15" s="170" t="s">
        <v>26</v>
      </c>
      <c r="B15" s="15">
        <v>2040</v>
      </c>
      <c r="C15" s="6"/>
      <c r="D15" s="6"/>
      <c r="E15" s="6"/>
      <c r="F15" s="6"/>
      <c r="G15" s="109"/>
    </row>
    <row r="16" spans="1:7">
      <c r="A16" s="170" t="s">
        <v>114</v>
      </c>
      <c r="B16" s="15">
        <v>2050</v>
      </c>
      <c r="C16" s="6"/>
      <c r="D16" s="6"/>
      <c r="E16" s="6"/>
      <c r="F16" s="6"/>
      <c r="G16" s="109"/>
    </row>
    <row r="17" spans="1:10">
      <c r="A17" s="170" t="s">
        <v>115</v>
      </c>
      <c r="B17" s="15">
        <v>2060</v>
      </c>
      <c r="C17" s="6">
        <v>52</v>
      </c>
      <c r="D17" s="6"/>
      <c r="E17" s="6">
        <v>548</v>
      </c>
      <c r="F17" s="6"/>
      <c r="G17" s="109"/>
    </row>
    <row r="18" spans="1:10" ht="45" customHeight="1">
      <c r="A18" s="170" t="s">
        <v>61</v>
      </c>
      <c r="B18" s="15">
        <v>2070</v>
      </c>
      <c r="C18" s="85">
        <f>C8+'1. Фін результат'!C158-'2.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-16332</v>
      </c>
      <c r="D18" s="85">
        <v>-6403</v>
      </c>
      <c r="E18" s="85">
        <f>E8+'1. Фін результат'!E158-'2.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-19768.1888</v>
      </c>
      <c r="F18" s="85">
        <f>E18-D18</f>
        <v>-13365.1888</v>
      </c>
      <c r="G18" s="86">
        <f>E18/D18*100</f>
        <v>308.73323129782915</v>
      </c>
      <c r="H18" s="45"/>
      <c r="J18" s="45"/>
    </row>
    <row r="19" spans="1:10" ht="41.25" customHeight="1">
      <c r="A19" s="256" t="s">
        <v>154</v>
      </c>
      <c r="B19" s="257"/>
      <c r="C19" s="257"/>
      <c r="D19" s="257"/>
      <c r="E19" s="257"/>
      <c r="F19" s="257"/>
      <c r="G19" s="258"/>
    </row>
    <row r="20" spans="1:10" ht="41">
      <c r="A20" s="170" t="s">
        <v>208</v>
      </c>
      <c r="B20" s="15">
        <v>2100</v>
      </c>
      <c r="C20" s="6">
        <f>C21+C22</f>
        <v>0</v>
      </c>
      <c r="D20" s="6">
        <f>D21+D22</f>
        <v>5.2299999999999995</v>
      </c>
      <c r="E20" s="6">
        <f>E21+E22</f>
        <v>1311.8688</v>
      </c>
      <c r="F20" s="6">
        <f>E20-D20</f>
        <v>1306.6387999999999</v>
      </c>
      <c r="G20" s="109">
        <f>E20/D20*100</f>
        <v>25083.533460803061</v>
      </c>
    </row>
    <row r="21" spans="1:10" ht="41">
      <c r="A21" s="81" t="s">
        <v>359</v>
      </c>
      <c r="B21" s="15">
        <v>2101</v>
      </c>
      <c r="C21" s="6">
        <f t="shared" ref="C21:E22" si="0">C10</f>
        <v>0</v>
      </c>
      <c r="D21" s="6">
        <f t="shared" si="0"/>
        <v>1.2299999999999998</v>
      </c>
      <c r="E21" s="6">
        <f>E10</f>
        <v>298.15199999999999</v>
      </c>
      <c r="F21" s="6">
        <f>E21-D21</f>
        <v>296.92199999999997</v>
      </c>
      <c r="G21" s="109">
        <f>E21/D21*100</f>
        <v>24240.000000000004</v>
      </c>
    </row>
    <row r="22" spans="1:10" ht="90">
      <c r="A22" s="171" t="s">
        <v>360</v>
      </c>
      <c r="B22" s="15">
        <v>2102</v>
      </c>
      <c r="C22" s="6">
        <f t="shared" si="0"/>
        <v>0</v>
      </c>
      <c r="D22" s="6">
        <f t="shared" si="0"/>
        <v>4</v>
      </c>
      <c r="E22" s="6">
        <f t="shared" si="0"/>
        <v>1013.7167999999999</v>
      </c>
      <c r="F22" s="6">
        <f>E22-D22</f>
        <v>1009.7167999999999</v>
      </c>
      <c r="G22" s="109">
        <f>E22/D22*100</f>
        <v>25342.92</v>
      </c>
    </row>
    <row r="23" spans="1:10" s="12" customFormat="1">
      <c r="A23" s="170" t="s">
        <v>156</v>
      </c>
      <c r="B23" s="115">
        <v>2110</v>
      </c>
      <c r="C23" s="173">
        <v>65</v>
      </c>
      <c r="D23" s="173">
        <f>'1. Фін результат'!D156</f>
        <v>1.7999999999999998</v>
      </c>
      <c r="E23" s="173">
        <f>'1. Фін результат'!E156</f>
        <v>436.32</v>
      </c>
      <c r="F23" s="6">
        <f>E23-D23</f>
        <v>434.52</v>
      </c>
      <c r="G23" s="109"/>
    </row>
    <row r="24" spans="1:10" ht="61.5">
      <c r="A24" s="170" t="s">
        <v>338</v>
      </c>
      <c r="B24" s="115">
        <v>2120</v>
      </c>
      <c r="C24" s="173">
        <v>811</v>
      </c>
      <c r="D24" s="173">
        <v>2300</v>
      </c>
      <c r="E24" s="173">
        <v>4065</v>
      </c>
      <c r="F24" s="6">
        <f>E24-D24</f>
        <v>1765</v>
      </c>
      <c r="G24" s="109">
        <f>E24/D24*100</f>
        <v>176.7391304347826</v>
      </c>
    </row>
    <row r="25" spans="1:10" ht="61.5" customHeight="1">
      <c r="A25" s="170" t="s">
        <v>339</v>
      </c>
      <c r="B25" s="115">
        <v>2130</v>
      </c>
      <c r="C25" s="173"/>
      <c r="D25" s="173"/>
      <c r="E25" s="173"/>
      <c r="F25" s="173"/>
      <c r="G25" s="174"/>
    </row>
    <row r="26" spans="1:10" s="9" customFormat="1" ht="39.75" customHeight="1">
      <c r="A26" s="175" t="s">
        <v>257</v>
      </c>
      <c r="B26" s="176">
        <v>2140</v>
      </c>
      <c r="C26" s="177">
        <f>C30+C29+C35</f>
        <v>3568</v>
      </c>
      <c r="D26" s="177">
        <f>D30+D29+D35</f>
        <v>3767</v>
      </c>
      <c r="E26" s="177">
        <f>E30+E29+E35</f>
        <v>3843</v>
      </c>
      <c r="F26" s="85">
        <f>E26-D26</f>
        <v>76</v>
      </c>
      <c r="G26" s="86">
        <f>E26/D26*100</f>
        <v>102.01752057340059</v>
      </c>
    </row>
    <row r="27" spans="1:10">
      <c r="A27" s="170" t="s">
        <v>84</v>
      </c>
      <c r="B27" s="115">
        <v>2141</v>
      </c>
      <c r="C27" s="173"/>
      <c r="D27" s="173"/>
      <c r="E27" s="173"/>
      <c r="F27" s="173"/>
      <c r="G27" s="174"/>
    </row>
    <row r="28" spans="1:10">
      <c r="A28" s="170" t="s">
        <v>104</v>
      </c>
      <c r="B28" s="115">
        <v>2142</v>
      </c>
      <c r="C28" s="173"/>
      <c r="D28" s="173"/>
      <c r="E28" s="173"/>
      <c r="F28" s="173"/>
      <c r="G28" s="174"/>
    </row>
    <row r="29" spans="1:10">
      <c r="A29" s="170" t="s">
        <v>99</v>
      </c>
      <c r="B29" s="115">
        <v>2143</v>
      </c>
      <c r="C29" s="173">
        <f>'1. Фін результат'!C95</f>
        <v>163</v>
      </c>
      <c r="D29" s="173">
        <v>170</v>
      </c>
      <c r="E29" s="173">
        <f>'1. Фін результат'!E95</f>
        <v>176</v>
      </c>
      <c r="F29" s="6">
        <f>E29-D29</f>
        <v>6</v>
      </c>
      <c r="G29" s="109">
        <f>E29/D29*100</f>
        <v>103.5294117647059</v>
      </c>
    </row>
    <row r="30" spans="1:10">
      <c r="A30" s="170" t="s">
        <v>82</v>
      </c>
      <c r="B30" s="115">
        <v>2144</v>
      </c>
      <c r="C30" s="173">
        <v>3144</v>
      </c>
      <c r="D30" s="173">
        <v>3320</v>
      </c>
      <c r="E30" s="173">
        <v>3359</v>
      </c>
      <c r="F30" s="6">
        <f>E30-D30</f>
        <v>39</v>
      </c>
      <c r="G30" s="109">
        <f>E30/D30*100</f>
        <v>101.17469879518073</v>
      </c>
    </row>
    <row r="31" spans="1:10" s="12" customFormat="1">
      <c r="A31" s="170" t="s">
        <v>175</v>
      </c>
      <c r="B31" s="115">
        <v>2145</v>
      </c>
      <c r="C31" s="173"/>
      <c r="D31" s="173"/>
      <c r="E31" s="173"/>
      <c r="F31" s="173"/>
      <c r="G31" s="174"/>
    </row>
    <row r="32" spans="1:10" ht="61.5">
      <c r="A32" s="170" t="s">
        <v>133</v>
      </c>
      <c r="B32" s="115" t="s">
        <v>222</v>
      </c>
      <c r="C32" s="173"/>
      <c r="D32" s="173"/>
      <c r="E32" s="173"/>
      <c r="F32" s="173"/>
      <c r="G32" s="174"/>
    </row>
    <row r="33" spans="1:9">
      <c r="A33" s="170" t="s">
        <v>27</v>
      </c>
      <c r="B33" s="115" t="s">
        <v>223</v>
      </c>
      <c r="C33" s="173"/>
      <c r="D33" s="173"/>
      <c r="E33" s="173"/>
      <c r="F33" s="173"/>
      <c r="G33" s="174"/>
    </row>
    <row r="34" spans="1:9" s="12" customFormat="1">
      <c r="A34" s="170" t="s">
        <v>116</v>
      </c>
      <c r="B34" s="115">
        <v>2146</v>
      </c>
      <c r="C34" s="173"/>
      <c r="D34" s="173"/>
      <c r="E34" s="173"/>
      <c r="F34" s="173"/>
      <c r="G34" s="174"/>
    </row>
    <row r="35" spans="1:9">
      <c r="A35" s="170" t="s">
        <v>88</v>
      </c>
      <c r="B35" s="115">
        <v>2147</v>
      </c>
      <c r="C35" s="173">
        <f>C36</f>
        <v>261</v>
      </c>
      <c r="D35" s="173">
        <f>D36</f>
        <v>277</v>
      </c>
      <c r="E35" s="173">
        <f>E36</f>
        <v>308</v>
      </c>
      <c r="F35" s="6">
        <f>E35-D35</f>
        <v>31</v>
      </c>
      <c r="G35" s="109">
        <f>E35/D35*100</f>
        <v>111.1913357400722</v>
      </c>
    </row>
    <row r="36" spans="1:9">
      <c r="A36" s="170" t="s">
        <v>478</v>
      </c>
      <c r="B36" s="115" t="s">
        <v>477</v>
      </c>
      <c r="C36" s="173">
        <v>261</v>
      </c>
      <c r="D36" s="173">
        <v>277</v>
      </c>
      <c r="E36" s="173">
        <v>308</v>
      </c>
      <c r="F36" s="6">
        <f>E36-D36</f>
        <v>31</v>
      </c>
      <c r="G36" s="109">
        <f>E36/D36*100</f>
        <v>111.1913357400722</v>
      </c>
    </row>
    <row r="37" spans="1:9" s="12" customFormat="1" ht="41">
      <c r="A37" s="170" t="s">
        <v>83</v>
      </c>
      <c r="B37" s="115">
        <v>2150</v>
      </c>
      <c r="C37" s="173">
        <v>3490</v>
      </c>
      <c r="D37" s="173">
        <v>3890</v>
      </c>
      <c r="E37" s="173">
        <f>'1. Фін результат'!E180</f>
        <v>3946</v>
      </c>
      <c r="F37" s="6">
        <f>E37-D37</f>
        <v>56</v>
      </c>
      <c r="G37" s="109">
        <f>E37/D37*100</f>
        <v>101.43958868894603</v>
      </c>
    </row>
    <row r="38" spans="1:9" s="12" customFormat="1" ht="25.5" customHeight="1">
      <c r="A38" s="178" t="s">
        <v>358</v>
      </c>
      <c r="B38" s="176">
        <v>2200</v>
      </c>
      <c r="C38" s="177">
        <f>C20+C24+C26+C37+C23</f>
        <v>7934</v>
      </c>
      <c r="D38" s="177">
        <f>D20+D24+D26+D37+D23</f>
        <v>9964.0299999999988</v>
      </c>
      <c r="E38" s="177">
        <f>E20+E24+E26+E37+E23</f>
        <v>13602.1888</v>
      </c>
      <c r="F38" s="85">
        <f>E38-D38</f>
        <v>3638.1588000000011</v>
      </c>
      <c r="G38" s="86">
        <f>E38/D38*100</f>
        <v>136.51292499119333</v>
      </c>
      <c r="H38" s="12" t="s">
        <v>372</v>
      </c>
    </row>
    <row r="39" spans="1:9" s="12" customFormat="1" ht="82.5" customHeight="1">
      <c r="A39" s="13"/>
      <c r="B39" s="11"/>
      <c r="C39" s="48"/>
      <c r="D39" s="48"/>
      <c r="E39" s="48"/>
      <c r="F39" s="11"/>
      <c r="G39" s="11"/>
    </row>
    <row r="40" spans="1:9" s="2" customFormat="1" ht="20.149999999999999" customHeight="1">
      <c r="A40" s="43" t="s">
        <v>609</v>
      </c>
      <c r="B40" s="41"/>
      <c r="C40" s="46"/>
      <c r="D40" s="46"/>
      <c r="E40" s="46"/>
      <c r="F40" s="247" t="s">
        <v>604</v>
      </c>
      <c r="G40" s="247"/>
    </row>
    <row r="41" spans="1:9" s="2" customFormat="1" ht="20.149999999999999" customHeight="1">
      <c r="A41" s="4" t="s">
        <v>77</v>
      </c>
      <c r="C41" s="259" t="s">
        <v>78</v>
      </c>
      <c r="D41" s="259"/>
      <c r="E41" s="46"/>
      <c r="F41" s="247" t="s">
        <v>102</v>
      </c>
      <c r="G41" s="247"/>
    </row>
    <row r="42" spans="1:9" s="11" customFormat="1" ht="29.25" customHeight="1">
      <c r="A42" s="14"/>
      <c r="C42" s="48"/>
      <c r="D42" s="48"/>
      <c r="E42" s="48"/>
      <c r="H42" s="10"/>
      <c r="I42" s="10"/>
    </row>
    <row r="43" spans="1:9" s="40" customFormat="1" ht="80.25" customHeight="1">
      <c r="A43" s="255"/>
      <c r="B43" s="255"/>
      <c r="C43" s="255"/>
      <c r="D43" s="255"/>
      <c r="E43" s="255"/>
      <c r="F43" s="255"/>
      <c r="G43" s="255"/>
      <c r="H43" s="255"/>
    </row>
    <row r="44" spans="1:9" s="11" customFormat="1">
      <c r="A44" s="14"/>
      <c r="C44" s="48"/>
      <c r="D44" s="48"/>
      <c r="E44" s="48"/>
      <c r="H44" s="10"/>
      <c r="I44" s="10"/>
    </row>
    <row r="45" spans="1:9" s="11" customFormat="1">
      <c r="A45" s="14"/>
      <c r="C45" s="48"/>
      <c r="D45" s="48"/>
      <c r="E45" s="48"/>
      <c r="H45" s="10"/>
      <c r="I45" s="10"/>
    </row>
    <row r="46" spans="1:9" s="11" customFormat="1">
      <c r="A46" s="14"/>
      <c r="C46" s="48"/>
      <c r="D46" s="48"/>
      <c r="E46" s="48"/>
      <c r="H46" s="10"/>
      <c r="I46" s="10"/>
    </row>
    <row r="47" spans="1:9" s="11" customFormat="1">
      <c r="A47" s="14"/>
      <c r="C47" s="48"/>
      <c r="D47" s="48"/>
      <c r="E47" s="48"/>
      <c r="H47" s="10"/>
      <c r="I47" s="10"/>
    </row>
    <row r="48" spans="1:9" s="11" customFormat="1">
      <c r="A48" s="14"/>
      <c r="C48" s="48"/>
      <c r="D48" s="48"/>
      <c r="E48" s="48"/>
      <c r="H48" s="10"/>
      <c r="I48" s="10"/>
    </row>
    <row r="49" spans="1:9" s="11" customFormat="1">
      <c r="A49" s="14"/>
      <c r="C49" s="48"/>
      <c r="D49" s="48"/>
      <c r="E49" s="48"/>
      <c r="H49" s="10"/>
      <c r="I49" s="10"/>
    </row>
    <row r="50" spans="1:9" s="11" customFormat="1">
      <c r="A50" s="14"/>
      <c r="C50" s="48"/>
      <c r="D50" s="48"/>
      <c r="E50" s="48"/>
      <c r="H50" s="10"/>
      <c r="I50" s="10"/>
    </row>
    <row r="51" spans="1:9" s="11" customFormat="1">
      <c r="A51" s="14"/>
      <c r="C51" s="48"/>
      <c r="D51" s="48"/>
      <c r="E51" s="48"/>
      <c r="H51" s="10"/>
      <c r="I51" s="10"/>
    </row>
    <row r="52" spans="1:9" s="11" customFormat="1">
      <c r="A52" s="14"/>
      <c r="C52" s="48"/>
      <c r="D52" s="48"/>
      <c r="E52" s="48"/>
      <c r="H52" s="10"/>
      <c r="I52" s="10"/>
    </row>
    <row r="53" spans="1:9" s="11" customFormat="1">
      <c r="A53" s="14"/>
      <c r="C53" s="48"/>
      <c r="D53" s="48"/>
      <c r="E53" s="48"/>
      <c r="H53" s="10"/>
      <c r="I53" s="10"/>
    </row>
    <row r="54" spans="1:9" s="11" customFormat="1">
      <c r="A54" s="14"/>
      <c r="C54" s="48"/>
      <c r="D54" s="48"/>
      <c r="E54" s="48"/>
      <c r="H54" s="10"/>
      <c r="I54" s="10"/>
    </row>
    <row r="55" spans="1:9" s="11" customFormat="1">
      <c r="A55" s="14"/>
      <c r="C55" s="48"/>
      <c r="D55" s="48"/>
      <c r="E55" s="48"/>
      <c r="H55" s="10"/>
      <c r="I55" s="10"/>
    </row>
    <row r="56" spans="1:9" s="11" customFormat="1">
      <c r="A56" s="14"/>
      <c r="C56" s="48"/>
      <c r="D56" s="48"/>
      <c r="E56" s="48"/>
      <c r="H56" s="10"/>
      <c r="I56" s="10"/>
    </row>
    <row r="57" spans="1:9" s="11" customFormat="1">
      <c r="A57" s="14"/>
      <c r="C57" s="48"/>
      <c r="D57" s="48"/>
      <c r="E57" s="48"/>
      <c r="H57" s="10"/>
      <c r="I57" s="10"/>
    </row>
    <row r="58" spans="1:9" s="11" customFormat="1">
      <c r="A58" s="14"/>
      <c r="C58" s="48"/>
      <c r="D58" s="48"/>
      <c r="E58" s="48"/>
      <c r="H58" s="10"/>
      <c r="I58" s="10"/>
    </row>
    <row r="59" spans="1:9" s="11" customFormat="1">
      <c r="A59" s="14"/>
      <c r="C59" s="48"/>
      <c r="D59" s="48"/>
      <c r="E59" s="48"/>
      <c r="H59" s="10"/>
      <c r="I59" s="10"/>
    </row>
    <row r="60" spans="1:9" s="11" customFormat="1">
      <c r="A60" s="14"/>
      <c r="C60" s="48"/>
      <c r="D60" s="48"/>
      <c r="E60" s="48"/>
      <c r="H60" s="10"/>
      <c r="I60" s="10"/>
    </row>
    <row r="61" spans="1:9" s="11" customFormat="1">
      <c r="A61" s="14"/>
      <c r="C61" s="48"/>
      <c r="D61" s="48"/>
      <c r="E61" s="48"/>
      <c r="H61" s="10"/>
      <c r="I61" s="10"/>
    </row>
    <row r="62" spans="1:9" s="11" customFormat="1">
      <c r="A62" s="14"/>
      <c r="C62" s="48"/>
      <c r="D62" s="48"/>
      <c r="E62" s="48"/>
      <c r="H62" s="10"/>
      <c r="I62" s="10"/>
    </row>
    <row r="63" spans="1:9" s="11" customFormat="1">
      <c r="A63" s="14"/>
      <c r="C63" s="48"/>
      <c r="D63" s="48"/>
      <c r="E63" s="48"/>
      <c r="H63" s="10"/>
      <c r="I63" s="10"/>
    </row>
    <row r="64" spans="1:9" s="11" customFormat="1">
      <c r="A64" s="14"/>
      <c r="C64" s="48"/>
      <c r="D64" s="48"/>
      <c r="E64" s="48"/>
      <c r="H64" s="10"/>
      <c r="I64" s="10"/>
    </row>
    <row r="65" spans="1:9" s="11" customFormat="1">
      <c r="A65" s="14"/>
      <c r="C65" s="48"/>
      <c r="D65" s="48"/>
      <c r="E65" s="48"/>
      <c r="H65" s="10"/>
      <c r="I65" s="10"/>
    </row>
    <row r="66" spans="1:9" s="11" customFormat="1">
      <c r="A66" s="14"/>
      <c r="C66" s="48"/>
      <c r="D66" s="48"/>
      <c r="E66" s="48"/>
      <c r="H66" s="10"/>
      <c r="I66" s="10"/>
    </row>
    <row r="67" spans="1:9" s="11" customFormat="1">
      <c r="A67" s="14"/>
      <c r="C67" s="48"/>
      <c r="D67" s="48"/>
      <c r="E67" s="48"/>
      <c r="H67" s="10"/>
      <c r="I67" s="10"/>
    </row>
    <row r="68" spans="1:9" s="11" customFormat="1">
      <c r="A68" s="14"/>
      <c r="C68" s="48"/>
      <c r="D68" s="48"/>
      <c r="E68" s="48"/>
      <c r="H68" s="10"/>
      <c r="I68" s="10"/>
    </row>
    <row r="69" spans="1:9" s="11" customFormat="1">
      <c r="A69" s="14"/>
      <c r="C69" s="48"/>
      <c r="D69" s="48"/>
      <c r="E69" s="48"/>
      <c r="H69" s="10"/>
      <c r="I69" s="10"/>
    </row>
    <row r="70" spans="1:9" s="11" customFormat="1">
      <c r="A70" s="14"/>
      <c r="C70" s="48"/>
      <c r="D70" s="48"/>
      <c r="E70" s="48"/>
      <c r="H70" s="10"/>
      <c r="I70" s="10"/>
    </row>
    <row r="71" spans="1:9" s="11" customFormat="1">
      <c r="A71" s="14"/>
      <c r="C71" s="48"/>
      <c r="D71" s="48"/>
      <c r="E71" s="48"/>
      <c r="H71" s="10"/>
      <c r="I71" s="10"/>
    </row>
    <row r="72" spans="1:9" s="11" customFormat="1">
      <c r="A72" s="14"/>
      <c r="C72" s="48"/>
      <c r="D72" s="48"/>
      <c r="E72" s="48"/>
      <c r="H72" s="10"/>
      <c r="I72" s="10"/>
    </row>
    <row r="73" spans="1:9" s="11" customFormat="1">
      <c r="A73" s="14"/>
      <c r="C73" s="48"/>
      <c r="D73" s="48"/>
      <c r="E73" s="48"/>
      <c r="H73" s="10"/>
      <c r="I73" s="10"/>
    </row>
    <row r="74" spans="1:9" s="11" customFormat="1">
      <c r="A74" s="14"/>
      <c r="C74" s="48"/>
      <c r="D74" s="48"/>
      <c r="E74" s="48"/>
      <c r="H74" s="10"/>
      <c r="I74" s="10"/>
    </row>
    <row r="75" spans="1:9" s="11" customFormat="1">
      <c r="A75" s="14"/>
      <c r="C75" s="48"/>
      <c r="D75" s="48"/>
      <c r="E75" s="48"/>
      <c r="H75" s="10"/>
      <c r="I75" s="10"/>
    </row>
    <row r="76" spans="1:9" s="11" customFormat="1">
      <c r="A76" s="14"/>
      <c r="C76" s="48"/>
      <c r="D76" s="48"/>
      <c r="E76" s="48"/>
      <c r="H76" s="10"/>
      <c r="I76" s="10"/>
    </row>
    <row r="77" spans="1:9" s="11" customFormat="1">
      <c r="A77" s="14"/>
      <c r="C77" s="48"/>
      <c r="D77" s="48"/>
      <c r="E77" s="48"/>
      <c r="H77" s="10"/>
      <c r="I77" s="10"/>
    </row>
    <row r="78" spans="1:9" s="11" customFormat="1">
      <c r="A78" s="14"/>
      <c r="C78" s="48"/>
      <c r="D78" s="48"/>
      <c r="E78" s="48"/>
      <c r="H78" s="10"/>
      <c r="I78" s="10"/>
    </row>
    <row r="79" spans="1:9" s="11" customFormat="1">
      <c r="A79" s="14"/>
      <c r="C79" s="48"/>
      <c r="D79" s="48"/>
      <c r="E79" s="48"/>
      <c r="H79" s="10"/>
      <c r="I79" s="10"/>
    </row>
    <row r="80" spans="1:9" s="11" customFormat="1">
      <c r="A80" s="14"/>
      <c r="C80" s="48"/>
      <c r="D80" s="48"/>
      <c r="E80" s="48"/>
      <c r="H80" s="10"/>
      <c r="I80" s="10"/>
    </row>
    <row r="81" spans="1:9" s="11" customFormat="1">
      <c r="A81" s="14"/>
      <c r="C81" s="48"/>
      <c r="D81" s="48"/>
      <c r="E81" s="48"/>
      <c r="H81" s="10"/>
      <c r="I81" s="10"/>
    </row>
    <row r="82" spans="1:9" s="11" customFormat="1">
      <c r="A82" s="14"/>
      <c r="C82" s="48"/>
      <c r="D82" s="48"/>
      <c r="E82" s="48"/>
      <c r="H82" s="10"/>
      <c r="I82" s="10"/>
    </row>
    <row r="83" spans="1:9" s="11" customFormat="1">
      <c r="A83" s="14"/>
      <c r="C83" s="48"/>
      <c r="D83" s="48"/>
      <c r="E83" s="48"/>
      <c r="H83" s="10"/>
      <c r="I83" s="10"/>
    </row>
    <row r="84" spans="1:9" s="11" customFormat="1">
      <c r="A84" s="14"/>
      <c r="C84" s="48"/>
      <c r="D84" s="48"/>
      <c r="E84" s="48"/>
      <c r="H84" s="10"/>
      <c r="I84" s="10"/>
    </row>
    <row r="85" spans="1:9" s="11" customFormat="1">
      <c r="A85" s="14"/>
      <c r="C85" s="48"/>
      <c r="D85" s="48"/>
      <c r="E85" s="48"/>
      <c r="H85" s="10"/>
      <c r="I85" s="10"/>
    </row>
    <row r="86" spans="1:9" s="11" customFormat="1">
      <c r="A86" s="14"/>
      <c r="C86" s="48"/>
      <c r="D86" s="48"/>
      <c r="E86" s="48"/>
      <c r="H86" s="10"/>
      <c r="I86" s="10"/>
    </row>
    <row r="87" spans="1:9" s="11" customFormat="1">
      <c r="A87" s="14"/>
      <c r="C87" s="48"/>
      <c r="D87" s="48"/>
      <c r="E87" s="48"/>
      <c r="H87" s="10"/>
      <c r="I87" s="10"/>
    </row>
    <row r="88" spans="1:9" s="11" customFormat="1">
      <c r="A88" s="14"/>
      <c r="C88" s="48"/>
      <c r="D88" s="48"/>
      <c r="E88" s="48"/>
      <c r="H88" s="10"/>
      <c r="I88" s="10"/>
    </row>
    <row r="89" spans="1:9" s="11" customFormat="1">
      <c r="A89" s="14"/>
      <c r="C89" s="48"/>
      <c r="D89" s="48"/>
      <c r="E89" s="48"/>
      <c r="H89" s="10"/>
      <c r="I89" s="10"/>
    </row>
    <row r="90" spans="1:9" s="11" customFormat="1">
      <c r="A90" s="14"/>
      <c r="C90" s="48"/>
      <c r="D90" s="48"/>
      <c r="E90" s="48"/>
      <c r="H90" s="10"/>
      <c r="I90" s="10"/>
    </row>
    <row r="91" spans="1:9" s="11" customFormat="1">
      <c r="A91" s="14"/>
      <c r="C91" s="48"/>
      <c r="D91" s="48"/>
      <c r="E91" s="48"/>
      <c r="H91" s="10"/>
      <c r="I91" s="10"/>
    </row>
    <row r="92" spans="1:9" s="11" customFormat="1">
      <c r="A92" s="14"/>
      <c r="C92" s="48"/>
      <c r="D92" s="48"/>
      <c r="E92" s="48"/>
      <c r="H92" s="10"/>
      <c r="I92" s="10"/>
    </row>
    <row r="93" spans="1:9" s="11" customFormat="1">
      <c r="A93" s="14"/>
      <c r="C93" s="48"/>
      <c r="D93" s="48"/>
      <c r="E93" s="48"/>
      <c r="H93" s="10"/>
      <c r="I93" s="10"/>
    </row>
    <row r="94" spans="1:9" s="11" customFormat="1">
      <c r="A94" s="14"/>
      <c r="C94" s="48"/>
      <c r="D94" s="48"/>
      <c r="E94" s="48"/>
      <c r="H94" s="10"/>
      <c r="I94" s="10"/>
    </row>
    <row r="95" spans="1:9" s="11" customFormat="1">
      <c r="A95" s="14"/>
      <c r="C95" s="48"/>
      <c r="D95" s="48"/>
      <c r="E95" s="48"/>
      <c r="H95" s="10"/>
      <c r="I95" s="10"/>
    </row>
    <row r="96" spans="1:9" s="11" customFormat="1">
      <c r="A96" s="14"/>
      <c r="C96" s="48"/>
      <c r="D96" s="48"/>
      <c r="E96" s="48"/>
      <c r="H96" s="10"/>
      <c r="I96" s="10"/>
    </row>
    <row r="97" spans="1:9" s="11" customFormat="1">
      <c r="A97" s="14"/>
      <c r="C97" s="48"/>
      <c r="D97" s="48"/>
      <c r="E97" s="48"/>
      <c r="H97" s="10"/>
      <c r="I97" s="10"/>
    </row>
    <row r="98" spans="1:9" s="11" customFormat="1">
      <c r="A98" s="14"/>
      <c r="C98" s="48"/>
      <c r="D98" s="48"/>
      <c r="E98" s="48"/>
      <c r="H98" s="10"/>
      <c r="I98" s="10"/>
    </row>
    <row r="99" spans="1:9" s="11" customFormat="1">
      <c r="A99" s="14"/>
      <c r="C99" s="48"/>
      <c r="D99" s="48"/>
      <c r="E99" s="48"/>
      <c r="H99" s="10"/>
      <c r="I99" s="10"/>
    </row>
    <row r="100" spans="1:9" s="11" customFormat="1">
      <c r="A100" s="14"/>
      <c r="C100" s="48"/>
      <c r="D100" s="48"/>
      <c r="E100" s="48"/>
      <c r="H100" s="10"/>
      <c r="I100" s="10"/>
    </row>
    <row r="101" spans="1:9" s="11" customFormat="1">
      <c r="A101" s="14"/>
      <c r="C101" s="48"/>
      <c r="D101" s="48"/>
      <c r="E101" s="48"/>
      <c r="H101" s="10"/>
      <c r="I101" s="10"/>
    </row>
    <row r="102" spans="1:9" s="11" customFormat="1">
      <c r="A102" s="14"/>
      <c r="C102" s="48"/>
      <c r="D102" s="48"/>
      <c r="E102" s="48"/>
      <c r="H102" s="10"/>
      <c r="I102" s="10"/>
    </row>
    <row r="103" spans="1:9" s="11" customFormat="1">
      <c r="A103" s="14"/>
      <c r="C103" s="48"/>
      <c r="D103" s="48"/>
      <c r="E103" s="48"/>
      <c r="H103" s="10"/>
      <c r="I103" s="10"/>
    </row>
    <row r="104" spans="1:9" s="11" customFormat="1">
      <c r="A104" s="14"/>
      <c r="C104" s="48"/>
      <c r="D104" s="48"/>
      <c r="E104" s="48"/>
      <c r="H104" s="10"/>
      <c r="I104" s="10"/>
    </row>
    <row r="105" spans="1:9" s="11" customFormat="1">
      <c r="A105" s="14"/>
      <c r="C105" s="48"/>
      <c r="D105" s="48"/>
      <c r="E105" s="48"/>
      <c r="H105" s="10"/>
      <c r="I105" s="10"/>
    </row>
    <row r="106" spans="1:9" s="11" customFormat="1">
      <c r="A106" s="14"/>
      <c r="C106" s="48"/>
      <c r="D106" s="48"/>
      <c r="E106" s="48"/>
      <c r="H106" s="10"/>
      <c r="I106" s="10"/>
    </row>
    <row r="107" spans="1:9" s="11" customFormat="1">
      <c r="A107" s="14"/>
      <c r="C107" s="48"/>
      <c r="D107" s="48"/>
      <c r="E107" s="48"/>
      <c r="H107" s="10"/>
      <c r="I107" s="10"/>
    </row>
    <row r="108" spans="1:9" s="11" customFormat="1">
      <c r="A108" s="14"/>
      <c r="C108" s="48"/>
      <c r="D108" s="48"/>
      <c r="E108" s="48"/>
      <c r="H108" s="10"/>
      <c r="I108" s="10"/>
    </row>
    <row r="109" spans="1:9" s="11" customFormat="1">
      <c r="A109" s="14"/>
      <c r="C109" s="48"/>
      <c r="D109" s="48"/>
      <c r="E109" s="48"/>
      <c r="H109" s="10"/>
      <c r="I109" s="10"/>
    </row>
    <row r="110" spans="1:9" s="11" customFormat="1">
      <c r="A110" s="14"/>
      <c r="C110" s="48"/>
      <c r="D110" s="48"/>
      <c r="E110" s="48"/>
      <c r="H110" s="10"/>
      <c r="I110" s="10"/>
    </row>
    <row r="111" spans="1:9" s="11" customFormat="1">
      <c r="A111" s="14"/>
      <c r="C111" s="48"/>
      <c r="D111" s="48"/>
      <c r="E111" s="48"/>
      <c r="H111" s="10"/>
      <c r="I111" s="10"/>
    </row>
    <row r="112" spans="1:9" s="11" customFormat="1">
      <c r="A112" s="14"/>
      <c r="C112" s="48"/>
      <c r="D112" s="48"/>
      <c r="E112" s="48"/>
      <c r="H112" s="10"/>
      <c r="I112" s="10"/>
    </row>
    <row r="113" spans="1:9" s="11" customFormat="1">
      <c r="A113" s="14"/>
      <c r="C113" s="48"/>
      <c r="D113" s="48"/>
      <c r="E113" s="48"/>
      <c r="H113" s="10"/>
      <c r="I113" s="10"/>
    </row>
    <row r="114" spans="1:9" s="11" customFormat="1">
      <c r="A114" s="14"/>
      <c r="C114" s="48"/>
      <c r="D114" s="48"/>
      <c r="E114" s="48"/>
      <c r="H114" s="10"/>
      <c r="I114" s="10"/>
    </row>
    <row r="115" spans="1:9" s="11" customFormat="1">
      <c r="A115" s="14"/>
      <c r="C115" s="48"/>
      <c r="D115" s="48"/>
      <c r="E115" s="48"/>
      <c r="H115" s="10"/>
      <c r="I115" s="10"/>
    </row>
    <row r="116" spans="1:9" s="11" customFormat="1">
      <c r="A116" s="14"/>
      <c r="C116" s="48"/>
      <c r="D116" s="48"/>
      <c r="E116" s="48"/>
      <c r="H116" s="10"/>
      <c r="I116" s="10"/>
    </row>
    <row r="117" spans="1:9" s="11" customFormat="1">
      <c r="A117" s="14"/>
      <c r="C117" s="48"/>
      <c r="D117" s="48"/>
      <c r="E117" s="48"/>
      <c r="H117" s="10"/>
      <c r="I117" s="10"/>
    </row>
    <row r="118" spans="1:9" s="11" customFormat="1">
      <c r="A118" s="14"/>
      <c r="C118" s="48"/>
      <c r="D118" s="48"/>
      <c r="E118" s="48"/>
      <c r="H118" s="10"/>
      <c r="I118" s="10"/>
    </row>
    <row r="119" spans="1:9" s="11" customFormat="1">
      <c r="A119" s="14"/>
      <c r="C119" s="48"/>
      <c r="D119" s="48"/>
      <c r="E119" s="48"/>
      <c r="H119" s="10"/>
      <c r="I119" s="10"/>
    </row>
    <row r="120" spans="1:9" s="11" customFormat="1">
      <c r="A120" s="14"/>
      <c r="C120" s="48"/>
      <c r="D120" s="48"/>
      <c r="E120" s="48"/>
      <c r="H120" s="10"/>
      <c r="I120" s="10"/>
    </row>
    <row r="121" spans="1:9" s="11" customFormat="1">
      <c r="A121" s="14"/>
      <c r="C121" s="48"/>
      <c r="D121" s="48"/>
      <c r="E121" s="48"/>
      <c r="H121" s="10"/>
      <c r="I121" s="10"/>
    </row>
    <row r="122" spans="1:9" s="11" customFormat="1">
      <c r="A122" s="14"/>
      <c r="C122" s="48"/>
      <c r="D122" s="48"/>
      <c r="E122" s="48"/>
      <c r="H122" s="10"/>
      <c r="I122" s="10"/>
    </row>
    <row r="123" spans="1:9" s="11" customFormat="1">
      <c r="A123" s="14"/>
      <c r="C123" s="48"/>
      <c r="D123" s="48"/>
      <c r="E123" s="48"/>
      <c r="H123" s="10"/>
      <c r="I123" s="10"/>
    </row>
    <row r="124" spans="1:9" s="11" customFormat="1">
      <c r="A124" s="14"/>
      <c r="C124" s="48"/>
      <c r="D124" s="48"/>
      <c r="E124" s="48"/>
      <c r="H124" s="10"/>
      <c r="I124" s="10"/>
    </row>
    <row r="125" spans="1:9" s="11" customFormat="1">
      <c r="A125" s="14"/>
      <c r="C125" s="48"/>
      <c r="D125" s="48"/>
      <c r="E125" s="48"/>
      <c r="H125" s="10"/>
      <c r="I125" s="10"/>
    </row>
    <row r="126" spans="1:9" s="11" customFormat="1">
      <c r="A126" s="14"/>
      <c r="C126" s="48"/>
      <c r="D126" s="48"/>
      <c r="E126" s="48"/>
      <c r="H126" s="10"/>
      <c r="I126" s="10"/>
    </row>
    <row r="127" spans="1:9" s="11" customFormat="1">
      <c r="A127" s="14"/>
      <c r="C127" s="48"/>
      <c r="D127" s="48"/>
      <c r="E127" s="48"/>
      <c r="H127" s="10"/>
      <c r="I127" s="10"/>
    </row>
    <row r="128" spans="1:9" s="11" customFormat="1">
      <c r="A128" s="14"/>
      <c r="C128" s="48"/>
      <c r="D128" s="48"/>
      <c r="E128" s="48"/>
      <c r="H128" s="10"/>
      <c r="I128" s="10"/>
    </row>
    <row r="129" spans="1:9" s="11" customFormat="1">
      <c r="A129" s="14"/>
      <c r="C129" s="48"/>
      <c r="D129" s="48"/>
      <c r="E129" s="48"/>
      <c r="H129" s="10"/>
      <c r="I129" s="10"/>
    </row>
    <row r="130" spans="1:9" s="11" customFormat="1">
      <c r="A130" s="14"/>
      <c r="C130" s="48"/>
      <c r="D130" s="48"/>
      <c r="E130" s="48"/>
      <c r="H130" s="10"/>
      <c r="I130" s="10"/>
    </row>
    <row r="131" spans="1:9" s="11" customFormat="1">
      <c r="A131" s="14"/>
      <c r="C131" s="48"/>
      <c r="D131" s="48"/>
      <c r="E131" s="48"/>
      <c r="H131" s="10"/>
      <c r="I131" s="10"/>
    </row>
    <row r="132" spans="1:9" s="11" customFormat="1">
      <c r="A132" s="14"/>
      <c r="C132" s="48"/>
      <c r="D132" s="48"/>
      <c r="E132" s="48"/>
      <c r="H132" s="10"/>
      <c r="I132" s="10"/>
    </row>
    <row r="133" spans="1:9" s="11" customFormat="1">
      <c r="A133" s="14"/>
      <c r="C133" s="48"/>
      <c r="D133" s="48"/>
      <c r="E133" s="48"/>
      <c r="H133" s="10"/>
      <c r="I133" s="10"/>
    </row>
    <row r="134" spans="1:9" s="11" customFormat="1">
      <c r="A134" s="14"/>
      <c r="C134" s="48"/>
      <c r="D134" s="48"/>
      <c r="E134" s="48"/>
      <c r="H134" s="10"/>
      <c r="I134" s="10"/>
    </row>
    <row r="135" spans="1:9" s="11" customFormat="1">
      <c r="A135" s="14"/>
      <c r="C135" s="48"/>
      <c r="D135" s="48"/>
      <c r="E135" s="48"/>
      <c r="H135" s="10"/>
      <c r="I135" s="10"/>
    </row>
    <row r="136" spans="1:9" s="11" customFormat="1">
      <c r="A136" s="14"/>
      <c r="C136" s="48"/>
      <c r="D136" s="48"/>
      <c r="E136" s="48"/>
      <c r="H136" s="10"/>
      <c r="I136" s="10"/>
    </row>
    <row r="137" spans="1:9" s="11" customFormat="1">
      <c r="A137" s="14"/>
      <c r="C137" s="48"/>
      <c r="D137" s="48"/>
      <c r="E137" s="48"/>
      <c r="H137" s="10"/>
      <c r="I137" s="10"/>
    </row>
    <row r="138" spans="1:9" s="11" customFormat="1">
      <c r="A138" s="14"/>
      <c r="C138" s="48"/>
      <c r="D138" s="48"/>
      <c r="E138" s="48"/>
      <c r="H138" s="10"/>
      <c r="I138" s="10"/>
    </row>
    <row r="139" spans="1:9" s="11" customFormat="1">
      <c r="A139" s="14"/>
      <c r="C139" s="48"/>
      <c r="D139" s="48"/>
      <c r="E139" s="48"/>
      <c r="H139" s="10"/>
      <c r="I139" s="10"/>
    </row>
    <row r="140" spans="1:9" s="11" customFormat="1">
      <c r="A140" s="14"/>
      <c r="C140" s="48"/>
      <c r="D140" s="48"/>
      <c r="E140" s="48"/>
      <c r="H140" s="10"/>
      <c r="I140" s="10"/>
    </row>
    <row r="141" spans="1:9" s="11" customFormat="1">
      <c r="A141" s="14"/>
      <c r="C141" s="48"/>
      <c r="D141" s="48"/>
      <c r="E141" s="48"/>
      <c r="H141" s="10"/>
      <c r="I141" s="10"/>
    </row>
    <row r="142" spans="1:9" s="11" customFormat="1">
      <c r="A142" s="14"/>
      <c r="C142" s="48"/>
      <c r="D142" s="48"/>
      <c r="E142" s="48"/>
      <c r="H142" s="10"/>
      <c r="I142" s="10"/>
    </row>
    <row r="143" spans="1:9" s="11" customFormat="1">
      <c r="A143" s="14"/>
      <c r="C143" s="48"/>
      <c r="D143" s="48"/>
      <c r="E143" s="48"/>
      <c r="H143" s="10"/>
      <c r="I143" s="10"/>
    </row>
    <row r="144" spans="1:9" s="11" customFormat="1">
      <c r="A144" s="14"/>
      <c r="C144" s="48"/>
      <c r="D144" s="48"/>
      <c r="E144" s="48"/>
      <c r="H144" s="10"/>
      <c r="I144" s="10"/>
    </row>
    <row r="145" spans="1:9" s="11" customFormat="1">
      <c r="A145" s="14"/>
      <c r="C145" s="48"/>
      <c r="D145" s="48"/>
      <c r="E145" s="48"/>
      <c r="H145" s="10"/>
      <c r="I145" s="10"/>
    </row>
    <row r="146" spans="1:9" s="11" customFormat="1">
      <c r="A146" s="14"/>
      <c r="C146" s="48"/>
      <c r="D146" s="48"/>
      <c r="E146" s="48"/>
      <c r="H146" s="10"/>
      <c r="I146" s="10"/>
    </row>
    <row r="147" spans="1:9" s="11" customFormat="1">
      <c r="A147" s="14"/>
      <c r="C147" s="48"/>
      <c r="D147" s="48"/>
      <c r="E147" s="48"/>
      <c r="H147" s="10"/>
      <c r="I147" s="10"/>
    </row>
    <row r="148" spans="1:9" s="11" customFormat="1">
      <c r="A148" s="14"/>
      <c r="C148" s="48"/>
      <c r="D148" s="48"/>
      <c r="E148" s="48"/>
      <c r="H148" s="10"/>
      <c r="I148" s="10"/>
    </row>
    <row r="149" spans="1:9" s="11" customFormat="1">
      <c r="A149" s="14"/>
      <c r="C149" s="48"/>
      <c r="D149" s="48"/>
      <c r="E149" s="48"/>
      <c r="H149" s="10"/>
      <c r="I149" s="10"/>
    </row>
    <row r="150" spans="1:9" s="11" customFormat="1">
      <c r="A150" s="14"/>
      <c r="C150" s="48"/>
      <c r="D150" s="48"/>
      <c r="E150" s="48"/>
      <c r="H150" s="10"/>
      <c r="I150" s="10"/>
    </row>
    <row r="151" spans="1:9" s="11" customFormat="1">
      <c r="A151" s="14"/>
      <c r="C151" s="48"/>
      <c r="D151" s="48"/>
      <c r="E151" s="48"/>
      <c r="H151" s="10"/>
      <c r="I151" s="10"/>
    </row>
    <row r="152" spans="1:9" s="11" customFormat="1">
      <c r="A152" s="14"/>
      <c r="C152" s="48"/>
      <c r="D152" s="48"/>
      <c r="E152" s="48"/>
      <c r="H152" s="10"/>
      <c r="I152" s="10"/>
    </row>
    <row r="153" spans="1:9" s="11" customFormat="1">
      <c r="A153" s="14"/>
      <c r="C153" s="48"/>
      <c r="D153" s="48"/>
      <c r="E153" s="48"/>
      <c r="H153" s="10"/>
      <c r="I153" s="10"/>
    </row>
    <row r="154" spans="1:9" s="11" customFormat="1">
      <c r="A154" s="14"/>
      <c r="C154" s="48"/>
      <c r="D154" s="48"/>
      <c r="E154" s="48"/>
      <c r="H154" s="10"/>
      <c r="I154" s="10"/>
    </row>
    <row r="155" spans="1:9" s="11" customFormat="1">
      <c r="A155" s="14"/>
      <c r="C155" s="48"/>
      <c r="D155" s="48"/>
      <c r="E155" s="48"/>
      <c r="H155" s="10"/>
      <c r="I155" s="10"/>
    </row>
    <row r="156" spans="1:9" s="11" customFormat="1">
      <c r="A156" s="14"/>
      <c r="C156" s="48"/>
      <c r="D156" s="48"/>
      <c r="E156" s="48"/>
      <c r="H156" s="10"/>
      <c r="I156" s="10"/>
    </row>
    <row r="157" spans="1:9" s="11" customFormat="1">
      <c r="A157" s="14"/>
      <c r="C157" s="48"/>
      <c r="D157" s="48"/>
      <c r="E157" s="48"/>
      <c r="H157" s="10"/>
      <c r="I157" s="10"/>
    </row>
    <row r="158" spans="1:9" s="11" customFormat="1">
      <c r="A158" s="14"/>
      <c r="C158" s="48"/>
      <c r="D158" s="48"/>
      <c r="E158" s="48"/>
      <c r="H158" s="10"/>
      <c r="I158" s="10"/>
    </row>
    <row r="159" spans="1:9" s="11" customFormat="1">
      <c r="A159" s="14"/>
      <c r="C159" s="48"/>
      <c r="D159" s="48"/>
      <c r="E159" s="48"/>
      <c r="H159" s="10"/>
      <c r="I159" s="10"/>
    </row>
    <row r="160" spans="1:9" s="11" customFormat="1">
      <c r="A160" s="14"/>
      <c r="C160" s="48"/>
      <c r="D160" s="48"/>
      <c r="E160" s="48"/>
      <c r="H160" s="10"/>
      <c r="I160" s="10"/>
    </row>
    <row r="161" spans="1:9" s="11" customFormat="1">
      <c r="A161" s="14"/>
      <c r="C161" s="48"/>
      <c r="D161" s="48"/>
      <c r="E161" s="48"/>
      <c r="H161" s="10"/>
      <c r="I161" s="10"/>
    </row>
    <row r="162" spans="1:9" s="11" customFormat="1">
      <c r="A162" s="14"/>
      <c r="C162" s="48"/>
      <c r="D162" s="48"/>
      <c r="E162" s="48"/>
      <c r="H162" s="10"/>
      <c r="I162" s="10"/>
    </row>
    <row r="163" spans="1:9" s="11" customFormat="1">
      <c r="A163" s="14"/>
      <c r="C163" s="48"/>
      <c r="D163" s="48"/>
      <c r="E163" s="48"/>
      <c r="H163" s="10"/>
      <c r="I163" s="10"/>
    </row>
    <row r="164" spans="1:9" s="11" customFormat="1">
      <c r="A164" s="14"/>
      <c r="C164" s="48"/>
      <c r="D164" s="48"/>
      <c r="E164" s="48"/>
      <c r="H164" s="10"/>
      <c r="I164" s="10"/>
    </row>
    <row r="165" spans="1:9" s="11" customFormat="1">
      <c r="A165" s="14"/>
      <c r="C165" s="48"/>
      <c r="D165" s="48"/>
      <c r="E165" s="48"/>
      <c r="H165" s="10"/>
      <c r="I165" s="10"/>
    </row>
    <row r="166" spans="1:9" s="11" customFormat="1">
      <c r="A166" s="14"/>
      <c r="C166" s="48"/>
      <c r="D166" s="48"/>
      <c r="E166" s="48"/>
      <c r="H166" s="10"/>
      <c r="I166" s="10"/>
    </row>
    <row r="167" spans="1:9" s="11" customFormat="1">
      <c r="A167" s="14"/>
      <c r="C167" s="48"/>
      <c r="D167" s="48"/>
      <c r="E167" s="48"/>
      <c r="H167" s="10"/>
      <c r="I167" s="10"/>
    </row>
    <row r="168" spans="1:9" s="11" customFormat="1">
      <c r="A168" s="14"/>
      <c r="C168" s="48"/>
      <c r="D168" s="48"/>
      <c r="E168" s="48"/>
      <c r="H168" s="10"/>
      <c r="I168" s="10"/>
    </row>
    <row r="169" spans="1:9" s="11" customFormat="1">
      <c r="A169" s="14"/>
      <c r="C169" s="48"/>
      <c r="D169" s="48"/>
      <c r="E169" s="48"/>
      <c r="H169" s="10"/>
      <c r="I169" s="10"/>
    </row>
    <row r="170" spans="1:9" s="11" customFormat="1">
      <c r="A170" s="14"/>
      <c r="C170" s="48"/>
      <c r="D170" s="48"/>
      <c r="E170" s="48"/>
      <c r="H170" s="10"/>
      <c r="I170" s="10"/>
    </row>
    <row r="171" spans="1:9" s="11" customFormat="1">
      <c r="A171" s="14"/>
      <c r="C171" s="48"/>
      <c r="D171" s="48"/>
      <c r="E171" s="48"/>
      <c r="H171" s="10"/>
      <c r="I171" s="10"/>
    </row>
    <row r="172" spans="1:9" s="11" customFormat="1">
      <c r="A172" s="14"/>
      <c r="C172" s="48"/>
      <c r="D172" s="48"/>
      <c r="E172" s="48"/>
      <c r="H172" s="10"/>
      <c r="I172" s="10"/>
    </row>
    <row r="173" spans="1:9" s="11" customFormat="1">
      <c r="A173" s="14"/>
      <c r="C173" s="48"/>
      <c r="D173" s="48"/>
      <c r="E173" s="48"/>
      <c r="H173" s="10"/>
      <c r="I173" s="10"/>
    </row>
    <row r="174" spans="1:9" s="11" customFormat="1">
      <c r="A174" s="14"/>
      <c r="C174" s="48"/>
      <c r="D174" s="48"/>
      <c r="E174" s="48"/>
      <c r="H174" s="10"/>
      <c r="I174" s="10"/>
    </row>
    <row r="175" spans="1:9" s="11" customFormat="1">
      <c r="A175" s="14"/>
      <c r="C175" s="48"/>
      <c r="D175" s="48"/>
      <c r="E175" s="48"/>
      <c r="H175" s="10"/>
      <c r="I175" s="10"/>
    </row>
    <row r="176" spans="1:9" s="11" customFormat="1">
      <c r="A176" s="14"/>
      <c r="C176" s="48"/>
      <c r="D176" s="48"/>
      <c r="E176" s="48"/>
      <c r="H176" s="10"/>
      <c r="I176" s="10"/>
    </row>
    <row r="177" spans="1:9" s="11" customFormat="1">
      <c r="A177" s="14"/>
      <c r="C177" s="48"/>
      <c r="D177" s="48"/>
      <c r="E177" s="48"/>
      <c r="H177" s="10"/>
      <c r="I177" s="10"/>
    </row>
    <row r="178" spans="1:9" s="11" customFormat="1">
      <c r="A178" s="14"/>
      <c r="C178" s="48"/>
      <c r="D178" s="48"/>
      <c r="E178" s="48"/>
      <c r="H178" s="10"/>
      <c r="I178" s="10"/>
    </row>
    <row r="179" spans="1:9" s="11" customFormat="1">
      <c r="A179" s="14"/>
      <c r="C179" s="48"/>
      <c r="D179" s="48"/>
      <c r="E179" s="48"/>
      <c r="H179" s="10"/>
      <c r="I179" s="10"/>
    </row>
    <row r="180" spans="1:9" s="11" customFormat="1">
      <c r="A180" s="14"/>
      <c r="C180" s="48"/>
      <c r="D180" s="48"/>
      <c r="E180" s="48"/>
      <c r="H180" s="10"/>
      <c r="I180" s="10"/>
    </row>
    <row r="181" spans="1:9" s="11" customFormat="1">
      <c r="A181" s="14"/>
      <c r="C181" s="48"/>
      <c r="D181" s="48"/>
      <c r="E181" s="48"/>
      <c r="H181" s="10"/>
      <c r="I181" s="10"/>
    </row>
    <row r="182" spans="1:9" s="11" customFormat="1">
      <c r="A182" s="14"/>
      <c r="C182" s="48"/>
      <c r="D182" s="48"/>
      <c r="E182" s="48"/>
      <c r="H182" s="10"/>
      <c r="I182" s="10"/>
    </row>
    <row r="183" spans="1:9" s="11" customFormat="1">
      <c r="A183" s="14"/>
      <c r="C183" s="48"/>
      <c r="D183" s="48"/>
      <c r="E183" s="48"/>
      <c r="H183" s="10"/>
      <c r="I183" s="10"/>
    </row>
    <row r="184" spans="1:9" s="11" customFormat="1">
      <c r="A184" s="14"/>
      <c r="C184" s="48"/>
      <c r="D184" s="48"/>
      <c r="E184" s="48"/>
      <c r="H184" s="10"/>
      <c r="I184" s="10"/>
    </row>
    <row r="185" spans="1:9" s="11" customFormat="1">
      <c r="A185" s="14"/>
      <c r="C185" s="48"/>
      <c r="D185" s="48"/>
      <c r="E185" s="48"/>
      <c r="H185" s="10"/>
      <c r="I185" s="10"/>
    </row>
    <row r="186" spans="1:9" s="11" customFormat="1">
      <c r="A186" s="14"/>
      <c r="C186" s="48"/>
      <c r="D186" s="48"/>
      <c r="E186" s="48"/>
      <c r="H186" s="10"/>
      <c r="I186" s="10"/>
    </row>
    <row r="187" spans="1:9" s="11" customFormat="1">
      <c r="A187" s="14"/>
      <c r="C187" s="48"/>
      <c r="D187" s="48"/>
      <c r="E187" s="48"/>
      <c r="H187" s="10"/>
      <c r="I187" s="10"/>
    </row>
    <row r="188" spans="1:9" s="11" customFormat="1">
      <c r="A188" s="14"/>
      <c r="C188" s="48"/>
      <c r="D188" s="48"/>
      <c r="E188" s="48"/>
      <c r="H188" s="10"/>
      <c r="I188" s="10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rintOptions horizontalCentered="1"/>
  <pageMargins left="0.39370078740157483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O95"/>
  <sheetViews>
    <sheetView view="pageBreakPreview" topLeftCell="A57" zoomScale="75" zoomScaleNormal="75" zoomScaleSheetLayoutView="75" workbookViewId="0">
      <selection activeCell="F72" sqref="F72"/>
    </sheetView>
  </sheetViews>
  <sheetFormatPr defaultColWidth="9.1796875" defaultRowHeight="18" outlineLevelRow="1"/>
  <cols>
    <col min="1" max="1" width="60.1796875" style="179" customWidth="1"/>
    <col min="2" max="2" width="12" style="179" customWidth="1"/>
    <col min="3" max="3" width="18.81640625" style="179" customWidth="1"/>
    <col min="4" max="4" width="11" style="179" customWidth="1"/>
    <col min="5" max="5" width="10.7265625" style="179" customWidth="1"/>
    <col min="6" max="6" width="16" style="179" customWidth="1"/>
    <col min="7" max="7" width="14.81640625" style="179" customWidth="1"/>
    <col min="8" max="8" width="8.453125" style="179" customWidth="1"/>
    <col min="9" max="15" width="9.1796875" style="179" hidden="1" customWidth="1"/>
    <col min="16" max="16384" width="9.1796875" style="179"/>
  </cols>
  <sheetData>
    <row r="1" spans="1:7" hidden="1" outlineLevel="1">
      <c r="G1" s="180" t="s">
        <v>241</v>
      </c>
    </row>
    <row r="2" spans="1:7" hidden="1" outlineLevel="1">
      <c r="G2" s="180" t="s">
        <v>227</v>
      </c>
    </row>
    <row r="3" spans="1:7" collapsed="1">
      <c r="A3" s="269" t="s">
        <v>375</v>
      </c>
      <c r="B3" s="269"/>
      <c r="C3" s="269"/>
      <c r="D3" s="269"/>
      <c r="E3" s="269"/>
      <c r="F3" s="269"/>
      <c r="G3" s="269"/>
    </row>
    <row r="4" spans="1:7">
      <c r="A4" s="180"/>
      <c r="B4" s="180"/>
      <c r="C4" s="180"/>
      <c r="D4" s="180"/>
      <c r="E4" s="180"/>
      <c r="F4" s="180"/>
      <c r="G4" s="180"/>
    </row>
    <row r="5" spans="1:7" ht="39" customHeight="1">
      <c r="A5" s="270" t="s">
        <v>287</v>
      </c>
      <c r="B5" s="271" t="s">
        <v>0</v>
      </c>
      <c r="C5" s="263" t="s">
        <v>355</v>
      </c>
      <c r="D5" s="272" t="s">
        <v>353</v>
      </c>
      <c r="E5" s="272"/>
      <c r="F5" s="272"/>
      <c r="G5" s="272"/>
    </row>
    <row r="6" spans="1:7" ht="38.25" customHeight="1">
      <c r="A6" s="270"/>
      <c r="B6" s="271"/>
      <c r="C6" s="264"/>
      <c r="D6" s="181" t="s">
        <v>265</v>
      </c>
      <c r="E6" s="181" t="s">
        <v>248</v>
      </c>
      <c r="F6" s="183" t="s">
        <v>275</v>
      </c>
      <c r="G6" s="183" t="s">
        <v>276</v>
      </c>
    </row>
    <row r="7" spans="1:7">
      <c r="A7" s="181">
        <v>1</v>
      </c>
      <c r="B7" s="182">
        <v>2</v>
      </c>
      <c r="C7" s="181">
        <v>3</v>
      </c>
      <c r="D7" s="181">
        <v>4</v>
      </c>
      <c r="E7" s="182">
        <v>5</v>
      </c>
      <c r="F7" s="181">
        <v>6</v>
      </c>
      <c r="G7" s="182">
        <v>7</v>
      </c>
    </row>
    <row r="8" spans="1:7" s="184" customFormat="1" ht="17.5">
      <c r="A8" s="265" t="s">
        <v>159</v>
      </c>
      <c r="B8" s="266"/>
      <c r="C8" s="266"/>
      <c r="D8" s="266"/>
      <c r="E8" s="266"/>
      <c r="F8" s="266"/>
      <c r="G8" s="267"/>
    </row>
    <row r="9" spans="1:7" ht="36">
      <c r="A9" s="172" t="s">
        <v>178</v>
      </c>
      <c r="B9" s="185">
        <v>1170</v>
      </c>
      <c r="C9" s="186">
        <f>'1. Фін результат'!C155</f>
        <v>-9828</v>
      </c>
      <c r="D9" s="186">
        <f>'1. Фін результат'!D155</f>
        <v>10</v>
      </c>
      <c r="E9" s="186">
        <f>'1. Фін результат'!E155</f>
        <v>2424</v>
      </c>
      <c r="F9" s="186">
        <f>E9-D9</f>
        <v>2414</v>
      </c>
      <c r="G9" s="187">
        <f>E9/D9*100</f>
        <v>24240</v>
      </c>
    </row>
    <row r="10" spans="1:7">
      <c r="A10" s="172" t="s">
        <v>179</v>
      </c>
      <c r="B10" s="188"/>
      <c r="C10" s="189"/>
      <c r="D10" s="189"/>
      <c r="E10" s="189"/>
      <c r="F10" s="186"/>
      <c r="G10" s="187"/>
    </row>
    <row r="11" spans="1:7">
      <c r="A11" s="172" t="s">
        <v>182</v>
      </c>
      <c r="B11" s="190">
        <v>3000</v>
      </c>
      <c r="C11" s="189">
        <f>'1. Фін результат'!C181</f>
        <v>1630</v>
      </c>
      <c r="D11" s="189">
        <f>'1. Фін результат'!D181</f>
        <v>2320</v>
      </c>
      <c r="E11" s="189">
        <f>'1. Фін результат'!E181</f>
        <v>1722</v>
      </c>
      <c r="F11" s="186">
        <f>E11-D11</f>
        <v>-598</v>
      </c>
      <c r="G11" s="187">
        <f>E11/D11*100</f>
        <v>74.224137931034477</v>
      </c>
    </row>
    <row r="12" spans="1:7">
      <c r="A12" s="172" t="s">
        <v>183</v>
      </c>
      <c r="B12" s="190">
        <v>3010</v>
      </c>
      <c r="C12" s="189">
        <v>1219</v>
      </c>
      <c r="D12" s="189"/>
      <c r="E12" s="189">
        <v>-49</v>
      </c>
      <c r="F12" s="186"/>
      <c r="G12" s="187"/>
    </row>
    <row r="13" spans="1:7" ht="36">
      <c r="A13" s="172" t="s">
        <v>184</v>
      </c>
      <c r="B13" s="190">
        <v>3020</v>
      </c>
      <c r="C13" s="189"/>
      <c r="D13" s="189"/>
      <c r="E13" s="189"/>
      <c r="F13" s="186"/>
      <c r="G13" s="187"/>
    </row>
    <row r="14" spans="1:7" ht="36">
      <c r="A14" s="172" t="s">
        <v>185</v>
      </c>
      <c r="B14" s="190">
        <v>3030</v>
      </c>
      <c r="C14" s="189">
        <f>C15+C17+C18</f>
        <v>2356</v>
      </c>
      <c r="D14" s="189">
        <f>D15</f>
        <v>0</v>
      </c>
      <c r="E14" s="189">
        <f>E15+E17+E18</f>
        <v>-25592</v>
      </c>
      <c r="F14" s="186">
        <f>E14-D14</f>
        <v>-25592</v>
      </c>
      <c r="G14" s="187"/>
    </row>
    <row r="15" spans="1:7">
      <c r="A15" s="172" t="s">
        <v>525</v>
      </c>
      <c r="B15" s="190" t="s">
        <v>522</v>
      </c>
      <c r="C15" s="189">
        <v>24060</v>
      </c>
      <c r="D15" s="189">
        <v>0</v>
      </c>
      <c r="E15" s="189">
        <f>21127-E11</f>
        <v>19405</v>
      </c>
      <c r="F15" s="186">
        <f>E15-D15</f>
        <v>19405</v>
      </c>
      <c r="G15" s="187"/>
    </row>
    <row r="16" spans="1:7">
      <c r="A16" s="172" t="s">
        <v>526</v>
      </c>
      <c r="B16" s="190" t="s">
        <v>523</v>
      </c>
      <c r="C16" s="189"/>
      <c r="D16" s="189"/>
      <c r="E16" s="189"/>
      <c r="F16" s="186"/>
      <c r="G16" s="187"/>
    </row>
    <row r="17" spans="1:9">
      <c r="A17" s="172" t="s">
        <v>527</v>
      </c>
      <c r="B17" s="190" t="s">
        <v>524</v>
      </c>
      <c r="C17" s="189">
        <f>-'2. Розрахунки з бюджетом'!C17</f>
        <v>-52</v>
      </c>
      <c r="D17" s="189">
        <f>-'2. Розрахунки з бюджетом'!D17</f>
        <v>0</v>
      </c>
      <c r="E17" s="189">
        <f>-'2. Розрахунки з бюджетом'!E17</f>
        <v>-548</v>
      </c>
      <c r="F17" s="186"/>
      <c r="G17" s="187"/>
    </row>
    <row r="18" spans="1:9">
      <c r="A18" s="172" t="s">
        <v>591</v>
      </c>
      <c r="B18" s="190" t="s">
        <v>590</v>
      </c>
      <c r="C18" s="189">
        <v>-21652</v>
      </c>
      <c r="D18" s="189"/>
      <c r="E18" s="189">
        <f>-40203-E55-4246</f>
        <v>-44449</v>
      </c>
      <c r="F18" s="186"/>
      <c r="G18" s="187"/>
      <c r="H18" s="191"/>
      <c r="I18" s="191"/>
    </row>
    <row r="19" spans="1:9" ht="35">
      <c r="A19" s="175" t="s">
        <v>256</v>
      </c>
      <c r="B19" s="190">
        <v>3040</v>
      </c>
      <c r="C19" s="192">
        <f>C9+C11+C12+C14</f>
        <v>-4623</v>
      </c>
      <c r="D19" s="192">
        <f>SUM(D9:D14)</f>
        <v>2330</v>
      </c>
      <c r="E19" s="192">
        <f>SUM(E9:E14)</f>
        <v>-21495</v>
      </c>
      <c r="F19" s="186">
        <f>E19-D19</f>
        <v>-23825</v>
      </c>
      <c r="G19" s="187">
        <f>E19/D19*100</f>
        <v>-922.53218884120167</v>
      </c>
    </row>
    <row r="20" spans="1:9" ht="36">
      <c r="A20" s="172" t="s">
        <v>186</v>
      </c>
      <c r="B20" s="190">
        <v>3050</v>
      </c>
      <c r="C20" s="189">
        <f>C21+C22+C23+C24</f>
        <v>-10945</v>
      </c>
      <c r="D20" s="189"/>
      <c r="E20" s="189">
        <f>E21+E22+E23+E24</f>
        <v>-19141</v>
      </c>
      <c r="F20" s="189"/>
      <c r="G20" s="193"/>
    </row>
    <row r="21" spans="1:9">
      <c r="A21" s="172" t="s">
        <v>511</v>
      </c>
      <c r="B21" s="190" t="s">
        <v>512</v>
      </c>
      <c r="C21" s="189">
        <v>2221</v>
      </c>
      <c r="D21" s="189"/>
      <c r="E21" s="189">
        <v>-462</v>
      </c>
      <c r="F21" s="189"/>
      <c r="G21" s="193"/>
      <c r="H21" s="194"/>
    </row>
    <row r="22" spans="1:9">
      <c r="A22" s="172" t="s">
        <v>515</v>
      </c>
      <c r="B22" s="190" t="s">
        <v>513</v>
      </c>
      <c r="C22" s="189">
        <v>-14165</v>
      </c>
      <c r="D22" s="189"/>
      <c r="E22" s="189">
        <v>-17010</v>
      </c>
      <c r="F22" s="189"/>
      <c r="G22" s="193"/>
    </row>
    <row r="23" spans="1:9">
      <c r="A23" s="172" t="s">
        <v>516</v>
      </c>
      <c r="B23" s="190" t="s">
        <v>514</v>
      </c>
      <c r="C23" s="189">
        <v>160</v>
      </c>
      <c r="D23" s="189"/>
      <c r="E23" s="189">
        <v>44</v>
      </c>
      <c r="F23" s="189"/>
      <c r="G23" s="193"/>
    </row>
    <row r="24" spans="1:9">
      <c r="A24" s="172" t="s">
        <v>529</v>
      </c>
      <c r="B24" s="190" t="s">
        <v>530</v>
      </c>
      <c r="C24" s="189">
        <v>839</v>
      </c>
      <c r="D24" s="189"/>
      <c r="E24" s="189">
        <v>-1713</v>
      </c>
      <c r="F24" s="189"/>
      <c r="G24" s="193"/>
    </row>
    <row r="25" spans="1:9" ht="36">
      <c r="A25" s="172" t="s">
        <v>187</v>
      </c>
      <c r="B25" s="190">
        <v>3060</v>
      </c>
      <c r="C25" s="189">
        <f>C26+C27+C28</f>
        <v>-4768</v>
      </c>
      <c r="D25" s="189">
        <f>D29</f>
        <v>0</v>
      </c>
      <c r="E25" s="189">
        <f>E26+E28+E27</f>
        <v>13100</v>
      </c>
      <c r="F25" s="189"/>
      <c r="G25" s="193"/>
    </row>
    <row r="26" spans="1:9" ht="36">
      <c r="A26" s="172" t="s">
        <v>517</v>
      </c>
      <c r="B26" s="190" t="s">
        <v>531</v>
      </c>
      <c r="C26" s="189">
        <v>-6991</v>
      </c>
      <c r="D26" s="189"/>
      <c r="E26" s="189">
        <v>10168</v>
      </c>
      <c r="F26" s="189"/>
      <c r="G26" s="193"/>
      <c r="H26" s="179" t="s">
        <v>606</v>
      </c>
    </row>
    <row r="27" spans="1:9">
      <c r="A27" s="172" t="s">
        <v>589</v>
      </c>
      <c r="B27" s="190" t="s">
        <v>532</v>
      </c>
      <c r="C27" s="189"/>
      <c r="D27" s="189"/>
      <c r="E27" s="189"/>
      <c r="F27" s="189"/>
      <c r="G27" s="193"/>
    </row>
    <row r="28" spans="1:9">
      <c r="A28" s="172" t="s">
        <v>518</v>
      </c>
      <c r="B28" s="190" t="s">
        <v>588</v>
      </c>
      <c r="C28" s="189">
        <v>2223</v>
      </c>
      <c r="D28" s="189"/>
      <c r="E28" s="189">
        <v>2932</v>
      </c>
      <c r="F28" s="189"/>
      <c r="G28" s="193"/>
    </row>
    <row r="29" spans="1:9" ht="36">
      <c r="A29" s="172" t="s">
        <v>593</v>
      </c>
      <c r="B29" s="190" t="s">
        <v>594</v>
      </c>
      <c r="C29" s="189"/>
      <c r="D29" s="189"/>
      <c r="E29" s="189"/>
      <c r="F29" s="189"/>
      <c r="G29" s="193"/>
    </row>
    <row r="30" spans="1:9">
      <c r="A30" s="175" t="s">
        <v>180</v>
      </c>
      <c r="B30" s="190">
        <v>3070</v>
      </c>
      <c r="C30" s="192">
        <f>C19+C20+C25</f>
        <v>-20336</v>
      </c>
      <c r="D30" s="192">
        <f>D19+D20+D25</f>
        <v>2330</v>
      </c>
      <c r="E30" s="192">
        <f>E19+E20+E25</f>
        <v>-27536</v>
      </c>
      <c r="F30" s="186">
        <f>E30-D30</f>
        <v>-29866</v>
      </c>
      <c r="G30" s="187">
        <f>E30/D30*100</f>
        <v>-1181.802575107296</v>
      </c>
    </row>
    <row r="31" spans="1:9">
      <c r="A31" s="172" t="s">
        <v>181</v>
      </c>
      <c r="B31" s="190">
        <v>3080</v>
      </c>
      <c r="C31" s="189">
        <f>'1. Фін результат'!C156</f>
        <v>0</v>
      </c>
      <c r="D31" s="189">
        <f>'1. Фін результат'!D156</f>
        <v>1.7999999999999998</v>
      </c>
      <c r="E31" s="189">
        <f>'1. Фін результат'!E156</f>
        <v>436.32</v>
      </c>
      <c r="F31" s="186">
        <f>E31-D31</f>
        <v>434.52</v>
      </c>
      <c r="G31" s="187">
        <f>E31/D31*100</f>
        <v>24240.000000000004</v>
      </c>
    </row>
    <row r="32" spans="1:9" ht="35">
      <c r="A32" s="195" t="s">
        <v>158</v>
      </c>
      <c r="B32" s="190">
        <v>3090</v>
      </c>
      <c r="C32" s="192">
        <f>C30-C31</f>
        <v>-20336</v>
      </c>
      <c r="D32" s="192">
        <f>D30-D31</f>
        <v>2328.1999999999998</v>
      </c>
      <c r="E32" s="192">
        <f>E30-E31</f>
        <v>-27972.32</v>
      </c>
      <c r="F32" s="186">
        <f>E32-D32</f>
        <v>-30300.52</v>
      </c>
      <c r="G32" s="187">
        <f>E32/D32*100</f>
        <v>-1201.4569195086335</v>
      </c>
    </row>
    <row r="33" spans="1:9">
      <c r="A33" s="265" t="s">
        <v>160</v>
      </c>
      <c r="B33" s="266"/>
      <c r="C33" s="266"/>
      <c r="D33" s="266"/>
      <c r="E33" s="266"/>
      <c r="F33" s="266"/>
      <c r="G33" s="267"/>
    </row>
    <row r="34" spans="1:9">
      <c r="A34" s="175" t="s">
        <v>288</v>
      </c>
      <c r="B34" s="185"/>
      <c r="C34" s="186"/>
      <c r="D34" s="186"/>
      <c r="E34" s="186"/>
      <c r="F34" s="186"/>
      <c r="G34" s="187"/>
    </row>
    <row r="35" spans="1:9">
      <c r="A35" s="171" t="s">
        <v>32</v>
      </c>
      <c r="B35" s="185">
        <v>3200</v>
      </c>
      <c r="C35" s="186"/>
      <c r="D35" s="186"/>
      <c r="E35" s="186"/>
      <c r="F35" s="186"/>
      <c r="G35" s="187"/>
    </row>
    <row r="36" spans="1:9">
      <c r="A36" s="171" t="s">
        <v>33</v>
      </c>
      <c r="B36" s="185">
        <v>3210</v>
      </c>
      <c r="C36" s="186"/>
      <c r="D36" s="186"/>
      <c r="E36" s="186"/>
      <c r="F36" s="186"/>
      <c r="G36" s="187"/>
    </row>
    <row r="37" spans="1:9">
      <c r="A37" s="171" t="s">
        <v>54</v>
      </c>
      <c r="B37" s="185">
        <v>3220</v>
      </c>
      <c r="C37" s="186"/>
      <c r="D37" s="186"/>
      <c r="E37" s="186"/>
      <c r="F37" s="186"/>
      <c r="G37" s="187"/>
    </row>
    <row r="38" spans="1:9">
      <c r="A38" s="172" t="s">
        <v>164</v>
      </c>
      <c r="B38" s="185"/>
      <c r="C38" s="186"/>
      <c r="D38" s="186"/>
      <c r="E38" s="186"/>
      <c r="F38" s="186"/>
      <c r="G38" s="187"/>
    </row>
    <row r="39" spans="1:9">
      <c r="A39" s="171" t="s">
        <v>165</v>
      </c>
      <c r="B39" s="185">
        <v>3230</v>
      </c>
      <c r="C39" s="186"/>
      <c r="D39" s="186"/>
      <c r="E39" s="186"/>
      <c r="F39" s="186"/>
      <c r="G39" s="187"/>
    </row>
    <row r="40" spans="1:9">
      <c r="A40" s="171" t="s">
        <v>166</v>
      </c>
      <c r="B40" s="185">
        <v>3240</v>
      </c>
      <c r="C40" s="186"/>
      <c r="D40" s="186"/>
      <c r="E40" s="186"/>
      <c r="F40" s="186"/>
      <c r="G40" s="187"/>
    </row>
    <row r="41" spans="1:9">
      <c r="A41" s="172" t="s">
        <v>167</v>
      </c>
      <c r="B41" s="185">
        <v>3250</v>
      </c>
      <c r="C41" s="186"/>
      <c r="D41" s="186"/>
      <c r="E41" s="186"/>
      <c r="F41" s="186"/>
      <c r="G41" s="187"/>
    </row>
    <row r="42" spans="1:9">
      <c r="A42" s="171" t="s">
        <v>118</v>
      </c>
      <c r="B42" s="185">
        <v>3260</v>
      </c>
      <c r="C42" s="186"/>
      <c r="D42" s="186"/>
      <c r="E42" s="186"/>
      <c r="F42" s="186"/>
      <c r="G42" s="187"/>
    </row>
    <row r="43" spans="1:9">
      <c r="A43" s="175" t="s">
        <v>289</v>
      </c>
      <c r="B43" s="185"/>
      <c r="C43" s="186"/>
      <c r="D43" s="186"/>
      <c r="E43" s="186"/>
      <c r="F43" s="186"/>
      <c r="G43" s="187"/>
    </row>
    <row r="44" spans="1:9" ht="36">
      <c r="A44" s="171" t="s">
        <v>119</v>
      </c>
      <c r="B44" s="185">
        <v>3270</v>
      </c>
      <c r="C44" s="186"/>
      <c r="D44" s="186"/>
      <c r="E44" s="186"/>
      <c r="F44" s="186"/>
      <c r="G44" s="187"/>
      <c r="H44" s="191"/>
      <c r="I44" s="191"/>
    </row>
    <row r="45" spans="1:9">
      <c r="A45" s="171" t="s">
        <v>482</v>
      </c>
      <c r="B45" s="185" t="s">
        <v>479</v>
      </c>
      <c r="C45" s="186"/>
      <c r="D45" s="186"/>
      <c r="E45" s="186"/>
      <c r="F45" s="186"/>
      <c r="G45" s="187"/>
    </row>
    <row r="46" spans="1:9">
      <c r="A46" s="171" t="s">
        <v>481</v>
      </c>
      <c r="B46" s="185" t="s">
        <v>480</v>
      </c>
      <c r="C46" s="186"/>
      <c r="D46" s="186"/>
      <c r="E46" s="186"/>
      <c r="F46" s="186"/>
      <c r="G46" s="187"/>
    </row>
    <row r="47" spans="1:9">
      <c r="A47" s="171" t="s">
        <v>601</v>
      </c>
      <c r="B47" s="185" t="s">
        <v>533</v>
      </c>
      <c r="C47" s="186"/>
      <c r="D47" s="186"/>
      <c r="E47" s="186"/>
      <c r="F47" s="186"/>
      <c r="G47" s="187"/>
    </row>
    <row r="48" spans="1:9">
      <c r="A48" s="171" t="s">
        <v>120</v>
      </c>
      <c r="B48" s="185">
        <v>3280</v>
      </c>
      <c r="C48" s="186"/>
      <c r="D48" s="186"/>
      <c r="E48" s="186"/>
      <c r="F48" s="186"/>
      <c r="G48" s="187"/>
    </row>
    <row r="49" spans="1:8" ht="36">
      <c r="A49" s="171" t="s">
        <v>121</v>
      </c>
      <c r="B49" s="185">
        <v>3290</v>
      </c>
      <c r="C49" s="186">
        <f>C51</f>
        <v>13300</v>
      </c>
      <c r="D49" s="186"/>
      <c r="E49" s="186">
        <f>E51</f>
        <v>0</v>
      </c>
      <c r="F49" s="186">
        <f>E49-D49</f>
        <v>0</v>
      </c>
      <c r="G49" s="187"/>
    </row>
    <row r="50" spans="1:8" hidden="1">
      <c r="A50" s="171" t="s">
        <v>484</v>
      </c>
      <c r="B50" s="185" t="s">
        <v>483</v>
      </c>
      <c r="C50" s="186"/>
      <c r="D50" s="186"/>
      <c r="E50" s="186"/>
      <c r="F50" s="186">
        <f>E50-D50</f>
        <v>0</v>
      </c>
      <c r="G50" s="187"/>
    </row>
    <row r="51" spans="1:8" ht="36">
      <c r="A51" s="171" t="s">
        <v>600</v>
      </c>
      <c r="B51" s="185" t="s">
        <v>483</v>
      </c>
      <c r="C51" s="186">
        <v>13300</v>
      </c>
      <c r="D51" s="186"/>
      <c r="E51" s="186"/>
      <c r="F51" s="186">
        <f>E51-D51</f>
        <v>0</v>
      </c>
      <c r="G51" s="187"/>
      <c r="H51" s="196"/>
    </row>
    <row r="52" spans="1:8" ht="36">
      <c r="A52" s="171" t="s">
        <v>559</v>
      </c>
      <c r="B52" s="185" t="s">
        <v>555</v>
      </c>
      <c r="C52" s="186"/>
      <c r="D52" s="186"/>
      <c r="E52" s="186"/>
      <c r="F52" s="186"/>
      <c r="G52" s="187"/>
    </row>
    <row r="53" spans="1:8">
      <c r="A53" s="171" t="s">
        <v>55</v>
      </c>
      <c r="B53" s="185">
        <v>3300</v>
      </c>
      <c r="C53" s="186"/>
      <c r="D53" s="186"/>
      <c r="E53" s="186"/>
      <c r="F53" s="186"/>
      <c r="G53" s="187"/>
    </row>
    <row r="54" spans="1:8">
      <c r="A54" s="171" t="s">
        <v>113</v>
      </c>
      <c r="B54" s="185">
        <v>3310</v>
      </c>
      <c r="C54" s="186"/>
      <c r="D54" s="186"/>
      <c r="E54" s="186"/>
      <c r="F54" s="186"/>
      <c r="G54" s="187"/>
    </row>
    <row r="55" spans="1:8">
      <c r="A55" s="175" t="s">
        <v>161</v>
      </c>
      <c r="B55" s="185">
        <v>3320</v>
      </c>
      <c r="C55" s="186">
        <f>(C35+C36+C37+C39+C40+C41+C42)-(C44+C49)</f>
        <v>-13300</v>
      </c>
      <c r="D55" s="186">
        <f>(D35+D36+D37+D39+D40+D41+D42)-(D44+D49+D81)</f>
        <v>0</v>
      </c>
      <c r="E55" s="186">
        <f>(E35+E36+E37+E39+E40+E41+E42)-(E44+E49)</f>
        <v>0</v>
      </c>
      <c r="F55" s="186">
        <f>E55-D55</f>
        <v>0</v>
      </c>
      <c r="G55" s="187"/>
    </row>
    <row r="56" spans="1:8">
      <c r="A56" s="265" t="s">
        <v>162</v>
      </c>
      <c r="B56" s="266"/>
      <c r="C56" s="266"/>
      <c r="D56" s="266"/>
      <c r="E56" s="266"/>
      <c r="F56" s="266"/>
      <c r="G56" s="267"/>
    </row>
    <row r="57" spans="1:8">
      <c r="A57" s="175" t="s">
        <v>288</v>
      </c>
      <c r="B57" s="185"/>
      <c r="C57" s="186"/>
      <c r="D57" s="186"/>
      <c r="E57" s="186"/>
      <c r="F57" s="186"/>
      <c r="G57" s="187"/>
    </row>
    <row r="58" spans="1:8">
      <c r="A58" s="172" t="s">
        <v>168</v>
      </c>
      <c r="B58" s="185">
        <v>3400</v>
      </c>
      <c r="C58" s="186"/>
      <c r="D58" s="186"/>
      <c r="E58" s="186"/>
      <c r="F58" s="186"/>
      <c r="G58" s="187"/>
    </row>
    <row r="59" spans="1:8" ht="36">
      <c r="A59" s="171" t="s">
        <v>91</v>
      </c>
      <c r="B59" s="188"/>
      <c r="C59" s="197"/>
      <c r="D59" s="197"/>
      <c r="E59" s="197"/>
      <c r="F59" s="197"/>
      <c r="G59" s="188"/>
    </row>
    <row r="60" spans="1:8">
      <c r="A60" s="171" t="s">
        <v>90</v>
      </c>
      <c r="B60" s="185">
        <v>3410</v>
      </c>
      <c r="C60" s="186"/>
      <c r="D60" s="186"/>
      <c r="E60" s="186"/>
      <c r="F60" s="186"/>
      <c r="G60" s="187"/>
    </row>
    <row r="61" spans="1:8">
      <c r="A61" s="171" t="s">
        <v>95</v>
      </c>
      <c r="B61" s="190">
        <v>3420</v>
      </c>
      <c r="C61" s="189"/>
      <c r="D61" s="189"/>
      <c r="E61" s="189"/>
      <c r="F61" s="189"/>
      <c r="G61" s="193"/>
    </row>
    <row r="62" spans="1:8">
      <c r="A62" s="171" t="s">
        <v>122</v>
      </c>
      <c r="B62" s="185">
        <v>3430</v>
      </c>
      <c r="C62" s="186"/>
      <c r="D62" s="186"/>
      <c r="E62" s="186"/>
      <c r="F62" s="186"/>
      <c r="G62" s="187"/>
    </row>
    <row r="63" spans="1:8" ht="36">
      <c r="A63" s="171" t="s">
        <v>93</v>
      </c>
      <c r="B63" s="185"/>
      <c r="C63" s="186"/>
      <c r="D63" s="186"/>
      <c r="E63" s="186"/>
      <c r="F63" s="186"/>
      <c r="G63" s="187"/>
    </row>
    <row r="64" spans="1:8">
      <c r="A64" s="171" t="s">
        <v>90</v>
      </c>
      <c r="B64" s="190">
        <v>3440</v>
      </c>
      <c r="C64" s="189"/>
      <c r="D64" s="189"/>
      <c r="E64" s="189"/>
      <c r="F64" s="189"/>
      <c r="G64" s="193"/>
    </row>
    <row r="65" spans="1:9">
      <c r="A65" s="171" t="s">
        <v>95</v>
      </c>
      <c r="B65" s="190">
        <v>3450</v>
      </c>
      <c r="C65" s="189"/>
      <c r="D65" s="189"/>
      <c r="E65" s="189"/>
      <c r="F65" s="189"/>
      <c r="G65" s="193"/>
    </row>
    <row r="66" spans="1:9">
      <c r="A66" s="171" t="s">
        <v>122</v>
      </c>
      <c r="B66" s="190">
        <v>3460</v>
      </c>
      <c r="C66" s="189"/>
      <c r="D66" s="189"/>
      <c r="E66" s="189"/>
      <c r="F66" s="189"/>
      <c r="G66" s="193"/>
    </row>
    <row r="67" spans="1:9">
      <c r="A67" s="171" t="s">
        <v>117</v>
      </c>
      <c r="B67" s="190">
        <v>3470</v>
      </c>
      <c r="C67" s="189"/>
      <c r="D67" s="189"/>
      <c r="E67" s="189"/>
      <c r="F67" s="189"/>
      <c r="G67" s="193"/>
      <c r="H67" s="191"/>
      <c r="I67" s="191"/>
    </row>
    <row r="68" spans="1:9">
      <c r="A68" s="171" t="s">
        <v>118</v>
      </c>
      <c r="B68" s="190">
        <v>3480</v>
      </c>
      <c r="C68" s="189">
        <f>C69</f>
        <v>13300</v>
      </c>
      <c r="D68" s="189">
        <f>D69</f>
        <v>0</v>
      </c>
      <c r="E68" s="189">
        <f>E69</f>
        <v>24074</v>
      </c>
      <c r="F68" s="189"/>
      <c r="G68" s="193"/>
    </row>
    <row r="69" spans="1:9" ht="36">
      <c r="A69" s="171" t="s">
        <v>595</v>
      </c>
      <c r="B69" s="190" t="s">
        <v>485</v>
      </c>
      <c r="C69" s="189">
        <v>13300</v>
      </c>
      <c r="D69" s="189"/>
      <c r="E69" s="189">
        <v>24074</v>
      </c>
      <c r="F69" s="189"/>
      <c r="G69" s="193"/>
      <c r="H69" s="196"/>
      <c r="I69" s="191"/>
    </row>
    <row r="70" spans="1:9">
      <c r="A70" s="175" t="s">
        <v>289</v>
      </c>
      <c r="B70" s="185"/>
      <c r="C70" s="186"/>
      <c r="D70" s="186"/>
      <c r="E70" s="186"/>
      <c r="F70" s="186"/>
      <c r="G70" s="187"/>
    </row>
    <row r="71" spans="1:9" ht="36">
      <c r="A71" s="171" t="s">
        <v>359</v>
      </c>
      <c r="B71" s="185">
        <v>3490</v>
      </c>
      <c r="C71" s="186">
        <f>'2. Розрахунки з бюджетом'!C21</f>
        <v>0</v>
      </c>
      <c r="D71" s="186">
        <f>'2. Розрахунки з бюджетом'!D21</f>
        <v>1.2299999999999998</v>
      </c>
      <c r="E71" s="186">
        <f>'2. Розрахунки з бюджетом'!E10</f>
        <v>298.15199999999999</v>
      </c>
      <c r="F71" s="186">
        <f>E71-D71</f>
        <v>296.92199999999997</v>
      </c>
      <c r="G71" s="187">
        <f>E71/D71*100</f>
        <v>24240.000000000004</v>
      </c>
    </row>
    <row r="72" spans="1:9" ht="90">
      <c r="A72" s="171" t="s">
        <v>486</v>
      </c>
      <c r="B72" s="185">
        <v>3500</v>
      </c>
      <c r="C72" s="186">
        <f>'2. Розрахунки з бюджетом'!C22</f>
        <v>0</v>
      </c>
      <c r="D72" s="186">
        <f>'2. Розрахунки з бюджетом'!D22</f>
        <v>4</v>
      </c>
      <c r="E72" s="186">
        <f>'2. Розрахунки з бюджетом'!E11</f>
        <v>1013.7167999999999</v>
      </c>
      <c r="F72" s="186">
        <f>E72-D72</f>
        <v>1009.7167999999999</v>
      </c>
      <c r="G72" s="187">
        <f>E72/D72*100</f>
        <v>25342.92</v>
      </c>
    </row>
    <row r="73" spans="1:9" ht="36">
      <c r="A73" s="171" t="s">
        <v>94</v>
      </c>
      <c r="B73" s="185"/>
      <c r="C73" s="186"/>
      <c r="D73" s="186"/>
      <c r="E73" s="186"/>
      <c r="F73" s="186"/>
      <c r="G73" s="187"/>
    </row>
    <row r="74" spans="1:9">
      <c r="A74" s="171" t="s">
        <v>90</v>
      </c>
      <c r="B74" s="190">
        <v>3510</v>
      </c>
      <c r="C74" s="189"/>
      <c r="D74" s="189"/>
      <c r="E74" s="189"/>
      <c r="F74" s="189"/>
      <c r="G74" s="193"/>
    </row>
    <row r="75" spans="1:9">
      <c r="A75" s="171" t="s">
        <v>95</v>
      </c>
      <c r="B75" s="190">
        <v>3520</v>
      </c>
      <c r="C75" s="189"/>
      <c r="D75" s="189"/>
      <c r="E75" s="189"/>
      <c r="F75" s="189"/>
      <c r="G75" s="193"/>
    </row>
    <row r="76" spans="1:9">
      <c r="A76" s="171" t="s">
        <v>122</v>
      </c>
      <c r="B76" s="190">
        <v>3530</v>
      </c>
      <c r="C76" s="189"/>
      <c r="D76" s="189"/>
      <c r="E76" s="189"/>
      <c r="F76" s="189"/>
      <c r="G76" s="193"/>
    </row>
    <row r="77" spans="1:9" ht="36">
      <c r="A77" s="171" t="s">
        <v>92</v>
      </c>
      <c r="B77" s="185"/>
      <c r="C77" s="186"/>
      <c r="D77" s="186"/>
      <c r="E77" s="186"/>
      <c r="F77" s="186"/>
      <c r="G77" s="187"/>
    </row>
    <row r="78" spans="1:9">
      <c r="A78" s="171" t="s">
        <v>90</v>
      </c>
      <c r="B78" s="190">
        <v>3540</v>
      </c>
      <c r="C78" s="189"/>
      <c r="D78" s="189"/>
      <c r="E78" s="189"/>
      <c r="F78" s="189"/>
      <c r="G78" s="193"/>
    </row>
    <row r="79" spans="1:9">
      <c r="A79" s="171" t="s">
        <v>95</v>
      </c>
      <c r="B79" s="190">
        <v>3550</v>
      </c>
      <c r="C79" s="189"/>
      <c r="D79" s="189"/>
      <c r="E79" s="189"/>
      <c r="F79" s="189"/>
      <c r="G79" s="193"/>
    </row>
    <row r="80" spans="1:9">
      <c r="A80" s="171" t="s">
        <v>122</v>
      </c>
      <c r="B80" s="190">
        <v>3560</v>
      </c>
      <c r="C80" s="189"/>
      <c r="D80" s="189"/>
      <c r="E80" s="189"/>
      <c r="F80" s="189"/>
      <c r="G80" s="193"/>
    </row>
    <row r="81" spans="1:9">
      <c r="A81" s="171" t="s">
        <v>113</v>
      </c>
      <c r="B81" s="190">
        <v>3570</v>
      </c>
      <c r="C81" s="189">
        <f>C83</f>
        <v>-8571</v>
      </c>
      <c r="D81" s="189"/>
      <c r="E81" s="189"/>
      <c r="F81" s="189"/>
      <c r="G81" s="193"/>
    </row>
    <row r="82" spans="1:9">
      <c r="A82" s="171" t="s">
        <v>489</v>
      </c>
      <c r="B82" s="190" t="s">
        <v>487</v>
      </c>
      <c r="C82" s="189"/>
      <c r="D82" s="189"/>
      <c r="E82" s="189"/>
      <c r="F82" s="189"/>
      <c r="G82" s="193"/>
    </row>
    <row r="83" spans="1:9">
      <c r="A83" s="171" t="s">
        <v>490</v>
      </c>
      <c r="B83" s="190" t="s">
        <v>488</v>
      </c>
      <c r="C83" s="189">
        <v>-8571</v>
      </c>
      <c r="D83" s="189"/>
      <c r="E83" s="189"/>
      <c r="F83" s="189"/>
      <c r="G83" s="193"/>
    </row>
    <row r="84" spans="1:9">
      <c r="A84" s="175" t="s">
        <v>163</v>
      </c>
      <c r="B84" s="190">
        <v>3580</v>
      </c>
      <c r="C84" s="192">
        <f>(C58+C60+C61+C62+C64+C65+C66+C67+C68)-(C71+C72+C81)</f>
        <v>21871</v>
      </c>
      <c r="D84" s="192">
        <f>(D58+D60+D61+D62+D64+D65+D66+D67+D68)-(D71+D72+D81)</f>
        <v>-5.2299999999999995</v>
      </c>
      <c r="E84" s="192">
        <f>(E58+E60+E61+E62+E64+E65+E66+E67+E68)-(E71+E72+E81)</f>
        <v>22762.1312</v>
      </c>
      <c r="F84" s="186">
        <f>E84-D84</f>
        <v>22767.361199999999</v>
      </c>
      <c r="G84" s="187">
        <f>E84/D84*100</f>
        <v>-435222.3938814532</v>
      </c>
    </row>
    <row r="85" spans="1:9" s="196" customFormat="1">
      <c r="A85" s="171" t="s">
        <v>321</v>
      </c>
      <c r="B85" s="190"/>
      <c r="C85" s="189"/>
      <c r="D85" s="189"/>
      <c r="E85" s="189"/>
      <c r="F85" s="186"/>
      <c r="G85" s="187"/>
    </row>
    <row r="86" spans="1:9" s="196" customFormat="1">
      <c r="A86" s="195" t="s">
        <v>34</v>
      </c>
      <c r="B86" s="190">
        <v>3600</v>
      </c>
      <c r="C86" s="189">
        <v>30806</v>
      </c>
      <c r="D86" s="189">
        <v>25889</v>
      </c>
      <c r="E86" s="189">
        <v>27620</v>
      </c>
      <c r="F86" s="186">
        <f>E86-D86</f>
        <v>1731</v>
      </c>
      <c r="G86" s="187">
        <f>E86/D86*100</f>
        <v>106.68623739812276</v>
      </c>
    </row>
    <row r="87" spans="1:9" s="196" customFormat="1">
      <c r="A87" s="198" t="s">
        <v>290</v>
      </c>
      <c r="B87" s="190">
        <v>3610</v>
      </c>
      <c r="C87" s="189"/>
      <c r="D87" s="189"/>
      <c r="E87" s="189"/>
      <c r="F87" s="186"/>
      <c r="G87" s="187"/>
    </row>
    <row r="88" spans="1:9" s="196" customFormat="1">
      <c r="A88" s="195" t="s">
        <v>56</v>
      </c>
      <c r="B88" s="190">
        <v>3620</v>
      </c>
      <c r="C88" s="192">
        <f>C86+C32+C55+C84</f>
        <v>19041</v>
      </c>
      <c r="D88" s="192">
        <f>D86+D32+D55+D84</f>
        <v>28211.97</v>
      </c>
      <c r="E88" s="192">
        <f>E86+E32+E55+E84</f>
        <v>22409.8112</v>
      </c>
      <c r="F88" s="186">
        <f>E88-D88</f>
        <v>-5802.1588000000011</v>
      </c>
      <c r="G88" s="187">
        <f>E88/D88*100</f>
        <v>79.433698532927693</v>
      </c>
      <c r="I88" s="199"/>
    </row>
    <row r="89" spans="1:9" s="196" customFormat="1">
      <c r="A89" s="195" t="s">
        <v>35</v>
      </c>
      <c r="B89" s="190">
        <v>3630</v>
      </c>
      <c r="C89" s="192">
        <f>C32+C55+C84</f>
        <v>-11765</v>
      </c>
      <c r="D89" s="192">
        <f>D32+D55+D84</f>
        <v>2322.9699999999998</v>
      </c>
      <c r="E89" s="192">
        <f>E32+E55+E84</f>
        <v>-5210.1887999999999</v>
      </c>
      <c r="F89" s="186">
        <f>E89-D89</f>
        <v>-7533.1587999999992</v>
      </c>
      <c r="G89" s="187">
        <f>E89/D89*100</f>
        <v>-224.2899736113682</v>
      </c>
      <c r="H89" s="199"/>
    </row>
    <row r="90" spans="1:9" s="196" customFormat="1">
      <c r="A90" s="179"/>
      <c r="B90" s="200"/>
      <c r="C90" s="200"/>
      <c r="D90" s="200"/>
      <c r="E90" s="200"/>
      <c r="F90" s="200"/>
      <c r="G90" s="200"/>
    </row>
    <row r="91" spans="1:9" ht="57" customHeight="1">
      <c r="A91" s="201"/>
      <c r="B91" s="202"/>
      <c r="C91" s="203"/>
      <c r="D91" s="204"/>
      <c r="E91" s="268"/>
      <c r="F91" s="268"/>
      <c r="G91" s="268"/>
    </row>
    <row r="92" spans="1:9" s="2" customFormat="1" ht="28" customHeight="1">
      <c r="A92" s="43" t="s">
        <v>609</v>
      </c>
      <c r="B92" s="41"/>
      <c r="E92" s="247" t="s">
        <v>604</v>
      </c>
      <c r="F92" s="247"/>
      <c r="G92" s="247"/>
    </row>
    <row r="93" spans="1:9" s="2" customFormat="1" ht="19.5" customHeight="1">
      <c r="A93" s="5" t="s">
        <v>387</v>
      </c>
      <c r="C93" s="247" t="s">
        <v>78</v>
      </c>
      <c r="D93" s="247"/>
      <c r="F93" s="247" t="s">
        <v>361</v>
      </c>
      <c r="G93" s="247"/>
    </row>
    <row r="94" spans="1:9" ht="45.75" customHeight="1"/>
    <row r="95" spans="1:9" s="40" customFormat="1" ht="80.25" customHeight="1">
      <c r="A95" s="255"/>
      <c r="B95" s="255"/>
      <c r="C95" s="255"/>
      <c r="D95" s="255"/>
      <c r="E95" s="255"/>
      <c r="F95" s="255"/>
      <c r="G95" s="255"/>
      <c r="H95" s="255"/>
    </row>
  </sheetData>
  <mergeCells count="13">
    <mergeCell ref="A3:G3"/>
    <mergeCell ref="A5:A6"/>
    <mergeCell ref="B5:B6"/>
    <mergeCell ref="D5:G5"/>
    <mergeCell ref="C5:C6"/>
    <mergeCell ref="A95:H95"/>
    <mergeCell ref="F93:G93"/>
    <mergeCell ref="C93:D93"/>
    <mergeCell ref="A8:G8"/>
    <mergeCell ref="A33:G33"/>
    <mergeCell ref="A56:G56"/>
    <mergeCell ref="E91:G91"/>
    <mergeCell ref="E92:G92"/>
  </mergeCells>
  <phoneticPr fontId="3" type="noConversion"/>
  <printOptions horizontalCentered="1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9" max="21" man="1"/>
  </rowBreaks>
  <colBreaks count="1" manualBreakCount="1">
    <brk id="7" max="9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view="pageBreakPreview" zoomScale="55" zoomScaleNormal="75" zoomScaleSheetLayoutView="55" workbookViewId="0">
      <selection activeCell="D3" sqref="D3:G3"/>
    </sheetView>
  </sheetViews>
  <sheetFormatPr defaultColWidth="9.1796875" defaultRowHeight="20.5"/>
  <cols>
    <col min="1" max="1" width="61" style="2" customWidth="1"/>
    <col min="2" max="2" width="9.81640625" style="4" customWidth="1"/>
    <col min="3" max="3" width="19.453125" style="4" customWidth="1"/>
    <col min="4" max="4" width="14.54296875" style="4" customWidth="1"/>
    <col min="5" max="5" width="16.54296875" style="4" customWidth="1"/>
    <col min="6" max="6" width="17.54296875" style="4" customWidth="1"/>
    <col min="7" max="7" width="18.54296875" style="4" customWidth="1"/>
    <col min="8" max="8" width="9.54296875" style="2" customWidth="1"/>
    <col min="9" max="9" width="9.81640625" style="2" customWidth="1"/>
    <col min="10" max="16384" width="9.1796875" style="2"/>
  </cols>
  <sheetData>
    <row r="1" spans="1:14">
      <c r="A1" s="276" t="s">
        <v>376</v>
      </c>
      <c r="B1" s="276"/>
      <c r="C1" s="276"/>
      <c r="D1" s="276"/>
      <c r="E1" s="276"/>
      <c r="F1" s="276"/>
      <c r="G1" s="276"/>
    </row>
    <row r="2" spans="1:14">
      <c r="A2" s="278"/>
      <c r="B2" s="278"/>
      <c r="C2" s="278"/>
      <c r="D2" s="278"/>
      <c r="E2" s="278"/>
      <c r="F2" s="278"/>
      <c r="G2" s="278"/>
    </row>
    <row r="3" spans="1:14" ht="43.5" customHeight="1">
      <c r="A3" s="274" t="s">
        <v>287</v>
      </c>
      <c r="B3" s="277" t="s">
        <v>18</v>
      </c>
      <c r="C3" s="263" t="s">
        <v>355</v>
      </c>
      <c r="D3" s="261" t="s">
        <v>353</v>
      </c>
      <c r="E3" s="261"/>
      <c r="F3" s="261"/>
      <c r="G3" s="261"/>
    </row>
    <row r="4" spans="1:14" ht="56.25" customHeight="1">
      <c r="A4" s="275"/>
      <c r="B4" s="277"/>
      <c r="C4" s="264"/>
      <c r="D4" s="82" t="s">
        <v>265</v>
      </c>
      <c r="E4" s="82" t="s">
        <v>248</v>
      </c>
      <c r="F4" s="108" t="s">
        <v>275</v>
      </c>
      <c r="G4" s="108" t="s">
        <v>276</v>
      </c>
    </row>
    <row r="5" spans="1:14" ht="15.75" customHeight="1">
      <c r="A5" s="15">
        <v>1</v>
      </c>
      <c r="B5" s="82">
        <v>2</v>
      </c>
      <c r="C5" s="15">
        <v>3</v>
      </c>
      <c r="D5" s="15">
        <v>4</v>
      </c>
      <c r="E5" s="82">
        <v>5</v>
      </c>
      <c r="F5" s="15">
        <v>6</v>
      </c>
      <c r="G5" s="82">
        <v>7</v>
      </c>
    </row>
    <row r="6" spans="1:14" s="112" customFormat="1" ht="56.25" customHeight="1">
      <c r="A6" s="81" t="s">
        <v>81</v>
      </c>
      <c r="B6" s="110">
        <v>4000</v>
      </c>
      <c r="C6" s="205">
        <f>C10</f>
        <v>11083.333333333334</v>
      </c>
      <c r="D6" s="205">
        <f>D10</f>
        <v>0</v>
      </c>
      <c r="E6" s="205">
        <f>E10</f>
        <v>0</v>
      </c>
      <c r="F6" s="205">
        <f>E6-D6</f>
        <v>0</v>
      </c>
      <c r="G6" s="111"/>
    </row>
    <row r="7" spans="1:14" ht="56.25" customHeight="1">
      <c r="A7" s="81" t="s">
        <v>1</v>
      </c>
      <c r="B7" s="15" t="s">
        <v>224</v>
      </c>
      <c r="C7" s="6"/>
      <c r="D7" s="6"/>
      <c r="E7" s="6"/>
      <c r="F7" s="6"/>
      <c r="G7" s="109"/>
    </row>
    <row r="8" spans="1:14" ht="56.25" customHeight="1">
      <c r="A8" s="81" t="s">
        <v>2</v>
      </c>
      <c r="B8" s="110">
        <v>4020</v>
      </c>
      <c r="C8" s="205"/>
      <c r="D8" s="205"/>
      <c r="E8" s="205"/>
      <c r="F8" s="205"/>
      <c r="G8" s="111"/>
      <c r="N8" s="3"/>
    </row>
    <row r="9" spans="1:14" ht="56.25" customHeight="1">
      <c r="A9" s="81" t="s">
        <v>30</v>
      </c>
      <c r="B9" s="15">
        <v>4030</v>
      </c>
      <c r="C9" s="6"/>
      <c r="D9" s="6"/>
      <c r="E9" s="6"/>
      <c r="F9" s="6"/>
      <c r="G9" s="109"/>
      <c r="M9" s="3"/>
    </row>
    <row r="10" spans="1:14" ht="56.25" customHeight="1">
      <c r="A10" s="81" t="s">
        <v>3</v>
      </c>
      <c r="B10" s="110">
        <v>4040</v>
      </c>
      <c r="C10" s="205">
        <f>'3. Рух грошових коштів'!C51/1.2</f>
        <v>11083.333333333334</v>
      </c>
      <c r="D10" s="205"/>
      <c r="E10" s="205">
        <f>'3. Рух грошових коштів'!E51/1.2</f>
        <v>0</v>
      </c>
      <c r="F10" s="205">
        <f>E10-D10</f>
        <v>0</v>
      </c>
      <c r="G10" s="111"/>
    </row>
    <row r="11" spans="1:14" ht="72.75" customHeight="1">
      <c r="A11" s="81" t="s">
        <v>70</v>
      </c>
      <c r="B11" s="15">
        <v>4050</v>
      </c>
      <c r="C11" s="6"/>
      <c r="D11" s="6"/>
      <c r="E11" s="6"/>
      <c r="F11" s="6"/>
      <c r="G11" s="109"/>
    </row>
    <row r="12" spans="1:14">
      <c r="B12" s="2"/>
      <c r="C12" s="2"/>
      <c r="D12" s="2"/>
      <c r="E12" s="2"/>
      <c r="F12" s="2"/>
      <c r="G12" s="2"/>
    </row>
    <row r="13" spans="1:14" ht="99" customHeight="1">
      <c r="B13" s="2"/>
      <c r="C13" s="2"/>
      <c r="D13" s="2"/>
      <c r="E13" s="2"/>
      <c r="F13" s="2"/>
      <c r="G13" s="2"/>
    </row>
    <row r="14" spans="1:14" ht="19.5" customHeight="1">
      <c r="A14" s="4"/>
      <c r="B14" s="2"/>
      <c r="C14" s="2"/>
      <c r="D14" s="2"/>
      <c r="E14" s="2"/>
      <c r="F14" s="2"/>
      <c r="G14" s="2"/>
    </row>
    <row r="15" spans="1:14" ht="22.5" customHeight="1">
      <c r="A15" s="43" t="s">
        <v>609</v>
      </c>
      <c r="B15" s="41"/>
      <c r="C15" s="2"/>
      <c r="D15" s="2"/>
      <c r="E15" s="2"/>
      <c r="F15" s="247" t="s">
        <v>604</v>
      </c>
      <c r="G15" s="247"/>
    </row>
    <row r="16" spans="1:14" ht="19.5" customHeight="1">
      <c r="A16" s="5" t="s">
        <v>387</v>
      </c>
      <c r="B16" s="2"/>
      <c r="C16" s="247" t="s">
        <v>78</v>
      </c>
      <c r="D16" s="247"/>
      <c r="E16" s="2"/>
      <c r="F16" s="247" t="s">
        <v>361</v>
      </c>
      <c r="G16" s="247"/>
    </row>
    <row r="17" spans="1:8">
      <c r="A17" s="7"/>
    </row>
    <row r="18" spans="1:8" ht="35.25" customHeight="1">
      <c r="A18" s="7"/>
    </row>
    <row r="19" spans="1:8" s="40" customFormat="1" ht="102" customHeight="1">
      <c r="A19" s="273"/>
      <c r="B19" s="273"/>
      <c r="C19" s="273"/>
      <c r="D19" s="273"/>
      <c r="E19" s="273"/>
      <c r="F19" s="273"/>
      <c r="G19" s="273"/>
      <c r="H19" s="273"/>
    </row>
    <row r="20" spans="1:8">
      <c r="A20" s="7"/>
    </row>
    <row r="21" spans="1:8">
      <c r="A21" s="7"/>
    </row>
    <row r="22" spans="1:8">
      <c r="A22" s="7"/>
    </row>
    <row r="23" spans="1:8">
      <c r="A23" s="7"/>
    </row>
    <row r="24" spans="1:8">
      <c r="A24" s="7"/>
    </row>
    <row r="25" spans="1:8">
      <c r="A25" s="7"/>
    </row>
    <row r="26" spans="1:8">
      <c r="A26" s="7"/>
    </row>
    <row r="27" spans="1:8">
      <c r="A27" s="7"/>
    </row>
    <row r="28" spans="1:8">
      <c r="A28" s="7"/>
    </row>
    <row r="29" spans="1:8">
      <c r="A29" s="7"/>
    </row>
    <row r="30" spans="1:8">
      <c r="A30" s="7"/>
    </row>
    <row r="31" spans="1:8">
      <c r="A31" s="7"/>
    </row>
    <row r="32" spans="1:8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rintOptions horizontalCentered="1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28"/>
  <sheetViews>
    <sheetView view="pageBreakPreview" zoomScale="75" zoomScaleNormal="75" zoomScaleSheetLayoutView="70" workbookViewId="0">
      <selection activeCell="D2" sqref="D2"/>
    </sheetView>
  </sheetViews>
  <sheetFormatPr defaultColWidth="9.1796875" defaultRowHeight="20.5"/>
  <cols>
    <col min="1" max="1" width="87.26953125" style="16" customWidth="1"/>
    <col min="2" max="2" width="16.54296875" style="16" customWidth="1"/>
    <col min="3" max="3" width="19.7265625" style="16" customWidth="1"/>
    <col min="4" max="4" width="20" style="52" customWidth="1"/>
    <col min="5" max="5" width="19.7265625" style="52" customWidth="1"/>
    <col min="6" max="6" width="39" style="16" customWidth="1"/>
    <col min="7" max="7" width="9.54296875" style="16" customWidth="1"/>
    <col min="8" max="8" width="9.1796875" style="16"/>
    <col min="9" max="9" width="27.1796875" style="16" customWidth="1"/>
    <col min="10" max="16384" width="9.1796875" style="16"/>
  </cols>
  <sheetData>
    <row r="1" spans="1:6" ht="19.5" customHeight="1">
      <c r="A1" s="279" t="s">
        <v>377</v>
      </c>
      <c r="B1" s="279"/>
      <c r="C1" s="279"/>
      <c r="D1" s="279"/>
      <c r="E1" s="279"/>
      <c r="F1" s="279"/>
    </row>
    <row r="2" spans="1:6" ht="24" customHeight="1"/>
    <row r="3" spans="1:6" ht="36" customHeight="1">
      <c r="A3" s="280" t="s">
        <v>287</v>
      </c>
      <c r="B3" s="280" t="s">
        <v>0</v>
      </c>
      <c r="C3" s="280" t="s">
        <v>100</v>
      </c>
      <c r="D3" s="277" t="s">
        <v>355</v>
      </c>
      <c r="E3" s="282" t="s">
        <v>353</v>
      </c>
      <c r="F3" s="280" t="s">
        <v>322</v>
      </c>
    </row>
    <row r="4" spans="1:6" ht="36" customHeight="1">
      <c r="A4" s="281"/>
      <c r="B4" s="281"/>
      <c r="C4" s="281"/>
      <c r="D4" s="277"/>
      <c r="E4" s="283"/>
      <c r="F4" s="281"/>
    </row>
    <row r="5" spans="1:6" ht="20.25" customHeight="1">
      <c r="A5" s="206">
        <v>1</v>
      </c>
      <c r="B5" s="206">
        <v>2</v>
      </c>
      <c r="C5" s="206">
        <v>3</v>
      </c>
      <c r="D5" s="206">
        <v>4</v>
      </c>
      <c r="E5" s="206">
        <v>5</v>
      </c>
      <c r="F5" s="206">
        <v>6</v>
      </c>
    </row>
    <row r="6" spans="1:6">
      <c r="A6" s="284" t="s">
        <v>190</v>
      </c>
      <c r="B6" s="285"/>
      <c r="C6" s="285"/>
      <c r="D6" s="285"/>
      <c r="E6" s="285"/>
      <c r="F6" s="286"/>
    </row>
    <row r="7" spans="1:6" ht="63.75" customHeight="1">
      <c r="A7" s="81" t="s">
        <v>349</v>
      </c>
      <c r="B7" s="82">
        <v>5000</v>
      </c>
      <c r="C7" s="207" t="s">
        <v>340</v>
      </c>
      <c r="D7" s="208">
        <f>'1. Фін результат'!C58/'1. Фін результат'!C9</f>
        <v>-5.4848895906068625E-2</v>
      </c>
      <c r="E7" s="208">
        <f>'1. Фін результат'!E58/'1. Фін результат'!E9</f>
        <v>7.7850452821425803E-2</v>
      </c>
      <c r="F7" s="209"/>
    </row>
    <row r="8" spans="1:6" ht="63.75" customHeight="1">
      <c r="A8" s="81" t="s">
        <v>350</v>
      </c>
      <c r="B8" s="82">
        <v>5010</v>
      </c>
      <c r="C8" s="207" t="s">
        <v>340</v>
      </c>
      <c r="D8" s="208">
        <f>'1. Фін результат'!C174/'1. Фін результат'!C9</f>
        <v>-9.1963352531744091E-2</v>
      </c>
      <c r="E8" s="208">
        <f>'1. Фін результат'!E174/'1. Фін результат'!E9</f>
        <v>4.1944035916092574E-2</v>
      </c>
      <c r="F8" s="209"/>
    </row>
    <row r="9" spans="1:6" ht="60.75" customHeight="1">
      <c r="A9" s="210" t="s">
        <v>496</v>
      </c>
      <c r="B9" s="82">
        <v>5020</v>
      </c>
      <c r="C9" s="207" t="s">
        <v>340</v>
      </c>
      <c r="D9" s="211">
        <f>'1. Фін результат'!C158/'фінплан - зведені показники'!C70</f>
        <v>-2.3772434812055536E-2</v>
      </c>
      <c r="E9" s="211">
        <f>'1. Фін результат'!E158/'фінплан - зведені показники'!E70</f>
        <v>3.8912696625913999E-3</v>
      </c>
      <c r="F9" s="209" t="s">
        <v>341</v>
      </c>
    </row>
    <row r="10" spans="1:6" ht="63.75" customHeight="1">
      <c r="A10" s="210" t="s">
        <v>497</v>
      </c>
      <c r="B10" s="82">
        <v>5030</v>
      </c>
      <c r="C10" s="207" t="s">
        <v>340</v>
      </c>
      <c r="D10" s="211">
        <f>'1. Фін результат'!C158/'фінплан - зведені показники'!C76</f>
        <v>-2.5235847845400904E-2</v>
      </c>
      <c r="E10" s="211">
        <f>'1. Фін результат'!E158/'фінплан - зведені показники'!E76</f>
        <v>4.1012774193282149E-3</v>
      </c>
      <c r="F10" s="209"/>
    </row>
    <row r="11" spans="1:6" ht="68.25" customHeight="1">
      <c r="A11" s="210" t="s">
        <v>498</v>
      </c>
      <c r="B11" s="82">
        <v>5040</v>
      </c>
      <c r="C11" s="207" t="s">
        <v>101</v>
      </c>
      <c r="D11" s="211">
        <f>'1. Фін результат'!C158/'1. Фін результат'!C9</f>
        <v>-0.10927527852520626</v>
      </c>
      <c r="E11" s="211">
        <f>'1. Фін результат'!E158/'1. Фін результат'!E9</f>
        <v>1.9232138710426505E-2</v>
      </c>
      <c r="F11" s="209" t="s">
        <v>342</v>
      </c>
    </row>
    <row r="12" spans="1:6" ht="42.75" customHeight="1">
      <c r="A12" s="284" t="s">
        <v>192</v>
      </c>
      <c r="B12" s="285"/>
      <c r="C12" s="285"/>
      <c r="D12" s="285"/>
      <c r="E12" s="285"/>
      <c r="F12" s="286"/>
    </row>
    <row r="13" spans="1:6" ht="82.5" customHeight="1">
      <c r="A13" s="209" t="s">
        <v>333</v>
      </c>
      <c r="B13" s="82">
        <v>5100</v>
      </c>
      <c r="C13" s="207"/>
      <c r="D13" s="212">
        <f>'фінплан - зведені показники'!C71+'фінплан - зведені показники'!C72/'фінплан - зведені показники'!C38</f>
        <v>8897.1773667029374</v>
      </c>
      <c r="E13" s="212">
        <f>'фінплан - зведені показники'!E71+'фінплан - зведені показники'!E72/'фінплан - зведені показники'!E38</f>
        <v>8872.9877739331023</v>
      </c>
      <c r="F13" s="209"/>
    </row>
    <row r="14" spans="1:6" ht="128.25" customHeight="1">
      <c r="A14" s="209" t="s">
        <v>329</v>
      </c>
      <c r="B14" s="82">
        <v>5110</v>
      </c>
      <c r="C14" s="207" t="s">
        <v>177</v>
      </c>
      <c r="D14" s="212">
        <f>'фінплан - зведені показники'!C76/'фінплан - зведені показники'!C72</f>
        <v>25.833897180762854</v>
      </c>
      <c r="E14" s="212">
        <f>'фінплан - зведені показники'!E76/'фінплан - зведені показники'!E72</f>
        <v>28.035460172383871</v>
      </c>
      <c r="F14" s="209" t="s">
        <v>343</v>
      </c>
    </row>
    <row r="15" spans="1:6" ht="171.75" customHeight="1">
      <c r="A15" s="209" t="s">
        <v>330</v>
      </c>
      <c r="B15" s="82">
        <v>5120</v>
      </c>
      <c r="C15" s="207" t="s">
        <v>177</v>
      </c>
      <c r="D15" s="212">
        <f>'фінплан - зведені показники'!C68/'фінплан - зведені показники'!C72</f>
        <v>3.6220895522388061</v>
      </c>
      <c r="E15" s="212">
        <f>'фінплан - зведені показники'!E68/'фінплан - зведені показники'!E72</f>
        <v>3.14716260773992</v>
      </c>
      <c r="F15" s="209" t="s">
        <v>345</v>
      </c>
    </row>
    <row r="16" spans="1:6" ht="36.75" customHeight="1">
      <c r="A16" s="284" t="s">
        <v>191</v>
      </c>
      <c r="B16" s="285"/>
      <c r="C16" s="285"/>
      <c r="D16" s="285"/>
      <c r="E16" s="285"/>
      <c r="F16" s="286"/>
    </row>
    <row r="17" spans="1:9" ht="48" customHeight="1">
      <c r="A17" s="209" t="s">
        <v>331</v>
      </c>
      <c r="B17" s="82">
        <v>5200</v>
      </c>
      <c r="C17" s="207"/>
      <c r="D17" s="212">
        <f>'4. Кап. інвестиції'!C6/'1. Фін результат'!C181</f>
        <v>6.7995910020449903</v>
      </c>
      <c r="E17" s="212">
        <f>'4. Кап. інвестиції'!E6/'1. Фін результат'!E181</f>
        <v>0</v>
      </c>
      <c r="F17" s="209"/>
    </row>
    <row r="18" spans="1:9" ht="81" customHeight="1">
      <c r="A18" s="209" t="s">
        <v>362</v>
      </c>
      <c r="B18" s="82">
        <v>5210</v>
      </c>
      <c r="C18" s="207"/>
      <c r="D18" s="212">
        <f>'4. Кап. інвестиції'!C6/'фінплан - зведені показники'!C31</f>
        <v>0.12323304202154077</v>
      </c>
      <c r="E18" s="212">
        <f>'4. Кап. інвестиції'!E6/'фінплан - зведені показники'!E31</f>
        <v>0</v>
      </c>
      <c r="F18" s="209"/>
    </row>
    <row r="19" spans="1:9" ht="65.25" customHeight="1">
      <c r="A19" s="209" t="s">
        <v>351</v>
      </c>
      <c r="B19" s="82">
        <v>5220</v>
      </c>
      <c r="C19" s="207" t="s">
        <v>340</v>
      </c>
      <c r="D19" s="212">
        <f>195927/553696</f>
        <v>0.35385301681789283</v>
      </c>
      <c r="E19" s="212">
        <f>237692/689425</f>
        <v>0.34476846647568626</v>
      </c>
      <c r="F19" s="209" t="s">
        <v>344</v>
      </c>
    </row>
    <row r="20" spans="1:9" ht="35.25" customHeight="1">
      <c r="A20" s="284" t="s">
        <v>332</v>
      </c>
      <c r="B20" s="285"/>
      <c r="C20" s="285"/>
      <c r="D20" s="285"/>
      <c r="E20" s="285"/>
      <c r="F20" s="286"/>
    </row>
    <row r="21" spans="1:9" ht="110.25" customHeight="1">
      <c r="A21" s="210" t="s">
        <v>352</v>
      </c>
      <c r="B21" s="82">
        <v>5300</v>
      </c>
      <c r="C21" s="207"/>
      <c r="D21" s="213"/>
      <c r="E21" s="213"/>
      <c r="F21" s="214"/>
    </row>
    <row r="22" spans="1:9" ht="124.5" customHeight="1"/>
    <row r="23" spans="1:9" s="2" customFormat="1" ht="25.5" customHeight="1">
      <c r="A23" s="43" t="s">
        <v>609</v>
      </c>
      <c r="B23" s="41"/>
      <c r="D23" s="46"/>
      <c r="E23" s="247" t="s">
        <v>604</v>
      </c>
      <c r="F23" s="247"/>
    </row>
    <row r="24" spans="1:9" s="2" customFormat="1" ht="20.149999999999999" customHeight="1">
      <c r="A24" s="5" t="s">
        <v>388</v>
      </c>
      <c r="B24" s="247" t="s">
        <v>78</v>
      </c>
      <c r="C24" s="247"/>
      <c r="D24" s="247"/>
      <c r="E24" s="247" t="s">
        <v>326</v>
      </c>
      <c r="F24" s="247"/>
    </row>
    <row r="26" spans="1:9">
      <c r="I26" s="1"/>
    </row>
    <row r="27" spans="1:9" s="40" customFormat="1" ht="24">
      <c r="A27" s="273"/>
      <c r="B27" s="273"/>
      <c r="C27" s="273"/>
      <c r="D27" s="273"/>
      <c r="E27" s="273"/>
      <c r="F27" s="273"/>
      <c r="G27" s="273"/>
      <c r="H27" s="273"/>
    </row>
    <row r="28" spans="1:9" s="2" customFormat="1">
      <c r="A28" s="5"/>
      <c r="C28" s="247"/>
      <c r="D28" s="247"/>
      <c r="E28" s="46"/>
      <c r="F28" s="4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rintOptions horizontalCentered="1"/>
  <pageMargins left="0.39370078740157483" right="0.39370078740157483" top="0.59055118110236227" bottom="0.39370078740157483" header="0.11811023622047245" footer="0.31496062992125984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T92"/>
  <sheetViews>
    <sheetView view="pageBreakPreview" topLeftCell="A47" zoomScale="55" zoomScaleNormal="75" zoomScaleSheetLayoutView="55" workbookViewId="0">
      <selection activeCell="H32" sqref="H32:I32"/>
    </sheetView>
  </sheetViews>
  <sheetFormatPr defaultColWidth="9.1796875" defaultRowHeight="20.5" outlineLevelRow="1"/>
  <cols>
    <col min="1" max="1" width="44.81640625" style="46" customWidth="1"/>
    <col min="2" max="2" width="13.54296875" style="47" customWidth="1"/>
    <col min="3" max="3" width="18.54296875" style="46" customWidth="1"/>
    <col min="4" max="4" width="16.1796875" style="2" customWidth="1"/>
    <col min="5" max="5" width="15.453125" style="2" customWidth="1"/>
    <col min="6" max="6" width="16.54296875" style="46" customWidth="1"/>
    <col min="7" max="7" width="15.26953125" style="46" customWidth="1"/>
    <col min="8" max="8" width="16.54296875" style="46" customWidth="1"/>
    <col min="9" max="9" width="16.1796875" style="46" customWidth="1"/>
    <col min="10" max="10" width="16.453125" style="46" customWidth="1"/>
    <col min="11" max="11" width="16.54296875" style="46" customWidth="1"/>
    <col min="12" max="12" width="16.81640625" style="46" customWidth="1"/>
    <col min="13" max="13" width="14.81640625" style="46" customWidth="1"/>
    <col min="14" max="14" width="16.7265625" style="46" customWidth="1"/>
    <col min="15" max="15" width="14.26953125" style="46" customWidth="1"/>
    <col min="16" max="20" width="9.1796875" style="2" hidden="1" customWidth="1"/>
    <col min="21" max="16384" width="9.1796875" style="2"/>
  </cols>
  <sheetData>
    <row r="1" spans="1:15" ht="18.75" hidden="1" customHeight="1" outlineLevel="1">
      <c r="N1" s="340" t="s">
        <v>241</v>
      </c>
      <c r="O1" s="340"/>
    </row>
    <row r="2" spans="1:15" hidden="1" outlineLevel="1">
      <c r="N2" s="340" t="s">
        <v>261</v>
      </c>
      <c r="O2" s="340"/>
    </row>
    <row r="3" spans="1:15" collapsed="1">
      <c r="A3" s="309" t="s">
        <v>608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ht="3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5">
      <c r="A5" s="309" t="s">
        <v>534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5" ht="17.25" customHeight="1">
      <c r="A6" s="259" t="s">
        <v>134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 ht="25" customHeight="1">
      <c r="A7" s="309" t="s">
        <v>378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5" ht="84.75" customHeight="1">
      <c r="A8" s="255" t="s">
        <v>617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8" customHeight="1">
      <c r="A9" s="2"/>
      <c r="B9" s="2"/>
      <c r="C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0.5" customHeight="1">
      <c r="A10" s="82" t="s">
        <v>287</v>
      </c>
      <c r="B10" s="277" t="s">
        <v>136</v>
      </c>
      <c r="C10" s="277"/>
      <c r="D10" s="277" t="s">
        <v>31</v>
      </c>
      <c r="E10" s="277"/>
      <c r="F10" s="277" t="s">
        <v>323</v>
      </c>
      <c r="G10" s="277"/>
      <c r="H10" s="277" t="s">
        <v>324</v>
      </c>
      <c r="I10" s="277"/>
      <c r="J10" s="277" t="s">
        <v>325</v>
      </c>
      <c r="K10" s="277"/>
      <c r="L10" s="277" t="s">
        <v>292</v>
      </c>
      <c r="M10" s="277"/>
      <c r="N10" s="277" t="s">
        <v>293</v>
      </c>
      <c r="O10" s="277"/>
    </row>
    <row r="11" spans="1:15" ht="17.25" customHeight="1">
      <c r="A11" s="82">
        <v>1</v>
      </c>
      <c r="B11" s="287">
        <v>2</v>
      </c>
      <c r="C11" s="288"/>
      <c r="D11" s="287">
        <v>3</v>
      </c>
      <c r="E11" s="288"/>
      <c r="F11" s="287">
        <v>4</v>
      </c>
      <c r="G11" s="288"/>
      <c r="H11" s="287">
        <v>5</v>
      </c>
      <c r="I11" s="288"/>
      <c r="J11" s="287">
        <v>6</v>
      </c>
      <c r="K11" s="288"/>
      <c r="L11" s="287">
        <v>7</v>
      </c>
      <c r="M11" s="288"/>
      <c r="N11" s="277">
        <v>8</v>
      </c>
      <c r="O11" s="277"/>
    </row>
    <row r="12" spans="1:15">
      <c r="A12" s="289" t="s">
        <v>135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1"/>
    </row>
    <row r="13" spans="1:15" ht="20.149999999999999" customHeight="1">
      <c r="A13" s="81" t="s">
        <v>294</v>
      </c>
      <c r="B13" s="318">
        <v>18</v>
      </c>
      <c r="C13" s="318"/>
      <c r="D13" s="318">
        <v>16</v>
      </c>
      <c r="E13" s="318"/>
      <c r="F13" s="318">
        <v>18</v>
      </c>
      <c r="G13" s="318"/>
      <c r="H13" s="318">
        <v>18</v>
      </c>
      <c r="I13" s="318"/>
      <c r="J13" s="318">
        <v>18</v>
      </c>
      <c r="K13" s="318"/>
      <c r="L13" s="318">
        <f t="shared" ref="L13:L18" si="0">J13-H13</f>
        <v>0</v>
      </c>
      <c r="M13" s="318"/>
      <c r="N13" s="317">
        <f t="shared" ref="N13:N18" si="1">J13/H13*100</f>
        <v>100</v>
      </c>
      <c r="O13" s="317"/>
    </row>
    <row r="14" spans="1:15" ht="20.149999999999999" customHeight="1">
      <c r="A14" s="81" t="s">
        <v>295</v>
      </c>
      <c r="B14" s="318">
        <v>18</v>
      </c>
      <c r="C14" s="318"/>
      <c r="D14" s="318">
        <v>17</v>
      </c>
      <c r="E14" s="318"/>
      <c r="F14" s="318">
        <v>18</v>
      </c>
      <c r="G14" s="318"/>
      <c r="H14" s="318">
        <v>18</v>
      </c>
      <c r="I14" s="318"/>
      <c r="J14" s="318">
        <v>21</v>
      </c>
      <c r="K14" s="318"/>
      <c r="L14" s="318">
        <f t="shared" si="0"/>
        <v>3</v>
      </c>
      <c r="M14" s="318"/>
      <c r="N14" s="317">
        <f t="shared" si="1"/>
        <v>116.66666666666667</v>
      </c>
      <c r="O14" s="317"/>
    </row>
    <row r="15" spans="1:15" ht="20.149999999999999" customHeight="1">
      <c r="A15" s="81" t="s">
        <v>296</v>
      </c>
      <c r="B15" s="318">
        <v>5</v>
      </c>
      <c r="C15" s="318"/>
      <c r="D15" s="318">
        <v>2</v>
      </c>
      <c r="E15" s="318"/>
      <c r="F15" s="318">
        <v>5</v>
      </c>
      <c r="G15" s="318"/>
      <c r="H15" s="318">
        <v>5</v>
      </c>
      <c r="I15" s="318"/>
      <c r="J15" s="318">
        <v>3</v>
      </c>
      <c r="K15" s="318"/>
      <c r="L15" s="318">
        <f t="shared" si="0"/>
        <v>-2</v>
      </c>
      <c r="M15" s="318"/>
      <c r="N15" s="317">
        <f t="shared" si="1"/>
        <v>60</v>
      </c>
      <c r="O15" s="317"/>
    </row>
    <row r="16" spans="1:15" ht="20.149999999999999" customHeight="1">
      <c r="A16" s="81" t="s">
        <v>297</v>
      </c>
      <c r="B16" s="318">
        <v>3</v>
      </c>
      <c r="C16" s="318"/>
      <c r="D16" s="318">
        <v>2</v>
      </c>
      <c r="E16" s="318"/>
      <c r="F16" s="318">
        <v>3</v>
      </c>
      <c r="G16" s="318"/>
      <c r="H16" s="318">
        <v>3</v>
      </c>
      <c r="I16" s="318"/>
      <c r="J16" s="318">
        <v>1</v>
      </c>
      <c r="K16" s="318"/>
      <c r="L16" s="318">
        <f t="shared" si="0"/>
        <v>-2</v>
      </c>
      <c r="M16" s="318"/>
      <c r="N16" s="317">
        <f t="shared" si="1"/>
        <v>33.333333333333329</v>
      </c>
      <c r="O16" s="317"/>
    </row>
    <row r="17" spans="1:15" ht="20.149999999999999" customHeight="1">
      <c r="A17" s="81" t="s">
        <v>298</v>
      </c>
      <c r="B17" s="318">
        <v>97</v>
      </c>
      <c r="C17" s="318"/>
      <c r="D17" s="318">
        <v>80</v>
      </c>
      <c r="E17" s="318"/>
      <c r="F17" s="318">
        <v>97</v>
      </c>
      <c r="G17" s="318"/>
      <c r="H17" s="318">
        <v>97</v>
      </c>
      <c r="I17" s="318"/>
      <c r="J17" s="318">
        <v>80</v>
      </c>
      <c r="K17" s="318"/>
      <c r="L17" s="318">
        <f t="shared" si="0"/>
        <v>-17</v>
      </c>
      <c r="M17" s="318"/>
      <c r="N17" s="317">
        <f t="shared" si="1"/>
        <v>82.474226804123703</v>
      </c>
      <c r="O17" s="317"/>
    </row>
    <row r="18" spans="1:15" ht="20.149999999999999" customHeight="1">
      <c r="A18" s="81" t="s">
        <v>299</v>
      </c>
      <c r="B18" s="318">
        <v>17</v>
      </c>
      <c r="C18" s="318"/>
      <c r="D18" s="318">
        <v>18</v>
      </c>
      <c r="E18" s="318"/>
      <c r="F18" s="318">
        <v>17</v>
      </c>
      <c r="G18" s="318"/>
      <c r="H18" s="318">
        <v>17</v>
      </c>
      <c r="I18" s="318"/>
      <c r="J18" s="318">
        <v>16</v>
      </c>
      <c r="K18" s="318"/>
      <c r="L18" s="318">
        <f t="shared" si="0"/>
        <v>-1</v>
      </c>
      <c r="M18" s="318"/>
      <c r="N18" s="317">
        <f t="shared" si="1"/>
        <v>94.117647058823522</v>
      </c>
      <c r="O18" s="317"/>
    </row>
    <row r="19" spans="1:15">
      <c r="A19" s="289" t="s">
        <v>364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1"/>
    </row>
    <row r="20" spans="1:15" ht="20.149999999999999" customHeight="1">
      <c r="A20" s="81" t="s">
        <v>592</v>
      </c>
      <c r="B20" s="287">
        <v>536</v>
      </c>
      <c r="C20" s="288"/>
      <c r="D20" s="320">
        <v>594</v>
      </c>
      <c r="E20" s="321"/>
      <c r="F20" s="318">
        <v>536</v>
      </c>
      <c r="G20" s="318"/>
      <c r="H20" s="318">
        <f>F20/2</f>
        <v>268</v>
      </c>
      <c r="I20" s="318"/>
      <c r="J20" s="318">
        <v>314</v>
      </c>
      <c r="K20" s="318"/>
      <c r="L20" s="318">
        <f>J20-H20</f>
        <v>46</v>
      </c>
      <c r="M20" s="318"/>
      <c r="N20" s="317">
        <f>J20/H20*100</f>
        <v>117.16417910447761</v>
      </c>
      <c r="O20" s="317"/>
    </row>
    <row r="21" spans="1:15" ht="40.5" customHeight="1">
      <c r="A21" s="81" t="s">
        <v>300</v>
      </c>
      <c r="B21" s="287">
        <v>6984</v>
      </c>
      <c r="C21" s="288"/>
      <c r="D21" s="320">
        <v>7393</v>
      </c>
      <c r="E21" s="321"/>
      <c r="F21" s="318">
        <v>6984</v>
      </c>
      <c r="G21" s="318"/>
      <c r="H21" s="318">
        <f>F21/2</f>
        <v>3492</v>
      </c>
      <c r="I21" s="318"/>
      <c r="J21" s="318">
        <f>'1. Фін результат'!E78-'6.1. Інша інфо_1'!J20:K20+224</f>
        <v>4203</v>
      </c>
      <c r="K21" s="318"/>
      <c r="L21" s="318">
        <f>J21-H21</f>
        <v>711</v>
      </c>
      <c r="M21" s="318"/>
      <c r="N21" s="317">
        <f>J21/H21*100</f>
        <v>120.36082474226804</v>
      </c>
      <c r="O21" s="317"/>
    </row>
    <row r="22" spans="1:15" ht="20.149999999999999" customHeight="1">
      <c r="A22" s="81" t="s">
        <v>301</v>
      </c>
      <c r="B22" s="287">
        <v>29901</v>
      </c>
      <c r="C22" s="288"/>
      <c r="D22" s="320">
        <v>24173</v>
      </c>
      <c r="E22" s="321"/>
      <c r="F22" s="318">
        <v>29901</v>
      </c>
      <c r="G22" s="318"/>
      <c r="H22" s="318">
        <f>F22/2-268</f>
        <v>14682.5</v>
      </c>
      <c r="I22" s="318"/>
      <c r="J22" s="318">
        <f>'1. Фін результат'!E17</f>
        <v>12808</v>
      </c>
      <c r="K22" s="318"/>
      <c r="L22" s="318">
        <f>J22-H22</f>
        <v>-1874.5</v>
      </c>
      <c r="M22" s="318"/>
      <c r="N22" s="317">
        <f>J22/H22*100</f>
        <v>87.233100630001701</v>
      </c>
      <c r="O22" s="317"/>
    </row>
    <row r="23" spans="1:15">
      <c r="A23" s="289" t="s">
        <v>334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1"/>
    </row>
    <row r="24" spans="1:15" ht="20.149999999999999" customHeight="1">
      <c r="A24" s="81" t="s">
        <v>592</v>
      </c>
      <c r="B24" s="319">
        <v>654</v>
      </c>
      <c r="C24" s="319"/>
      <c r="D24" s="318">
        <v>747</v>
      </c>
      <c r="E24" s="318"/>
      <c r="F24" s="318">
        <v>654</v>
      </c>
      <c r="G24" s="318"/>
      <c r="H24" s="318">
        <f>H20*1.22</f>
        <v>326.95999999999998</v>
      </c>
      <c r="I24" s="318"/>
      <c r="J24" s="318">
        <f>J20*1.22</f>
        <v>383.08</v>
      </c>
      <c r="K24" s="318"/>
      <c r="L24" s="318">
        <f>J24-H24</f>
        <v>56.120000000000005</v>
      </c>
      <c r="M24" s="318"/>
      <c r="N24" s="317">
        <f>J24/H24*100</f>
        <v>117.16417910447761</v>
      </c>
      <c r="O24" s="317"/>
    </row>
    <row r="25" spans="1:15" ht="42.75" customHeight="1">
      <c r="A25" s="81" t="s">
        <v>300</v>
      </c>
      <c r="B25" s="319">
        <v>8419</v>
      </c>
      <c r="C25" s="319"/>
      <c r="D25" s="318">
        <v>8976</v>
      </c>
      <c r="E25" s="318"/>
      <c r="F25" s="318">
        <v>8419</v>
      </c>
      <c r="G25" s="318"/>
      <c r="H25" s="318">
        <f>H21*1.22</f>
        <v>4260.24</v>
      </c>
      <c r="I25" s="318"/>
      <c r="J25" s="318">
        <f>'1. Фін результат'!E78-'6.1. Інша інфо_1'!J24:K24+'1. Фін результат'!E79+264</f>
        <v>5089.92</v>
      </c>
      <c r="K25" s="318"/>
      <c r="L25" s="318">
        <f>J25-H25</f>
        <v>829.68000000000029</v>
      </c>
      <c r="M25" s="318"/>
      <c r="N25" s="317">
        <f>J25/H25*100</f>
        <v>119.47495915723059</v>
      </c>
      <c r="O25" s="317"/>
    </row>
    <row r="26" spans="1:15" ht="20.149999999999999" customHeight="1">
      <c r="A26" s="81" t="s">
        <v>301</v>
      </c>
      <c r="B26" s="319">
        <v>36246</v>
      </c>
      <c r="C26" s="319"/>
      <c r="D26" s="318">
        <v>29621</v>
      </c>
      <c r="E26" s="318"/>
      <c r="F26" s="318">
        <v>36246</v>
      </c>
      <c r="G26" s="318"/>
      <c r="H26" s="318">
        <f>H22*1.22-167</f>
        <v>17745.649999999998</v>
      </c>
      <c r="I26" s="318"/>
      <c r="J26" s="318">
        <f>'1. Фін результат'!E17+'1. Фін результат'!E18</f>
        <v>15798</v>
      </c>
      <c r="K26" s="318"/>
      <c r="L26" s="318">
        <f>J26-H26</f>
        <v>-1947.6499999999978</v>
      </c>
      <c r="M26" s="318"/>
      <c r="N26" s="317">
        <f>J26/H26*100</f>
        <v>89.024634206129406</v>
      </c>
      <c r="O26" s="317"/>
    </row>
    <row r="27" spans="1:15">
      <c r="A27" s="289" t="s">
        <v>302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/>
    </row>
    <row r="28" spans="1:15" ht="20.149999999999999" customHeight="1">
      <c r="A28" s="81" t="s">
        <v>592</v>
      </c>
      <c r="B28" s="318">
        <v>44658</v>
      </c>
      <c r="C28" s="318"/>
      <c r="D28" s="318">
        <v>49500</v>
      </c>
      <c r="E28" s="318"/>
      <c r="F28" s="318">
        <v>44658</v>
      </c>
      <c r="G28" s="318"/>
      <c r="H28" s="318">
        <f>H20/6*1000</f>
        <v>44666.666666666664</v>
      </c>
      <c r="I28" s="318"/>
      <c r="J28" s="318">
        <f>J20/6*1000</f>
        <v>52333.333333333336</v>
      </c>
      <c r="K28" s="318"/>
      <c r="L28" s="318">
        <f>J28-H28</f>
        <v>7666.6666666666715</v>
      </c>
      <c r="M28" s="318"/>
      <c r="N28" s="317">
        <f>J28/H28*100</f>
        <v>117.16417910447763</v>
      </c>
      <c r="O28" s="317"/>
    </row>
    <row r="29" spans="1:15" ht="45" customHeight="1">
      <c r="A29" s="81" t="s">
        <v>300</v>
      </c>
      <c r="B29" s="318">
        <v>26048</v>
      </c>
      <c r="C29" s="318"/>
      <c r="D29" s="318">
        <v>29337</v>
      </c>
      <c r="E29" s="318"/>
      <c r="F29" s="318">
        <v>26048</v>
      </c>
      <c r="G29" s="318"/>
      <c r="H29" s="318">
        <f>H21/21/6*1000</f>
        <v>27714.28571428571</v>
      </c>
      <c r="I29" s="318"/>
      <c r="J29" s="318">
        <f>J21/21/6*1000</f>
        <v>33357.142857142855</v>
      </c>
      <c r="K29" s="318"/>
      <c r="L29" s="318">
        <f>J29-H29</f>
        <v>5642.8571428571449</v>
      </c>
      <c r="M29" s="318"/>
      <c r="N29" s="317">
        <f>J29/H29*100</f>
        <v>120.36082474226805</v>
      </c>
      <c r="O29" s="317"/>
    </row>
    <row r="30" spans="1:15" ht="20.149999999999999" customHeight="1">
      <c r="A30" s="81" t="s">
        <v>301</v>
      </c>
      <c r="B30" s="318">
        <v>16320</v>
      </c>
      <c r="C30" s="318"/>
      <c r="D30" s="318">
        <v>17827</v>
      </c>
      <c r="E30" s="318"/>
      <c r="F30" s="318">
        <v>16320</v>
      </c>
      <c r="G30" s="318"/>
      <c r="H30" s="318">
        <f>H22/136/6*1000</f>
        <v>17993.259803921566</v>
      </c>
      <c r="I30" s="318"/>
      <c r="J30" s="318">
        <f>J22/117/6*1000</f>
        <v>18245.014245014241</v>
      </c>
      <c r="K30" s="318"/>
      <c r="L30" s="318">
        <f>J30-H30</f>
        <v>251.75444109267482</v>
      </c>
      <c r="M30" s="318"/>
      <c r="N30" s="317">
        <f>J30/H30*100</f>
        <v>101.39915970666864</v>
      </c>
      <c r="O30" s="317"/>
    </row>
    <row r="31" spans="1:15" ht="42.75" customHeight="1">
      <c r="A31" s="289" t="s">
        <v>303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1"/>
    </row>
    <row r="32" spans="1:15" ht="20.149999999999999" customHeight="1">
      <c r="A32" s="81" t="s">
        <v>592</v>
      </c>
      <c r="B32" s="318">
        <v>44658</v>
      </c>
      <c r="C32" s="318"/>
      <c r="D32" s="318">
        <f>D28</f>
        <v>49500</v>
      </c>
      <c r="E32" s="318"/>
      <c r="F32" s="318">
        <v>44658</v>
      </c>
      <c r="G32" s="318"/>
      <c r="H32" s="318">
        <f>H28</f>
        <v>44666.666666666664</v>
      </c>
      <c r="I32" s="318"/>
      <c r="J32" s="318">
        <f>J28</f>
        <v>52333.333333333336</v>
      </c>
      <c r="K32" s="318"/>
      <c r="L32" s="318">
        <f>J32-H32</f>
        <v>7666.6666666666715</v>
      </c>
      <c r="M32" s="318"/>
      <c r="N32" s="317">
        <f>J32/H32*100</f>
        <v>117.16417910447763</v>
      </c>
      <c r="O32" s="317"/>
    </row>
    <row r="33" spans="1:15" ht="35.25" customHeight="1">
      <c r="A33" s="81" t="s">
        <v>300</v>
      </c>
      <c r="B33" s="318">
        <v>26455</v>
      </c>
      <c r="C33" s="318"/>
      <c r="D33" s="318">
        <f>D29</f>
        <v>29337</v>
      </c>
      <c r="E33" s="318"/>
      <c r="F33" s="318">
        <v>26455</v>
      </c>
      <c r="G33" s="318"/>
      <c r="H33" s="318">
        <f>H29</f>
        <v>27714.28571428571</v>
      </c>
      <c r="I33" s="318"/>
      <c r="J33" s="318">
        <f>J29</f>
        <v>33357.142857142855</v>
      </c>
      <c r="K33" s="318"/>
      <c r="L33" s="318">
        <f>J33-H33</f>
        <v>5642.8571428571449</v>
      </c>
      <c r="M33" s="318"/>
      <c r="N33" s="317">
        <f>J33/H33*100</f>
        <v>120.36082474226805</v>
      </c>
      <c r="O33" s="317"/>
    </row>
    <row r="34" spans="1:15" ht="20.149999999999999" customHeight="1">
      <c r="A34" s="81" t="s">
        <v>301</v>
      </c>
      <c r="B34" s="318">
        <v>18457</v>
      </c>
      <c r="C34" s="318"/>
      <c r="D34" s="318">
        <f>D30</f>
        <v>17827</v>
      </c>
      <c r="E34" s="318"/>
      <c r="F34" s="318">
        <v>18457</v>
      </c>
      <c r="G34" s="318"/>
      <c r="H34" s="318">
        <f>H30</f>
        <v>17993.259803921566</v>
      </c>
      <c r="I34" s="318"/>
      <c r="J34" s="318">
        <f>J30</f>
        <v>18245.014245014241</v>
      </c>
      <c r="K34" s="318"/>
      <c r="L34" s="318">
        <f>J34-H34</f>
        <v>251.75444109267482</v>
      </c>
      <c r="M34" s="318"/>
      <c r="N34" s="317">
        <f>J34/H34*100</f>
        <v>101.39915970666864</v>
      </c>
      <c r="O34" s="317"/>
    </row>
    <row r="35" spans="1:15" ht="7.5" customHeight="1">
      <c r="A35" s="114"/>
      <c r="B35" s="114"/>
      <c r="C35" s="114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20"/>
      <c r="O35" s="220"/>
    </row>
    <row r="36" spans="1:15" ht="22.5" customHeight="1">
      <c r="A36" s="339" t="s">
        <v>347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</row>
    <row r="37" spans="1:15" ht="11.25" customHeight="1">
      <c r="A37" s="54"/>
      <c r="B37" s="54"/>
      <c r="C37" s="54"/>
      <c r="D37" s="17"/>
      <c r="E37" s="17"/>
      <c r="F37" s="54"/>
      <c r="G37" s="54"/>
      <c r="H37" s="54"/>
      <c r="I37" s="54"/>
    </row>
    <row r="38" spans="1:15" ht="30.75" customHeight="1">
      <c r="A38" s="329" t="s">
        <v>370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</row>
    <row r="39" spans="1:15" ht="30.75" customHeight="1">
      <c r="A39" s="55" t="s">
        <v>137</v>
      </c>
      <c r="B39" s="292" t="s">
        <v>371</v>
      </c>
      <c r="C39" s="293"/>
      <c r="D39" s="293"/>
      <c r="E39" s="294"/>
      <c r="F39" s="300" t="s">
        <v>85</v>
      </c>
      <c r="G39" s="300"/>
      <c r="H39" s="300"/>
      <c r="I39" s="300"/>
      <c r="J39" s="300"/>
      <c r="K39" s="300"/>
      <c r="L39" s="300"/>
      <c r="M39" s="300"/>
      <c r="N39" s="300"/>
      <c r="O39" s="300"/>
    </row>
    <row r="40" spans="1:15" ht="17.25" customHeight="1">
      <c r="A40" s="55">
        <v>1</v>
      </c>
      <c r="B40" s="298">
        <v>2</v>
      </c>
      <c r="C40" s="299"/>
      <c r="D40" s="299"/>
      <c r="E40" s="299"/>
      <c r="F40" s="300">
        <v>3</v>
      </c>
      <c r="G40" s="300"/>
      <c r="H40" s="300"/>
      <c r="I40" s="300"/>
      <c r="J40" s="300"/>
      <c r="K40" s="300"/>
      <c r="L40" s="300"/>
      <c r="M40" s="300"/>
      <c r="N40" s="300"/>
      <c r="O40" s="300"/>
    </row>
    <row r="41" spans="1:15" ht="20.149999999999999" customHeight="1">
      <c r="A41" s="55"/>
      <c r="B41" s="312"/>
      <c r="C41" s="313"/>
      <c r="D41" s="313"/>
      <c r="E41" s="313"/>
      <c r="F41" s="311"/>
      <c r="G41" s="311"/>
      <c r="H41" s="311"/>
      <c r="I41" s="311"/>
      <c r="J41" s="311"/>
      <c r="K41" s="311"/>
      <c r="L41" s="311"/>
      <c r="M41" s="311"/>
      <c r="N41" s="311"/>
      <c r="O41" s="311"/>
    </row>
    <row r="42" spans="1:15" ht="20.149999999999999" hidden="1" customHeight="1" outlineLevel="1">
      <c r="A42" s="47"/>
      <c r="B42" s="56"/>
      <c r="C42" s="56"/>
      <c r="D42" s="216"/>
      <c r="E42" s="216"/>
      <c r="F42" s="57"/>
      <c r="G42" s="57"/>
      <c r="H42" s="57"/>
      <c r="I42" s="57"/>
      <c r="J42" s="57"/>
      <c r="K42" s="57"/>
      <c r="L42" s="57"/>
      <c r="M42" s="315" t="s">
        <v>241</v>
      </c>
      <c r="N42" s="315"/>
      <c r="O42" s="315"/>
    </row>
    <row r="43" spans="1:15" ht="20.149999999999999" hidden="1" customHeight="1" outlineLevel="1">
      <c r="A43" s="47"/>
      <c r="B43" s="56"/>
      <c r="C43" s="56"/>
      <c r="D43" s="216"/>
      <c r="E43" s="216"/>
      <c r="F43" s="57"/>
      <c r="G43" s="57"/>
      <c r="H43" s="57"/>
      <c r="I43" s="57"/>
      <c r="J43" s="57"/>
      <c r="K43" s="57"/>
      <c r="L43" s="57"/>
      <c r="M43" s="316" t="s">
        <v>291</v>
      </c>
      <c r="N43" s="316"/>
      <c r="O43" s="316"/>
    </row>
    <row r="44" spans="1:15" collapsed="1">
      <c r="A44" s="309" t="s">
        <v>251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</row>
    <row r="46" spans="1:15" ht="52.5" customHeight="1">
      <c r="A46" s="303" t="s">
        <v>287</v>
      </c>
      <c r="B46" s="304"/>
      <c r="C46" s="282"/>
      <c r="D46" s="277" t="s">
        <v>242</v>
      </c>
      <c r="E46" s="277"/>
      <c r="F46" s="277"/>
      <c r="G46" s="277" t="s">
        <v>238</v>
      </c>
      <c r="H46" s="277"/>
      <c r="I46" s="277"/>
      <c r="J46" s="277" t="s">
        <v>292</v>
      </c>
      <c r="K46" s="277"/>
      <c r="L46" s="277"/>
      <c r="M46" s="287" t="s">
        <v>293</v>
      </c>
      <c r="N46" s="288"/>
      <c r="O46" s="263" t="s">
        <v>316</v>
      </c>
    </row>
    <row r="47" spans="1:15" ht="189.75" customHeight="1">
      <c r="A47" s="305"/>
      <c r="B47" s="306"/>
      <c r="C47" s="283"/>
      <c r="D47" s="82" t="s">
        <v>319</v>
      </c>
      <c r="E47" s="82" t="s">
        <v>318</v>
      </c>
      <c r="F47" s="82" t="s">
        <v>317</v>
      </c>
      <c r="G47" s="82" t="s">
        <v>319</v>
      </c>
      <c r="H47" s="82" t="s">
        <v>318</v>
      </c>
      <c r="I47" s="82" t="s">
        <v>317</v>
      </c>
      <c r="J47" s="82" t="s">
        <v>319</v>
      </c>
      <c r="K47" s="82" t="s">
        <v>318</v>
      </c>
      <c r="L47" s="82" t="s">
        <v>317</v>
      </c>
      <c r="M47" s="82" t="s">
        <v>243</v>
      </c>
      <c r="N47" s="82" t="s">
        <v>244</v>
      </c>
      <c r="O47" s="314"/>
    </row>
    <row r="48" spans="1:15">
      <c r="A48" s="287">
        <v>1</v>
      </c>
      <c r="B48" s="338"/>
      <c r="C48" s="288"/>
      <c r="D48" s="82">
        <v>4</v>
      </c>
      <c r="E48" s="82">
        <v>5</v>
      </c>
      <c r="F48" s="82">
        <v>6</v>
      </c>
      <c r="G48" s="82">
        <v>7</v>
      </c>
      <c r="H48" s="15">
        <v>8</v>
      </c>
      <c r="I48" s="15">
        <v>9</v>
      </c>
      <c r="J48" s="15">
        <v>10</v>
      </c>
      <c r="K48" s="15">
        <v>11</v>
      </c>
      <c r="L48" s="15">
        <v>12</v>
      </c>
      <c r="M48" s="15">
        <v>13</v>
      </c>
      <c r="N48" s="15">
        <v>14</v>
      </c>
      <c r="O48" s="15">
        <v>15</v>
      </c>
    </row>
    <row r="49" spans="1:15" ht="45.75" customHeight="1">
      <c r="A49" s="295" t="s">
        <v>576</v>
      </c>
      <c r="B49" s="296"/>
      <c r="C49" s="297"/>
      <c r="D49" s="6">
        <f>'1. Фін результат'!D10</f>
        <v>33850</v>
      </c>
      <c r="E49" s="215">
        <f>8000/2</f>
        <v>4000</v>
      </c>
      <c r="F49" s="215">
        <f>D49/E49*1000</f>
        <v>8462.5</v>
      </c>
      <c r="G49" s="6">
        <f>'1. Фін результат'!E10</f>
        <v>40511</v>
      </c>
      <c r="H49" s="15">
        <v>3900</v>
      </c>
      <c r="I49" s="215">
        <f>G49/H49*1000</f>
        <v>10387.435897435898</v>
      </c>
      <c r="J49" s="83">
        <f>G49-D49</f>
        <v>6661</v>
      </c>
      <c r="K49" s="15">
        <f t="shared" ref="J49:L50" si="2">H49-E49</f>
        <v>-100</v>
      </c>
      <c r="L49" s="84">
        <f t="shared" si="2"/>
        <v>1924.9358974358984</v>
      </c>
      <c r="M49" s="84">
        <f>G49/D49*100</f>
        <v>119.67799113737074</v>
      </c>
      <c r="N49" s="84">
        <f>H49/E49*100</f>
        <v>97.5</v>
      </c>
      <c r="O49" s="15"/>
    </row>
    <row r="50" spans="1:15" ht="45.75" customHeight="1">
      <c r="A50" s="295" t="s">
        <v>575</v>
      </c>
      <c r="B50" s="296"/>
      <c r="C50" s="297"/>
      <c r="D50" s="6">
        <f>'1. Фін результат'!D11</f>
        <v>163250</v>
      </c>
      <c r="E50" s="215">
        <f>34000/2</f>
        <v>17000</v>
      </c>
      <c r="F50" s="215">
        <f>D50/E50*1000</f>
        <v>9602.9411764705892</v>
      </c>
      <c r="G50" s="6">
        <f>'1. Фін результат'!E11</f>
        <v>61441</v>
      </c>
      <c r="H50" s="15">
        <v>14500</v>
      </c>
      <c r="I50" s="215">
        <f>G50/H50*1000</f>
        <v>4237.3103448275861</v>
      </c>
      <c r="J50" s="83">
        <f t="shared" si="2"/>
        <v>-101809</v>
      </c>
      <c r="K50" s="15">
        <f t="shared" si="2"/>
        <v>-2500</v>
      </c>
      <c r="L50" s="84">
        <f t="shared" si="2"/>
        <v>-5365.6308316430031</v>
      </c>
      <c r="M50" s="84">
        <f>G50/D50*100</f>
        <v>37.636140888208267</v>
      </c>
      <c r="N50" s="84">
        <f>H50/E50*100</f>
        <v>85.294117647058826</v>
      </c>
      <c r="O50" s="15"/>
    </row>
    <row r="51" spans="1:15" ht="48.75" customHeight="1">
      <c r="A51" s="295" t="s">
        <v>397</v>
      </c>
      <c r="B51" s="296"/>
      <c r="C51" s="297"/>
      <c r="D51" s="6">
        <f>'1. Фін результат'!D12</f>
        <v>1750</v>
      </c>
      <c r="E51" s="82"/>
      <c r="F51" s="82"/>
      <c r="G51" s="6">
        <f>'1. Фін результат'!E12</f>
        <v>1400</v>
      </c>
      <c r="H51" s="15"/>
      <c r="I51" s="215"/>
      <c r="J51" s="83">
        <f>G51-D51</f>
        <v>-350</v>
      </c>
      <c r="K51" s="15"/>
      <c r="L51" s="84"/>
      <c r="M51" s="84">
        <f>G51/D51*100</f>
        <v>80</v>
      </c>
      <c r="N51" s="15"/>
      <c r="O51" s="15"/>
    </row>
    <row r="52" spans="1:15" ht="25" customHeight="1">
      <c r="A52" s="335" t="s">
        <v>58</v>
      </c>
      <c r="B52" s="336"/>
      <c r="C52" s="337"/>
      <c r="D52" s="6">
        <f>SUM(D49:D51)</f>
        <v>198850</v>
      </c>
      <c r="E52" s="6"/>
      <c r="F52" s="85">
        <f>SUM(F49:F51)</f>
        <v>18065.441176470587</v>
      </c>
      <c r="G52" s="85">
        <f>SUM(G49:G51)</f>
        <v>103352</v>
      </c>
      <c r="H52" s="85"/>
      <c r="I52" s="85">
        <f>SUM(I49:I51)</f>
        <v>14624.746242263485</v>
      </c>
      <c r="J52" s="85"/>
      <c r="K52" s="85"/>
      <c r="L52" s="85"/>
      <c r="M52" s="86"/>
      <c r="N52" s="86"/>
      <c r="O52" s="85"/>
    </row>
    <row r="53" spans="1:15">
      <c r="A53" s="58"/>
      <c r="B53" s="59"/>
      <c r="C53" s="59"/>
      <c r="D53" s="217"/>
      <c r="E53" s="217"/>
      <c r="F53" s="60"/>
      <c r="G53" s="60"/>
      <c r="H53" s="60"/>
      <c r="I53" s="61"/>
      <c r="J53" s="61"/>
      <c r="K53" s="61"/>
      <c r="L53" s="61"/>
      <c r="M53" s="61"/>
      <c r="N53" s="61"/>
      <c r="O53" s="61"/>
    </row>
    <row r="54" spans="1:15">
      <c r="A54" s="309" t="s">
        <v>74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</row>
    <row r="56" spans="1:15" ht="56.25" customHeight="1">
      <c r="A56" s="49" t="s">
        <v>126</v>
      </c>
      <c r="B56" s="302" t="s">
        <v>73</v>
      </c>
      <c r="C56" s="302"/>
      <c r="D56" s="277" t="s">
        <v>68</v>
      </c>
      <c r="E56" s="277"/>
      <c r="F56" s="302" t="s">
        <v>69</v>
      </c>
      <c r="G56" s="302"/>
      <c r="H56" s="302" t="s">
        <v>89</v>
      </c>
      <c r="I56" s="302"/>
      <c r="J56" s="302"/>
      <c r="K56" s="307" t="s">
        <v>86</v>
      </c>
      <c r="L56" s="308"/>
      <c r="M56" s="307" t="s">
        <v>36</v>
      </c>
      <c r="N56" s="310"/>
      <c r="O56" s="308"/>
    </row>
    <row r="57" spans="1:15">
      <c r="A57" s="51">
        <v>1</v>
      </c>
      <c r="B57" s="300">
        <v>2</v>
      </c>
      <c r="C57" s="300"/>
      <c r="D57" s="301">
        <v>3</v>
      </c>
      <c r="E57" s="301"/>
      <c r="F57" s="300">
        <v>4</v>
      </c>
      <c r="G57" s="300"/>
      <c r="H57" s="300">
        <v>5</v>
      </c>
      <c r="I57" s="300"/>
      <c r="J57" s="300"/>
      <c r="K57" s="300">
        <v>6</v>
      </c>
      <c r="L57" s="300"/>
      <c r="M57" s="298">
        <v>7</v>
      </c>
      <c r="N57" s="299"/>
      <c r="O57" s="322"/>
    </row>
    <row r="58" spans="1:15">
      <c r="A58" s="62"/>
      <c r="B58" s="311"/>
      <c r="C58" s="311"/>
      <c r="D58" s="318"/>
      <c r="E58" s="318"/>
      <c r="F58" s="333" t="s">
        <v>259</v>
      </c>
      <c r="G58" s="333"/>
      <c r="H58" s="302"/>
      <c r="I58" s="302"/>
      <c r="J58" s="302"/>
      <c r="K58" s="323"/>
      <c r="L58" s="324"/>
      <c r="M58" s="325"/>
      <c r="N58" s="325"/>
      <c r="O58" s="325"/>
    </row>
    <row r="59" spans="1:15">
      <c r="A59" s="62"/>
      <c r="B59" s="326"/>
      <c r="C59" s="327"/>
      <c r="D59" s="320"/>
      <c r="E59" s="321"/>
      <c r="F59" s="331"/>
      <c r="G59" s="332"/>
      <c r="H59" s="307"/>
      <c r="I59" s="310"/>
      <c r="J59" s="308"/>
      <c r="K59" s="323"/>
      <c r="L59" s="324"/>
      <c r="M59" s="323"/>
      <c r="N59" s="328"/>
      <c r="O59" s="324"/>
    </row>
    <row r="60" spans="1:15">
      <c r="A60" s="62"/>
      <c r="B60" s="312"/>
      <c r="C60" s="334"/>
      <c r="D60" s="320"/>
      <c r="E60" s="321"/>
      <c r="F60" s="331"/>
      <c r="G60" s="332"/>
      <c r="H60" s="307"/>
      <c r="I60" s="310"/>
      <c r="J60" s="308"/>
      <c r="K60" s="323"/>
      <c r="L60" s="324"/>
      <c r="M60" s="323"/>
      <c r="N60" s="328"/>
      <c r="O60" s="324"/>
    </row>
    <row r="61" spans="1:15">
      <c r="A61" s="62"/>
      <c r="B61" s="311"/>
      <c r="C61" s="311"/>
      <c r="D61" s="318"/>
      <c r="E61" s="318"/>
      <c r="F61" s="333"/>
      <c r="G61" s="333"/>
      <c r="H61" s="302"/>
      <c r="I61" s="302"/>
      <c r="J61" s="302"/>
      <c r="K61" s="323"/>
      <c r="L61" s="324"/>
      <c r="M61" s="325"/>
      <c r="N61" s="325"/>
      <c r="O61" s="325"/>
    </row>
    <row r="62" spans="1:15">
      <c r="A62" s="63" t="s">
        <v>58</v>
      </c>
      <c r="B62" s="300" t="s">
        <v>37</v>
      </c>
      <c r="C62" s="300"/>
      <c r="D62" s="301" t="s">
        <v>37</v>
      </c>
      <c r="E62" s="301"/>
      <c r="F62" s="300" t="s">
        <v>37</v>
      </c>
      <c r="G62" s="300"/>
      <c r="H62" s="302"/>
      <c r="I62" s="302"/>
      <c r="J62" s="302"/>
      <c r="K62" s="323"/>
      <c r="L62" s="324"/>
      <c r="M62" s="325"/>
      <c r="N62" s="325"/>
      <c r="O62" s="325"/>
    </row>
    <row r="63" spans="1:15">
      <c r="A63" s="60"/>
      <c r="C63" s="47"/>
      <c r="D63" s="4"/>
      <c r="E63" s="4"/>
      <c r="F63" s="47"/>
      <c r="G63" s="47"/>
      <c r="H63" s="47"/>
      <c r="I63" s="47"/>
      <c r="J63" s="47"/>
    </row>
    <row r="64" spans="1:15">
      <c r="A64" s="309" t="s">
        <v>75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</row>
    <row r="65" spans="1:15" ht="2.5" customHeight="1">
      <c r="A65" s="61"/>
      <c r="B65" s="61"/>
      <c r="C65" s="61"/>
      <c r="D65" s="112"/>
      <c r="E65" s="112"/>
      <c r="F65" s="61"/>
      <c r="G65" s="61"/>
      <c r="H65" s="61"/>
      <c r="I65" s="64"/>
    </row>
    <row r="66" spans="1:15" ht="42.75" customHeight="1">
      <c r="A66" s="302" t="s">
        <v>67</v>
      </c>
      <c r="B66" s="302"/>
      <c r="C66" s="302"/>
      <c r="D66" s="277" t="s">
        <v>245</v>
      </c>
      <c r="E66" s="277"/>
      <c r="F66" s="302" t="s">
        <v>246</v>
      </c>
      <c r="G66" s="302"/>
      <c r="H66" s="302"/>
      <c r="I66" s="302"/>
      <c r="J66" s="302" t="s">
        <v>249</v>
      </c>
      <c r="K66" s="302"/>
      <c r="L66" s="302"/>
      <c r="M66" s="302"/>
      <c r="N66" s="302" t="s">
        <v>250</v>
      </c>
      <c r="O66" s="302"/>
    </row>
    <row r="67" spans="1:15" ht="42.75" customHeight="1">
      <c r="A67" s="302"/>
      <c r="B67" s="302"/>
      <c r="C67" s="302"/>
      <c r="D67" s="277"/>
      <c r="E67" s="277"/>
      <c r="F67" s="300" t="s">
        <v>247</v>
      </c>
      <c r="G67" s="300"/>
      <c r="H67" s="302" t="s">
        <v>248</v>
      </c>
      <c r="I67" s="302"/>
      <c r="J67" s="300" t="s">
        <v>247</v>
      </c>
      <c r="K67" s="300"/>
      <c r="L67" s="302" t="s">
        <v>248</v>
      </c>
      <c r="M67" s="302"/>
      <c r="N67" s="302"/>
      <c r="O67" s="302"/>
    </row>
    <row r="68" spans="1:15">
      <c r="A68" s="302">
        <v>1</v>
      </c>
      <c r="B68" s="302"/>
      <c r="C68" s="302"/>
      <c r="D68" s="287">
        <v>2</v>
      </c>
      <c r="E68" s="288"/>
      <c r="F68" s="307">
        <v>3</v>
      </c>
      <c r="G68" s="308"/>
      <c r="H68" s="298">
        <v>4</v>
      </c>
      <c r="I68" s="322"/>
      <c r="J68" s="298">
        <v>5</v>
      </c>
      <c r="K68" s="322"/>
      <c r="L68" s="298">
        <v>6</v>
      </c>
      <c r="M68" s="322"/>
      <c r="N68" s="298">
        <v>7</v>
      </c>
      <c r="O68" s="322"/>
    </row>
    <row r="69" spans="1:15" ht="20.149999999999999" customHeight="1">
      <c r="A69" s="330" t="s">
        <v>313</v>
      </c>
      <c r="B69" s="330"/>
      <c r="C69" s="330"/>
      <c r="D69" s="320"/>
      <c r="E69" s="321"/>
      <c r="F69" s="323"/>
      <c r="G69" s="324"/>
      <c r="H69" s="323"/>
      <c r="I69" s="324"/>
      <c r="J69" s="323"/>
      <c r="K69" s="324"/>
      <c r="L69" s="323"/>
      <c r="M69" s="324"/>
      <c r="N69" s="323"/>
      <c r="O69" s="324"/>
    </row>
    <row r="70" spans="1:15" ht="20.149999999999999" customHeight="1">
      <c r="A70" s="330" t="s">
        <v>103</v>
      </c>
      <c r="B70" s="330"/>
      <c r="C70" s="330"/>
      <c r="D70" s="320"/>
      <c r="E70" s="321"/>
      <c r="F70" s="323"/>
      <c r="G70" s="324"/>
      <c r="H70" s="323"/>
      <c r="I70" s="324"/>
      <c r="J70" s="323"/>
      <c r="K70" s="324"/>
      <c r="L70" s="323"/>
      <c r="M70" s="324"/>
      <c r="N70" s="323"/>
      <c r="O70" s="324"/>
    </row>
    <row r="71" spans="1:15" ht="20.149999999999999" customHeight="1">
      <c r="A71" s="330"/>
      <c r="B71" s="330"/>
      <c r="C71" s="330"/>
      <c r="D71" s="320"/>
      <c r="E71" s="321"/>
      <c r="F71" s="323"/>
      <c r="G71" s="324"/>
      <c r="H71" s="323"/>
      <c r="I71" s="324"/>
      <c r="J71" s="323"/>
      <c r="K71" s="324"/>
      <c r="L71" s="323"/>
      <c r="M71" s="324"/>
      <c r="N71" s="323"/>
      <c r="O71" s="324"/>
    </row>
    <row r="72" spans="1:15" ht="20.149999999999999" customHeight="1">
      <c r="A72" s="330" t="s">
        <v>314</v>
      </c>
      <c r="B72" s="330"/>
      <c r="C72" s="330"/>
      <c r="D72" s="320"/>
      <c r="E72" s="321"/>
      <c r="F72" s="323"/>
      <c r="G72" s="324"/>
      <c r="H72" s="323"/>
      <c r="I72" s="324"/>
      <c r="J72" s="323"/>
      <c r="K72" s="324"/>
      <c r="L72" s="323"/>
      <c r="M72" s="324"/>
      <c r="N72" s="323"/>
      <c r="O72" s="324"/>
    </row>
    <row r="73" spans="1:15" ht="20.149999999999999" customHeight="1">
      <c r="A73" s="330" t="s">
        <v>363</v>
      </c>
      <c r="B73" s="330"/>
      <c r="C73" s="330"/>
      <c r="D73" s="320"/>
      <c r="E73" s="321"/>
      <c r="F73" s="323"/>
      <c r="G73" s="324"/>
      <c r="H73" s="323"/>
      <c r="I73" s="324"/>
      <c r="J73" s="323"/>
      <c r="K73" s="324"/>
      <c r="L73" s="323"/>
      <c r="M73" s="324"/>
      <c r="N73" s="323"/>
      <c r="O73" s="324"/>
    </row>
    <row r="74" spans="1:15" ht="20.149999999999999" customHeight="1">
      <c r="A74" s="330"/>
      <c r="B74" s="330"/>
      <c r="C74" s="330"/>
      <c r="D74" s="320"/>
      <c r="E74" s="321"/>
      <c r="F74" s="323"/>
      <c r="G74" s="324"/>
      <c r="H74" s="323"/>
      <c r="I74" s="324"/>
      <c r="J74" s="323"/>
      <c r="K74" s="324"/>
      <c r="L74" s="323"/>
      <c r="M74" s="324"/>
      <c r="N74" s="323"/>
      <c r="O74" s="324"/>
    </row>
    <row r="75" spans="1:15" ht="20.149999999999999" customHeight="1">
      <c r="A75" s="330" t="s">
        <v>315</v>
      </c>
      <c r="B75" s="330"/>
      <c r="C75" s="330"/>
      <c r="D75" s="320"/>
      <c r="E75" s="321"/>
      <c r="F75" s="323"/>
      <c r="G75" s="324"/>
      <c r="H75" s="323"/>
      <c r="I75" s="324"/>
      <c r="J75" s="323"/>
      <c r="K75" s="324"/>
      <c r="L75" s="323"/>
      <c r="M75" s="324"/>
      <c r="N75" s="323"/>
      <c r="O75" s="324"/>
    </row>
    <row r="76" spans="1:15" ht="20.149999999999999" customHeight="1">
      <c r="A76" s="330" t="s">
        <v>103</v>
      </c>
      <c r="B76" s="330"/>
      <c r="C76" s="330"/>
      <c r="D76" s="320"/>
      <c r="E76" s="321"/>
      <c r="F76" s="323"/>
      <c r="G76" s="324"/>
      <c r="H76" s="323"/>
      <c r="I76" s="324"/>
      <c r="J76" s="323"/>
      <c r="K76" s="324"/>
      <c r="L76" s="323"/>
      <c r="M76" s="324"/>
      <c r="N76" s="323"/>
      <c r="O76" s="324"/>
    </row>
    <row r="77" spans="1:15" ht="20.149999999999999" customHeight="1">
      <c r="A77" s="330"/>
      <c r="B77" s="330"/>
      <c r="C77" s="330"/>
      <c r="D77" s="320"/>
      <c r="E77" s="321"/>
      <c r="F77" s="323"/>
      <c r="G77" s="324"/>
      <c r="H77" s="323"/>
      <c r="I77" s="324"/>
      <c r="J77" s="323"/>
      <c r="K77" s="324"/>
      <c r="L77" s="323"/>
      <c r="M77" s="324"/>
      <c r="N77" s="323"/>
      <c r="O77" s="324"/>
    </row>
    <row r="78" spans="1:15" ht="25" customHeight="1">
      <c r="A78" s="330" t="s">
        <v>58</v>
      </c>
      <c r="B78" s="330"/>
      <c r="C78" s="330"/>
      <c r="D78" s="320"/>
      <c r="E78" s="321"/>
      <c r="F78" s="323"/>
      <c r="G78" s="324"/>
      <c r="H78" s="323"/>
      <c r="I78" s="324"/>
      <c r="J78" s="323"/>
      <c r="K78" s="324"/>
      <c r="L78" s="323"/>
      <c r="M78" s="324"/>
      <c r="N78" s="323"/>
      <c r="O78" s="324"/>
    </row>
    <row r="79" spans="1:15">
      <c r="C79" s="65"/>
      <c r="D79" s="218"/>
      <c r="E79" s="218"/>
    </row>
    <row r="80" spans="1:15">
      <c r="C80" s="65"/>
      <c r="D80" s="218"/>
      <c r="E80" s="218"/>
    </row>
    <row r="81" spans="3:5">
      <c r="C81" s="65"/>
      <c r="D81" s="218"/>
      <c r="E81" s="218"/>
    </row>
    <row r="82" spans="3:5">
      <c r="C82" s="65"/>
      <c r="D82" s="218"/>
      <c r="E82" s="218"/>
    </row>
    <row r="83" spans="3:5">
      <c r="C83" s="65"/>
      <c r="D83" s="218"/>
      <c r="E83" s="218"/>
    </row>
    <row r="84" spans="3:5">
      <c r="C84" s="65"/>
      <c r="D84" s="218"/>
      <c r="E84" s="218"/>
    </row>
    <row r="85" spans="3:5">
      <c r="C85" s="65"/>
      <c r="D85" s="218"/>
      <c r="E85" s="218"/>
    </row>
    <row r="86" spans="3:5">
      <c r="C86" s="65"/>
      <c r="D86" s="218"/>
      <c r="E86" s="218"/>
    </row>
    <row r="87" spans="3:5">
      <c r="C87" s="65"/>
      <c r="D87" s="218"/>
      <c r="E87" s="218"/>
    </row>
    <row r="88" spans="3:5">
      <c r="C88" s="65"/>
      <c r="D88" s="218"/>
      <c r="E88" s="218"/>
    </row>
    <row r="89" spans="3:5">
      <c r="C89" s="65"/>
      <c r="D89" s="218"/>
      <c r="E89" s="218"/>
    </row>
    <row r="90" spans="3:5">
      <c r="C90" s="65"/>
      <c r="D90" s="218"/>
      <c r="E90" s="218"/>
    </row>
    <row r="91" spans="3:5">
      <c r="C91" s="65"/>
      <c r="D91" s="218"/>
      <c r="E91" s="218"/>
    </row>
    <row r="92" spans="3:5">
      <c r="C92" s="65"/>
      <c r="D92" s="218"/>
      <c r="E92" s="218"/>
    </row>
  </sheetData>
  <mergeCells count="305"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</mergeCells>
  <phoneticPr fontId="3" type="noConversion"/>
  <pageMargins left="0.59055118110236227" right="0.59055118110236227" top="0.39370078740157483" bottom="0.39370078740157483" header="0" footer="0"/>
  <pageSetup paperSize="9" scale="49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AF71"/>
  <sheetViews>
    <sheetView view="pageBreakPreview" topLeftCell="A3" zoomScale="55" zoomScaleNormal="50" zoomScaleSheetLayoutView="55" workbookViewId="0">
      <selection activeCell="N5" sqref="N5:Q6"/>
    </sheetView>
  </sheetViews>
  <sheetFormatPr defaultColWidth="9.1796875" defaultRowHeight="20.5" outlineLevelRow="1"/>
  <cols>
    <col min="1" max="2" width="4.453125" style="2" customWidth="1"/>
    <col min="3" max="3" width="28.7265625" style="2" customWidth="1"/>
    <col min="4" max="6" width="8.453125" style="2" customWidth="1"/>
    <col min="7" max="7" width="11.26953125" style="2" customWidth="1"/>
    <col min="8" max="8" width="6.54296875" style="2" customWidth="1"/>
    <col min="9" max="9" width="6.81640625" style="2" customWidth="1"/>
    <col min="10" max="10" width="8.7265625" style="2" customWidth="1"/>
    <col min="11" max="11" width="7" style="2" customWidth="1"/>
    <col min="12" max="12" width="6" style="2" customWidth="1"/>
    <col min="13" max="13" width="12.26953125" style="2" customWidth="1"/>
    <col min="14" max="14" width="12.54296875" style="46" customWidth="1"/>
    <col min="15" max="15" width="14.54296875" style="46" customWidth="1"/>
    <col min="16" max="16" width="14" style="46" customWidth="1"/>
    <col min="17" max="17" width="12.54296875" style="46" customWidth="1"/>
    <col min="18" max="18" width="12.26953125" style="46" customWidth="1"/>
    <col min="19" max="19" width="14.54296875" style="46" customWidth="1"/>
    <col min="20" max="20" width="14" style="46" customWidth="1"/>
    <col min="21" max="21" width="12.54296875" style="46" customWidth="1"/>
    <col min="22" max="22" width="12.26953125" style="46" customWidth="1"/>
    <col min="23" max="23" width="14.81640625" style="46" customWidth="1"/>
    <col min="24" max="24" width="14" style="46" customWidth="1"/>
    <col min="25" max="25" width="12.54296875" style="46" customWidth="1"/>
    <col min="26" max="26" width="12.26953125" style="46" customWidth="1"/>
    <col min="27" max="27" width="14.54296875" style="46" customWidth="1"/>
    <col min="28" max="28" width="13.7265625" style="46" customWidth="1"/>
    <col min="29" max="29" width="12.26953125" style="46" customWidth="1"/>
    <col min="30" max="30" width="12" style="46" customWidth="1"/>
    <col min="31" max="31" width="14.54296875" style="46" customWidth="1"/>
    <col min="32" max="32" width="14" style="46" customWidth="1"/>
    <col min="33" max="16384" width="9.1796875" style="2"/>
  </cols>
  <sheetData>
    <row r="1" spans="1:32" ht="18.75" hidden="1" customHeight="1" outlineLevel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7"/>
      <c r="O1" s="47"/>
      <c r="P1" s="47"/>
      <c r="R1" s="58"/>
      <c r="S1" s="58"/>
      <c r="T1" s="58"/>
      <c r="U1" s="58"/>
      <c r="V1" s="58"/>
      <c r="AD1" s="340" t="s">
        <v>241</v>
      </c>
      <c r="AE1" s="340"/>
      <c r="AF1" s="340"/>
    </row>
    <row r="2" spans="1:32" ht="18.75" hidden="1" customHeight="1" outlineLevel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7"/>
      <c r="O2" s="47"/>
      <c r="P2" s="47"/>
      <c r="R2" s="58"/>
      <c r="S2" s="58"/>
      <c r="T2" s="58"/>
      <c r="U2" s="58"/>
      <c r="V2" s="58"/>
      <c r="AD2" s="340"/>
      <c r="AE2" s="340"/>
      <c r="AF2" s="340"/>
    </row>
    <row r="3" spans="1:32" s="8" customFormat="1" ht="18.75" customHeight="1" collapsed="1">
      <c r="A3" s="238" t="s">
        <v>252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</row>
    <row r="4" spans="1:3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ht="27.75" customHeight="1">
      <c r="A5" s="361" t="s">
        <v>53</v>
      </c>
      <c r="B5" s="364" t="s">
        <v>196</v>
      </c>
      <c r="C5" s="366"/>
      <c r="D5" s="349" t="s">
        <v>197</v>
      </c>
      <c r="E5" s="350"/>
      <c r="F5" s="350"/>
      <c r="G5" s="237" t="s">
        <v>346</v>
      </c>
      <c r="H5" s="237"/>
      <c r="I5" s="237"/>
      <c r="J5" s="237"/>
      <c r="K5" s="237"/>
      <c r="L5" s="237"/>
      <c r="M5" s="237"/>
      <c r="N5" s="349" t="s">
        <v>198</v>
      </c>
      <c r="O5" s="350"/>
      <c r="P5" s="350"/>
      <c r="Q5" s="351"/>
      <c r="R5" s="346" t="s">
        <v>304</v>
      </c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48.75" customHeight="1">
      <c r="A6" s="363"/>
      <c r="B6" s="370"/>
      <c r="C6" s="372"/>
      <c r="D6" s="352"/>
      <c r="E6" s="353"/>
      <c r="F6" s="353"/>
      <c r="G6" s="237"/>
      <c r="H6" s="237"/>
      <c r="I6" s="237"/>
      <c r="J6" s="237"/>
      <c r="K6" s="237"/>
      <c r="L6" s="237"/>
      <c r="M6" s="237"/>
      <c r="N6" s="352"/>
      <c r="O6" s="353"/>
      <c r="P6" s="353"/>
      <c r="Q6" s="354"/>
      <c r="R6" s="386" t="s">
        <v>199</v>
      </c>
      <c r="S6" s="387"/>
      <c r="T6" s="388"/>
      <c r="U6" s="386" t="s">
        <v>200</v>
      </c>
      <c r="V6" s="387"/>
      <c r="W6" s="388"/>
      <c r="X6" s="386" t="s">
        <v>41</v>
      </c>
      <c r="Y6" s="387"/>
      <c r="Z6" s="388"/>
      <c r="AA6" s="346" t="s">
        <v>201</v>
      </c>
      <c r="AB6" s="347"/>
      <c r="AC6" s="348"/>
      <c r="AD6" s="346" t="s">
        <v>202</v>
      </c>
      <c r="AE6" s="347"/>
      <c r="AF6" s="348"/>
    </row>
    <row r="7" spans="1:32" ht="18.75" customHeight="1">
      <c r="A7" s="21">
        <v>1</v>
      </c>
      <c r="B7" s="396">
        <v>2</v>
      </c>
      <c r="C7" s="397"/>
      <c r="D7" s="287">
        <v>3</v>
      </c>
      <c r="E7" s="338"/>
      <c r="F7" s="338"/>
      <c r="G7" s="277">
        <v>4</v>
      </c>
      <c r="H7" s="277"/>
      <c r="I7" s="277"/>
      <c r="J7" s="277"/>
      <c r="K7" s="277"/>
      <c r="L7" s="277"/>
      <c r="M7" s="277"/>
      <c r="N7" s="287">
        <v>5</v>
      </c>
      <c r="O7" s="338"/>
      <c r="P7" s="338"/>
      <c r="Q7" s="288"/>
      <c r="R7" s="287">
        <v>6</v>
      </c>
      <c r="S7" s="338"/>
      <c r="T7" s="288"/>
      <c r="U7" s="287">
        <v>7</v>
      </c>
      <c r="V7" s="338"/>
      <c r="W7" s="288"/>
      <c r="X7" s="383">
        <v>8</v>
      </c>
      <c r="Y7" s="384"/>
      <c r="Z7" s="385"/>
      <c r="AA7" s="383">
        <v>9</v>
      </c>
      <c r="AB7" s="384"/>
      <c r="AC7" s="385"/>
      <c r="AD7" s="383">
        <v>10</v>
      </c>
      <c r="AE7" s="384"/>
      <c r="AF7" s="385"/>
    </row>
    <row r="8" spans="1:32" ht="20.149999999999999" customHeight="1">
      <c r="A8" s="21">
        <v>1</v>
      </c>
      <c r="B8" s="396" t="s">
        <v>491</v>
      </c>
      <c r="C8" s="397"/>
      <c r="D8" s="360">
        <v>38687</v>
      </c>
      <c r="E8" s="338"/>
      <c r="F8" s="338"/>
      <c r="G8" s="277" t="s">
        <v>492</v>
      </c>
      <c r="H8" s="277"/>
      <c r="I8" s="277"/>
      <c r="J8" s="277"/>
      <c r="K8" s="277"/>
      <c r="L8" s="277"/>
      <c r="M8" s="277"/>
      <c r="N8" s="320">
        <f>R8+U8+X8+AA8</f>
        <v>244</v>
      </c>
      <c r="O8" s="391"/>
      <c r="P8" s="391"/>
      <c r="Q8" s="321"/>
      <c r="R8" s="320">
        <v>112</v>
      </c>
      <c r="S8" s="391"/>
      <c r="T8" s="321"/>
      <c r="U8" s="320">
        <v>112</v>
      </c>
      <c r="V8" s="391"/>
      <c r="W8" s="321"/>
      <c r="X8" s="320">
        <v>20</v>
      </c>
      <c r="Y8" s="391"/>
      <c r="Z8" s="321"/>
      <c r="AA8" s="320">
        <v>0</v>
      </c>
      <c r="AB8" s="391"/>
      <c r="AC8" s="321"/>
      <c r="AD8" s="320"/>
      <c r="AE8" s="391"/>
      <c r="AF8" s="321"/>
    </row>
    <row r="9" spans="1:32" ht="20.149999999999999" customHeight="1">
      <c r="A9" s="21">
        <v>2</v>
      </c>
      <c r="B9" s="396" t="s">
        <v>556</v>
      </c>
      <c r="C9" s="397"/>
      <c r="D9" s="360">
        <v>43061</v>
      </c>
      <c r="E9" s="338"/>
      <c r="F9" s="338"/>
      <c r="G9" s="277" t="s">
        <v>492</v>
      </c>
      <c r="H9" s="277"/>
      <c r="I9" s="277"/>
      <c r="J9" s="277"/>
      <c r="K9" s="277"/>
      <c r="L9" s="277"/>
      <c r="M9" s="277"/>
      <c r="N9" s="320">
        <f>R9+U9+X9+AA9</f>
        <v>212</v>
      </c>
      <c r="O9" s="391"/>
      <c r="P9" s="391"/>
      <c r="Q9" s="321"/>
      <c r="R9" s="320">
        <v>74</v>
      </c>
      <c r="S9" s="391"/>
      <c r="T9" s="321"/>
      <c r="U9" s="320">
        <v>112</v>
      </c>
      <c r="V9" s="391"/>
      <c r="W9" s="321"/>
      <c r="X9" s="320">
        <v>20</v>
      </c>
      <c r="Y9" s="391"/>
      <c r="Z9" s="321"/>
      <c r="AA9" s="320">
        <v>6</v>
      </c>
      <c r="AB9" s="391"/>
      <c r="AC9" s="321"/>
      <c r="AD9" s="320"/>
      <c r="AE9" s="391"/>
      <c r="AF9" s="321"/>
    </row>
    <row r="10" spans="1:32" ht="25" customHeight="1">
      <c r="A10" s="378" t="s">
        <v>58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  <c r="N10" s="320">
        <f>SUM(N8:N9)</f>
        <v>456</v>
      </c>
      <c r="O10" s="391"/>
      <c r="P10" s="391"/>
      <c r="Q10" s="321"/>
      <c r="R10" s="320">
        <f>R8+R9</f>
        <v>186</v>
      </c>
      <c r="S10" s="391"/>
      <c r="T10" s="321"/>
      <c r="U10" s="320">
        <f>U8+U9</f>
        <v>224</v>
      </c>
      <c r="V10" s="391"/>
      <c r="W10" s="321"/>
      <c r="X10" s="320">
        <f t="shared" ref="X10" si="0">X8+X9</f>
        <v>40</v>
      </c>
      <c r="Y10" s="391"/>
      <c r="Z10" s="321"/>
      <c r="AA10" s="320">
        <f t="shared" ref="AA10" si="1">AA8+AA9</f>
        <v>6</v>
      </c>
      <c r="AB10" s="391"/>
      <c r="AC10" s="321"/>
      <c r="AD10" s="320"/>
      <c r="AE10" s="391"/>
      <c r="AF10" s="321"/>
    </row>
    <row r="11" spans="1:32" ht="11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79"/>
      <c r="AF11" s="79"/>
    </row>
    <row r="12" spans="1:32" ht="10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75"/>
      <c r="O12" s="75"/>
      <c r="P12" s="75"/>
      <c r="Q12" s="75"/>
      <c r="R12" s="67"/>
      <c r="S12" s="67"/>
      <c r="T12" s="67"/>
      <c r="U12" s="67"/>
      <c r="V12" s="67"/>
      <c r="W12" s="67"/>
      <c r="X12" s="76"/>
      <c r="Y12" s="76"/>
      <c r="Z12" s="76"/>
      <c r="AA12" s="76"/>
      <c r="AB12" s="76"/>
      <c r="AC12" s="76"/>
      <c r="AD12" s="76"/>
      <c r="AE12" s="80"/>
      <c r="AF12" s="80"/>
    </row>
    <row r="13" spans="1:32" s="36" customFormat="1" ht="18.75" customHeight="1">
      <c r="A13" s="238" t="s">
        <v>253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</row>
    <row r="14" spans="1:32" s="19" customFormat="1" ht="18.75" customHeight="1"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2" ht="29.25" customHeight="1">
      <c r="A15" s="389" t="s">
        <v>53</v>
      </c>
      <c r="B15" s="364" t="s">
        <v>203</v>
      </c>
      <c r="C15" s="366"/>
      <c r="D15" s="237" t="s">
        <v>196</v>
      </c>
      <c r="E15" s="237"/>
      <c r="F15" s="237"/>
      <c r="G15" s="237"/>
      <c r="H15" s="237" t="s">
        <v>346</v>
      </c>
      <c r="I15" s="237"/>
      <c r="J15" s="237"/>
      <c r="K15" s="237"/>
      <c r="L15" s="237"/>
      <c r="M15" s="237"/>
      <c r="N15" s="237"/>
      <c r="O15" s="237"/>
      <c r="P15" s="237"/>
      <c r="Q15" s="237"/>
      <c r="R15" s="376" t="s">
        <v>204</v>
      </c>
      <c r="S15" s="376"/>
      <c r="T15" s="376"/>
      <c r="U15" s="376"/>
      <c r="V15" s="376"/>
      <c r="W15" s="240" t="s">
        <v>205</v>
      </c>
      <c r="X15" s="240"/>
      <c r="Y15" s="240"/>
      <c r="Z15" s="240"/>
      <c r="AA15" s="240"/>
      <c r="AB15" s="240"/>
      <c r="AC15" s="240"/>
      <c r="AD15" s="240"/>
      <c r="AE15" s="240"/>
      <c r="AF15" s="240"/>
    </row>
    <row r="16" spans="1:32" ht="25" customHeight="1">
      <c r="A16" s="389"/>
      <c r="B16" s="367"/>
      <c r="C16" s="369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376"/>
      <c r="S16" s="376"/>
      <c r="T16" s="376"/>
      <c r="U16" s="376"/>
      <c r="V16" s="376"/>
      <c r="W16" s="390" t="s">
        <v>309</v>
      </c>
      <c r="X16" s="390"/>
      <c r="Y16" s="392" t="s">
        <v>247</v>
      </c>
      <c r="Z16" s="393"/>
      <c r="AA16" s="392" t="s">
        <v>248</v>
      </c>
      <c r="AB16" s="393"/>
      <c r="AC16" s="392" t="s">
        <v>275</v>
      </c>
      <c r="AD16" s="393"/>
      <c r="AE16" s="392" t="s">
        <v>276</v>
      </c>
      <c r="AF16" s="393"/>
    </row>
    <row r="17" spans="1:32" ht="25" customHeight="1">
      <c r="A17" s="389"/>
      <c r="B17" s="370"/>
      <c r="C17" s="372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376"/>
      <c r="S17" s="376"/>
      <c r="T17" s="376"/>
      <c r="U17" s="376"/>
      <c r="V17" s="376"/>
      <c r="W17" s="390"/>
      <c r="X17" s="390"/>
      <c r="Y17" s="394"/>
      <c r="Z17" s="395"/>
      <c r="AA17" s="394"/>
      <c r="AB17" s="395"/>
      <c r="AC17" s="394"/>
      <c r="AD17" s="395"/>
      <c r="AE17" s="394"/>
      <c r="AF17" s="395"/>
    </row>
    <row r="18" spans="1:32" ht="18.75" customHeight="1">
      <c r="A18" s="21">
        <v>1</v>
      </c>
      <c r="B18" s="396">
        <v>2</v>
      </c>
      <c r="C18" s="397"/>
      <c r="D18" s="277">
        <v>3</v>
      </c>
      <c r="E18" s="277"/>
      <c r="F18" s="277"/>
      <c r="G18" s="277"/>
      <c r="H18" s="277">
        <v>4</v>
      </c>
      <c r="I18" s="277"/>
      <c r="J18" s="277"/>
      <c r="K18" s="277"/>
      <c r="L18" s="277"/>
      <c r="M18" s="277"/>
      <c r="N18" s="277"/>
      <c r="O18" s="277"/>
      <c r="P18" s="277"/>
      <c r="Q18" s="277"/>
      <c r="R18" s="302">
        <v>5</v>
      </c>
      <c r="S18" s="302"/>
      <c r="T18" s="302"/>
      <c r="U18" s="302"/>
      <c r="V18" s="302"/>
      <c r="W18" s="302">
        <v>6</v>
      </c>
      <c r="X18" s="302"/>
      <c r="Y18" s="300">
        <v>7</v>
      </c>
      <c r="Z18" s="300"/>
      <c r="AA18" s="300">
        <v>8</v>
      </c>
      <c r="AB18" s="300"/>
      <c r="AC18" s="300">
        <v>9</v>
      </c>
      <c r="AD18" s="300"/>
      <c r="AE18" s="300">
        <v>10</v>
      </c>
      <c r="AF18" s="300"/>
    </row>
    <row r="19" spans="1:32" ht="20.149999999999999" customHeight="1">
      <c r="A19" s="23"/>
      <c r="B19" s="355"/>
      <c r="C19" s="356"/>
      <c r="D19" s="277"/>
      <c r="E19" s="277"/>
      <c r="F19" s="277"/>
      <c r="G19" s="277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7"/>
      <c r="S19" s="377"/>
      <c r="T19" s="377"/>
      <c r="U19" s="377"/>
      <c r="V19" s="377"/>
      <c r="W19" s="325"/>
      <c r="X19" s="325"/>
      <c r="Y19" s="325"/>
      <c r="Z19" s="325"/>
      <c r="AA19" s="325"/>
      <c r="AB19" s="325"/>
      <c r="AC19" s="325"/>
      <c r="AD19" s="325"/>
      <c r="AE19" s="333"/>
      <c r="AF19" s="333"/>
    </row>
    <row r="20" spans="1:32" ht="20.149999999999999" customHeight="1">
      <c r="A20" s="23"/>
      <c r="B20" s="355"/>
      <c r="C20" s="356"/>
      <c r="D20" s="277"/>
      <c r="E20" s="277"/>
      <c r="F20" s="277"/>
      <c r="G20" s="277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7"/>
      <c r="S20" s="377"/>
      <c r="T20" s="377"/>
      <c r="U20" s="377"/>
      <c r="V20" s="377"/>
      <c r="W20" s="325"/>
      <c r="X20" s="325"/>
      <c r="Y20" s="325"/>
      <c r="Z20" s="325"/>
      <c r="AA20" s="325"/>
      <c r="AB20" s="325"/>
      <c r="AC20" s="325"/>
      <c r="AD20" s="325"/>
      <c r="AE20" s="333"/>
      <c r="AF20" s="333"/>
    </row>
    <row r="21" spans="1:32" ht="20.149999999999999" customHeight="1">
      <c r="A21" s="23"/>
      <c r="B21" s="355"/>
      <c r="C21" s="356"/>
      <c r="D21" s="277"/>
      <c r="E21" s="277"/>
      <c r="F21" s="277"/>
      <c r="G21" s="277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7"/>
      <c r="S21" s="377"/>
      <c r="T21" s="377"/>
      <c r="U21" s="377"/>
      <c r="V21" s="377"/>
      <c r="W21" s="325"/>
      <c r="X21" s="325"/>
      <c r="Y21" s="325"/>
      <c r="Z21" s="325"/>
      <c r="AA21" s="325"/>
      <c r="AB21" s="325"/>
      <c r="AC21" s="325"/>
      <c r="AD21" s="325"/>
      <c r="AE21" s="333"/>
      <c r="AF21" s="333"/>
    </row>
    <row r="22" spans="1:32" ht="20.149999999999999" customHeight="1">
      <c r="A22" s="23"/>
      <c r="B22" s="355"/>
      <c r="C22" s="356"/>
      <c r="D22" s="277"/>
      <c r="E22" s="277"/>
      <c r="F22" s="277"/>
      <c r="G22" s="277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7"/>
      <c r="S22" s="377"/>
      <c r="T22" s="377"/>
      <c r="U22" s="377"/>
      <c r="V22" s="377"/>
      <c r="W22" s="325"/>
      <c r="X22" s="325"/>
      <c r="Y22" s="325"/>
      <c r="Z22" s="325"/>
      <c r="AA22" s="325"/>
      <c r="AB22" s="325"/>
      <c r="AC22" s="325"/>
      <c r="AD22" s="325"/>
      <c r="AE22" s="333"/>
      <c r="AF22" s="333"/>
    </row>
    <row r="23" spans="1:32" ht="25" customHeight="1">
      <c r="A23" s="345" t="s">
        <v>58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25"/>
      <c r="X23" s="325"/>
      <c r="Y23" s="325"/>
      <c r="Z23" s="325"/>
      <c r="AA23" s="325"/>
      <c r="AB23" s="325"/>
      <c r="AC23" s="325"/>
      <c r="AD23" s="325"/>
      <c r="AE23" s="333"/>
      <c r="AF23" s="333"/>
    </row>
    <row r="24" spans="1:3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7"/>
      <c r="O24" s="47"/>
      <c r="P24" s="47"/>
      <c r="R24" s="58"/>
      <c r="S24" s="58"/>
      <c r="T24" s="58"/>
      <c r="U24" s="58"/>
      <c r="V24" s="58"/>
      <c r="AF24" s="58"/>
    </row>
    <row r="25" spans="1:32" ht="5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7"/>
      <c r="O25" s="47"/>
      <c r="P25" s="47"/>
      <c r="R25" s="58"/>
      <c r="S25" s="58"/>
      <c r="T25" s="58"/>
      <c r="U25" s="58"/>
      <c r="V25" s="58"/>
      <c r="AF25" s="58"/>
    </row>
    <row r="26" spans="1:32" s="36" customFormat="1" ht="18.75" customHeight="1">
      <c r="A26" s="238" t="s">
        <v>217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</row>
    <row r="27" spans="1:32">
      <c r="A27" s="24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69"/>
      <c r="O27" s="69"/>
      <c r="P27" s="69"/>
      <c r="Q27" s="69"/>
      <c r="R27" s="69"/>
      <c r="S27" s="69"/>
      <c r="T27" s="69"/>
      <c r="U27" s="69"/>
      <c r="V27" s="69"/>
      <c r="W27" s="77"/>
      <c r="Z27" s="404"/>
      <c r="AA27" s="404"/>
      <c r="AB27" s="404"/>
      <c r="AD27" s="404" t="s">
        <v>237</v>
      </c>
      <c r="AE27" s="404"/>
      <c r="AF27" s="404"/>
    </row>
    <row r="28" spans="1:32" ht="25" customHeight="1">
      <c r="A28" s="361" t="s">
        <v>53</v>
      </c>
      <c r="B28" s="364" t="s">
        <v>254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6"/>
      <c r="M28" s="401" t="s">
        <v>57</v>
      </c>
      <c r="N28" s="402"/>
      <c r="O28" s="402"/>
      <c r="P28" s="403"/>
      <c r="Q28" s="357" t="s">
        <v>87</v>
      </c>
      <c r="R28" s="358"/>
      <c r="S28" s="358"/>
      <c r="T28" s="359"/>
      <c r="U28" s="357" t="s">
        <v>312</v>
      </c>
      <c r="V28" s="358"/>
      <c r="W28" s="358"/>
      <c r="X28" s="359"/>
      <c r="Y28" s="357" t="s">
        <v>127</v>
      </c>
      <c r="Z28" s="358"/>
      <c r="AA28" s="358"/>
      <c r="AB28" s="359"/>
      <c r="AC28" s="357" t="s">
        <v>58</v>
      </c>
      <c r="AD28" s="358"/>
      <c r="AE28" s="358"/>
      <c r="AF28" s="359"/>
    </row>
    <row r="29" spans="1:32" ht="25" customHeight="1">
      <c r="A29" s="362"/>
      <c r="B29" s="367"/>
      <c r="C29" s="368"/>
      <c r="D29" s="368"/>
      <c r="E29" s="368"/>
      <c r="F29" s="368"/>
      <c r="G29" s="368"/>
      <c r="H29" s="368"/>
      <c r="I29" s="368"/>
      <c r="J29" s="368"/>
      <c r="K29" s="368"/>
      <c r="L29" s="369"/>
      <c r="M29" s="373" t="s">
        <v>247</v>
      </c>
      <c r="N29" s="342" t="s">
        <v>248</v>
      </c>
      <c r="O29" s="342" t="s">
        <v>366</v>
      </c>
      <c r="P29" s="342" t="s">
        <v>367</v>
      </c>
      <c r="Q29" s="342" t="s">
        <v>247</v>
      </c>
      <c r="R29" s="342" t="s">
        <v>248</v>
      </c>
      <c r="S29" s="342" t="s">
        <v>366</v>
      </c>
      <c r="T29" s="342" t="s">
        <v>367</v>
      </c>
      <c r="U29" s="342" t="s">
        <v>247</v>
      </c>
      <c r="V29" s="342" t="s">
        <v>248</v>
      </c>
      <c r="W29" s="342" t="s">
        <v>366</v>
      </c>
      <c r="X29" s="342" t="s">
        <v>367</v>
      </c>
      <c r="Y29" s="342" t="s">
        <v>247</v>
      </c>
      <c r="Z29" s="342" t="s">
        <v>248</v>
      </c>
      <c r="AA29" s="342" t="s">
        <v>366</v>
      </c>
      <c r="AB29" s="342" t="s">
        <v>367</v>
      </c>
      <c r="AC29" s="342" t="s">
        <v>247</v>
      </c>
      <c r="AD29" s="342" t="s">
        <v>248</v>
      </c>
      <c r="AE29" s="342" t="s">
        <v>366</v>
      </c>
      <c r="AF29" s="342" t="s">
        <v>367</v>
      </c>
    </row>
    <row r="30" spans="1:32" ht="36.75" customHeight="1">
      <c r="A30" s="363"/>
      <c r="B30" s="370"/>
      <c r="C30" s="371"/>
      <c r="D30" s="371"/>
      <c r="E30" s="371"/>
      <c r="F30" s="371"/>
      <c r="G30" s="371"/>
      <c r="H30" s="371"/>
      <c r="I30" s="371"/>
      <c r="J30" s="371"/>
      <c r="K30" s="371"/>
      <c r="L30" s="372"/>
      <c r="M30" s="374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</row>
    <row r="31" spans="1:32" ht="18.75" customHeight="1">
      <c r="A31" s="23">
        <v>1</v>
      </c>
      <c r="B31" s="344">
        <v>2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6">
        <v>3</v>
      </c>
      <c r="N31" s="50">
        <v>4</v>
      </c>
      <c r="O31" s="50">
        <v>5</v>
      </c>
      <c r="P31" s="50">
        <v>6</v>
      </c>
      <c r="Q31" s="50">
        <v>7</v>
      </c>
      <c r="R31" s="50">
        <v>8</v>
      </c>
      <c r="S31" s="50">
        <v>9</v>
      </c>
      <c r="T31" s="50">
        <v>10</v>
      </c>
      <c r="U31" s="50">
        <v>11</v>
      </c>
      <c r="V31" s="50">
        <v>12</v>
      </c>
      <c r="W31" s="50">
        <v>13</v>
      </c>
      <c r="X31" s="50">
        <v>14</v>
      </c>
      <c r="Y31" s="50">
        <v>15</v>
      </c>
      <c r="Z31" s="50">
        <v>16</v>
      </c>
      <c r="AA31" s="50">
        <v>17</v>
      </c>
      <c r="AB31" s="50">
        <v>18</v>
      </c>
      <c r="AC31" s="50">
        <v>19</v>
      </c>
      <c r="AD31" s="50">
        <v>20</v>
      </c>
      <c r="AE31" s="50">
        <v>21</v>
      </c>
      <c r="AF31" s="50">
        <v>22</v>
      </c>
    </row>
    <row r="32" spans="1:32" ht="54.75" customHeight="1">
      <c r="A32" s="21">
        <v>1</v>
      </c>
      <c r="B32" s="345" t="s">
        <v>535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6"/>
      <c r="N32" s="50"/>
      <c r="O32" s="50"/>
      <c r="P32" s="70"/>
      <c r="Q32" s="50"/>
      <c r="R32" s="50"/>
      <c r="S32" s="50"/>
      <c r="T32" s="70"/>
      <c r="U32" s="50">
        <v>0</v>
      </c>
      <c r="V32" s="50">
        <v>0</v>
      </c>
      <c r="W32" s="50">
        <v>0</v>
      </c>
      <c r="X32" s="70"/>
      <c r="Y32" s="50"/>
      <c r="Z32" s="50"/>
      <c r="AA32" s="50"/>
      <c r="AB32" s="70"/>
      <c r="AC32" s="50">
        <f>U32</f>
        <v>0</v>
      </c>
      <c r="AD32" s="50">
        <v>0</v>
      </c>
      <c r="AE32" s="50"/>
      <c r="AF32" s="70"/>
    </row>
    <row r="33" spans="1:32" ht="54.75" customHeight="1">
      <c r="A33" s="21">
        <v>2</v>
      </c>
      <c r="B33" s="345" t="s">
        <v>536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6"/>
      <c r="N33" s="50"/>
      <c r="O33" s="50"/>
      <c r="P33" s="70"/>
      <c r="Q33" s="50"/>
      <c r="R33" s="50"/>
      <c r="S33" s="50"/>
      <c r="T33" s="70"/>
      <c r="U33" s="50">
        <v>0</v>
      </c>
      <c r="V33" s="50">
        <f>'4. Кап. інвестиції'!E8</f>
        <v>0</v>
      </c>
      <c r="W33" s="50">
        <v>0</v>
      </c>
      <c r="X33" s="70"/>
      <c r="Y33" s="50"/>
      <c r="Z33" s="50"/>
      <c r="AA33" s="50"/>
      <c r="AB33" s="70"/>
      <c r="AC33" s="50">
        <f>U33</f>
        <v>0</v>
      </c>
      <c r="AD33" s="50">
        <f>V33</f>
        <v>0</v>
      </c>
      <c r="AE33" s="50"/>
      <c r="AF33" s="70"/>
    </row>
    <row r="34" spans="1:32" ht="39" customHeight="1">
      <c r="A34" s="21">
        <v>3</v>
      </c>
      <c r="B34" s="345" t="s">
        <v>577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6"/>
      <c r="N34" s="50"/>
      <c r="O34" s="50"/>
      <c r="P34" s="70"/>
      <c r="Q34" s="50"/>
      <c r="R34" s="50"/>
      <c r="S34" s="50"/>
      <c r="T34" s="70"/>
      <c r="U34" s="50">
        <v>0</v>
      </c>
      <c r="V34" s="6">
        <f>'4. Кап. інвестиції'!E10</f>
        <v>0</v>
      </c>
      <c r="W34" s="6">
        <f>V34-U34</f>
        <v>0</v>
      </c>
      <c r="X34" s="70"/>
      <c r="Y34" s="50"/>
      <c r="Z34" s="50"/>
      <c r="AA34" s="50"/>
      <c r="AB34" s="70"/>
      <c r="AC34" s="50">
        <v>0</v>
      </c>
      <c r="AD34" s="50">
        <v>0</v>
      </c>
      <c r="AE34" s="50"/>
      <c r="AF34" s="70"/>
    </row>
    <row r="35" spans="1:32" ht="38.25" customHeight="1">
      <c r="A35" s="21">
        <v>4</v>
      </c>
      <c r="B35" s="378" t="s">
        <v>579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80"/>
      <c r="M35" s="6"/>
      <c r="N35" s="50"/>
      <c r="O35" s="50"/>
      <c r="P35" s="70"/>
      <c r="Q35" s="50"/>
      <c r="R35" s="50"/>
      <c r="S35" s="50"/>
      <c r="T35" s="70"/>
      <c r="U35" s="50">
        <v>0</v>
      </c>
      <c r="V35" s="6">
        <f>'4. Кап. інвестиції'!E9</f>
        <v>0</v>
      </c>
      <c r="W35" s="6">
        <v>0</v>
      </c>
      <c r="X35" s="70"/>
      <c r="Y35" s="50"/>
      <c r="Z35" s="50"/>
      <c r="AA35" s="50"/>
      <c r="AB35" s="70"/>
      <c r="AC35" s="50">
        <v>0</v>
      </c>
      <c r="AD35" s="50">
        <v>0</v>
      </c>
      <c r="AE35" s="50"/>
      <c r="AF35" s="70"/>
    </row>
    <row r="36" spans="1:32" ht="25" customHeight="1">
      <c r="A36" s="378" t="s">
        <v>58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80"/>
      <c r="M36" s="6"/>
      <c r="N36" s="50"/>
      <c r="O36" s="50"/>
      <c r="P36" s="70"/>
      <c r="Q36" s="50"/>
      <c r="R36" s="50"/>
      <c r="S36" s="50"/>
      <c r="T36" s="70"/>
      <c r="U36" s="50">
        <f>U34</f>
        <v>0</v>
      </c>
      <c r="V36" s="6">
        <f>V33+V34</f>
        <v>0</v>
      </c>
      <c r="W36" s="6">
        <f>V36-U36</f>
        <v>0</v>
      </c>
      <c r="X36" s="70"/>
      <c r="Y36" s="50"/>
      <c r="Z36" s="50"/>
      <c r="AA36" s="50"/>
      <c r="AB36" s="70"/>
      <c r="AC36" s="50">
        <f>SUM(AC32:AC33)</f>
        <v>0</v>
      </c>
      <c r="AD36" s="50">
        <f>AD33</f>
        <v>0</v>
      </c>
      <c r="AE36" s="50"/>
      <c r="AF36" s="70"/>
    </row>
    <row r="37" spans="1:32" ht="25" customHeight="1">
      <c r="A37" s="378" t="s">
        <v>59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80"/>
      <c r="M37" s="26" t="e">
        <f>M36/AC36*100</f>
        <v>#DIV/0!</v>
      </c>
      <c r="N37" s="70"/>
      <c r="O37" s="70"/>
      <c r="P37" s="70"/>
      <c r="Q37" s="78" t="e">
        <f>Q36/AC36*100</f>
        <v>#DIV/0!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</row>
    <row r="38" spans="1:32" ht="15" customHeight="1">
      <c r="A38" s="18"/>
      <c r="B38" s="18"/>
      <c r="C38" s="1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71"/>
      <c r="O38" s="71"/>
      <c r="P38" s="71"/>
      <c r="Q38" s="71"/>
      <c r="R38" s="71"/>
      <c r="S38" s="71"/>
      <c r="T38" s="71"/>
      <c r="U38" s="71"/>
      <c r="V38" s="71"/>
    </row>
    <row r="39" spans="1:32" ht="5.25" customHeight="1">
      <c r="A39" s="18"/>
      <c r="B39" s="18"/>
      <c r="C39" s="1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71"/>
      <c r="O39" s="71"/>
      <c r="P39" s="71"/>
      <c r="Q39" s="71"/>
      <c r="R39" s="71"/>
      <c r="S39" s="71"/>
      <c r="T39" s="71"/>
      <c r="U39" s="71"/>
      <c r="V39" s="71"/>
    </row>
    <row r="40" spans="1:32" s="36" customFormat="1" ht="31.5" customHeight="1">
      <c r="A40" s="238" t="s">
        <v>255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</row>
    <row r="41" spans="1:32" s="28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405" t="s">
        <v>237</v>
      </c>
      <c r="AE41" s="405"/>
      <c r="AF41" s="405"/>
    </row>
    <row r="42" spans="1:32" s="29" customFormat="1" ht="34.5" customHeight="1">
      <c r="A42" s="301" t="s">
        <v>210</v>
      </c>
      <c r="B42" s="349" t="s">
        <v>335</v>
      </c>
      <c r="C42" s="351"/>
      <c r="D42" s="277" t="s">
        <v>368</v>
      </c>
      <c r="E42" s="277"/>
      <c r="F42" s="237" t="s">
        <v>211</v>
      </c>
      <c r="G42" s="237"/>
      <c r="H42" s="277" t="s">
        <v>212</v>
      </c>
      <c r="I42" s="277"/>
      <c r="J42" s="277" t="s">
        <v>369</v>
      </c>
      <c r="K42" s="277"/>
      <c r="L42" s="236" t="s">
        <v>365</v>
      </c>
      <c r="M42" s="236"/>
      <c r="N42" s="236"/>
      <c r="O42" s="236"/>
      <c r="P42" s="236"/>
      <c r="Q42" s="236"/>
      <c r="R42" s="236"/>
      <c r="S42" s="236"/>
      <c r="T42" s="236"/>
      <c r="U42" s="236"/>
      <c r="V42" s="376" t="s">
        <v>336</v>
      </c>
      <c r="W42" s="376"/>
      <c r="X42" s="376"/>
      <c r="Y42" s="376"/>
      <c r="Z42" s="376"/>
      <c r="AA42" s="376" t="s">
        <v>337</v>
      </c>
      <c r="AB42" s="376"/>
      <c r="AC42" s="376"/>
      <c r="AD42" s="376"/>
      <c r="AE42" s="376"/>
      <c r="AF42" s="376"/>
    </row>
    <row r="43" spans="1:32" s="29" customFormat="1" ht="52.5" customHeight="1">
      <c r="A43" s="301"/>
      <c r="B43" s="381"/>
      <c r="C43" s="382"/>
      <c r="D43" s="277"/>
      <c r="E43" s="277"/>
      <c r="F43" s="237"/>
      <c r="G43" s="237"/>
      <c r="H43" s="277"/>
      <c r="I43" s="277"/>
      <c r="J43" s="277"/>
      <c r="K43" s="277"/>
      <c r="L43" s="237" t="s">
        <v>305</v>
      </c>
      <c r="M43" s="237"/>
      <c r="N43" s="302" t="s">
        <v>310</v>
      </c>
      <c r="O43" s="302"/>
      <c r="P43" s="376" t="s">
        <v>311</v>
      </c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</row>
    <row r="44" spans="1:32" s="30" customFormat="1" ht="82.5" customHeight="1">
      <c r="A44" s="301"/>
      <c r="B44" s="352"/>
      <c r="C44" s="354"/>
      <c r="D44" s="277"/>
      <c r="E44" s="277"/>
      <c r="F44" s="237"/>
      <c r="G44" s="237"/>
      <c r="H44" s="277"/>
      <c r="I44" s="277"/>
      <c r="J44" s="277"/>
      <c r="K44" s="277"/>
      <c r="L44" s="237"/>
      <c r="M44" s="237"/>
      <c r="N44" s="302"/>
      <c r="O44" s="302"/>
      <c r="P44" s="376" t="s">
        <v>306</v>
      </c>
      <c r="Q44" s="376"/>
      <c r="R44" s="376" t="s">
        <v>307</v>
      </c>
      <c r="S44" s="376"/>
      <c r="T44" s="376" t="s">
        <v>308</v>
      </c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</row>
    <row r="45" spans="1:32" s="29" customFormat="1" ht="18.75" customHeight="1">
      <c r="A45" s="15">
        <v>1</v>
      </c>
      <c r="B45" s="287">
        <v>2</v>
      </c>
      <c r="C45" s="288"/>
      <c r="D45" s="277">
        <v>3</v>
      </c>
      <c r="E45" s="277"/>
      <c r="F45" s="277">
        <v>4</v>
      </c>
      <c r="G45" s="277"/>
      <c r="H45" s="277">
        <v>5</v>
      </c>
      <c r="I45" s="277"/>
      <c r="J45" s="277">
        <v>6</v>
      </c>
      <c r="K45" s="277"/>
      <c r="L45" s="287">
        <v>7</v>
      </c>
      <c r="M45" s="288"/>
      <c r="N45" s="307">
        <v>8</v>
      </c>
      <c r="O45" s="308"/>
      <c r="P45" s="302">
        <v>9</v>
      </c>
      <c r="Q45" s="302"/>
      <c r="R45" s="300">
        <v>10</v>
      </c>
      <c r="S45" s="300"/>
      <c r="T45" s="302">
        <v>11</v>
      </c>
      <c r="U45" s="302"/>
      <c r="V45" s="302">
        <v>12</v>
      </c>
      <c r="W45" s="302"/>
      <c r="X45" s="302"/>
      <c r="Y45" s="302"/>
      <c r="Z45" s="302"/>
      <c r="AA45" s="302">
        <v>13</v>
      </c>
      <c r="AB45" s="302"/>
      <c r="AC45" s="302"/>
      <c r="AD45" s="302"/>
      <c r="AE45" s="302"/>
      <c r="AF45" s="302"/>
    </row>
    <row r="46" spans="1:32" s="29" customFormat="1" ht="20.149999999999999" customHeight="1">
      <c r="A46" s="31"/>
      <c r="B46" s="399"/>
      <c r="C46" s="400"/>
      <c r="D46" s="277"/>
      <c r="E46" s="277"/>
      <c r="F46" s="318"/>
      <c r="G46" s="318"/>
      <c r="H46" s="318"/>
      <c r="I46" s="318"/>
      <c r="J46" s="318"/>
      <c r="K46" s="318"/>
      <c r="L46" s="320"/>
      <c r="M46" s="321"/>
      <c r="N46" s="323"/>
      <c r="O46" s="324"/>
      <c r="P46" s="325"/>
      <c r="Q46" s="325"/>
      <c r="R46" s="325"/>
      <c r="S46" s="325"/>
      <c r="T46" s="325"/>
      <c r="U46" s="325"/>
      <c r="V46" s="398"/>
      <c r="W46" s="398"/>
      <c r="X46" s="398"/>
      <c r="Y46" s="398"/>
      <c r="Z46" s="398"/>
      <c r="AA46" s="325"/>
      <c r="AB46" s="325"/>
      <c r="AC46" s="325"/>
      <c r="AD46" s="325"/>
      <c r="AE46" s="325"/>
      <c r="AF46" s="325"/>
    </row>
    <row r="47" spans="1:32" s="29" customFormat="1" ht="20.149999999999999" customHeight="1">
      <c r="A47" s="31"/>
      <c r="B47" s="399"/>
      <c r="C47" s="400"/>
      <c r="D47" s="277"/>
      <c r="E47" s="277"/>
      <c r="F47" s="318"/>
      <c r="G47" s="318"/>
      <c r="H47" s="318"/>
      <c r="I47" s="318"/>
      <c r="J47" s="318"/>
      <c r="K47" s="318"/>
      <c r="L47" s="320"/>
      <c r="M47" s="321"/>
      <c r="N47" s="323"/>
      <c r="O47" s="324"/>
      <c r="P47" s="325"/>
      <c r="Q47" s="325"/>
      <c r="R47" s="325"/>
      <c r="S47" s="325"/>
      <c r="T47" s="325"/>
      <c r="U47" s="325"/>
      <c r="V47" s="398"/>
      <c r="W47" s="398"/>
      <c r="X47" s="398"/>
      <c r="Y47" s="398"/>
      <c r="Z47" s="398"/>
      <c r="AA47" s="325"/>
      <c r="AB47" s="325"/>
      <c r="AC47" s="325"/>
      <c r="AD47" s="325"/>
      <c r="AE47" s="325"/>
      <c r="AF47" s="325"/>
    </row>
    <row r="48" spans="1:32" s="29" customFormat="1" ht="20.149999999999999" customHeight="1">
      <c r="A48" s="31"/>
      <c r="B48" s="399"/>
      <c r="C48" s="400"/>
      <c r="D48" s="277"/>
      <c r="E48" s="277"/>
      <c r="F48" s="318"/>
      <c r="G48" s="318"/>
      <c r="H48" s="318"/>
      <c r="I48" s="318"/>
      <c r="J48" s="318"/>
      <c r="K48" s="318"/>
      <c r="L48" s="320"/>
      <c r="M48" s="321"/>
      <c r="N48" s="323"/>
      <c r="O48" s="324"/>
      <c r="P48" s="325"/>
      <c r="Q48" s="325"/>
      <c r="R48" s="325"/>
      <c r="S48" s="325"/>
      <c r="T48" s="325"/>
      <c r="U48" s="325"/>
      <c r="V48" s="398"/>
      <c r="W48" s="398"/>
      <c r="X48" s="398"/>
      <c r="Y48" s="398"/>
      <c r="Z48" s="398"/>
      <c r="AA48" s="325"/>
      <c r="AB48" s="325"/>
      <c r="AC48" s="325"/>
      <c r="AD48" s="325"/>
      <c r="AE48" s="325"/>
      <c r="AF48" s="325"/>
    </row>
    <row r="49" spans="1:32" s="29" customFormat="1" ht="20.149999999999999" customHeight="1">
      <c r="A49" s="31"/>
      <c r="B49" s="399"/>
      <c r="C49" s="400"/>
      <c r="D49" s="277"/>
      <c r="E49" s="277"/>
      <c r="F49" s="318"/>
      <c r="G49" s="318"/>
      <c r="H49" s="318"/>
      <c r="I49" s="318"/>
      <c r="J49" s="318"/>
      <c r="K49" s="318"/>
      <c r="L49" s="320"/>
      <c r="M49" s="321"/>
      <c r="N49" s="323"/>
      <c r="O49" s="324"/>
      <c r="P49" s="325"/>
      <c r="Q49" s="325"/>
      <c r="R49" s="325"/>
      <c r="S49" s="325"/>
      <c r="T49" s="325"/>
      <c r="U49" s="325"/>
      <c r="V49" s="398"/>
      <c r="W49" s="398"/>
      <c r="X49" s="398"/>
      <c r="Y49" s="398"/>
      <c r="Z49" s="398"/>
      <c r="AA49" s="325"/>
      <c r="AB49" s="325"/>
      <c r="AC49" s="325"/>
      <c r="AD49" s="325"/>
      <c r="AE49" s="325"/>
      <c r="AF49" s="325"/>
    </row>
    <row r="50" spans="1:32" s="29" customFormat="1" ht="20.149999999999999" customHeight="1">
      <c r="A50" s="31"/>
      <c r="B50" s="399"/>
      <c r="C50" s="400"/>
      <c r="D50" s="277"/>
      <c r="E50" s="277"/>
      <c r="F50" s="318"/>
      <c r="G50" s="318"/>
      <c r="H50" s="318"/>
      <c r="I50" s="318"/>
      <c r="J50" s="318"/>
      <c r="K50" s="318"/>
      <c r="L50" s="320"/>
      <c r="M50" s="321"/>
      <c r="N50" s="323"/>
      <c r="O50" s="324"/>
      <c r="P50" s="325"/>
      <c r="Q50" s="325"/>
      <c r="R50" s="325"/>
      <c r="S50" s="325"/>
      <c r="T50" s="325"/>
      <c r="U50" s="325"/>
      <c r="V50" s="398"/>
      <c r="W50" s="398"/>
      <c r="X50" s="398"/>
      <c r="Y50" s="398"/>
      <c r="Z50" s="398"/>
      <c r="AA50" s="325"/>
      <c r="AB50" s="325"/>
      <c r="AC50" s="325"/>
      <c r="AD50" s="325"/>
      <c r="AE50" s="325"/>
      <c r="AF50" s="325"/>
    </row>
    <row r="51" spans="1:32" s="29" customFormat="1" ht="20.149999999999999" customHeight="1">
      <c r="A51" s="31"/>
      <c r="B51" s="399"/>
      <c r="C51" s="400"/>
      <c r="D51" s="277"/>
      <c r="E51" s="277"/>
      <c r="F51" s="318"/>
      <c r="G51" s="318"/>
      <c r="H51" s="318"/>
      <c r="I51" s="318"/>
      <c r="J51" s="318"/>
      <c r="K51" s="318"/>
      <c r="L51" s="320"/>
      <c r="M51" s="321"/>
      <c r="N51" s="323"/>
      <c r="O51" s="324"/>
      <c r="P51" s="325"/>
      <c r="Q51" s="325"/>
      <c r="R51" s="325"/>
      <c r="S51" s="325"/>
      <c r="T51" s="325"/>
      <c r="U51" s="325"/>
      <c r="V51" s="398"/>
      <c r="W51" s="398"/>
      <c r="X51" s="398"/>
      <c r="Y51" s="398"/>
      <c r="Z51" s="398"/>
      <c r="AA51" s="325"/>
      <c r="AB51" s="325"/>
      <c r="AC51" s="325"/>
      <c r="AD51" s="325"/>
      <c r="AE51" s="325"/>
      <c r="AF51" s="325"/>
    </row>
    <row r="52" spans="1:32" s="29" customFormat="1" ht="20.149999999999999" customHeight="1">
      <c r="A52" s="31"/>
      <c r="B52" s="399"/>
      <c r="C52" s="400"/>
      <c r="D52" s="277"/>
      <c r="E52" s="277"/>
      <c r="F52" s="318"/>
      <c r="G52" s="318"/>
      <c r="H52" s="318"/>
      <c r="I52" s="318"/>
      <c r="J52" s="318"/>
      <c r="K52" s="318"/>
      <c r="L52" s="320"/>
      <c r="M52" s="321"/>
      <c r="N52" s="323"/>
      <c r="O52" s="324"/>
      <c r="P52" s="325"/>
      <c r="Q52" s="325"/>
      <c r="R52" s="325"/>
      <c r="S52" s="325"/>
      <c r="T52" s="325"/>
      <c r="U52" s="325"/>
      <c r="V52" s="398"/>
      <c r="W52" s="398"/>
      <c r="X52" s="398"/>
      <c r="Y52" s="398"/>
      <c r="Z52" s="398"/>
      <c r="AA52" s="325"/>
      <c r="AB52" s="325"/>
      <c r="AC52" s="325"/>
      <c r="AD52" s="325"/>
      <c r="AE52" s="325"/>
      <c r="AF52" s="325"/>
    </row>
    <row r="53" spans="1:32" s="29" customFormat="1" ht="25" customHeight="1">
      <c r="A53" s="409" t="s">
        <v>58</v>
      </c>
      <c r="B53" s="410"/>
      <c r="C53" s="410"/>
      <c r="D53" s="410"/>
      <c r="E53" s="411"/>
      <c r="F53" s="318"/>
      <c r="G53" s="318"/>
      <c r="H53" s="318"/>
      <c r="I53" s="318"/>
      <c r="J53" s="318"/>
      <c r="K53" s="318"/>
      <c r="L53" s="320"/>
      <c r="M53" s="321"/>
      <c r="N53" s="323"/>
      <c r="O53" s="324"/>
      <c r="P53" s="325"/>
      <c r="Q53" s="325"/>
      <c r="R53" s="325"/>
      <c r="S53" s="325"/>
      <c r="T53" s="325"/>
      <c r="U53" s="325"/>
      <c r="V53" s="398"/>
      <c r="W53" s="398"/>
      <c r="X53" s="398"/>
      <c r="Y53" s="398"/>
      <c r="Z53" s="398"/>
      <c r="AA53" s="325"/>
      <c r="AB53" s="325"/>
      <c r="AC53" s="325"/>
      <c r="AD53" s="325"/>
      <c r="AE53" s="325"/>
      <c r="AF53" s="325"/>
    </row>
    <row r="54" spans="1:32" ht="15" customHeight="1">
      <c r="A54" s="18"/>
      <c r="B54" s="18"/>
      <c r="C54" s="1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71"/>
      <c r="O54" s="71"/>
      <c r="P54" s="71"/>
      <c r="Q54" s="71"/>
      <c r="R54" s="71"/>
      <c r="S54" s="71"/>
      <c r="T54" s="71"/>
      <c r="U54" s="71"/>
      <c r="V54" s="71"/>
    </row>
    <row r="55" spans="1:32" ht="15" customHeight="1">
      <c r="A55" s="18"/>
      <c r="B55" s="18"/>
      <c r="C55" s="1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71"/>
      <c r="O55" s="71"/>
      <c r="P55" s="71"/>
      <c r="Q55" s="71"/>
      <c r="R55" s="71"/>
      <c r="S55" s="71"/>
      <c r="T55" s="71"/>
      <c r="U55" s="71"/>
      <c r="V55" s="71"/>
    </row>
    <row r="56" spans="1:32">
      <c r="A56" s="18"/>
      <c r="B56" s="18"/>
      <c r="C56" s="1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71"/>
      <c r="O56" s="71"/>
      <c r="P56" s="71"/>
      <c r="Q56" s="71"/>
      <c r="R56" s="71"/>
      <c r="S56" s="71"/>
      <c r="T56" s="71"/>
      <c r="U56" s="71"/>
      <c r="V56" s="71"/>
    </row>
    <row r="57" spans="1:32" ht="15" customHeight="1">
      <c r="A57" s="18"/>
      <c r="B57" s="18"/>
      <c r="C57" s="1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71"/>
      <c r="O57" s="71"/>
      <c r="P57" s="71"/>
      <c r="Q57" s="71"/>
      <c r="R57" s="71"/>
      <c r="S57" s="71"/>
      <c r="T57" s="71"/>
      <c r="U57" s="71"/>
      <c r="V57" s="71"/>
    </row>
    <row r="58" spans="1:32" s="8" customFormat="1" ht="27" customHeight="1">
      <c r="A58" s="238" t="s">
        <v>609</v>
      </c>
      <c r="B58" s="238"/>
      <c r="C58" s="238"/>
      <c r="D58" s="238"/>
      <c r="E58" s="238"/>
      <c r="F58" s="238"/>
      <c r="G58" s="238"/>
      <c r="H58" s="238"/>
      <c r="I58" s="238"/>
      <c r="J58" s="238"/>
      <c r="K58" s="37"/>
      <c r="L58" s="37"/>
      <c r="M58" s="406"/>
      <c r="N58" s="406"/>
      <c r="O58" s="406"/>
      <c r="P58" s="406"/>
      <c r="Q58" s="406"/>
      <c r="R58" s="73"/>
      <c r="S58" s="73"/>
      <c r="T58" s="73"/>
      <c r="U58" s="73"/>
      <c r="V58" s="73"/>
      <c r="W58" s="407"/>
      <c r="X58" s="407"/>
      <c r="Y58" s="407"/>
      <c r="Z58" s="407"/>
      <c r="AA58" s="407"/>
      <c r="AB58" s="407" t="s">
        <v>604</v>
      </c>
      <c r="AC58" s="407"/>
      <c r="AD58" s="407"/>
      <c r="AE58" s="407"/>
      <c r="AF58" s="407"/>
    </row>
    <row r="59" spans="1:32" s="4" customFormat="1">
      <c r="B59" s="408" t="s">
        <v>77</v>
      </c>
      <c r="C59" s="408"/>
      <c r="D59" s="408"/>
      <c r="E59" s="408"/>
      <c r="F59" s="408"/>
      <c r="G59" s="408"/>
      <c r="H59" s="18"/>
      <c r="I59" s="18"/>
      <c r="J59" s="19"/>
      <c r="K59" s="19"/>
      <c r="L59" s="19"/>
      <c r="N59" s="46"/>
      <c r="O59" s="46"/>
      <c r="P59" s="46"/>
      <c r="Q59" s="46"/>
      <c r="R59" s="46" t="s">
        <v>78</v>
      </c>
      <c r="S59" s="47"/>
      <c r="T59" s="47"/>
      <c r="U59" s="47"/>
      <c r="V59" s="46"/>
      <c r="W59" s="47"/>
      <c r="X59" s="47"/>
      <c r="Y59" s="47"/>
      <c r="Z59" s="47"/>
      <c r="AA59" s="47"/>
      <c r="AB59" s="259" t="s">
        <v>128</v>
      </c>
      <c r="AC59" s="259"/>
      <c r="AD59" s="259"/>
      <c r="AE59" s="259"/>
      <c r="AF59" s="259"/>
    </row>
    <row r="60" spans="1:32" s="16" customFormat="1" ht="16.5" customHeight="1">
      <c r="C60" s="32"/>
      <c r="F60" s="33"/>
      <c r="G60" s="33"/>
      <c r="H60" s="33"/>
      <c r="I60" s="33"/>
      <c r="J60" s="33"/>
      <c r="K60" s="33"/>
      <c r="L60" s="33"/>
      <c r="M60" s="3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74"/>
      <c r="O61" s="74"/>
      <c r="P61" s="74"/>
      <c r="Q61" s="74"/>
      <c r="R61" s="74"/>
      <c r="S61" s="74"/>
      <c r="T61" s="74"/>
      <c r="U61" s="74"/>
      <c r="V61" s="74"/>
    </row>
    <row r="62" spans="1:32">
      <c r="C62" s="18"/>
    </row>
    <row r="65" spans="3:3">
      <c r="C65" s="35"/>
    </row>
    <row r="66" spans="3:3">
      <c r="C66" s="35"/>
    </row>
    <row r="67" spans="3:3">
      <c r="C67" s="35"/>
    </row>
    <row r="68" spans="3:3">
      <c r="C68" s="35"/>
    </row>
    <row r="69" spans="3:3">
      <c r="C69" s="35"/>
    </row>
    <row r="70" spans="3:3">
      <c r="C70" s="35"/>
    </row>
    <row r="71" spans="3:3">
      <c r="C71" s="35"/>
    </row>
  </sheetData>
  <mergeCells count="278"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2023-07-31T05:19:55Z</cp:lastPrinted>
  <dcterms:created xsi:type="dcterms:W3CDTF">2003-03-13T16:00:22Z</dcterms:created>
  <dcterms:modified xsi:type="dcterms:W3CDTF">2023-08-01T09:42:40Z</dcterms:modified>
</cp:coreProperties>
</file>