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2021 год\ФИН ПЛАН 2022\За 2022\"/>
    </mc:Choice>
  </mc:AlternateContent>
  <xr:revisionPtr revIDLastSave="0" documentId="13_ncr:1_{419372C2-189D-436F-90EF-15C9129B89EB}" xr6:coauthVersionLast="47" xr6:coauthVersionMax="47" xr10:uidLastSave="{00000000-0000-0000-0000-000000000000}"/>
  <bookViews>
    <workbookView xWindow="2820" yWindow="2290" windowWidth="33560" windowHeight="18260" tabRatio="772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результат'!$A$1:$H$190</definedName>
    <definedName name="_xlnm.Print_Area" localSheetId="2">'2. Розрахунки з бюджетом'!$A$2:$P$42</definedName>
    <definedName name="_xlnm.Print_Area" localSheetId="3">'3. Рух грошових коштів'!$A$1:$O$95</definedName>
    <definedName name="_xlnm.Print_Area" localSheetId="4">'4. Кап. інвестиції'!$A$1:$G$19</definedName>
    <definedName name="_xlnm.Print_Area" localSheetId="6">'6.1. Інша інфо_1'!$A$1:$T$78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8" l="1"/>
  <c r="E58" i="18"/>
  <c r="E12" i="18"/>
  <c r="E61" i="2"/>
  <c r="U36" i="9" l="1"/>
  <c r="E14" i="2"/>
  <c r="E82" i="2"/>
  <c r="E20" i="2" s="1"/>
  <c r="E184" i="2" s="1"/>
  <c r="E99" i="2"/>
  <c r="J28" i="10"/>
  <c r="J21" i="10"/>
  <c r="J29" i="10" s="1"/>
  <c r="E81" i="2"/>
  <c r="E18" i="2" s="1"/>
  <c r="E183" i="2" s="1"/>
  <c r="E80" i="2"/>
  <c r="E17" i="2" s="1"/>
  <c r="E73" i="2"/>
  <c r="E19" i="11"/>
  <c r="E25" i="18"/>
  <c r="E24" i="18"/>
  <c r="E23" i="18"/>
  <c r="E17" i="18"/>
  <c r="E181" i="2"/>
  <c r="E180" i="2"/>
  <c r="E179" i="2" s="1"/>
  <c r="E144" i="2"/>
  <c r="E126" i="2"/>
  <c r="E115" i="2" s="1"/>
  <c r="E110" i="2" s="1"/>
  <c r="E101" i="2"/>
  <c r="E182" i="2" l="1"/>
  <c r="J26" i="10"/>
  <c r="J22" i="10"/>
  <c r="J30" i="10" s="1"/>
  <c r="J25" i="10"/>
  <c r="E20" i="18"/>
  <c r="E94" i="2"/>
  <c r="E72" i="2"/>
  <c r="E11" i="18"/>
  <c r="E15" i="18" s="1"/>
  <c r="C21" i="2"/>
  <c r="E32" i="2"/>
  <c r="E31" i="2"/>
  <c r="E25" i="2"/>
  <c r="E23" i="2"/>
  <c r="E37" i="19"/>
  <c r="E11" i="2"/>
  <c r="E9" i="2" s="1"/>
  <c r="C49" i="18"/>
  <c r="C44" i="18"/>
  <c r="C25" i="18"/>
  <c r="C182" i="2"/>
  <c r="C181" i="2"/>
  <c r="C115" i="2"/>
  <c r="D72" i="14"/>
  <c r="D71" i="14"/>
  <c r="D68" i="14"/>
  <c r="D67" i="14"/>
  <c r="D72" i="2"/>
  <c r="Q36" i="9"/>
  <c r="H22" i="10"/>
  <c r="H21" i="10"/>
  <c r="H20" i="10"/>
  <c r="D6" i="3"/>
  <c r="D44" i="18"/>
  <c r="D173" i="2"/>
  <c r="D21" i="2"/>
  <c r="D13" i="2" s="1"/>
  <c r="D32" i="14" s="1"/>
  <c r="E15" i="11"/>
  <c r="F48" i="2"/>
  <c r="E21" i="2" l="1"/>
  <c r="E13" i="2" s="1"/>
  <c r="C173" i="2"/>
  <c r="H32" i="10"/>
  <c r="D61" i="2"/>
  <c r="E29" i="19" l="1"/>
  <c r="G37" i="19" l="1"/>
  <c r="C68" i="18"/>
  <c r="C180" i="2"/>
  <c r="D70" i="14"/>
  <c r="H24" i="10" l="1"/>
  <c r="D115" i="2"/>
  <c r="C94" i="2"/>
  <c r="C72" i="2" s="1"/>
  <c r="D76" i="14" l="1"/>
  <c r="E73" i="14"/>
  <c r="E70" i="14"/>
  <c r="E10" i="3" l="1"/>
  <c r="E6" i="3" s="1"/>
  <c r="E49" i="18"/>
  <c r="E55" i="18" s="1"/>
  <c r="E18" i="18" s="1"/>
  <c r="E14" i="18" s="1"/>
  <c r="F135" i="2" l="1"/>
  <c r="G135" i="2"/>
  <c r="E166" i="2" l="1"/>
  <c r="D15" i="11"/>
  <c r="D14" i="11" l="1"/>
  <c r="C65" i="14" s="1"/>
  <c r="C149" i="2"/>
  <c r="C144" i="2"/>
  <c r="C110" i="2"/>
  <c r="C13" i="2"/>
  <c r="D68" i="18" l="1"/>
  <c r="D25" i="18"/>
  <c r="D179" i="2"/>
  <c r="D186" i="2" s="1"/>
  <c r="D149" i="2"/>
  <c r="D144" i="2"/>
  <c r="E68" i="18" l="1"/>
  <c r="C179" i="2" l="1"/>
  <c r="C186" i="2" s="1"/>
  <c r="D17" i="18" l="1"/>
  <c r="C20" i="18" l="1"/>
  <c r="C17" i="18"/>
  <c r="J32" i="10" l="1"/>
  <c r="G179" i="2"/>
  <c r="G14" i="2"/>
  <c r="E173" i="2"/>
  <c r="V35" i="9"/>
  <c r="E149" i="2"/>
  <c r="E168" i="2" s="1"/>
  <c r="E41" i="14" s="1"/>
  <c r="G69" i="2"/>
  <c r="F69" i="2"/>
  <c r="F31" i="2"/>
  <c r="G50" i="2"/>
  <c r="G51" i="2"/>
  <c r="F51" i="2"/>
  <c r="G51" i="10"/>
  <c r="G50" i="10"/>
  <c r="I50" i="10" s="1"/>
  <c r="N49" i="10"/>
  <c r="D110" i="2"/>
  <c r="C34" i="14"/>
  <c r="F61" i="2"/>
  <c r="F43" i="2"/>
  <c r="G43" i="2"/>
  <c r="C168" i="2"/>
  <c r="C41" i="14" s="1"/>
  <c r="C61" i="2"/>
  <c r="C6" i="3"/>
  <c r="C11" i="18"/>
  <c r="C29" i="19"/>
  <c r="G29" i="19"/>
  <c r="C9" i="2"/>
  <c r="C31" i="14" s="1"/>
  <c r="G49" i="10"/>
  <c r="I49" i="10" s="1"/>
  <c r="F94" i="2"/>
  <c r="K50" i="10"/>
  <c r="D49" i="10"/>
  <c r="F49" i="10" s="1"/>
  <c r="D32" i="10"/>
  <c r="D24" i="10"/>
  <c r="D14" i="18"/>
  <c r="F50" i="18"/>
  <c r="F51" i="18"/>
  <c r="F49" i="18"/>
  <c r="F87" i="18"/>
  <c r="G87" i="18"/>
  <c r="G8" i="19"/>
  <c r="F8" i="19"/>
  <c r="E58" i="14"/>
  <c r="E54" i="14"/>
  <c r="E49" i="14"/>
  <c r="E14" i="11"/>
  <c r="E65" i="14" s="1"/>
  <c r="F10" i="3"/>
  <c r="N8" i="9"/>
  <c r="F59" i="2"/>
  <c r="F49" i="2"/>
  <c r="F50" i="2"/>
  <c r="F58" i="2"/>
  <c r="G76" i="14"/>
  <c r="F72" i="14"/>
  <c r="D61" i="14"/>
  <c r="D55" i="18"/>
  <c r="D56" i="14" s="1"/>
  <c r="C73" i="14"/>
  <c r="G86" i="2"/>
  <c r="G23" i="2"/>
  <c r="D54" i="14"/>
  <c r="D51" i="14"/>
  <c r="D49" i="14"/>
  <c r="K49" i="10"/>
  <c r="D50" i="10"/>
  <c r="D35" i="19"/>
  <c r="D26" i="19" s="1"/>
  <c r="D168" i="2"/>
  <c r="D9" i="2"/>
  <c r="C70" i="14"/>
  <c r="D58" i="14"/>
  <c r="F15" i="2"/>
  <c r="G59" i="2"/>
  <c r="F41" i="2"/>
  <c r="F47" i="2"/>
  <c r="G36" i="2"/>
  <c r="G38" i="2"/>
  <c r="G39" i="2"/>
  <c r="F42" i="2"/>
  <c r="G42" i="2"/>
  <c r="F44" i="2"/>
  <c r="G44" i="2"/>
  <c r="F45" i="2"/>
  <c r="G45" i="2"/>
  <c r="F46" i="2"/>
  <c r="C55" i="18"/>
  <c r="C35" i="19"/>
  <c r="D51" i="10"/>
  <c r="AC32" i="9"/>
  <c r="AC33" i="9"/>
  <c r="AC36" i="9" s="1"/>
  <c r="M37" i="9" s="1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33" i="10"/>
  <c r="D34" i="10"/>
  <c r="D11" i="18"/>
  <c r="F24" i="19"/>
  <c r="G24" i="19"/>
  <c r="F30" i="19"/>
  <c r="G30" i="19"/>
  <c r="E35" i="19"/>
  <c r="E26" i="19" s="1"/>
  <c r="F36" i="19"/>
  <c r="G36" i="19"/>
  <c r="F37" i="19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62" i="2"/>
  <c r="G62" i="2"/>
  <c r="F70" i="2"/>
  <c r="F78" i="2"/>
  <c r="G78" i="2"/>
  <c r="F79" i="2"/>
  <c r="G79" i="2"/>
  <c r="F81" i="2"/>
  <c r="F87" i="2"/>
  <c r="G87" i="2"/>
  <c r="F93" i="2"/>
  <c r="F95" i="2"/>
  <c r="G95" i="2"/>
  <c r="F96" i="2"/>
  <c r="G96" i="2"/>
  <c r="F97" i="2"/>
  <c r="G97" i="2"/>
  <c r="F98" i="2"/>
  <c r="G98" i="2"/>
  <c r="G99" i="2"/>
  <c r="F101" i="2"/>
  <c r="F117" i="2"/>
  <c r="G117" i="2"/>
  <c r="F129" i="2"/>
  <c r="F131" i="2"/>
  <c r="G131" i="2"/>
  <c r="F155" i="2"/>
  <c r="G155" i="2"/>
  <c r="C167" i="2"/>
  <c r="D167" i="2"/>
  <c r="E167" i="2"/>
  <c r="F181" i="2"/>
  <c r="G181" i="2"/>
  <c r="F183" i="2"/>
  <c r="G183" i="2"/>
  <c r="F184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22" i="19"/>
  <c r="D73" i="18" s="1"/>
  <c r="F99" i="2"/>
  <c r="G32" i="2"/>
  <c r="F14" i="2"/>
  <c r="F86" i="2"/>
  <c r="F82" i="2"/>
  <c r="G82" i="2"/>
  <c r="G81" i="2"/>
  <c r="G73" i="2"/>
  <c r="F73" i="2"/>
  <c r="F32" i="2"/>
  <c r="L20" i="10"/>
  <c r="G71" i="14"/>
  <c r="F115" i="2"/>
  <c r="G115" i="2"/>
  <c r="N50" i="10"/>
  <c r="N21" i="10"/>
  <c r="L21" i="10"/>
  <c r="F17" i="2"/>
  <c r="F80" i="2"/>
  <c r="G80" i="2"/>
  <c r="F179" i="2"/>
  <c r="F29" i="19"/>
  <c r="G149" i="2"/>
  <c r="G17" i="2"/>
  <c r="G12" i="2"/>
  <c r="F11" i="2"/>
  <c r="F173" i="2" l="1"/>
  <c r="G52" i="10"/>
  <c r="D169" i="2"/>
  <c r="D60" i="2"/>
  <c r="D139" i="2" s="1"/>
  <c r="D158" i="2" s="1"/>
  <c r="D161" i="2" s="1"/>
  <c r="D162" i="2" s="1"/>
  <c r="J50" i="10"/>
  <c r="J51" i="10"/>
  <c r="E169" i="2"/>
  <c r="G169" i="2" s="1"/>
  <c r="F50" i="10"/>
  <c r="L50" i="10" s="1"/>
  <c r="M51" i="10"/>
  <c r="F51" i="14"/>
  <c r="G61" i="2"/>
  <c r="F35" i="19"/>
  <c r="G35" i="19"/>
  <c r="N9" i="9"/>
  <c r="M50" i="10"/>
  <c r="E31" i="14"/>
  <c r="E18" i="11" s="1"/>
  <c r="E60" i="2"/>
  <c r="E7" i="11" s="1"/>
  <c r="F49" i="14"/>
  <c r="F9" i="2"/>
  <c r="G9" i="2"/>
  <c r="F149" i="2"/>
  <c r="G94" i="2"/>
  <c r="G173" i="2"/>
  <c r="E50" i="14"/>
  <c r="D31" i="14"/>
  <c r="D33" i="14" s="1"/>
  <c r="C169" i="2"/>
  <c r="C60" i="2"/>
  <c r="J49" i="10"/>
  <c r="G11" i="18"/>
  <c r="G184" i="2"/>
  <c r="G180" i="2"/>
  <c r="F180" i="2"/>
  <c r="C56" i="14"/>
  <c r="C14" i="18"/>
  <c r="C166" i="2"/>
  <c r="C36" i="14" s="1"/>
  <c r="C26" i="19"/>
  <c r="C50" i="14" s="1"/>
  <c r="M49" i="10"/>
  <c r="F15" i="18"/>
  <c r="F54" i="14"/>
  <c r="D50" i="14"/>
  <c r="F26" i="19"/>
  <c r="D73" i="14"/>
  <c r="F73" i="14" s="1"/>
  <c r="D36" i="14"/>
  <c r="G21" i="2"/>
  <c r="G26" i="19"/>
  <c r="G51" i="14"/>
  <c r="G54" i="14"/>
  <c r="F55" i="18"/>
  <c r="E56" i="14"/>
  <c r="F56" i="14" s="1"/>
  <c r="G70" i="14"/>
  <c r="F70" i="14"/>
  <c r="G18" i="2"/>
  <c r="F18" i="2"/>
  <c r="D41" i="14"/>
  <c r="F168" i="2"/>
  <c r="G168" i="2"/>
  <c r="G110" i="2"/>
  <c r="F110" i="2"/>
  <c r="C32" i="14"/>
  <c r="C33" i="14" s="1"/>
  <c r="D34" i="14"/>
  <c r="L28" i="10"/>
  <c r="N32" i="10"/>
  <c r="F20" i="2"/>
  <c r="G20" i="2"/>
  <c r="N29" i="10"/>
  <c r="J33" i="10"/>
  <c r="L29" i="10"/>
  <c r="D52" i="10"/>
  <c r="N22" i="10"/>
  <c r="N28" i="10"/>
  <c r="G49" i="14"/>
  <c r="F11" i="18"/>
  <c r="D17" i="11"/>
  <c r="D18" i="11"/>
  <c r="C61" i="14"/>
  <c r="E61" i="14"/>
  <c r="F61" i="14" s="1"/>
  <c r="E17" i="11"/>
  <c r="F6" i="3"/>
  <c r="I52" i="10"/>
  <c r="V34" i="9"/>
  <c r="W34" i="9" s="1"/>
  <c r="V33" i="9"/>
  <c r="V36" i="9" l="1"/>
  <c r="F52" i="10"/>
  <c r="F50" i="14"/>
  <c r="F169" i="2"/>
  <c r="F31" i="14"/>
  <c r="G72" i="2"/>
  <c r="E170" i="2"/>
  <c r="E185" i="2" s="1"/>
  <c r="G31" i="14"/>
  <c r="G73" i="14"/>
  <c r="G50" i="14"/>
  <c r="F21" i="2"/>
  <c r="F182" i="2"/>
  <c r="G182" i="2"/>
  <c r="L22" i="10"/>
  <c r="N26" i="10"/>
  <c r="L26" i="10"/>
  <c r="F72" i="2"/>
  <c r="E34" i="14"/>
  <c r="G34" i="14" s="1"/>
  <c r="G15" i="18"/>
  <c r="D65" i="14"/>
  <c r="F65" i="14" s="1"/>
  <c r="D172" i="2"/>
  <c r="D177" i="2" s="1"/>
  <c r="D38" i="14" s="1"/>
  <c r="D39" i="14" s="1"/>
  <c r="D37" i="14"/>
  <c r="L32" i="10"/>
  <c r="N24" i="10"/>
  <c r="L24" i="10"/>
  <c r="N25" i="10"/>
  <c r="L25" i="10"/>
  <c r="G41" i="14"/>
  <c r="F41" i="14"/>
  <c r="L49" i="10"/>
  <c r="N33" i="10"/>
  <c r="L33" i="10"/>
  <c r="D7" i="11"/>
  <c r="C139" i="2"/>
  <c r="F166" i="2"/>
  <c r="E36" i="14"/>
  <c r="G166" i="2"/>
  <c r="W36" i="9"/>
  <c r="AD33" i="9"/>
  <c r="AD36" i="9" s="1"/>
  <c r="E186" i="2" l="1"/>
  <c r="E32" i="14"/>
  <c r="F32" i="14" s="1"/>
  <c r="F13" i="2"/>
  <c r="G13" i="2"/>
  <c r="G65" i="14"/>
  <c r="J34" i="10"/>
  <c r="N30" i="10"/>
  <c r="L30" i="10"/>
  <c r="F34" i="14"/>
  <c r="G14" i="18"/>
  <c r="F14" i="18"/>
  <c r="E139" i="2"/>
  <c r="F60" i="2"/>
  <c r="G60" i="2"/>
  <c r="F36" i="14"/>
  <c r="G36" i="14"/>
  <c r="C37" i="14"/>
  <c r="C172" i="2"/>
  <c r="C177" i="2" s="1"/>
  <c r="C158" i="2"/>
  <c r="D42" i="14"/>
  <c r="D9" i="18"/>
  <c r="E33" i="14" l="1"/>
  <c r="G33" i="14" s="1"/>
  <c r="G32" i="14"/>
  <c r="D19" i="18"/>
  <c r="D30" i="18" s="1"/>
  <c r="N34" i="10"/>
  <c r="L34" i="10"/>
  <c r="D44" i="14"/>
  <c r="D10" i="19"/>
  <c r="D163" i="2"/>
  <c r="C9" i="18"/>
  <c r="C19" i="18" s="1"/>
  <c r="C30" i="18" s="1"/>
  <c r="C42" i="14"/>
  <c r="C159" i="2"/>
  <c r="C170" i="2" s="1"/>
  <c r="G139" i="2"/>
  <c r="E37" i="14"/>
  <c r="E172" i="2"/>
  <c r="E177" i="2" s="1"/>
  <c r="F139" i="2"/>
  <c r="E158" i="2"/>
  <c r="E9" i="18" s="1"/>
  <c r="E19" i="18" s="1"/>
  <c r="E30" i="18" s="1"/>
  <c r="D31" i="18"/>
  <c r="D43" i="14"/>
  <c r="D23" i="19"/>
  <c r="D48" i="14" s="1"/>
  <c r="C38" i="14"/>
  <c r="D13" i="11" s="1"/>
  <c r="D8" i="11"/>
  <c r="D63" i="14" l="1"/>
  <c r="D45" i="14"/>
  <c r="F33" i="14"/>
  <c r="D32" i="18"/>
  <c r="D55" i="14" s="1"/>
  <c r="C161" i="2"/>
  <c r="F37" i="14"/>
  <c r="G37" i="14"/>
  <c r="C39" i="14"/>
  <c r="F158" i="2"/>
  <c r="E42" i="14"/>
  <c r="E161" i="2"/>
  <c r="G158" i="2"/>
  <c r="G172" i="2"/>
  <c r="E8" i="11"/>
  <c r="F172" i="2"/>
  <c r="C31" i="18"/>
  <c r="C32" i="18" s="1"/>
  <c r="C23" i="19"/>
  <c r="C48" i="14" s="1"/>
  <c r="C43" i="14"/>
  <c r="D9" i="19"/>
  <c r="D21" i="19"/>
  <c r="D64" i="14"/>
  <c r="D10" i="11" l="1"/>
  <c r="D9" i="11"/>
  <c r="C63" i="14" s="1"/>
  <c r="E9" i="11"/>
  <c r="E63" i="14" s="1"/>
  <c r="E163" i="2"/>
  <c r="C64" i="14"/>
  <c r="E11" i="11"/>
  <c r="E45" i="14" s="1"/>
  <c r="F45" i="14" s="1"/>
  <c r="E10" i="11"/>
  <c r="E64" i="14" s="1"/>
  <c r="G64" i="14" s="1"/>
  <c r="C163" i="2"/>
  <c r="D11" i="11"/>
  <c r="C45" i="14" s="1"/>
  <c r="C44" i="14"/>
  <c r="C162" i="2"/>
  <c r="C10" i="19"/>
  <c r="C11" i="19" s="1"/>
  <c r="C22" i="19" s="1"/>
  <c r="C73" i="18" s="1"/>
  <c r="G161" i="2"/>
  <c r="E162" i="2"/>
  <c r="F161" i="2"/>
  <c r="E44" i="14"/>
  <c r="D72" i="18"/>
  <c r="D85" i="18" s="1"/>
  <c r="D20" i="19"/>
  <c r="D38" i="19" s="1"/>
  <c r="C55" i="14"/>
  <c r="E38" i="14"/>
  <c r="E13" i="11" s="1"/>
  <c r="F177" i="2"/>
  <c r="G177" i="2"/>
  <c r="F9" i="18"/>
  <c r="G9" i="18"/>
  <c r="E31" i="18"/>
  <c r="E32" i="18" s="1"/>
  <c r="F159" i="2"/>
  <c r="E43" i="14"/>
  <c r="F42" i="14"/>
  <c r="G42" i="14"/>
  <c r="C9" i="19" l="1"/>
  <c r="C18" i="19" s="1"/>
  <c r="C21" i="19"/>
  <c r="C20" i="19" s="1"/>
  <c r="F185" i="2"/>
  <c r="G185" i="2"/>
  <c r="F64" i="14"/>
  <c r="E22" i="19"/>
  <c r="E73" i="18"/>
  <c r="F11" i="19"/>
  <c r="G11" i="19"/>
  <c r="F170" i="2"/>
  <c r="G170" i="2"/>
  <c r="F31" i="18"/>
  <c r="G31" i="18"/>
  <c r="D47" i="14"/>
  <c r="D52" i="14"/>
  <c r="F63" i="14"/>
  <c r="G63" i="14"/>
  <c r="E48" i="14"/>
  <c r="F48" i="14" s="1"/>
  <c r="F23" i="19"/>
  <c r="G19" i="18"/>
  <c r="F19" i="18"/>
  <c r="E39" i="14"/>
  <c r="F39" i="14" s="1"/>
  <c r="G38" i="14"/>
  <c r="F38" i="14"/>
  <c r="D57" i="14"/>
  <c r="D89" i="18"/>
  <c r="D59" i="14" s="1"/>
  <c r="D69" i="14" s="1"/>
  <c r="D90" i="18"/>
  <c r="G44" i="14"/>
  <c r="F44" i="14"/>
  <c r="G10" i="19"/>
  <c r="E72" i="18"/>
  <c r="E85" i="18" s="1"/>
  <c r="E89" i="18" s="1"/>
  <c r="E21" i="19"/>
  <c r="E9" i="19"/>
  <c r="E18" i="19" s="1"/>
  <c r="F10" i="19"/>
  <c r="G162" i="2"/>
  <c r="F162" i="2"/>
  <c r="C72" i="18" l="1"/>
  <c r="C85" i="18" s="1"/>
  <c r="C89" i="18" s="1"/>
  <c r="F186" i="2"/>
  <c r="G186" i="2"/>
  <c r="F21" i="19"/>
  <c r="G21" i="19"/>
  <c r="E20" i="19"/>
  <c r="E38" i="19" s="1"/>
  <c r="G69" i="14"/>
  <c r="F69" i="14"/>
  <c r="F30" i="18"/>
  <c r="G30" i="18"/>
  <c r="C47" i="14"/>
  <c r="C38" i="19"/>
  <c r="C52" i="14" s="1"/>
  <c r="F73" i="18"/>
  <c r="G73" i="18"/>
  <c r="G9" i="19"/>
  <c r="F9" i="19"/>
  <c r="G72" i="18"/>
  <c r="F72" i="18"/>
  <c r="F22" i="19"/>
  <c r="G22" i="19"/>
  <c r="C90" i="18" l="1"/>
  <c r="C57" i="14"/>
  <c r="C59" i="14"/>
  <c r="E90" i="18"/>
  <c r="E57" i="14"/>
  <c r="G85" i="18"/>
  <c r="F85" i="18"/>
  <c r="G18" i="19"/>
  <c r="F18" i="19"/>
  <c r="E55" i="14"/>
  <c r="F32" i="18"/>
  <c r="G32" i="18" s="1"/>
  <c r="E47" i="14"/>
  <c r="G20" i="19"/>
  <c r="F20" i="19"/>
  <c r="G38" i="19" l="1"/>
  <c r="F38" i="19"/>
  <c r="E52" i="14"/>
  <c r="F90" i="18"/>
  <c r="G90" i="18"/>
  <c r="F47" i="14"/>
  <c r="G47" i="14"/>
  <c r="E59" i="14"/>
  <c r="F89" i="18"/>
  <c r="G89" i="18"/>
  <c r="G55" i="14"/>
  <c r="F55" i="14"/>
  <c r="G57" i="14"/>
  <c r="F57" i="14"/>
  <c r="G59" i="14" l="1"/>
  <c r="F59" i="14"/>
  <c r="G52" i="14"/>
  <c r="F52" i="14"/>
</calcChain>
</file>

<file path=xl/sharedStrings.xml><?xml version="1.0" encoding="utf-8"?>
<sst xmlns="http://schemas.openxmlformats.org/spreadsheetml/2006/main" count="810" uniqueCount="630">
  <si>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</si>
  <si>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</si>
  <si>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</si>
  <si>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</si>
  <si>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</si>
  <si>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</si>
  <si>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</si>
  <si>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</si>
  <si>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</si>
  <si>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</si>
  <si>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</si>
  <si>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</si>
  <si>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</si>
  <si>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</si>
  <si>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</si>
  <si>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</si>
  <si>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</si>
  <si>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</si>
  <si>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</si>
  <si>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</si>
  <si>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</si>
  <si>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</si>
  <si>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</si>
  <si>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</si>
  <si>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</si>
  <si>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</si>
  <si>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</si>
  <si>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</si>
  <si>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</si>
  <si>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</si>
  <si>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</si>
  <si>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</si>
  <si>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</si>
  <si>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</si>
  <si>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</si>
  <si>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</si>
  <si>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</si>
  <si>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</si>
  <si>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</si>
  <si>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</si>
  <si>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</si>
  <si>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</si>
  <si>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</si>
  <si>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</si>
  <si>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</si>
  <si>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</si>
  <si>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</si>
  <si>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</si>
  <si>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</si>
  <si>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</si>
  <si>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</si>
  <si>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</si>
  <si>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</si>
  <si>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</si>
  <si>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</si>
  <si>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</si>
  <si>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</si>
  <si>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</si>
  <si>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</si>
  <si>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</si>
  <si>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</si>
  <si>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</si>
  <si>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</si>
  <si>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</si>
  <si>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</si>
  <si>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</si>
  <si>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</si>
  <si>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</si>
  <si>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</si>
  <si>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</si>
  <si>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</si>
  <si>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</si>
  <si>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</si>
  <si>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</si>
  <si>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</si>
  <si>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</si>
  <si>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</si>
  <si>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</si>
  <si>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</si>
  <si>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</si>
  <si>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</si>
  <si>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</si>
  <si>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</si>
  <si>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</si>
  <si>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</si>
  <si>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</si>
  <si>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</si>
  <si>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</si>
  <si>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</si>
  <si>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</si>
  <si>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</si>
  <si>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</si>
  <si>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</si>
  <si>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</si>
  <si>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</si>
  <si>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</si>
  <si>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</si>
  <si>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</si>
  <si>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</si>
  <si>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</si>
  <si>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</si>
  <si>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</si>
  <si>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</si>
  <si>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</si>
  <si>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</si>
  <si>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</si>
  <si>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</si>
  <si>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</si>
  <si>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</si>
  <si>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</si>
  <si>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</si>
  <si>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</si>
  <si>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</si>
  <si>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</si>
  <si>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</si>
  <si>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</si>
  <si>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</si>
  <si>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</si>
  <si>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</si>
  <si>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</si>
  <si>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</si>
  <si>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</si>
  <si>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</si>
  <si>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</si>
  <si>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</si>
  <si>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</si>
  <si>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</si>
  <si>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</si>
  <si>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</si>
  <si>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</si>
  <si>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</si>
  <si>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</si>
  <si>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</si>
  <si>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</si>
  <si>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</si>
  <si>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</si>
  <si>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</si>
  <si>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</si>
  <si>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</si>
  <si>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</si>
  <si>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</si>
  <si>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</si>
  <si>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</si>
  <si>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</si>
  <si>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</si>
  <si>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</si>
  <si>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</si>
  <si>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</si>
  <si>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</si>
  <si>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</si>
  <si>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</si>
  <si>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</si>
  <si>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</si>
  <si>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</si>
  <si>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</si>
  <si>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</si>
  <si>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</si>
  <si>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</si>
  <si>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</si>
  <si>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</si>
  <si>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</si>
  <si>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</si>
  <si>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</si>
  <si>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</si>
  <si>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</si>
  <si>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</si>
  <si>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</si>
  <si>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</si>
  <si>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</si>
  <si>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</si>
  <si>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</si>
  <si>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</si>
  <si>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</si>
  <si>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</si>
  <si>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</si>
  <si>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</si>
  <si>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</si>
  <si>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</si>
  <si>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</si>
  <si>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</si>
  <si>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</si>
  <si>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</si>
  <si>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</si>
  <si>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</si>
  <si>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</si>
  <si>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</si>
  <si>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</si>
  <si>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</si>
  <si>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</si>
  <si>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</si>
  <si>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</si>
  <si>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</si>
  <si>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</si>
  <si>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</si>
  <si>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</si>
  <si>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</si>
  <si>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</si>
  <si>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</si>
  <si>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</si>
  <si>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</si>
  <si>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</si>
  <si>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</si>
  <si>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</si>
  <si>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</si>
  <si>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</si>
  <si>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</si>
  <si>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</si>
  <si>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</si>
  <si>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</si>
  <si>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</si>
  <si>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</si>
  <si>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</si>
  <si>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</si>
  <si>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</si>
  <si>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</si>
  <si>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</si>
  <si>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</si>
  <si>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</si>
  <si>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</si>
  <si>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</si>
  <si>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</si>
  <si>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</si>
  <si>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</si>
  <si>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</si>
  <si>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</si>
  <si>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</si>
  <si>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</si>
  <si>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</si>
  <si>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</si>
  <si>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</si>
  <si>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</si>
  <si>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</si>
  <si>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</si>
  <si>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</si>
  <si>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</si>
  <si>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</si>
  <si>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</si>
  <si>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</si>
  <si>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</si>
  <si>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</si>
  <si>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</si>
  <si>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</si>
  <si>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</si>
  <si>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</si>
  <si>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</si>
  <si>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</si>
  <si>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</si>
  <si>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</si>
  <si>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</si>
  <si>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</si>
  <si>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</si>
  <si>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</si>
  <si>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</si>
  <si>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</si>
  <si>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</si>
  <si>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</si>
  <si>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</si>
  <si>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</si>
  <si>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</si>
  <si>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</si>
  <si>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</si>
  <si>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</si>
  <si>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</si>
  <si>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</si>
  <si>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</si>
  <si>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</si>
  <si>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</si>
  <si>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</si>
  <si>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</si>
  <si>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</si>
  <si>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</si>
  <si>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</si>
  <si>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</si>
  <si>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</si>
  <si>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</si>
  <si>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</si>
  <si>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</si>
  <si>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</si>
  <si>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</si>
  <si>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</si>
  <si>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</si>
  <si>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</si>
  <si>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</si>
  <si>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</si>
  <si>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</si>
  <si>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</si>
  <si>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</si>
  <si>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</si>
  <si>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</si>
  <si>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</si>
  <si>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</si>
  <si>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</si>
  <si>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</si>
  <si>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</si>
  <si>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</si>
  <si>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</si>
  <si>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</si>
  <si>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</si>
  <si>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</si>
  <si>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</si>
  <si>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</si>
  <si>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</si>
  <si>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</si>
  <si>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</si>
  <si>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</si>
  <si>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</si>
  <si>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</si>
  <si>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</si>
  <si>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</si>
  <si>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</si>
  <si>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</si>
  <si>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</si>
  <si>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</si>
  <si>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</si>
  <si>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</si>
  <si>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</si>
  <si>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</si>
  <si>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</si>
  <si>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</si>
  <si>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</si>
  <si>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</si>
  <si>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</si>
  <si>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</si>
  <si>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</si>
  <si>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</si>
  <si>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</si>
  <si>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</si>
  <si>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</si>
  <si>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</si>
  <si>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</si>
  <si>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</si>
  <si>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</si>
  <si>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</si>
  <si>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</si>
  <si>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</si>
  <si>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</si>
  <si>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</si>
  <si>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</si>
  <si>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</si>
  <si>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</si>
  <si>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</si>
  <si>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</si>
  <si>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</si>
  <si>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</si>
  <si>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</si>
  <si>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</si>
  <si>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</si>
  <si>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</si>
  <si>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</si>
  <si>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</si>
  <si>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</si>
  <si>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</si>
  <si>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</si>
  <si>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</si>
  <si>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</si>
  <si>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</si>
  <si>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</si>
  <si>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</si>
  <si>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</si>
  <si>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</si>
  <si>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</si>
  <si>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</si>
  <si>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</si>
  <si>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</si>
  <si>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</si>
  <si>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</si>
  <si>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</si>
  <si>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</si>
  <si>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</si>
  <si>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</si>
  <si>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</si>
  <si>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</si>
  <si>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</si>
  <si>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</si>
  <si>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</si>
  <si>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</si>
  <si>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</si>
  <si>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</si>
  <si>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</si>
  <si>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</si>
  <si>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</si>
  <si>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</si>
  <si>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</si>
  <si>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</si>
  <si>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</si>
  <si>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</si>
  <si>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</si>
  <si>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</si>
  <si>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</si>
  <si>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</si>
  <si>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</si>
  <si>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</si>
  <si>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49107, м. Дніпро, вул. Шинна, 26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</si>
  <si>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</si>
  <si>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</si>
  <si>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</si>
  <si>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</si>
  <si>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</si>
  <si>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</si>
  <si>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</si>
  <si>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</si>
  <si>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</si>
  <si>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</si>
  <si>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</si>
  <si>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</si>
  <si>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</si>
  <si>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</si>
  <si>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</si>
  <si>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</si>
  <si>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</si>
  <si>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</si>
  <si>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</si>
  <si>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</si>
  <si>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Ремонт та обслуговування оргтехніки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</si>
  <si>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</si>
  <si>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</si>
  <si>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</si>
  <si>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</si>
  <si>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</si>
  <si>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</si>
  <si>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</si>
  <si>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</si>
  <si>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</si>
  <si>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</si>
  <si>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Оплата за арендовані мережі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</si>
  <si>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</si>
  <si>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</si>
  <si>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</si>
  <si>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</si>
  <si>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</si>
  <si>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</si>
  <si>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</si>
  <si>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</si>
  <si>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</si>
  <si>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</si>
  <si>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</si>
  <si>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</si>
  <si>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</si>
  <si>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</si>
  <si>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</si>
  <si>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</si>
  <si>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</si>
  <si>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</si>
  <si>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</si>
  <si>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</si>
  <si>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</si>
  <si>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</si>
  <si>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</si>
  <si>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</si>
  <si>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</si>
  <si>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</si>
  <si>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</si>
  <si>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</si>
  <si>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</si>
  <si>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</si>
  <si>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</si>
  <si>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</si>
  <si>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</si>
  <si>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</si>
  <si>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</si>
  <si>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</si>
  <si>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</si>
  <si>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</si>
  <si>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</si>
  <si>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проведення мед. огляду</t>
  </si>
  <si>
    <t>нестачі і втрати від псування ціностей</t>
  </si>
  <si>
    <t>отримання витягів  та виписок  для участі у тендері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</si>
  <si>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</si>
  <si>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</si>
  <si>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</si>
  <si>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</si>
  <si>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</si>
  <si>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</si>
  <si>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</si>
  <si>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</si>
  <si>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</si>
  <si>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</si>
  <si>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</si>
  <si>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</si>
  <si>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</si>
  <si>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</si>
  <si>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</si>
  <si>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</si>
  <si>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</si>
  <si>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</si>
  <si>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</si>
  <si>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</si>
  <si>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</si>
  <si>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</si>
  <si>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</si>
  <si>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</si>
  <si>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</si>
  <si>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</si>
  <si>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</si>
  <si>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</si>
  <si>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</si>
  <si>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</si>
  <si>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</si>
  <si>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</si>
  <si>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</si>
  <si>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</si>
  <si>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</si>
  <si>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</si>
  <si>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</si>
  <si>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</si>
  <si>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</si>
  <si>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Утилізація ламп</t>
  </si>
  <si>
    <t>Поточний ремонт, утримання та технічне обслуговування зовнішнього освітлення субпідрядником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</si>
  <si>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</si>
  <si>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</si>
  <si>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</si>
  <si>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</si>
  <si>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</si>
  <si>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</si>
  <si>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</si>
  <si>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</si>
  <si>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</si>
  <si>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</si>
  <si>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</si>
  <si>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</si>
  <si>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</si>
  <si>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</si>
  <si>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</si>
  <si>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</si>
  <si>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</si>
  <si>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</si>
  <si>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</si>
  <si>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</si>
  <si>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</si>
  <si>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</si>
  <si>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</si>
  <si>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</si>
  <si>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</si>
  <si>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</si>
  <si>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</si>
  <si>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</si>
  <si>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</si>
  <si>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</si>
  <si>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</si>
  <si>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</si>
  <si>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</si>
  <si>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</si>
  <si>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</si>
  <si>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</si>
  <si>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</si>
  <si>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</si>
  <si>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</si>
  <si>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Відшкодування пенсій у ПФ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</si>
  <si>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</si>
  <si>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</si>
  <si>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</si>
  <si>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</si>
  <si>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</si>
  <si>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</si>
  <si>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</si>
  <si>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</si>
  <si>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Шкода Рапід</t>
  </si>
  <si>
    <t>1018/28</t>
  </si>
  <si>
    <t>33.14</t>
  </si>
  <si>
    <t>Ремонт та технічне обслуговування електричного устаткування</t>
  </si>
  <si>
    <t>Січовий М. Ю.</t>
  </si>
  <si>
    <t>Утилізація ламп, опор</t>
  </si>
  <si>
    <t>Ремонт обладанння, будівель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</si>
  <si>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</si>
  <si>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</si>
  <si>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</si>
  <si>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</si>
  <si>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</si>
  <si>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</si>
  <si>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</si>
  <si>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</si>
  <si>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Послуги з утримання та технічного обслуговування об’єктів вуличного освітлення міста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</si>
  <si>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</si>
  <si>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</si>
  <si>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</si>
  <si>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</si>
  <si>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</si>
  <si>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</si>
  <si>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</si>
  <si>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</si>
  <si>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ДП "Оператор ринку" - фіксований платіж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</si>
  <si>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</si>
  <si>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</si>
  <si>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</si>
  <si>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</si>
  <si>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</si>
  <si>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отримані на баланс ОЗ</t>
  </si>
  <si>
    <t>Директор</t>
  </si>
  <si>
    <t>зменшення боргу розрахунків за електроенергію міста</t>
  </si>
  <si>
    <t>3061/4</t>
  </si>
  <si>
    <t>внески органів місцевого самоврядування до статуного капіталу</t>
  </si>
  <si>
    <t>Медичне добровільне страхування працівників</t>
  </si>
  <si>
    <t>Розподіл електроенергії</t>
  </si>
  <si>
    <t>Обов'язкове страхування транспортних засобів</t>
  </si>
  <si>
    <t>Нараховано зобов'язання на страховий випадок</t>
  </si>
  <si>
    <t>відшкодування витрат за реактивну електроенергію та розподіл електричної енергії</t>
  </si>
  <si>
    <t>придбання ілюмінаційного обладнання</t>
  </si>
  <si>
    <t>Консультаційні послуги щодо "Оператора ринку"</t>
  </si>
  <si>
    <t>1018/34</t>
  </si>
  <si>
    <t>1018/35</t>
  </si>
  <si>
    <t>1018/36</t>
  </si>
  <si>
    <t>Послуги досудової експертизи</t>
  </si>
  <si>
    <t>Досудова експертиза</t>
  </si>
  <si>
    <t>1085/22</t>
  </si>
  <si>
    <t>3480/2</t>
  </si>
  <si>
    <t>збільшення капіталу у звязку з отримання ОЗ</t>
  </si>
  <si>
    <t>1062/7</t>
  </si>
  <si>
    <t>Інші виплати працівникам (мат. допомога, компенсація за нев. відпустки, разові премії)</t>
  </si>
  <si>
    <t>Послуги з поточного ремонту мереж зовнішнього освітлення</t>
  </si>
  <si>
    <t>Оцинкування</t>
  </si>
  <si>
    <t>Ремонт основних засобів (виконавчого пункту, генератора)</t>
  </si>
  <si>
    <t>Списання шин, акумуляторів</t>
  </si>
  <si>
    <t>за 2022 рік</t>
  </si>
  <si>
    <t>Таблиця VI. Інформація до фінансового плану за 2022 рік</t>
  </si>
  <si>
    <t xml:space="preserve">Послуги з поточного ремонту мереж зовнішнього освітлення </t>
  </si>
  <si>
    <t>Компенсація пенсій льготних категорій</t>
  </si>
  <si>
    <t>1018/37</t>
  </si>
  <si>
    <t>1018/38</t>
  </si>
  <si>
    <t>Дохід від реалізації оборотних активів</t>
  </si>
  <si>
    <t>1085/23</t>
  </si>
  <si>
    <t>Оцінювання безхоз. Мереж</t>
  </si>
  <si>
    <t>Оцінка майна</t>
  </si>
  <si>
    <t>1150/3</t>
  </si>
  <si>
    <t>Аморитазація</t>
  </si>
  <si>
    <t>Дохід від відшкодування страхового випадку</t>
  </si>
  <si>
    <t xml:space="preserve">Перший заступник директора </t>
  </si>
  <si>
    <t>Олександр ОЛЕФІРЕНКО</t>
  </si>
  <si>
    <t>Перший заступник директора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</si>
  <si>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32160,0 тис. гривень. Середньомісячна заробітна плата фактично 19851,85 гривень. Середньооблікова кількість усіх працівників в еквіваленті повної зайнятості за 2022 рік - 135 особи, у тому числі  АУП - 22 особи.</t>
  </si>
  <si>
    <t>списані основні засоби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</si>
</sst>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#,##0.000"/>
    <numFmt numFmtId="179" formatCode="#,##0.0000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06">
    <xf numFmtId="0" fontId="0" fillId="0" borderId="0" xfId="0"/>
    <xf numFmtId="0" fontId="64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5" fillId="0" borderId="3" xfId="0" applyFont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170" fontId="65" fillId="0" borderId="3" xfId="0" quotePrefix="1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5" fillId="0" borderId="3" xfId="0" quotePrefix="1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0" borderId="0" xfId="0" applyFont="1"/>
    <xf numFmtId="0" fontId="65" fillId="0" borderId="0" xfId="0" applyFont="1" applyAlignment="1">
      <alignment horizontal="left" vertical="center" wrapText="1" shrinkToFit="1"/>
    </xf>
    <xf numFmtId="3" fontId="68" fillId="0" borderId="3" xfId="0" applyNumberFormat="1" applyFont="1" applyBorder="1" applyAlignment="1">
      <alignment horizontal="center" vertical="center" wrapText="1"/>
    </xf>
    <xf numFmtId="170" fontId="68" fillId="0" borderId="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0" fontId="65" fillId="0" borderId="3" xfId="0" applyFont="1" applyBorder="1" applyAlignment="1">
      <alignment horizontal="center" vertical="center" wrapText="1" shrinkToFit="1"/>
    </xf>
    <xf numFmtId="169" fontId="68" fillId="0" borderId="0" xfId="0" applyNumberFormat="1" applyFont="1" applyAlignment="1">
      <alignment horizontal="right" vertical="center" wrapText="1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170" fontId="72" fillId="0" borderId="3" xfId="0" applyNumberFormat="1" applyFont="1" applyBorder="1" applyAlignment="1">
      <alignment horizontal="center" vertical="center" wrapText="1"/>
    </xf>
    <xf numFmtId="169" fontId="68" fillId="0" borderId="0" xfId="0" applyNumberFormat="1" applyFont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/>
    <xf numFmtId="0" fontId="66" fillId="0" borderId="0" xfId="0" applyFont="1" applyAlignment="1">
      <alignment horizontal="center" vertical="center"/>
    </xf>
    <xf numFmtId="0" fontId="65" fillId="0" borderId="3" xfId="0" applyFont="1" applyBorder="1"/>
    <xf numFmtId="0" fontId="68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center" wrapText="1" shrinkToFit="1"/>
    </xf>
    <xf numFmtId="0" fontId="67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169" fontId="73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4" fillId="0" borderId="0" xfId="0" applyFont="1"/>
    <xf numFmtId="0" fontId="75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0" fillId="0" borderId="14" xfId="0" applyFont="1" applyBorder="1" applyAlignment="1">
      <alignment vertical="center"/>
    </xf>
    <xf numFmtId="0" fontId="70" fillId="0" borderId="14" xfId="0" applyFont="1" applyBorder="1" applyAlignment="1">
      <alignment vertical="center" wrapText="1"/>
    </xf>
    <xf numFmtId="0" fontId="70" fillId="0" borderId="3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8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0" fillId="0" borderId="3" xfId="182" applyFont="1" applyFill="1" applyBorder="1" applyAlignment="1">
      <alignment horizontal="left" vertical="center" wrapText="1"/>
      <protection locked="0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0" xfId="0" applyFont="1" applyAlignment="1">
      <alignment vertic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left" vertical="center" wrapText="1"/>
    </xf>
    <xf numFmtId="0" fontId="79" fillId="0" borderId="0" xfId="0" quotePrefix="1" applyFont="1" applyAlignment="1">
      <alignment horizontal="center"/>
    </xf>
    <xf numFmtId="0" fontId="65" fillId="0" borderId="0" xfId="0" quotePrefix="1" applyFont="1" applyAlignment="1">
      <alignment horizontal="center" vertical="center"/>
    </xf>
    <xf numFmtId="0" fontId="70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3" fontId="79" fillId="0" borderId="0" xfId="0" applyNumberFormat="1" applyFont="1" applyAlignment="1">
      <alignment vertical="center"/>
    </xf>
    <xf numFmtId="3" fontId="80" fillId="0" borderId="0" xfId="0" applyNumberFormat="1" applyFont="1" applyAlignment="1">
      <alignment vertical="center"/>
    </xf>
    <xf numFmtId="0" fontId="81" fillId="0" borderId="3" xfId="182" applyFont="1" applyFill="1" applyBorder="1" applyAlignment="1">
      <alignment horizontal="left" vertical="center" wrapText="1"/>
      <protection locked="0"/>
    </xf>
    <xf numFmtId="49" fontId="70" fillId="0" borderId="3" xfId="0" applyNumberFormat="1" applyFont="1" applyBorder="1" applyAlignment="1">
      <alignment horizontal="center" vertical="center"/>
    </xf>
    <xf numFmtId="0" fontId="80" fillId="29" borderId="0" xfId="0" applyFont="1" applyFill="1" applyAlignment="1">
      <alignment horizontal="center" vertical="center" wrapText="1"/>
    </xf>
    <xf numFmtId="0" fontId="79" fillId="29" borderId="0" xfId="0" quotePrefix="1" applyFont="1" applyFill="1" applyAlignment="1">
      <alignment horizontal="center"/>
    </xf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70" fillId="29" borderId="0" xfId="0" applyFont="1" applyFill="1" applyAlignment="1">
      <alignment vertical="center"/>
    </xf>
    <xf numFmtId="0" fontId="70" fillId="29" borderId="0" xfId="0" applyFont="1" applyFill="1" applyAlignment="1">
      <alignment vertical="center" wrapText="1"/>
    </xf>
    <xf numFmtId="0" fontId="70" fillId="29" borderId="17" xfId="0" applyFont="1" applyFill="1" applyBorder="1" applyAlignment="1">
      <alignment vertical="center"/>
    </xf>
    <xf numFmtId="0" fontId="70" fillId="29" borderId="17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/>
    </xf>
    <xf numFmtId="0" fontId="73" fillId="29" borderId="0" xfId="0" applyFont="1" applyFill="1" applyAlignment="1">
      <alignment horizontal="center" vertical="center"/>
    </xf>
    <xf numFmtId="0" fontId="70" fillId="29" borderId="0" xfId="0" applyFont="1" applyFill="1" applyAlignment="1">
      <alignment horizontal="left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horizontal="right" vertical="center"/>
    </xf>
    <xf numFmtId="1" fontId="65" fillId="29" borderId="0" xfId="0" applyNumberFormat="1" applyFont="1" applyFill="1" applyAlignment="1">
      <alignment horizontal="center" vertical="center"/>
    </xf>
    <xf numFmtId="0" fontId="68" fillId="29" borderId="0" xfId="0" applyFont="1" applyFill="1" applyAlignment="1">
      <alignment horizontal="center" vertical="center"/>
    </xf>
    <xf numFmtId="0" fontId="68" fillId="29" borderId="0" xfId="0" applyFont="1" applyFill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Alignment="1">
      <alignment horizontal="right" vertical="center"/>
    </xf>
    <xf numFmtId="170" fontId="65" fillId="29" borderId="0" xfId="0" applyNumberFormat="1" applyFont="1" applyFill="1" applyAlignment="1">
      <alignment vertical="center"/>
    </xf>
    <xf numFmtId="0" fontId="68" fillId="29" borderId="15" xfId="0" applyFont="1" applyFill="1" applyBorder="1" applyAlignment="1">
      <alignment horizontal="left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169" fontId="68" fillId="29" borderId="0" xfId="0" applyNumberFormat="1" applyFont="1" applyFill="1" applyAlignment="1">
      <alignment horizontal="right" vertical="center"/>
    </xf>
    <xf numFmtId="0" fontId="66" fillId="29" borderId="0" xfId="0" applyFont="1" applyFill="1" applyAlignment="1">
      <alignment vertical="center"/>
    </xf>
    <xf numFmtId="169" fontId="73" fillId="29" borderId="0" xfId="0" applyNumberFormat="1" applyFont="1" applyFill="1" applyAlignment="1">
      <alignment horizontal="right" vertical="center"/>
    </xf>
    <xf numFmtId="0" fontId="65" fillId="29" borderId="0" xfId="0" applyFont="1" applyFill="1" applyAlignment="1">
      <alignment vertical="center" wrapText="1" shrinkToFit="1"/>
    </xf>
    <xf numFmtId="170" fontId="72" fillId="29" borderId="3" xfId="0" applyNumberFormat="1" applyFont="1" applyFill="1" applyBorder="1" applyAlignment="1">
      <alignment horizontal="center" vertical="center" wrapText="1"/>
    </xf>
    <xf numFmtId="0" fontId="79" fillId="29" borderId="0" xfId="0" applyFont="1" applyFill="1" applyAlignment="1">
      <alignment horizontal="center" vertical="top"/>
    </xf>
    <xf numFmtId="3" fontId="65" fillId="29" borderId="0" xfId="0" applyNumberFormat="1" applyFont="1" applyFill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3" fontId="65" fillId="0" borderId="0" xfId="0" applyNumberFormat="1" applyFont="1" applyAlignment="1">
      <alignment horizontal="center" vertical="center"/>
    </xf>
    <xf numFmtId="0" fontId="70" fillId="29" borderId="3" xfId="0" applyFont="1" applyFill="1" applyBorder="1" applyAlignment="1">
      <alignment horizontal="left" vertical="center"/>
    </xf>
    <xf numFmtId="0" fontId="70" fillId="29" borderId="3" xfId="0" applyFont="1" applyFill="1" applyBorder="1" applyAlignment="1">
      <alignment vertical="center"/>
    </xf>
    <xf numFmtId="0" fontId="65" fillId="29" borderId="0" xfId="0" applyFont="1" applyFill="1" applyAlignment="1">
      <alignment horizontal="left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170" fontId="65" fillId="0" borderId="3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3" fontId="65" fillId="0" borderId="0" xfId="0" applyNumberFormat="1" applyFont="1" applyAlignment="1">
      <alignment horizontal="center" vertical="center" wrapText="1"/>
    </xf>
    <xf numFmtId="3" fontId="65" fillId="0" borderId="16" xfId="0" applyNumberFormat="1" applyFont="1" applyBorder="1" applyAlignment="1">
      <alignment vertical="center" wrapText="1"/>
    </xf>
    <xf numFmtId="169" fontId="68" fillId="0" borderId="0" xfId="0" applyNumberFormat="1" applyFont="1" applyAlignment="1">
      <alignment horizontal="center" vertical="center" wrapText="1"/>
    </xf>
    <xf numFmtId="170" fontId="68" fillId="0" borderId="0" xfId="0" applyNumberFormat="1" applyFont="1" applyAlignment="1">
      <alignment horizontal="center" vertical="center" wrapText="1"/>
    </xf>
    <xf numFmtId="170" fontId="68" fillId="0" borderId="0" xfId="0" applyNumberFormat="1" applyFont="1" applyAlignment="1">
      <alignment horizontal="center" vertical="center"/>
    </xf>
    <xf numFmtId="170" fontId="68" fillId="0" borderId="0" xfId="0" applyNumberFormat="1" applyFont="1" applyAlignment="1">
      <alignment vertical="center"/>
    </xf>
    <xf numFmtId="170" fontId="65" fillId="0" borderId="0" xfId="0" applyNumberFormat="1" applyFont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 wrapText="1"/>
    </xf>
    <xf numFmtId="49" fontId="65" fillId="0" borderId="0" xfId="0" applyNumberFormat="1" applyFont="1" applyAlignment="1">
      <alignment horizontal="left" vertical="center" wrapText="1"/>
    </xf>
    <xf numFmtId="1" fontId="65" fillId="0" borderId="3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 wrapText="1"/>
    </xf>
    <xf numFmtId="0" fontId="65" fillId="0" borderId="3" xfId="245" applyFont="1" applyBorder="1" applyAlignment="1">
      <alignment horizontal="center" vertical="center"/>
    </xf>
    <xf numFmtId="3" fontId="81" fillId="0" borderId="3" xfId="0" applyNumberFormat="1" applyFont="1" applyBorder="1" applyAlignment="1">
      <alignment horizontal="center" vertical="center" wrapText="1"/>
    </xf>
    <xf numFmtId="3" fontId="65" fillId="0" borderId="3" xfId="245" applyNumberFormat="1" applyFont="1" applyBorder="1" applyAlignment="1">
      <alignment horizontal="center" vertical="center" wrapText="1"/>
    </xf>
    <xf numFmtId="1" fontId="65" fillId="0" borderId="3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/>
    </xf>
    <xf numFmtId="0" fontId="65" fillId="0" borderId="3" xfId="237" applyFont="1" applyBorder="1" applyAlignment="1">
      <alignment horizontal="center" vertical="center"/>
    </xf>
    <xf numFmtId="0" fontId="65" fillId="0" borderId="3" xfId="237" applyFont="1" applyBorder="1" applyAlignment="1">
      <alignment horizontal="center" vertical="center" wrapText="1"/>
    </xf>
    <xf numFmtId="10" fontId="65" fillId="0" borderId="3" xfId="237" applyNumberFormat="1" applyFont="1" applyBorder="1" applyAlignment="1">
      <alignment horizontal="center" vertical="center" wrapText="1"/>
    </xf>
    <xf numFmtId="0" fontId="65" fillId="0" borderId="3" xfId="237" applyFont="1" applyBorder="1" applyAlignment="1">
      <alignment horizontal="left" vertical="center" wrapText="1"/>
    </xf>
    <xf numFmtId="0" fontId="65" fillId="0" borderId="3" xfId="237" applyFont="1" applyBorder="1" applyAlignment="1">
      <alignment horizontal="left" vertical="top" wrapText="1"/>
    </xf>
    <xf numFmtId="179" fontId="65" fillId="0" borderId="3" xfId="237" applyNumberFormat="1" applyFont="1" applyBorder="1" applyAlignment="1">
      <alignment horizontal="center" vertical="center" wrapText="1"/>
    </xf>
    <xf numFmtId="4" fontId="65" fillId="0" borderId="3" xfId="237" applyNumberFormat="1" applyFont="1" applyBorder="1" applyAlignment="1">
      <alignment horizontal="center" vertical="center" wrapText="1"/>
    </xf>
    <xf numFmtId="170" fontId="65" fillId="0" borderId="3" xfId="237" applyNumberFormat="1" applyFont="1" applyBorder="1" applyAlignment="1">
      <alignment horizontal="center" vertical="center" wrapText="1"/>
    </xf>
    <xf numFmtId="49" fontId="65" fillId="0" borderId="3" xfId="237" applyNumberFormat="1" applyFont="1" applyBorder="1" applyAlignment="1">
      <alignment horizontal="left" vertical="center" wrapText="1"/>
    </xf>
    <xf numFmtId="3" fontId="65" fillId="0" borderId="3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9" fillId="0" borderId="0" xfId="245" applyFont="1"/>
    <xf numFmtId="0" fontId="5" fillId="0" borderId="3" xfId="245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/>
    </xf>
    <xf numFmtId="3" fontId="5" fillId="0" borderId="3" xfId="0" quotePrefix="1" applyNumberFormat="1" applyFont="1" applyBorder="1" applyAlignment="1">
      <alignment horizontal="center" vertical="center" wrapText="1"/>
    </xf>
    <xf numFmtId="170" fontId="5" fillId="0" borderId="3" xfId="0" quotePrefix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4" fillId="0" borderId="3" xfId="245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70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quotePrefix="1" applyNumberFormat="1" applyFont="1" applyAlignment="1">
      <alignment vertical="center" wrapText="1"/>
    </xf>
    <xf numFmtId="0" fontId="65" fillId="0" borderId="0" xfId="245" applyFont="1" applyAlignment="1">
      <alignment vertical="center"/>
    </xf>
    <xf numFmtId="0" fontId="65" fillId="0" borderId="0" xfId="245" applyFont="1" applyAlignment="1">
      <alignment horizontal="center" vertical="center"/>
    </xf>
    <xf numFmtId="0" fontId="68" fillId="0" borderId="0" xfId="245" applyFont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81" fillId="0" borderId="3" xfId="245" applyFont="1" applyBorder="1" applyAlignment="1">
      <alignment horizontal="left" vertical="center" wrapText="1"/>
    </xf>
    <xf numFmtId="0" fontId="65" fillId="0" borderId="3" xfId="245" applyFont="1" applyBorder="1" applyAlignment="1">
      <alignment horizontal="left" vertical="center" wrapText="1"/>
    </xf>
    <xf numFmtId="0" fontId="68" fillId="0" borderId="0" xfId="245" applyFont="1" applyAlignment="1">
      <alignment vertical="center"/>
    </xf>
    <xf numFmtId="3" fontId="65" fillId="0" borderId="0" xfId="245" applyNumberFormat="1" applyFont="1" applyAlignment="1">
      <alignment vertical="center"/>
    </xf>
    <xf numFmtId="170" fontId="65" fillId="0" borderId="3" xfId="245" applyNumberFormat="1" applyFont="1" applyBorder="1" applyAlignment="1">
      <alignment horizontal="center" vertical="center" wrapText="1"/>
    </xf>
    <xf numFmtId="0" fontId="68" fillId="0" borderId="3" xfId="245" applyFont="1" applyBorder="1" applyAlignment="1">
      <alignment horizontal="center" vertical="center"/>
    </xf>
    <xf numFmtId="3" fontId="68" fillId="0" borderId="3" xfId="245" applyNumberFormat="1" applyFont="1" applyBorder="1" applyAlignment="1">
      <alignment horizontal="center" vertical="center" wrapText="1"/>
    </xf>
    <xf numFmtId="0" fontId="68" fillId="0" borderId="3" xfId="245" applyFont="1" applyBorder="1" applyAlignment="1">
      <alignment horizontal="left" vertical="center" wrapText="1"/>
    </xf>
    <xf numFmtId="0" fontId="65" fillId="0" borderId="0" xfId="245" applyFont="1" applyAlignment="1">
      <alignment horizontal="left" vertical="center" wrapText="1"/>
    </xf>
    <xf numFmtId="0" fontId="65" fillId="0" borderId="0" xfId="245" applyFont="1" applyAlignment="1">
      <alignment vertical="center" wrapText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left" vertical="center" wrapText="1"/>
    </xf>
    <xf numFmtId="0" fontId="81" fillId="0" borderId="3" xfId="0" quotePrefix="1" applyFont="1" applyBorder="1" applyAlignment="1">
      <alignment horizontal="center" vertical="center"/>
    </xf>
    <xf numFmtId="3" fontId="81" fillId="0" borderId="3" xfId="0" quotePrefix="1" applyNumberFormat="1" applyFont="1" applyBorder="1" applyAlignment="1">
      <alignment horizontal="center" vertical="center" wrapText="1"/>
    </xf>
    <xf numFmtId="170" fontId="81" fillId="0" borderId="3" xfId="0" quotePrefix="1" applyNumberFormat="1" applyFont="1" applyBorder="1" applyAlignment="1">
      <alignment horizontal="center" vertical="center" wrapText="1"/>
    </xf>
    <xf numFmtId="49" fontId="84" fillId="0" borderId="3" xfId="0" applyNumberFormat="1" applyFont="1" applyBorder="1" applyAlignment="1">
      <alignment vertical="center" wrapText="1"/>
    </xf>
    <xf numFmtId="1" fontId="81" fillId="0" borderId="3" xfId="0" applyNumberFormat="1" applyFont="1" applyBorder="1" applyAlignment="1">
      <alignment horizontal="center" vertical="center" wrapText="1"/>
    </xf>
    <xf numFmtId="1" fontId="81" fillId="0" borderId="3" xfId="0" applyNumberFormat="1" applyFont="1" applyBorder="1" applyAlignment="1" applyProtection="1">
      <alignment horizontal="center" vertical="center" wrapText="1"/>
      <protection locked="0"/>
    </xf>
    <xf numFmtId="0" fontId="81" fillId="0" borderId="21" xfId="0" applyFont="1" applyBorder="1" applyAlignment="1">
      <alignment horizontal="left" vertical="center" wrapText="1"/>
    </xf>
    <xf numFmtId="49" fontId="81" fillId="0" borderId="3" xfId="0" applyNumberFormat="1" applyFont="1" applyBorder="1" applyAlignment="1">
      <alignment vertical="center" wrapText="1"/>
    </xf>
    <xf numFmtId="49" fontId="84" fillId="0" borderId="3" xfId="0" quotePrefix="1" applyNumberFormat="1" applyFont="1" applyBorder="1" applyAlignment="1">
      <alignment horizontal="left" vertical="center" wrapText="1"/>
    </xf>
    <xf numFmtId="49" fontId="81" fillId="0" borderId="3" xfId="0" applyNumberFormat="1" applyFont="1" applyBorder="1" applyAlignment="1">
      <alignment horizontal="left" vertical="center" wrapText="1"/>
    </xf>
    <xf numFmtId="170" fontId="81" fillId="0" borderId="3" xfId="0" applyNumberFormat="1" applyFont="1" applyBorder="1" applyAlignment="1">
      <alignment horizontal="center" vertical="center" wrapText="1"/>
    </xf>
    <xf numFmtId="49" fontId="84" fillId="0" borderId="3" xfId="0" applyNumberFormat="1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3" xfId="0" quotePrefix="1" applyFont="1" applyBorder="1" applyAlignment="1">
      <alignment horizontal="center" vertical="center"/>
    </xf>
    <xf numFmtId="3" fontId="83" fillId="0" borderId="3" xfId="0" quotePrefix="1" applyNumberFormat="1" applyFont="1" applyBorder="1" applyAlignment="1">
      <alignment horizontal="center" vertical="center" wrapText="1"/>
    </xf>
    <xf numFmtId="170" fontId="83" fillId="0" borderId="3" xfId="0" quotePrefix="1" applyNumberFormat="1" applyFont="1" applyBorder="1" applyAlignment="1">
      <alignment horizontal="center" vertical="center" wrapText="1"/>
    </xf>
    <xf numFmtId="49" fontId="83" fillId="0" borderId="3" xfId="0" quotePrefix="1" applyNumberFormat="1" applyFont="1" applyBorder="1" applyAlignment="1">
      <alignment horizontal="left" vertical="center" wrapText="1"/>
    </xf>
    <xf numFmtId="49" fontId="81" fillId="0" borderId="3" xfId="0" quotePrefix="1" applyNumberFormat="1" applyFont="1" applyBorder="1" applyAlignment="1">
      <alignment horizontal="left" vertical="center" wrapText="1"/>
    </xf>
    <xf numFmtId="0" fontId="81" fillId="0" borderId="19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left" vertical="center" wrapText="1" shrinkToFit="1"/>
    </xf>
    <xf numFmtId="0" fontId="81" fillId="0" borderId="3" xfId="0" applyFont="1" applyBorder="1" applyAlignment="1" applyProtection="1">
      <alignment horizontal="left" vertical="center" wrapText="1"/>
      <protection locked="0"/>
    </xf>
    <xf numFmtId="0" fontId="81" fillId="0" borderId="3" xfId="0" applyFont="1" applyBorder="1" applyAlignment="1">
      <alignment horizontal="center"/>
    </xf>
    <xf numFmtId="0" fontId="81" fillId="0" borderId="3" xfId="0" quotePrefix="1" applyFont="1" applyBorder="1" applyAlignment="1">
      <alignment horizontal="center"/>
    </xf>
    <xf numFmtId="0" fontId="83" fillId="0" borderId="3" xfId="0" quotePrefix="1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3" fontId="70" fillId="0" borderId="3" xfId="0" applyNumberFormat="1" applyFont="1" applyBorder="1" applyAlignment="1">
      <alignment horizontal="center" vertical="center" wrapText="1"/>
    </xf>
    <xf numFmtId="170" fontId="70" fillId="0" borderId="3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left" vertical="center" wrapText="1"/>
    </xf>
    <xf numFmtId="0" fontId="73" fillId="0" borderId="3" xfId="0" applyFont="1" applyBorder="1" applyAlignment="1" applyProtection="1">
      <alignment horizontal="left" vertical="center" wrapText="1"/>
      <protection locked="0"/>
    </xf>
    <xf numFmtId="0" fontId="70" fillId="0" borderId="3" xfId="0" applyFont="1" applyBorder="1" applyAlignment="1" applyProtection="1">
      <alignment horizontal="left" vertical="center" wrapText="1"/>
      <protection locked="0"/>
    </xf>
    <xf numFmtId="4" fontId="70" fillId="0" borderId="3" xfId="0" applyNumberFormat="1" applyFont="1" applyBorder="1" applyAlignment="1">
      <alignment horizontal="center" vertical="center" wrapText="1"/>
    </xf>
    <xf numFmtId="0" fontId="70" fillId="0" borderId="3" xfId="0" applyFont="1" applyBorder="1" applyAlignment="1">
      <alignment horizontal="left" vertical="center" wrapText="1"/>
    </xf>
    <xf numFmtId="179" fontId="70" fillId="0" borderId="3" xfId="0" applyNumberFormat="1" applyFont="1" applyBorder="1" applyAlignment="1">
      <alignment horizontal="center" vertical="center" wrapText="1"/>
    </xf>
    <xf numFmtId="178" fontId="70" fillId="0" borderId="3" xfId="0" applyNumberFormat="1" applyFont="1" applyBorder="1" applyAlignment="1">
      <alignment horizontal="center" vertical="center" wrapText="1"/>
    </xf>
    <xf numFmtId="0" fontId="70" fillId="0" borderId="3" xfId="245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8" xfId="0" applyFont="1" applyBorder="1" applyAlignment="1">
      <alignment horizontal="left" vertical="center" wrapText="1"/>
    </xf>
    <xf numFmtId="0" fontId="70" fillId="29" borderId="18" xfId="0" applyFont="1" applyFill="1" applyBorder="1" applyAlignment="1">
      <alignment horizontal="left" vertical="center" wrapText="1"/>
    </xf>
    <xf numFmtId="0" fontId="74" fillId="29" borderId="17" xfId="0" applyFont="1" applyFill="1" applyBorder="1" applyAlignment="1">
      <alignment horizontal="left" vertical="center" wrapText="1"/>
    </xf>
    <xf numFmtId="0" fontId="70" fillId="29" borderId="0" xfId="0" applyFont="1" applyFill="1" applyAlignment="1">
      <alignment horizontal="center" vertical="center"/>
    </xf>
    <xf numFmtId="0" fontId="73" fillId="0" borderId="3" xfId="237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3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0" fillId="0" borderId="3" xfId="245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7" xfId="0" applyFont="1" applyBorder="1" applyAlignment="1">
      <alignment horizontal="left" vertical="center" wrapText="1"/>
    </xf>
    <xf numFmtId="0" fontId="70" fillId="29" borderId="17" xfId="0" applyFont="1" applyFill="1" applyBorder="1" applyAlignment="1">
      <alignment horizontal="left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83" fillId="0" borderId="14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81" fillId="0" borderId="3" xfId="0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8" fillId="0" borderId="14" xfId="245" applyFont="1" applyBorder="1" applyAlignment="1">
      <alignment horizontal="center" vertical="center" wrapText="1"/>
    </xf>
    <xf numFmtId="0" fontId="68" fillId="0" borderId="18" xfId="245" applyFont="1" applyBorder="1" applyAlignment="1">
      <alignment horizontal="center" vertical="center" wrapText="1"/>
    </xf>
    <xf numFmtId="0" fontId="68" fillId="0" borderId="17" xfId="245" applyFont="1" applyBorder="1" applyAlignment="1">
      <alignment horizontal="center" vertical="center" wrapText="1"/>
    </xf>
    <xf numFmtId="0" fontId="68" fillId="0" borderId="0" xfId="245" applyFont="1" applyAlignment="1">
      <alignment horizontal="center" vertical="center"/>
    </xf>
    <xf numFmtId="0" fontId="65" fillId="0" borderId="3" xfId="245" applyFont="1" applyBorder="1" applyAlignment="1">
      <alignment horizontal="center" vertical="center"/>
    </xf>
    <xf numFmtId="0" fontId="65" fillId="0" borderId="3" xfId="245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4" fillId="0" borderId="14" xfId="245" applyFont="1" applyBorder="1" applyAlignment="1">
      <alignment horizontal="center" vertical="center" wrapText="1"/>
    </xf>
    <xf numFmtId="0" fontId="4" fillId="0" borderId="18" xfId="245" applyFont="1" applyBorder="1" applyAlignment="1">
      <alignment horizontal="center" vertical="center" wrapText="1"/>
    </xf>
    <xf numFmtId="0" fontId="4" fillId="0" borderId="17" xfId="245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3" xfId="245" applyFont="1" applyBorder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8" fillId="0" borderId="0" xfId="237" applyFont="1" applyAlignment="1">
      <alignment horizontal="center" vertical="center" wrapText="1"/>
    </xf>
    <xf numFmtId="0" fontId="65" fillId="0" borderId="13" xfId="237" applyFont="1" applyBorder="1" applyAlignment="1">
      <alignment horizontal="center" vertical="center" wrapText="1"/>
    </xf>
    <xf numFmtId="0" fontId="65" fillId="0" borderId="21" xfId="237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8" fillId="0" borderId="14" xfId="237" applyFont="1" applyBorder="1" applyAlignment="1">
      <alignment horizontal="center" vertical="center"/>
    </xf>
    <xf numFmtId="0" fontId="68" fillId="0" borderId="18" xfId="237" applyFont="1" applyBorder="1" applyAlignment="1">
      <alignment horizontal="center" vertical="center"/>
    </xf>
    <xf numFmtId="0" fontId="68" fillId="0" borderId="17" xfId="237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8" fillId="29" borderId="0" xfId="0" applyFont="1" applyFill="1" applyAlignment="1">
      <alignment horizontal="center" vertical="center"/>
    </xf>
    <xf numFmtId="0" fontId="65" fillId="29" borderId="18" xfId="0" applyFont="1" applyFill="1" applyBorder="1" applyAlignment="1">
      <alignment horizontal="center" vertical="center" wrapText="1"/>
    </xf>
    <xf numFmtId="49" fontId="65" fillId="0" borderId="3" xfId="0" applyNumberFormat="1" applyFont="1" applyBorder="1" applyAlignment="1">
      <alignment horizontal="left" vertical="center" wrapText="1"/>
    </xf>
    <xf numFmtId="49" fontId="65" fillId="0" borderId="14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49" fontId="65" fillId="0" borderId="16" xfId="0" applyNumberFormat="1" applyFont="1" applyBorder="1" applyAlignment="1">
      <alignment horizontal="right" vertical="center" wrapText="1"/>
    </xf>
    <xf numFmtId="49" fontId="65" fillId="0" borderId="0" xfId="0" applyNumberFormat="1" applyFont="1" applyAlignment="1">
      <alignment horizontal="right" vertical="center" wrapText="1"/>
    </xf>
    <xf numFmtId="170" fontId="65" fillId="0" borderId="3" xfId="0" applyNumberFormat="1" applyFont="1" applyBorder="1" applyAlignment="1">
      <alignment horizontal="center" vertical="center" wrapText="1"/>
    </xf>
    <xf numFmtId="1" fontId="65" fillId="0" borderId="3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center" vertical="center" wrapText="1"/>
    </xf>
    <xf numFmtId="3" fontId="65" fillId="0" borderId="17" xfId="0" applyNumberFormat="1" applyFont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8" xfId="0" applyFont="1" applyFill="1" applyBorder="1" applyAlignment="1">
      <alignment horizontal="center" vertical="center"/>
    </xf>
    <xf numFmtId="0" fontId="65" fillId="29" borderId="17" xfId="0" applyFont="1" applyFill="1" applyBorder="1" applyAlignment="1">
      <alignment horizontal="center" vertical="center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5" fillId="29" borderId="3" xfId="0" applyFont="1" applyFill="1" applyBorder="1" applyAlignment="1">
      <alignment horizontal="left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justify" vertical="center" wrapText="1" shrinkToFit="1"/>
    </xf>
    <xf numFmtId="0" fontId="65" fillId="29" borderId="0" xfId="0" applyFont="1" applyFill="1" applyAlignment="1">
      <alignment horizontal="right" vertical="center" wrapText="1"/>
    </xf>
    <xf numFmtId="0" fontId="65" fillId="29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2" fontId="65" fillId="0" borderId="13" xfId="0" applyNumberFormat="1" applyFont="1" applyBorder="1" applyAlignment="1">
      <alignment horizontal="center" vertical="center" wrapText="1"/>
    </xf>
    <xf numFmtId="2" fontId="65" fillId="0" borderId="21" xfId="0" applyNumberFormat="1" applyFont="1" applyBorder="1" applyAlignment="1">
      <alignment horizontal="center" vertical="center" wrapText="1"/>
    </xf>
    <xf numFmtId="3" fontId="65" fillId="0" borderId="3" xfId="0" applyNumberFormat="1" applyFont="1" applyBorder="1" applyAlignment="1">
      <alignment horizontal="center" vertical="center" wrapText="1" shrinkToFit="1"/>
    </xf>
    <xf numFmtId="0" fontId="65" fillId="0" borderId="3" xfId="0" applyFont="1" applyBorder="1" applyAlignment="1">
      <alignment horizontal="left" vertical="center" wrapText="1" shrinkToFit="1"/>
    </xf>
    <xf numFmtId="0" fontId="70" fillId="0" borderId="14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3" fontId="65" fillId="0" borderId="14" xfId="0" applyNumberFormat="1" applyFont="1" applyBorder="1" applyAlignment="1">
      <alignment horizontal="center" vertical="center" wrapText="1" shrinkToFit="1"/>
    </xf>
    <xf numFmtId="3" fontId="65" fillId="0" borderId="17" xfId="0" applyNumberFormat="1" applyFont="1" applyBorder="1" applyAlignment="1">
      <alignment horizontal="center" vertical="center" wrapText="1" shrinkToFit="1"/>
    </xf>
    <xf numFmtId="2" fontId="65" fillId="0" borderId="14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65" fillId="0" borderId="17" xfId="0" applyNumberFormat="1" applyFont="1" applyBorder="1" applyAlignment="1">
      <alignment horizontal="center" vertical="center" wrapText="1"/>
    </xf>
    <xf numFmtId="14" fontId="65" fillId="0" borderId="14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22" xfId="0" applyFont="1" applyBorder="1" applyAlignment="1">
      <alignment horizontal="center" vertical="center" wrapText="1" shrinkToFit="1"/>
    </xf>
    <xf numFmtId="0" fontId="65" fillId="0" borderId="21" xfId="0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 shrinkToFi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23" xfId="0" applyFont="1" applyBorder="1" applyAlignment="1">
      <alignment horizontal="center" vertical="center" wrapText="1" shrinkToFit="1"/>
    </xf>
    <xf numFmtId="0" fontId="70" fillId="0" borderId="27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 vertical="center" wrapText="1" shrinkToFit="1"/>
    </xf>
    <xf numFmtId="0" fontId="70" fillId="0" borderId="28" xfId="0" applyFont="1" applyBorder="1" applyAlignment="1">
      <alignment horizontal="center" vertical="center" wrapText="1" shrinkToFit="1"/>
    </xf>
    <xf numFmtId="0" fontId="70" fillId="0" borderId="26" xfId="0" applyFont="1" applyBorder="1" applyAlignment="1">
      <alignment horizontal="center" vertical="center" wrapText="1" shrinkToFit="1"/>
    </xf>
    <xf numFmtId="0" fontId="70" fillId="0" borderId="15" xfId="0" applyFont="1" applyBorder="1" applyAlignment="1">
      <alignment horizontal="center" vertical="center" wrapText="1" shrinkToFit="1"/>
    </xf>
    <xf numFmtId="0" fontId="70" fillId="0" borderId="24" xfId="0" applyFont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 wrapText="1"/>
    </xf>
    <xf numFmtId="177" fontId="65" fillId="0" borderId="3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left" vertical="center" wrapText="1" shrinkToFit="1"/>
    </xf>
    <xf numFmtId="0" fontId="65" fillId="0" borderId="18" xfId="0" applyFont="1" applyBorder="1" applyAlignment="1">
      <alignment horizontal="left" vertical="center" wrapText="1" shrinkToFit="1"/>
    </xf>
    <xf numFmtId="0" fontId="65" fillId="0" borderId="17" xfId="0" applyFont="1" applyBorder="1" applyAlignment="1">
      <alignment horizontal="left" vertical="center" wrapText="1" shrinkToFi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 shrinkToFit="1"/>
    </xf>
    <xf numFmtId="3" fontId="65" fillId="0" borderId="18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 shrinkToFit="1"/>
    </xf>
    <xf numFmtId="0" fontId="65" fillId="0" borderId="17" xfId="0" applyFont="1" applyBorder="1" applyAlignment="1">
      <alignment horizontal="center" vertical="center" wrapText="1" shrinkToFit="1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14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5" xfId="0" applyFont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169" fontId="73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0" borderId="14" xfId="0" applyFont="1" applyBorder="1" applyAlignment="1">
      <alignment horizontal="left"/>
    </xf>
    <xf numFmtId="0" fontId="65" fillId="0" borderId="18" xfId="0" applyFont="1" applyBorder="1" applyAlignment="1">
      <alignment horizontal="left"/>
    </xf>
    <xf numFmtId="0" fontId="65" fillId="0" borderId="17" xfId="0" applyFont="1" applyBorder="1" applyAlignment="1">
      <alignment horizontal="left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188</xdr:row>
      <xdr:rowOff>0</xdr:rowOff>
    </xdr:from>
    <xdr:to>
      <xdr:col>0</xdr:col>
      <xdr:colOff>4838700</xdr:colOff>
      <xdr:row>188</xdr:row>
      <xdr:rowOff>0</xdr:rowOff>
    </xdr:to>
    <xdr:sp macro="" textlink="">
      <xdr:nvSpPr>
        <xdr:cNvPr id="31076" name="Line 1">
          <a:extLst>
            <a:ext uri="{FF2B5EF4-FFF2-40B4-BE49-F238E27FC236}">
              <a16:creationId xmlns:a16="http://schemas.microsoft.com/office/drawing/2014/main" id="{00000000-0008-0000-0100-000064790000}"/>
            </a:ext>
          </a:extLst>
        </xdr:cNvPr>
        <xdr:cNvSpPr>
          <a:spLocks noChangeShapeType="1"/>
        </xdr:cNvSpPr>
      </xdr:nvSpPr>
      <xdr:spPr bwMode="auto">
        <a:xfrm>
          <a:off x="1295400" y="59622267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188</xdr:row>
      <xdr:rowOff>0</xdr:rowOff>
    </xdr:from>
    <xdr:to>
      <xdr:col>4</xdr:col>
      <xdr:colOff>552450</xdr:colOff>
      <xdr:row>188</xdr:row>
      <xdr:rowOff>0</xdr:rowOff>
    </xdr:to>
    <xdr:sp macro="" textlink="">
      <xdr:nvSpPr>
        <xdr:cNvPr id="31077" name="Line 2">
          <a:extLst>
            <a:ext uri="{FF2B5EF4-FFF2-40B4-BE49-F238E27FC236}">
              <a16:creationId xmlns:a16="http://schemas.microsoft.com/office/drawing/2014/main" id="{00000000-0008-0000-0100-000065790000}"/>
            </a:ext>
          </a:extLst>
        </xdr:cNvPr>
        <xdr:cNvSpPr>
          <a:spLocks noChangeShapeType="1"/>
        </xdr:cNvSpPr>
      </xdr:nvSpPr>
      <xdr:spPr bwMode="auto">
        <a:xfrm>
          <a:off x="5852583" y="59622267"/>
          <a:ext cx="268393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188</xdr:row>
      <xdr:rowOff>0</xdr:rowOff>
    </xdr:from>
    <xdr:to>
      <xdr:col>7</xdr:col>
      <xdr:colOff>1619250</xdr:colOff>
      <xdr:row>188</xdr:row>
      <xdr:rowOff>0</xdr:rowOff>
    </xdr:to>
    <xdr:sp macro="" textlink="">
      <xdr:nvSpPr>
        <xdr:cNvPr id="31078" name="Line 3">
          <a:extLst>
            <a:ext uri="{FF2B5EF4-FFF2-40B4-BE49-F238E27FC236}">
              <a16:creationId xmlns:a16="http://schemas.microsoft.com/office/drawing/2014/main" id="{00000000-0008-0000-0100-000066790000}"/>
            </a:ext>
          </a:extLst>
        </xdr:cNvPr>
        <xdr:cNvSpPr>
          <a:spLocks noChangeShapeType="1"/>
        </xdr:cNvSpPr>
      </xdr:nvSpPr>
      <xdr:spPr bwMode="auto">
        <a:xfrm>
          <a:off x="9762067" y="59622267"/>
          <a:ext cx="267758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>
          <a:extLst>
            <a:ext uri="{FF2B5EF4-FFF2-40B4-BE49-F238E27FC236}">
              <a16:creationId xmlns:a16="http://schemas.microsoft.com/office/drawing/2014/main" id="{00000000-0008-0000-0200-000038810000}"/>
            </a:ext>
          </a:extLst>
        </xdr:cNvPr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UA"/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>
          <a:extLst>
            <a:ext uri="{FF2B5EF4-FFF2-40B4-BE49-F238E27FC236}">
              <a16:creationId xmlns:a16="http://schemas.microsoft.com/office/drawing/2014/main" id="{00000000-0008-0000-0200-000039810000}"/>
            </a:ext>
          </a:extLst>
        </xdr:cNvPr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>
          <a:extLst>
            <a:ext uri="{FF2B5EF4-FFF2-40B4-BE49-F238E27FC236}">
              <a16:creationId xmlns:a16="http://schemas.microsoft.com/office/drawing/2014/main" id="{00000000-0008-0000-0200-00003A810000}"/>
            </a:ext>
          </a:extLst>
        </xdr:cNvPr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93</xdr:row>
      <xdr:rowOff>0</xdr:rowOff>
    </xdr:from>
    <xdr:to>
      <xdr:col>0</xdr:col>
      <xdr:colOff>3971925</xdr:colOff>
      <xdr:row>93</xdr:row>
      <xdr:rowOff>0</xdr:rowOff>
    </xdr:to>
    <xdr:sp macro="" textlink="">
      <xdr:nvSpPr>
        <xdr:cNvPr id="34104" name="Line 1">
          <a:extLst>
            <a:ext uri="{FF2B5EF4-FFF2-40B4-BE49-F238E27FC236}">
              <a16:creationId xmlns:a16="http://schemas.microsoft.com/office/drawing/2014/main" id="{00000000-0008-0000-0300-000038850000}"/>
            </a:ext>
          </a:extLst>
        </xdr:cNvPr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723900</xdr:colOff>
      <xdr:row>93</xdr:row>
      <xdr:rowOff>0</xdr:rowOff>
    </xdr:to>
    <xdr:sp macro="" textlink="">
      <xdr:nvSpPr>
        <xdr:cNvPr id="34105" name="Line 2">
          <a:extLst>
            <a:ext uri="{FF2B5EF4-FFF2-40B4-BE49-F238E27FC236}">
              <a16:creationId xmlns:a16="http://schemas.microsoft.com/office/drawing/2014/main" id="{00000000-0008-0000-0300-000039850000}"/>
            </a:ext>
          </a:extLst>
        </xdr:cNvPr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93</xdr:row>
      <xdr:rowOff>0</xdr:rowOff>
    </xdr:from>
    <xdr:to>
      <xdr:col>7</xdr:col>
      <xdr:colOff>38100</xdr:colOff>
      <xdr:row>93</xdr:row>
      <xdr:rowOff>0</xdr:rowOff>
    </xdr:to>
    <xdr:sp macro="" textlink="">
      <xdr:nvSpPr>
        <xdr:cNvPr id="34106" name="Line 3">
          <a:extLst>
            <a:ext uri="{FF2B5EF4-FFF2-40B4-BE49-F238E27FC236}">
              <a16:creationId xmlns:a16="http://schemas.microsoft.com/office/drawing/2014/main" id="{00000000-0008-0000-0300-00003A850000}"/>
            </a:ext>
          </a:extLst>
        </xdr:cNvPr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>
          <a:extLst>
            <a:ext uri="{FF2B5EF4-FFF2-40B4-BE49-F238E27FC236}">
              <a16:creationId xmlns:a16="http://schemas.microsoft.com/office/drawing/2014/main" id="{00000000-0008-0000-0400-000038890000}"/>
            </a:ext>
          </a:extLst>
        </xdr:cNvPr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UA"/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>
          <a:extLst>
            <a:ext uri="{FF2B5EF4-FFF2-40B4-BE49-F238E27FC236}">
              <a16:creationId xmlns:a16="http://schemas.microsoft.com/office/drawing/2014/main" id="{00000000-0008-0000-0400-000039890000}"/>
            </a:ext>
          </a:extLst>
        </xdr:cNvPr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>
          <a:extLst>
            <a:ext uri="{FF2B5EF4-FFF2-40B4-BE49-F238E27FC236}">
              <a16:creationId xmlns:a16="http://schemas.microsoft.com/office/drawing/2014/main" id="{00000000-0008-0000-0500-0000388D0000}"/>
            </a:ext>
          </a:extLst>
        </xdr:cNvPr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>
          <a:extLst>
            <a:ext uri="{FF2B5EF4-FFF2-40B4-BE49-F238E27FC236}">
              <a16:creationId xmlns:a16="http://schemas.microsoft.com/office/drawing/2014/main" id="{00000000-0008-0000-0500-0000398D0000}"/>
            </a:ext>
          </a:extLst>
        </xdr:cNvPr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>
          <a:extLst>
            <a:ext uri="{FF2B5EF4-FFF2-40B4-BE49-F238E27FC236}">
              <a16:creationId xmlns:a16="http://schemas.microsoft.com/office/drawing/2014/main" id="{00000000-0008-0000-0500-00003A8D0000}"/>
            </a:ext>
          </a:extLst>
        </xdr:cNvPr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>
          <a:extLst>
            <a:ext uri="{FF2B5EF4-FFF2-40B4-BE49-F238E27FC236}">
              <a16:creationId xmlns:a16="http://schemas.microsoft.com/office/drawing/2014/main" id="{00000000-0008-0000-0700-000038910000}"/>
            </a:ext>
          </a:extLst>
        </xdr:cNvPr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>
          <a:extLst>
            <a:ext uri="{FF2B5EF4-FFF2-40B4-BE49-F238E27FC236}">
              <a16:creationId xmlns:a16="http://schemas.microsoft.com/office/drawing/2014/main" id="{00000000-0008-0000-0700-000039910000}"/>
            </a:ext>
          </a:extLst>
        </xdr:cNvPr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>
          <a:extLst>
            <a:ext uri="{FF2B5EF4-FFF2-40B4-BE49-F238E27FC236}">
              <a16:creationId xmlns:a16="http://schemas.microsoft.com/office/drawing/2014/main" id="{00000000-0008-0000-0700-00003A910000}"/>
            </a:ext>
          </a:extLst>
        </xdr:cNvPr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tabSelected="1" view="pageBreakPreview" zoomScale="60" zoomScaleNormal="60" workbookViewId="0">
      <selection activeCell="B17" sqref="B17:D17"/>
    </sheetView>
  </sheetViews>
  <sheetFormatPr defaultColWidth="9.1796875" defaultRowHeight="23"/>
  <cols>
    <col min="1" max="1" width="72.54296875" style="11" customWidth="1"/>
    <col min="2" max="2" width="17.1796875" style="37" customWidth="1"/>
    <col min="3" max="4" width="25.26953125" style="100" customWidth="1"/>
    <col min="5" max="5" width="23.453125" style="100" customWidth="1"/>
    <col min="6" max="6" width="23.81640625" style="100" customWidth="1"/>
    <col min="7" max="7" width="22.453125" style="37" customWidth="1"/>
    <col min="8" max="8" width="10" style="11" customWidth="1"/>
    <col min="9" max="9" width="9.54296875" style="11" customWidth="1"/>
    <col min="10" max="16384" width="9.1796875" style="11"/>
  </cols>
  <sheetData>
    <row r="1" spans="1:11" ht="23.25" customHeight="1">
      <c r="B1" s="39"/>
      <c r="D1" s="72"/>
      <c r="E1" s="72" t="s">
        <v>239</v>
      </c>
      <c r="F1" s="72"/>
      <c r="G1" s="11"/>
      <c r="H1" s="40"/>
      <c r="I1" s="40"/>
      <c r="J1" s="40"/>
      <c r="K1" s="40"/>
    </row>
    <row r="2" spans="1:11" ht="18.75" customHeight="1">
      <c r="A2" s="41"/>
      <c r="D2" s="73"/>
      <c r="E2" s="236" t="s">
        <v>356</v>
      </c>
      <c r="F2" s="236"/>
      <c r="G2" s="236"/>
      <c r="H2" s="40"/>
      <c r="I2" s="40"/>
      <c r="J2" s="40"/>
      <c r="K2" s="40"/>
    </row>
    <row r="3" spans="1:11" ht="18.75" customHeight="1">
      <c r="A3" s="37"/>
      <c r="C3" s="73"/>
      <c r="D3" s="73"/>
      <c r="E3" s="236"/>
      <c r="F3" s="236"/>
      <c r="G3" s="236"/>
      <c r="H3" s="40"/>
      <c r="I3" s="40"/>
      <c r="J3" s="40"/>
      <c r="K3" s="40"/>
    </row>
    <row r="4" spans="1:11" ht="18.75" customHeight="1">
      <c r="A4" s="37"/>
      <c r="C4" s="73"/>
      <c r="D4" s="73"/>
      <c r="E4" s="236"/>
      <c r="F4" s="236"/>
      <c r="G4" s="236"/>
      <c r="H4" s="40"/>
      <c r="I4" s="40"/>
      <c r="J4" s="40"/>
      <c r="K4" s="40"/>
    </row>
    <row r="5" spans="1:11" ht="71.25" customHeight="1">
      <c r="E5" s="237"/>
      <c r="F5" s="237"/>
      <c r="G5" s="237"/>
    </row>
    <row r="6" spans="1:11" ht="25.5" customHeight="1">
      <c r="A6" s="44"/>
      <c r="B6" s="223"/>
      <c r="C6" s="223"/>
      <c r="D6" s="223"/>
      <c r="E6" s="74"/>
      <c r="F6" s="102" t="s">
        <v>138</v>
      </c>
      <c r="G6" s="38" t="s">
        <v>260</v>
      </c>
    </row>
    <row r="7" spans="1:11" ht="25.5" customHeight="1">
      <c r="A7" s="45" t="s">
        <v>14</v>
      </c>
      <c r="B7" s="223" t="s">
        <v>545</v>
      </c>
      <c r="C7" s="223"/>
      <c r="D7" s="223"/>
      <c r="E7" s="75"/>
      <c r="F7" s="103" t="s">
        <v>131</v>
      </c>
      <c r="G7" s="67" t="s">
        <v>546</v>
      </c>
    </row>
    <row r="8" spans="1:11" ht="25.5" customHeight="1">
      <c r="A8" s="44" t="s">
        <v>15</v>
      </c>
      <c r="B8" s="223" t="s">
        <v>389</v>
      </c>
      <c r="C8" s="223"/>
      <c r="D8" s="223"/>
      <c r="E8" s="74"/>
      <c r="F8" s="103" t="s">
        <v>130</v>
      </c>
      <c r="G8" s="38"/>
    </row>
    <row r="9" spans="1:11" ht="25.5" customHeight="1">
      <c r="A9" s="44" t="s">
        <v>19</v>
      </c>
      <c r="B9" s="223"/>
      <c r="C9" s="223"/>
      <c r="D9" s="223"/>
      <c r="E9" s="74"/>
      <c r="F9" s="103" t="s">
        <v>129</v>
      </c>
      <c r="G9" s="38">
        <v>1210136600</v>
      </c>
    </row>
    <row r="10" spans="1:11" ht="25.5" customHeight="1">
      <c r="A10" s="45" t="s">
        <v>380</v>
      </c>
      <c r="B10" s="223" t="s">
        <v>390</v>
      </c>
      <c r="C10" s="223"/>
      <c r="D10" s="223"/>
      <c r="E10" s="243"/>
      <c r="F10" s="103" t="s">
        <v>9</v>
      </c>
      <c r="G10" s="38">
        <v>1009</v>
      </c>
    </row>
    <row r="11" spans="1:11" ht="25.5" customHeight="1">
      <c r="A11" s="45" t="s">
        <v>17</v>
      </c>
      <c r="B11" s="223"/>
      <c r="C11" s="223"/>
      <c r="D11" s="223"/>
      <c r="E11" s="75"/>
      <c r="F11" s="103" t="s">
        <v>8</v>
      </c>
      <c r="G11" s="38">
        <v>90219</v>
      </c>
    </row>
    <row r="12" spans="1:11" ht="48.75" customHeight="1">
      <c r="A12" s="45" t="s">
        <v>16</v>
      </c>
      <c r="B12" s="223" t="s">
        <v>559</v>
      </c>
      <c r="C12" s="223"/>
      <c r="D12" s="223"/>
      <c r="E12" s="243"/>
      <c r="F12" s="103" t="s">
        <v>10</v>
      </c>
      <c r="G12" s="38" t="s">
        <v>558</v>
      </c>
    </row>
    <row r="13" spans="1:11" ht="25.5" customHeight="1">
      <c r="A13" s="45" t="s">
        <v>327</v>
      </c>
      <c r="B13" s="223" t="s">
        <v>391</v>
      </c>
      <c r="C13" s="223"/>
      <c r="D13" s="223"/>
      <c r="E13" s="224" t="s">
        <v>193</v>
      </c>
      <c r="F13" s="244"/>
      <c r="G13" s="46"/>
    </row>
    <row r="14" spans="1:11" ht="25.5" customHeight="1">
      <c r="A14" s="45" t="s">
        <v>20</v>
      </c>
      <c r="B14" s="223" t="s">
        <v>389</v>
      </c>
      <c r="C14" s="223"/>
      <c r="D14" s="223"/>
      <c r="E14" s="224" t="s">
        <v>194</v>
      </c>
      <c r="F14" s="225"/>
      <c r="G14" s="46"/>
    </row>
    <row r="15" spans="1:11" ht="25.5" customHeight="1">
      <c r="A15" s="45" t="s">
        <v>105</v>
      </c>
      <c r="B15" s="223">
        <v>135</v>
      </c>
      <c r="C15" s="223"/>
      <c r="D15" s="223"/>
      <c r="E15" s="76"/>
      <c r="F15" s="76"/>
      <c r="G15" s="47"/>
    </row>
    <row r="16" spans="1:11" ht="25.5" customHeight="1">
      <c r="A16" s="44" t="s">
        <v>11</v>
      </c>
      <c r="B16" s="223" t="s">
        <v>392</v>
      </c>
      <c r="C16" s="223"/>
      <c r="D16" s="223"/>
      <c r="E16" s="77"/>
      <c r="F16" s="77"/>
      <c r="G16" s="48"/>
    </row>
    <row r="17" spans="1:17" ht="25.5" customHeight="1">
      <c r="A17" s="45" t="s">
        <v>12</v>
      </c>
      <c r="B17" s="223" t="s">
        <v>393</v>
      </c>
      <c r="C17" s="223"/>
      <c r="D17" s="223"/>
      <c r="E17" s="76"/>
      <c r="F17" s="76"/>
      <c r="G17" s="47"/>
    </row>
    <row r="18" spans="1:17" ht="25.5" customHeight="1">
      <c r="A18" s="44" t="s">
        <v>13</v>
      </c>
      <c r="B18" s="223" t="s">
        <v>560</v>
      </c>
      <c r="C18" s="223"/>
      <c r="D18" s="223"/>
      <c r="E18" s="77"/>
      <c r="F18" s="77"/>
      <c r="G18" s="48"/>
    </row>
    <row r="19" spans="1:17" ht="13.5" customHeight="1">
      <c r="A19" s="49"/>
      <c r="B19" s="11"/>
      <c r="C19" s="72"/>
      <c r="D19" s="72"/>
      <c r="E19" s="72"/>
      <c r="F19" s="72"/>
      <c r="G19" s="11"/>
    </row>
    <row r="20" spans="1:17" ht="46.5" customHeight="1">
      <c r="A20" s="221" t="s">
        <v>240</v>
      </c>
      <c r="B20" s="221"/>
      <c r="C20" s="221"/>
      <c r="D20" s="221"/>
      <c r="E20" s="221"/>
      <c r="F20" s="221"/>
      <c r="G20" s="221"/>
    </row>
    <row r="21" spans="1:17" ht="27.5">
      <c r="A21" s="221" t="s">
        <v>379</v>
      </c>
      <c r="B21" s="221"/>
      <c r="C21" s="221"/>
      <c r="D21" s="221"/>
      <c r="E21" s="221"/>
      <c r="F21" s="221"/>
      <c r="G21" s="221"/>
    </row>
    <row r="22" spans="1:17">
      <c r="A22" s="240" t="s">
        <v>612</v>
      </c>
      <c r="B22" s="240"/>
      <c r="C22" s="240"/>
      <c r="D22" s="240"/>
      <c r="E22" s="240"/>
      <c r="F22" s="240"/>
      <c r="G22" s="240"/>
    </row>
    <row r="23" spans="1:17">
      <c r="A23" s="222" t="s">
        <v>354</v>
      </c>
      <c r="B23" s="222"/>
      <c r="C23" s="222"/>
      <c r="D23" s="222"/>
      <c r="E23" s="222"/>
      <c r="F23" s="222"/>
      <c r="G23" s="222"/>
    </row>
    <row r="24" spans="1:17" ht="9" customHeight="1">
      <c r="A24" s="50"/>
      <c r="B24" s="50"/>
      <c r="C24" s="78"/>
      <c r="D24" s="78"/>
      <c r="E24" s="78"/>
      <c r="F24" s="78"/>
      <c r="G24" s="50"/>
    </row>
    <row r="25" spans="1:17">
      <c r="A25" s="240" t="s">
        <v>206</v>
      </c>
      <c r="B25" s="240"/>
      <c r="C25" s="240"/>
      <c r="D25" s="240"/>
      <c r="E25" s="240"/>
      <c r="F25" s="240"/>
      <c r="G25" s="240"/>
    </row>
    <row r="26" spans="1:17" ht="12" customHeight="1">
      <c r="B26" s="49"/>
      <c r="C26" s="79"/>
      <c r="D26" s="79"/>
      <c r="E26" s="79"/>
      <c r="F26" s="79"/>
      <c r="G26" s="49"/>
    </row>
    <row r="27" spans="1:17" ht="43.5" customHeight="1">
      <c r="A27" s="242" t="s">
        <v>287</v>
      </c>
      <c r="B27" s="239" t="s">
        <v>18</v>
      </c>
      <c r="C27" s="233" t="s">
        <v>355</v>
      </c>
      <c r="D27" s="241" t="s">
        <v>353</v>
      </c>
      <c r="E27" s="241"/>
      <c r="F27" s="241"/>
      <c r="G27" s="241"/>
      <c r="Q27" s="11" t="s">
        <v>372</v>
      </c>
    </row>
    <row r="28" spans="1:17" ht="44.25" customHeight="1">
      <c r="A28" s="242"/>
      <c r="B28" s="239"/>
      <c r="C28" s="234"/>
      <c r="D28" s="210" t="s">
        <v>265</v>
      </c>
      <c r="E28" s="210" t="s">
        <v>248</v>
      </c>
      <c r="F28" s="210" t="s">
        <v>275</v>
      </c>
      <c r="G28" s="210" t="s">
        <v>276</v>
      </c>
    </row>
    <row r="29" spans="1:17" ht="30" customHeight="1">
      <c r="A29" s="38">
        <v>1</v>
      </c>
      <c r="B29" s="121">
        <v>2</v>
      </c>
      <c r="C29" s="38">
        <v>3</v>
      </c>
      <c r="D29" s="38">
        <v>4</v>
      </c>
      <c r="E29" s="121">
        <v>5</v>
      </c>
      <c r="F29" s="38">
        <v>6</v>
      </c>
      <c r="G29" s="121">
        <v>7</v>
      </c>
    </row>
    <row r="30" spans="1:17" ht="25" customHeight="1">
      <c r="A30" s="238" t="s">
        <v>98</v>
      </c>
      <c r="B30" s="238"/>
      <c r="C30" s="238"/>
      <c r="D30" s="238"/>
      <c r="E30" s="238"/>
      <c r="F30" s="238"/>
      <c r="G30" s="238"/>
    </row>
    <row r="31" spans="1:17" ht="46">
      <c r="A31" s="51" t="s">
        <v>207</v>
      </c>
      <c r="B31" s="121">
        <f>'1. Фін результат'!B9</f>
        <v>1000</v>
      </c>
      <c r="C31" s="211">
        <f>'1. Фін результат'!C9</f>
        <v>117190</v>
      </c>
      <c r="D31" s="211">
        <f>'1. Фін результат'!D9</f>
        <v>271261</v>
      </c>
      <c r="E31" s="211">
        <f>'1. Фін результат'!E9</f>
        <v>178802</v>
      </c>
      <c r="F31" s="211">
        <f>E31-D31</f>
        <v>-92459</v>
      </c>
      <c r="G31" s="212">
        <f>E31/D31*100</f>
        <v>65.91511496307983</v>
      </c>
    </row>
    <row r="32" spans="1:17" ht="46">
      <c r="A32" s="51" t="s">
        <v>176</v>
      </c>
      <c r="B32" s="121">
        <f>'1. Фін результат'!B13</f>
        <v>1010</v>
      </c>
      <c r="C32" s="211">
        <f>'1. Фін результат'!C13</f>
        <v>107629</v>
      </c>
      <c r="D32" s="211">
        <f>'1. Фін результат'!D13</f>
        <v>256127</v>
      </c>
      <c r="E32" s="211">
        <f>'1. Фін результат'!E13</f>
        <v>181814</v>
      </c>
      <c r="F32" s="211">
        <f t="shared" ref="F32:F44" si="0">E32-D32</f>
        <v>-74313</v>
      </c>
      <c r="G32" s="212">
        <f t="shared" ref="G32:G44" si="1">E32/D32*100</f>
        <v>70.985878099536563</v>
      </c>
    </row>
    <row r="33" spans="1:7">
      <c r="A33" s="52" t="s">
        <v>266</v>
      </c>
      <c r="B33" s="121">
        <f>'1. Фін результат'!B60</f>
        <v>1020</v>
      </c>
      <c r="C33" s="211">
        <f>C31-C32</f>
        <v>9561</v>
      </c>
      <c r="D33" s="211">
        <f>D31-D32</f>
        <v>15134</v>
      </c>
      <c r="E33" s="211">
        <f>E31-E32</f>
        <v>-3012</v>
      </c>
      <c r="F33" s="211">
        <f t="shared" si="0"/>
        <v>-18146</v>
      </c>
      <c r="G33" s="212">
        <f t="shared" si="1"/>
        <v>-19.90220695123563</v>
      </c>
    </row>
    <row r="34" spans="1:7">
      <c r="A34" s="51" t="s">
        <v>142</v>
      </c>
      <c r="B34" s="121">
        <f>'1. Фін результат'!B72</f>
        <v>1040</v>
      </c>
      <c r="C34" s="211">
        <f>'1. Фін результат'!C72</f>
        <v>8848</v>
      </c>
      <c r="D34" s="211">
        <f>'1. Фін результат'!D72</f>
        <v>10674</v>
      </c>
      <c r="E34" s="211">
        <f>'1. Фін результат'!E72</f>
        <v>11539</v>
      </c>
      <c r="F34" s="211">
        <f t="shared" si="0"/>
        <v>865</v>
      </c>
      <c r="G34" s="212">
        <f t="shared" si="1"/>
        <v>108.10380363500094</v>
      </c>
    </row>
    <row r="35" spans="1:7">
      <c r="A35" s="51" t="s">
        <v>139</v>
      </c>
      <c r="B35" s="121">
        <f>'1. Фін результат'!B102</f>
        <v>1070</v>
      </c>
      <c r="C35" s="211"/>
      <c r="D35" s="211"/>
      <c r="E35" s="211"/>
      <c r="F35" s="211"/>
      <c r="G35" s="212"/>
    </row>
    <row r="36" spans="1:7">
      <c r="A36" s="51" t="s">
        <v>143</v>
      </c>
      <c r="B36" s="121">
        <f>'1. Фін результат'!B166</f>
        <v>1300</v>
      </c>
      <c r="C36" s="211">
        <f>'1. Фін результат'!C166</f>
        <v>1236</v>
      </c>
      <c r="D36" s="211">
        <f>'1. Фін результат'!D166</f>
        <v>-1385</v>
      </c>
      <c r="E36" s="211">
        <f>'1. Фін результат'!E166</f>
        <v>1390</v>
      </c>
      <c r="F36" s="211">
        <f t="shared" si="0"/>
        <v>2775</v>
      </c>
      <c r="G36" s="212">
        <f t="shared" si="1"/>
        <v>-100.36101083032491</v>
      </c>
    </row>
    <row r="37" spans="1:7" ht="45">
      <c r="A37" s="213" t="s">
        <v>4</v>
      </c>
      <c r="B37" s="121">
        <f>'1. Фін результат'!B139</f>
        <v>1100</v>
      </c>
      <c r="C37" s="211">
        <f>'1. Фін результат'!C139</f>
        <v>1949</v>
      </c>
      <c r="D37" s="211">
        <f>'1. Фін результат'!D139</f>
        <v>3075</v>
      </c>
      <c r="E37" s="211">
        <f>'1. Фін результат'!E139</f>
        <v>-13161</v>
      </c>
      <c r="F37" s="211">
        <f t="shared" si="0"/>
        <v>-16236</v>
      </c>
      <c r="G37" s="212">
        <f t="shared" si="1"/>
        <v>-428</v>
      </c>
    </row>
    <row r="38" spans="1:7">
      <c r="A38" s="214" t="s">
        <v>144</v>
      </c>
      <c r="B38" s="121">
        <f>'1. Фін результат'!B177</f>
        <v>1410</v>
      </c>
      <c r="C38" s="211">
        <f>'1. Фін результат'!C177</f>
        <v>5247</v>
      </c>
      <c r="D38" s="211">
        <f>'1. Фін результат'!D177</f>
        <v>11600</v>
      </c>
      <c r="E38" s="211">
        <f>'1. Фін результат'!E177</f>
        <v>-9935</v>
      </c>
      <c r="F38" s="211">
        <f t="shared" si="0"/>
        <v>-21535</v>
      </c>
      <c r="G38" s="212">
        <f t="shared" si="1"/>
        <v>-85.646551724137936</v>
      </c>
    </row>
    <row r="39" spans="1:7">
      <c r="A39" s="215" t="s">
        <v>230</v>
      </c>
      <c r="B39" s="121">
        <f>' 5. Коефіцієнти'!B8</f>
        <v>5010</v>
      </c>
      <c r="C39" s="216">
        <f>C38*100/C31</f>
        <v>4.4773444833176894</v>
      </c>
      <c r="D39" s="216">
        <f>D38*100/D31</f>
        <v>4.2763242780937913</v>
      </c>
      <c r="E39" s="216">
        <f>E38*100/E31</f>
        <v>-5.5564255433384417</v>
      </c>
      <c r="F39" s="211">
        <f>E39-D39</f>
        <v>-9.832749821432234</v>
      </c>
      <c r="G39" s="212"/>
    </row>
    <row r="40" spans="1:7" ht="46">
      <c r="A40" s="215" t="s">
        <v>145</v>
      </c>
      <c r="B40" s="121">
        <f>'1. Фін результат'!B167</f>
        <v>1310</v>
      </c>
      <c r="C40" s="211"/>
      <c r="D40" s="211"/>
      <c r="E40" s="211"/>
      <c r="F40" s="211"/>
      <c r="G40" s="212"/>
    </row>
    <row r="41" spans="1:7">
      <c r="A41" s="51" t="s">
        <v>234</v>
      </c>
      <c r="B41" s="121">
        <f>'1. Фін результат'!B168</f>
        <v>1320</v>
      </c>
      <c r="C41" s="211">
        <f>'1. Фін результат'!C168</f>
        <v>-1330</v>
      </c>
      <c r="D41" s="211">
        <f>'1. Фін результат'!D168</f>
        <v>-2100</v>
      </c>
      <c r="E41" s="211">
        <f>'1. Фін результат'!E168</f>
        <v>-349</v>
      </c>
      <c r="F41" s="211">
        <f t="shared" si="0"/>
        <v>1751</v>
      </c>
      <c r="G41" s="212">
        <f t="shared" si="1"/>
        <v>16.61904761904762</v>
      </c>
    </row>
    <row r="42" spans="1:7">
      <c r="A42" s="214" t="s">
        <v>96</v>
      </c>
      <c r="B42" s="121">
        <f>'1. Фін результат'!B158</f>
        <v>1170</v>
      </c>
      <c r="C42" s="211">
        <f>'1. Фін результат'!C158</f>
        <v>619</v>
      </c>
      <c r="D42" s="211">
        <f>'1. Фін результат'!D158</f>
        <v>975</v>
      </c>
      <c r="E42" s="211">
        <f>'1. Фін результат'!E158</f>
        <v>-13510</v>
      </c>
      <c r="F42" s="211">
        <f t="shared" si="0"/>
        <v>-14485</v>
      </c>
      <c r="G42" s="212">
        <f t="shared" si="1"/>
        <v>-1385.6410256410256</v>
      </c>
    </row>
    <row r="43" spans="1:7">
      <c r="A43" s="217" t="s">
        <v>140</v>
      </c>
      <c r="B43" s="121">
        <f>'1. Фін результат'!B159</f>
        <v>1180</v>
      </c>
      <c r="C43" s="211">
        <f>'1. Фін результат'!C159</f>
        <v>111</v>
      </c>
      <c r="D43" s="211">
        <f>'1. Фін результат'!D159</f>
        <v>176</v>
      </c>
      <c r="E43" s="211">
        <f>'1. Фін результат'!E159</f>
        <v>0</v>
      </c>
      <c r="F43" s="211"/>
      <c r="G43" s="212"/>
    </row>
    <row r="44" spans="1:7">
      <c r="A44" s="213" t="s">
        <v>231</v>
      </c>
      <c r="B44" s="121">
        <f>'1. Фін результат'!B161</f>
        <v>1200</v>
      </c>
      <c r="C44" s="211">
        <f>'1. Фін результат'!C161</f>
        <v>508</v>
      </c>
      <c r="D44" s="211">
        <f>'1. Фін результат'!D161</f>
        <v>799</v>
      </c>
      <c r="E44" s="211">
        <f>'1. Фін результат'!E161</f>
        <v>-13510</v>
      </c>
      <c r="F44" s="211">
        <f t="shared" si="0"/>
        <v>-14309</v>
      </c>
      <c r="G44" s="212">
        <f t="shared" si="1"/>
        <v>-1690.8635794743429</v>
      </c>
    </row>
    <row r="45" spans="1:7">
      <c r="A45" s="215" t="s">
        <v>232</v>
      </c>
      <c r="B45" s="121">
        <f>' 5. Коефіцієнти'!B11</f>
        <v>5040</v>
      </c>
      <c r="C45" s="218">
        <f>' 5. Коефіцієнти'!D11</f>
        <v>4.33484085672839E-3</v>
      </c>
      <c r="D45" s="219">
        <f>D44/D31</f>
        <v>2.9455026708594305E-3</v>
      </c>
      <c r="E45" s="219">
        <f>' 5. Коефіцієнти'!E11</f>
        <v>-7.555843894363598E-2</v>
      </c>
      <c r="F45" s="211">
        <f>E45-D45</f>
        <v>-7.8503941614495407E-2</v>
      </c>
      <c r="G45" s="212"/>
    </row>
    <row r="46" spans="1:7">
      <c r="A46" s="228" t="s">
        <v>157</v>
      </c>
      <c r="B46" s="229"/>
      <c r="C46" s="229"/>
      <c r="D46" s="229"/>
      <c r="E46" s="229"/>
      <c r="F46" s="229"/>
      <c r="G46" s="230"/>
    </row>
    <row r="47" spans="1:7">
      <c r="A47" s="215" t="s">
        <v>357</v>
      </c>
      <c r="B47" s="121">
        <f>'2. Розрахунки з бюджетом'!B20</f>
        <v>2100</v>
      </c>
      <c r="C47" s="211">
        <f>'2. Розрахунки з бюджетом'!C20</f>
        <v>335.28</v>
      </c>
      <c r="D47" s="211">
        <f>'2. Розрахунки з бюджетом'!D20</f>
        <v>526.85</v>
      </c>
      <c r="E47" s="211">
        <f>'2. Розрахунки з бюджетом'!E20</f>
        <v>0</v>
      </c>
      <c r="F47" s="211">
        <f t="shared" ref="F47:F52" si="2">E47-D47</f>
        <v>-526.85</v>
      </c>
      <c r="G47" s="212">
        <f t="shared" ref="G47:G52" si="3">E47/D47*100</f>
        <v>0</v>
      </c>
    </row>
    <row r="48" spans="1:7">
      <c r="A48" s="220" t="s">
        <v>156</v>
      </c>
      <c r="B48" s="121">
        <f>'2. Розрахунки з бюджетом'!B23</f>
        <v>2110</v>
      </c>
      <c r="C48" s="211">
        <f>'2. Розрахунки з бюджетом'!C23</f>
        <v>111</v>
      </c>
      <c r="D48" s="211">
        <f>'2. Розрахунки з бюджетом'!D23</f>
        <v>176</v>
      </c>
      <c r="E48" s="211">
        <f>'2. Розрахунки з бюджетом'!E23</f>
        <v>65</v>
      </c>
      <c r="F48" s="211">
        <f t="shared" si="2"/>
        <v>-111</v>
      </c>
      <c r="G48" s="212"/>
    </row>
    <row r="49" spans="1:7" ht="46">
      <c r="A49" s="220" t="s">
        <v>348</v>
      </c>
      <c r="B49" s="121" t="s">
        <v>320</v>
      </c>
      <c r="C49" s="211">
        <f>'2. Розрахунки з бюджетом'!C24</f>
        <v>2037</v>
      </c>
      <c r="D49" s="211">
        <f>'2. Розрахунки з бюджетом'!D24</f>
        <v>4600</v>
      </c>
      <c r="E49" s="211">
        <f>'2. Розрахунки з бюджетом'!E24</f>
        <v>991</v>
      </c>
      <c r="F49" s="211">
        <f t="shared" si="2"/>
        <v>-3609</v>
      </c>
      <c r="G49" s="212">
        <f t="shared" si="3"/>
        <v>21.543478260869563</v>
      </c>
    </row>
    <row r="50" spans="1:7" ht="46">
      <c r="A50" s="215" t="s">
        <v>258</v>
      </c>
      <c r="B50" s="121">
        <f>'2. Розрахунки з бюджетом'!B26</f>
        <v>2140</v>
      </c>
      <c r="C50" s="211">
        <f>'2. Розрахунки з бюджетом'!C26</f>
        <v>5339</v>
      </c>
      <c r="D50" s="211">
        <f>'2. Розрахунки з бюджетом'!D26</f>
        <v>7592</v>
      </c>
      <c r="E50" s="211">
        <f>'2. Розрахунки з бюджетом'!E26</f>
        <v>7010</v>
      </c>
      <c r="F50" s="211">
        <f t="shared" si="2"/>
        <v>-582</v>
      </c>
      <c r="G50" s="212">
        <f t="shared" si="3"/>
        <v>92.334035827186511</v>
      </c>
    </row>
    <row r="51" spans="1:7" ht="46">
      <c r="A51" s="215" t="s">
        <v>83</v>
      </c>
      <c r="B51" s="121">
        <f>'2. Розрахунки з бюджетом'!B37</f>
        <v>2150</v>
      </c>
      <c r="C51" s="211">
        <f>'2. Розрахунки з бюджетом'!C37</f>
        <v>5645</v>
      </c>
      <c r="D51" s="211">
        <f>'2. Розрахунки з бюджетом'!D37</f>
        <v>7898</v>
      </c>
      <c r="E51" s="211">
        <f>'2. Розрахунки з бюджетом'!E37</f>
        <v>7184</v>
      </c>
      <c r="F51" s="211">
        <f t="shared" si="2"/>
        <v>-714</v>
      </c>
      <c r="G51" s="212">
        <f t="shared" si="3"/>
        <v>90.959736642187892</v>
      </c>
    </row>
    <row r="52" spans="1:7">
      <c r="A52" s="214" t="s">
        <v>267</v>
      </c>
      <c r="B52" s="121">
        <f>'2. Розрахунки з бюджетом'!B38</f>
        <v>2200</v>
      </c>
      <c r="C52" s="211">
        <f>'2. Розрахунки з бюджетом'!C38</f>
        <v>13467.279999999999</v>
      </c>
      <c r="D52" s="211">
        <f>'2. Розрахунки з бюджетом'!D38</f>
        <v>20792.849999999999</v>
      </c>
      <c r="E52" s="211">
        <f>'2. Розрахунки з бюджетом'!E38</f>
        <v>15250</v>
      </c>
      <c r="F52" s="211">
        <f t="shared" si="2"/>
        <v>-5542.8499999999985</v>
      </c>
      <c r="G52" s="212">
        <f t="shared" si="3"/>
        <v>73.342519183276949</v>
      </c>
    </row>
    <row r="53" spans="1:7">
      <c r="A53" s="228" t="s">
        <v>155</v>
      </c>
      <c r="B53" s="229"/>
      <c r="C53" s="229"/>
      <c r="D53" s="229"/>
      <c r="E53" s="229"/>
      <c r="F53" s="229"/>
      <c r="G53" s="230"/>
    </row>
    <row r="54" spans="1:7">
      <c r="A54" s="214" t="s">
        <v>146</v>
      </c>
      <c r="B54" s="121">
        <f>'3. Рух грошових коштів'!B87</f>
        <v>3600</v>
      </c>
      <c r="C54" s="211">
        <f>'3. Рух грошових коштів'!C87</f>
        <v>12469</v>
      </c>
      <c r="D54" s="211">
        <f>'3. Рух грошових коштів'!D87</f>
        <v>39735</v>
      </c>
      <c r="E54" s="211">
        <f>'3. Рух грошових коштів'!E87</f>
        <v>30806</v>
      </c>
      <c r="F54" s="211">
        <f>E54-D54</f>
        <v>-8929</v>
      </c>
      <c r="G54" s="212">
        <f>E54/D54*100</f>
        <v>77.528627154901216</v>
      </c>
    </row>
    <row r="55" spans="1:7" ht="46">
      <c r="A55" s="215" t="s">
        <v>147</v>
      </c>
      <c r="B55" s="121">
        <f>'3. Рух грошових коштів'!B32</f>
        <v>3090</v>
      </c>
      <c r="C55" s="211">
        <f>'3. Рух грошових коштів'!C32</f>
        <v>-22221</v>
      </c>
      <c r="D55" s="211">
        <f>'3. Рух грошових коштів'!D32</f>
        <v>-6676</v>
      </c>
      <c r="E55" s="211">
        <f>'3. Рух грошових коштів'!E32</f>
        <v>-86322</v>
      </c>
      <c r="F55" s="211">
        <f>E55-D55</f>
        <v>-79646</v>
      </c>
      <c r="G55" s="212">
        <f>E55/D55*100</f>
        <v>1293.0197723187539</v>
      </c>
    </row>
    <row r="56" spans="1:7" ht="46">
      <c r="A56" s="215" t="s">
        <v>235</v>
      </c>
      <c r="B56" s="121">
        <f>'3. Рух грошових коштів'!B55</f>
        <v>3320</v>
      </c>
      <c r="C56" s="211">
        <f>'3. Рух грошових коштів'!C55</f>
        <v>-82859</v>
      </c>
      <c r="D56" s="211">
        <f>'3. Рух грошових коштів'!D55</f>
        <v>-1300</v>
      </c>
      <c r="E56" s="211">
        <f>'3. Рух грошових коштів'!E55</f>
        <v>-13300</v>
      </c>
      <c r="F56" s="211">
        <f>E56-D56</f>
        <v>-12000</v>
      </c>
      <c r="G56" s="212"/>
    </row>
    <row r="57" spans="1:7" ht="46">
      <c r="A57" s="215" t="s">
        <v>148</v>
      </c>
      <c r="B57" s="121">
        <f>'3. Рух грошових коштів'!B85</f>
        <v>3580</v>
      </c>
      <c r="C57" s="211">
        <f>'3. Рух грошових коштів'!C85</f>
        <v>123416.72</v>
      </c>
      <c r="D57" s="211">
        <f>'3. Рух грошових коштів'!D85</f>
        <v>12773.15</v>
      </c>
      <c r="E57" s="211">
        <f>'3. Рух грошових коштів'!E85</f>
        <v>96436</v>
      </c>
      <c r="F57" s="211">
        <f>E57-D57</f>
        <v>83662.850000000006</v>
      </c>
      <c r="G57" s="212">
        <f>E57/D57*100</f>
        <v>754.98995940703742</v>
      </c>
    </row>
    <row r="58" spans="1:7" ht="54" customHeight="1">
      <c r="A58" s="215" t="s">
        <v>171</v>
      </c>
      <c r="B58" s="121">
        <f>'3. Рух грошових коштів'!B88</f>
        <v>3610</v>
      </c>
      <c r="C58" s="211">
        <f>'3. Рух грошових коштів'!C88</f>
        <v>0</v>
      </c>
      <c r="D58" s="211">
        <f>'3. Рух грошових коштів'!D88</f>
        <v>0</v>
      </c>
      <c r="E58" s="211">
        <f>'3. Рух грошових коштів'!E88</f>
        <v>0</v>
      </c>
      <c r="F58" s="211"/>
      <c r="G58" s="212"/>
    </row>
    <row r="59" spans="1:7" ht="38.25" customHeight="1">
      <c r="A59" s="214" t="s">
        <v>149</v>
      </c>
      <c r="B59" s="121">
        <f>'3. Рух грошових коштів'!B89</f>
        <v>3620</v>
      </c>
      <c r="C59" s="211">
        <f>'3. Рух грошових коштів'!C89</f>
        <v>30805.72</v>
      </c>
      <c r="D59" s="211">
        <f>'3. Рух грошових коштів'!D89</f>
        <v>44532.15</v>
      </c>
      <c r="E59" s="211">
        <f>'3. Рух грошових коштів'!E89</f>
        <v>27620</v>
      </c>
      <c r="F59" s="211">
        <f>E59-D59</f>
        <v>-16912.150000000001</v>
      </c>
      <c r="G59" s="212">
        <f>E59/D59*100</f>
        <v>62.022606139609252</v>
      </c>
    </row>
    <row r="60" spans="1:7">
      <c r="A60" s="231" t="s">
        <v>214</v>
      </c>
      <c r="B60" s="232"/>
      <c r="C60" s="232"/>
      <c r="D60" s="232"/>
      <c r="E60" s="232"/>
      <c r="F60" s="232"/>
      <c r="G60" s="232"/>
    </row>
    <row r="61" spans="1:7">
      <c r="A61" s="215" t="s">
        <v>213</v>
      </c>
      <c r="B61" s="38">
        <f>'4. Кап. інвестиції'!B6</f>
        <v>4000</v>
      </c>
      <c r="C61" s="211">
        <f>'4. Кап. інвестиції'!C6</f>
        <v>69049</v>
      </c>
      <c r="D61" s="211">
        <f>'4. Кап. інвестиції'!D6</f>
        <v>1083</v>
      </c>
      <c r="E61" s="211">
        <f>'4. Кап. інвестиції'!E6</f>
        <v>11083.333333333334</v>
      </c>
      <c r="F61" s="211">
        <f>E61-D61</f>
        <v>10000.333333333334</v>
      </c>
      <c r="G61" s="212"/>
    </row>
    <row r="62" spans="1:7">
      <c r="A62" s="227" t="s">
        <v>216</v>
      </c>
      <c r="B62" s="227"/>
      <c r="C62" s="227"/>
      <c r="D62" s="227"/>
      <c r="E62" s="227"/>
      <c r="F62" s="227"/>
      <c r="G62" s="227"/>
    </row>
    <row r="63" spans="1:7">
      <c r="A63" s="215" t="s">
        <v>174</v>
      </c>
      <c r="B63" s="38">
        <f>' 5. Коефіцієнти'!B9</f>
        <v>5020</v>
      </c>
      <c r="C63" s="218">
        <f>' 5. Коефіцієнти'!D9</f>
        <v>1.1033859613684591E-3</v>
      </c>
      <c r="D63" s="218">
        <f>D44/D70</f>
        <v>2.4843291378538381E-3</v>
      </c>
      <c r="E63" s="218">
        <f>' 5. Коефіцієнти'!E9</f>
        <v>-2.8529073892624251E-2</v>
      </c>
      <c r="F63" s="211">
        <f>E63-D63</f>
        <v>-3.1013403030478087E-2</v>
      </c>
      <c r="G63" s="212">
        <f>E63/D63*100</f>
        <v>-1148.3612802315695</v>
      </c>
    </row>
    <row r="64" spans="1:7">
      <c r="A64" s="215" t="s">
        <v>170</v>
      </c>
      <c r="B64" s="38">
        <f>' 5. Коефіцієнти'!B10</f>
        <v>5030</v>
      </c>
      <c r="C64" s="218">
        <f>' 5. Коефіцієнти'!D10</f>
        <v>1.3458557973798201E-3</v>
      </c>
      <c r="D64" s="218">
        <f>D44/D76</f>
        <v>2.7446103958559476E-3</v>
      </c>
      <c r="E64" s="218">
        <f>' 5. Коефіцієнти'!E10</f>
        <v>-2.9341053367705729E-2</v>
      </c>
      <c r="F64" s="211">
        <f>E64-D64</f>
        <v>-3.208566376356168E-2</v>
      </c>
      <c r="G64" s="212">
        <f>E64/D64*100</f>
        <v>-1069.0425647300401</v>
      </c>
    </row>
    <row r="65" spans="1:7">
      <c r="A65" s="215" t="s">
        <v>233</v>
      </c>
      <c r="B65" s="38">
        <f>' 5. Коефіцієнти'!B14</f>
        <v>5110</v>
      </c>
      <c r="C65" s="216">
        <f>' 5. Коефіцієнти'!D14</f>
        <v>19.022073275210403</v>
      </c>
      <c r="D65" s="216">
        <f>D76/D73</f>
        <v>9.5447868852459017</v>
      </c>
      <c r="E65" s="216">
        <f>' 5. Коефіцієнти'!E14</f>
        <v>109.9706233580129</v>
      </c>
      <c r="F65" s="211">
        <f>E65-D65</f>
        <v>100.425836472767</v>
      </c>
      <c r="G65" s="212">
        <f>E65/D65*100</f>
        <v>1152.1537848896637</v>
      </c>
    </row>
    <row r="66" spans="1:7">
      <c r="A66" s="228" t="s">
        <v>215</v>
      </c>
      <c r="B66" s="229"/>
      <c r="C66" s="229"/>
      <c r="D66" s="229"/>
      <c r="E66" s="229"/>
      <c r="F66" s="229"/>
      <c r="G66" s="230"/>
    </row>
    <row r="67" spans="1:7">
      <c r="A67" s="215" t="s">
        <v>150</v>
      </c>
      <c r="B67" s="38">
        <v>6000</v>
      </c>
      <c r="C67" s="211">
        <v>404978</v>
      </c>
      <c r="D67" s="211">
        <f>227075</f>
        <v>227075</v>
      </c>
      <c r="E67" s="211">
        <v>433078</v>
      </c>
      <c r="F67" s="211">
        <f>E67-D67</f>
        <v>206003</v>
      </c>
      <c r="G67" s="212">
        <f>E67/D67*100</f>
        <v>190.72024661455467</v>
      </c>
    </row>
    <row r="68" spans="1:7">
      <c r="A68" s="215" t="s">
        <v>151</v>
      </c>
      <c r="B68" s="38">
        <v>6010</v>
      </c>
      <c r="C68" s="211">
        <v>55423</v>
      </c>
      <c r="D68" s="211">
        <f>94541</f>
        <v>94541</v>
      </c>
      <c r="E68" s="211">
        <v>40474</v>
      </c>
      <c r="F68" s="211">
        <f>E68-D68</f>
        <v>-54067</v>
      </c>
      <c r="G68" s="212">
        <f>E68/D68*100</f>
        <v>42.81105552088512</v>
      </c>
    </row>
    <row r="69" spans="1:7">
      <c r="A69" s="215" t="s">
        <v>270</v>
      </c>
      <c r="B69" s="38">
        <v>6020</v>
      </c>
      <c r="C69" s="211">
        <v>30806</v>
      </c>
      <c r="D69" s="211">
        <f>D59</f>
        <v>44532.15</v>
      </c>
      <c r="E69" s="211">
        <v>27620</v>
      </c>
      <c r="F69" s="211">
        <f>E69-D69</f>
        <v>-16912.150000000001</v>
      </c>
      <c r="G69" s="212">
        <f>E69/D69*100</f>
        <v>62.022606139609252</v>
      </c>
    </row>
    <row r="70" spans="1:7" s="53" customFormat="1">
      <c r="A70" s="214" t="s">
        <v>268</v>
      </c>
      <c r="B70" s="38">
        <v>6030</v>
      </c>
      <c r="C70" s="211">
        <f>C67+C68</f>
        <v>460401</v>
      </c>
      <c r="D70" s="211">
        <f>D67+D68</f>
        <v>321616</v>
      </c>
      <c r="E70" s="211">
        <f>E67+E68</f>
        <v>473552</v>
      </c>
      <c r="F70" s="211">
        <f t="shared" ref="F70:F76" si="4">E70-D70</f>
        <v>151936</v>
      </c>
      <c r="G70" s="212">
        <f t="shared" ref="G70:G76" si="5">E70/D70*100</f>
        <v>147.24143077458834</v>
      </c>
    </row>
    <row r="71" spans="1:7">
      <c r="A71" s="215" t="s">
        <v>172</v>
      </c>
      <c r="B71" s="38">
        <v>6040</v>
      </c>
      <c r="C71" s="211">
        <v>7680</v>
      </c>
      <c r="D71" s="211">
        <f>1500</f>
        <v>1500</v>
      </c>
      <c r="E71" s="211">
        <v>8918</v>
      </c>
      <c r="F71" s="211">
        <f>E71-D71</f>
        <v>7418</v>
      </c>
      <c r="G71" s="212">
        <f>E71/D71*100</f>
        <v>594.5333333333333</v>
      </c>
    </row>
    <row r="72" spans="1:7">
      <c r="A72" s="215" t="s">
        <v>173</v>
      </c>
      <c r="B72" s="38">
        <v>6050</v>
      </c>
      <c r="C72" s="211">
        <v>19843</v>
      </c>
      <c r="D72" s="211">
        <f>29000</f>
        <v>29000</v>
      </c>
      <c r="E72" s="211">
        <v>4187</v>
      </c>
      <c r="F72" s="211">
        <f t="shared" si="4"/>
        <v>-24813</v>
      </c>
      <c r="G72" s="212">
        <f t="shared" si="5"/>
        <v>14.437931034482759</v>
      </c>
    </row>
    <row r="73" spans="1:7" s="53" customFormat="1">
      <c r="A73" s="214" t="s">
        <v>269</v>
      </c>
      <c r="B73" s="38">
        <v>6060</v>
      </c>
      <c r="C73" s="211">
        <f>C72+C71</f>
        <v>27523</v>
      </c>
      <c r="D73" s="211">
        <f>D72+D71</f>
        <v>30500</v>
      </c>
      <c r="E73" s="211">
        <f>E72+E71</f>
        <v>13105</v>
      </c>
      <c r="F73" s="211">
        <f t="shared" si="4"/>
        <v>-17395</v>
      </c>
      <c r="G73" s="212">
        <f t="shared" si="5"/>
        <v>42.967213114754102</v>
      </c>
    </row>
    <row r="74" spans="1:7">
      <c r="A74" s="215" t="s">
        <v>271</v>
      </c>
      <c r="B74" s="38">
        <v>6070</v>
      </c>
      <c r="C74" s="211"/>
      <c r="D74" s="211"/>
      <c r="E74" s="211"/>
      <c r="F74" s="211"/>
      <c r="G74" s="212"/>
    </row>
    <row r="75" spans="1:7">
      <c r="A75" s="215" t="s">
        <v>272</v>
      </c>
      <c r="B75" s="38">
        <v>6080</v>
      </c>
      <c r="C75" s="211"/>
      <c r="D75" s="211"/>
      <c r="E75" s="211"/>
      <c r="F75" s="211"/>
      <c r="G75" s="212"/>
    </row>
    <row r="76" spans="1:7" s="53" customFormat="1">
      <c r="A76" s="214" t="s">
        <v>152</v>
      </c>
      <c r="B76" s="38">
        <v>6090</v>
      </c>
      <c r="C76" s="211">
        <v>377455</v>
      </c>
      <c r="D76" s="211">
        <f>291116</f>
        <v>291116</v>
      </c>
      <c r="E76" s="211">
        <v>460447</v>
      </c>
      <c r="F76" s="211">
        <f t="shared" si="4"/>
        <v>169331</v>
      </c>
      <c r="G76" s="212">
        <f t="shared" si="5"/>
        <v>158.16616056829579</v>
      </c>
    </row>
    <row r="77" spans="1:7" ht="83.25" customHeight="1">
      <c r="A77" s="43"/>
    </row>
    <row r="78" spans="1:7" ht="30" customHeight="1">
      <c r="A78" s="62" t="s">
        <v>625</v>
      </c>
      <c r="B78" s="61"/>
      <c r="C78" s="72"/>
      <c r="D78" s="72"/>
      <c r="E78" s="72"/>
      <c r="F78" s="222" t="s">
        <v>626</v>
      </c>
      <c r="G78" s="222"/>
    </row>
    <row r="79" spans="1:7">
      <c r="A79" s="49" t="s">
        <v>386</v>
      </c>
      <c r="B79" s="11"/>
      <c r="C79" s="226" t="s">
        <v>78</v>
      </c>
      <c r="D79" s="226"/>
      <c r="E79" s="72"/>
      <c r="F79" s="72" t="s">
        <v>102</v>
      </c>
      <c r="G79" s="11"/>
    </row>
    <row r="81" spans="1:7" ht="42.75" customHeight="1">
      <c r="A81" s="42"/>
    </row>
    <row r="82" spans="1:7" ht="113.25" customHeight="1">
      <c r="A82" s="235"/>
      <c r="B82" s="235"/>
      <c r="C82" s="235"/>
      <c r="D82" s="235"/>
      <c r="E82" s="235"/>
      <c r="F82" s="235"/>
      <c r="G82" s="235"/>
    </row>
    <row r="83" spans="1:7">
      <c r="A83" s="42"/>
    </row>
    <row r="84" spans="1:7">
      <c r="A84" s="42"/>
    </row>
    <row r="85" spans="1:7">
      <c r="A85" s="42"/>
    </row>
    <row r="86" spans="1:7">
      <c r="A86" s="42"/>
    </row>
    <row r="87" spans="1:7">
      <c r="A87" s="42"/>
    </row>
    <row r="88" spans="1:7">
      <c r="A88" s="42"/>
    </row>
    <row r="89" spans="1:7">
      <c r="A89" s="42"/>
    </row>
    <row r="90" spans="1:7">
      <c r="A90" s="42"/>
    </row>
    <row r="91" spans="1:7">
      <c r="A91" s="42"/>
    </row>
    <row r="92" spans="1:7">
      <c r="A92" s="42"/>
    </row>
    <row r="93" spans="1:7">
      <c r="A93" s="42"/>
    </row>
    <row r="94" spans="1:7">
      <c r="A94" s="42"/>
    </row>
    <row r="95" spans="1:7">
      <c r="A95" s="42"/>
    </row>
    <row r="96" spans="1:7">
      <c r="A96" s="42"/>
    </row>
    <row r="97" spans="1:1">
      <c r="A97" s="42"/>
    </row>
    <row r="98" spans="1:1">
      <c r="A98" s="42"/>
    </row>
    <row r="99" spans="1:1">
      <c r="A99" s="42"/>
    </row>
    <row r="100" spans="1:1">
      <c r="A100" s="42"/>
    </row>
    <row r="101" spans="1:1">
      <c r="A101" s="42"/>
    </row>
    <row r="102" spans="1:1">
      <c r="A102" s="42"/>
    </row>
    <row r="103" spans="1:1">
      <c r="A103" s="42"/>
    </row>
    <row r="104" spans="1:1">
      <c r="A104" s="42"/>
    </row>
    <row r="105" spans="1:1">
      <c r="A105" s="42"/>
    </row>
    <row r="106" spans="1:1">
      <c r="A106" s="42"/>
    </row>
    <row r="107" spans="1:1">
      <c r="A107" s="42"/>
    </row>
    <row r="108" spans="1:1">
      <c r="A108" s="42"/>
    </row>
    <row r="109" spans="1:1">
      <c r="A109" s="42"/>
    </row>
    <row r="110" spans="1:1">
      <c r="A110" s="42"/>
    </row>
    <row r="111" spans="1:1">
      <c r="A111" s="42"/>
    </row>
    <row r="112" spans="1:1">
      <c r="A112" s="42"/>
    </row>
    <row r="113" spans="1:1">
      <c r="A113" s="42"/>
    </row>
    <row r="114" spans="1:1">
      <c r="A114" s="42"/>
    </row>
    <row r="115" spans="1:1">
      <c r="A115" s="42"/>
    </row>
    <row r="116" spans="1:1">
      <c r="A116" s="42"/>
    </row>
    <row r="117" spans="1:1">
      <c r="A117" s="42"/>
    </row>
    <row r="118" spans="1:1">
      <c r="A118" s="42"/>
    </row>
    <row r="119" spans="1:1">
      <c r="A119" s="42"/>
    </row>
    <row r="120" spans="1:1">
      <c r="A120" s="42"/>
    </row>
    <row r="121" spans="1:1">
      <c r="A121" s="42"/>
    </row>
    <row r="122" spans="1:1">
      <c r="A122" s="42"/>
    </row>
    <row r="123" spans="1:1">
      <c r="A123" s="42"/>
    </row>
    <row r="124" spans="1:1">
      <c r="A124" s="42"/>
    </row>
    <row r="125" spans="1:1">
      <c r="A125" s="42"/>
    </row>
    <row r="126" spans="1:1">
      <c r="A126" s="42"/>
    </row>
    <row r="127" spans="1:1">
      <c r="A127" s="42"/>
    </row>
    <row r="128" spans="1:1">
      <c r="A128" s="42"/>
    </row>
    <row r="129" spans="1:1">
      <c r="A129" s="42"/>
    </row>
    <row r="130" spans="1:1">
      <c r="A130" s="42"/>
    </row>
    <row r="131" spans="1:1">
      <c r="A131" s="42"/>
    </row>
    <row r="132" spans="1:1">
      <c r="A132" s="42"/>
    </row>
    <row r="133" spans="1:1">
      <c r="A133" s="42"/>
    </row>
    <row r="134" spans="1:1">
      <c r="A134" s="42"/>
    </row>
    <row r="135" spans="1:1">
      <c r="A135" s="42"/>
    </row>
    <row r="136" spans="1:1">
      <c r="A136" s="42"/>
    </row>
    <row r="137" spans="1:1">
      <c r="A137" s="42"/>
    </row>
    <row r="138" spans="1:1">
      <c r="A138" s="42"/>
    </row>
    <row r="139" spans="1:1">
      <c r="A139" s="42"/>
    </row>
    <row r="140" spans="1:1">
      <c r="A140" s="42"/>
    </row>
    <row r="141" spans="1:1">
      <c r="A141" s="42"/>
    </row>
    <row r="142" spans="1:1">
      <c r="A142" s="42"/>
    </row>
    <row r="143" spans="1:1">
      <c r="A143" s="42"/>
    </row>
    <row r="144" spans="1:1">
      <c r="A144" s="42"/>
    </row>
    <row r="145" spans="1:1">
      <c r="A145" s="42"/>
    </row>
    <row r="146" spans="1:1">
      <c r="A146" s="42"/>
    </row>
    <row r="147" spans="1:1">
      <c r="A147" s="42"/>
    </row>
    <row r="148" spans="1:1">
      <c r="A148" s="42"/>
    </row>
    <row r="149" spans="1:1">
      <c r="A149" s="42"/>
    </row>
    <row r="150" spans="1:1">
      <c r="A150" s="42"/>
    </row>
    <row r="151" spans="1:1">
      <c r="A151" s="42"/>
    </row>
    <row r="152" spans="1:1">
      <c r="A152" s="42"/>
    </row>
    <row r="153" spans="1:1">
      <c r="A153" s="42"/>
    </row>
    <row r="154" spans="1:1">
      <c r="A154" s="42"/>
    </row>
    <row r="155" spans="1:1">
      <c r="A155" s="42"/>
    </row>
    <row r="156" spans="1:1">
      <c r="A156" s="42"/>
    </row>
    <row r="157" spans="1:1">
      <c r="A157" s="42"/>
    </row>
    <row r="158" spans="1:1">
      <c r="A158" s="42"/>
    </row>
    <row r="159" spans="1:1">
      <c r="A159" s="42"/>
    </row>
    <row r="160" spans="1:1">
      <c r="A160" s="42"/>
    </row>
    <row r="161" spans="1:1">
      <c r="A161" s="42"/>
    </row>
    <row r="162" spans="1:1">
      <c r="A162" s="42"/>
    </row>
    <row r="163" spans="1:1">
      <c r="A163" s="42"/>
    </row>
    <row r="164" spans="1:1">
      <c r="A164" s="42"/>
    </row>
    <row r="165" spans="1:1">
      <c r="A165" s="42"/>
    </row>
    <row r="166" spans="1:1">
      <c r="A166" s="42"/>
    </row>
    <row r="167" spans="1:1">
      <c r="A167" s="42"/>
    </row>
    <row r="168" spans="1:1">
      <c r="A168" s="42"/>
    </row>
    <row r="169" spans="1:1">
      <c r="A169" s="42"/>
    </row>
    <row r="170" spans="1:1">
      <c r="A170" s="42"/>
    </row>
    <row r="171" spans="1:1">
      <c r="A171" s="42"/>
    </row>
    <row r="172" spans="1:1">
      <c r="A172" s="42"/>
    </row>
    <row r="173" spans="1:1">
      <c r="A173" s="42"/>
    </row>
    <row r="174" spans="1:1">
      <c r="A174" s="42"/>
    </row>
    <row r="175" spans="1:1">
      <c r="A175" s="42"/>
    </row>
    <row r="176" spans="1:1">
      <c r="A176" s="42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  <row r="183" spans="1:1">
      <c r="A183" s="42"/>
    </row>
    <row r="184" spans="1:1">
      <c r="A184" s="42"/>
    </row>
    <row r="185" spans="1:1">
      <c r="A185" s="42"/>
    </row>
    <row r="186" spans="1:1">
      <c r="A186" s="42"/>
    </row>
    <row r="187" spans="1:1">
      <c r="A187" s="42"/>
    </row>
    <row r="188" spans="1:1">
      <c r="A188" s="42"/>
    </row>
    <row r="189" spans="1:1">
      <c r="A189" s="42"/>
    </row>
    <row r="190" spans="1:1">
      <c r="A190" s="42"/>
    </row>
    <row r="191" spans="1:1">
      <c r="A191" s="42"/>
    </row>
    <row r="192" spans="1:1">
      <c r="A192" s="42"/>
    </row>
    <row r="193" spans="1:1">
      <c r="A193" s="42"/>
    </row>
    <row r="194" spans="1:1">
      <c r="A194" s="42"/>
    </row>
    <row r="195" spans="1:1">
      <c r="A195" s="42"/>
    </row>
    <row r="196" spans="1:1">
      <c r="A196" s="42"/>
    </row>
    <row r="197" spans="1:1">
      <c r="A197" s="42"/>
    </row>
    <row r="198" spans="1:1">
      <c r="A198" s="42"/>
    </row>
    <row r="199" spans="1:1">
      <c r="A199" s="42"/>
    </row>
    <row r="200" spans="1:1">
      <c r="A200" s="42"/>
    </row>
    <row r="201" spans="1:1">
      <c r="A201" s="42"/>
    </row>
    <row r="202" spans="1:1">
      <c r="A202" s="42"/>
    </row>
    <row r="203" spans="1:1">
      <c r="A203" s="42"/>
    </row>
    <row r="204" spans="1:1">
      <c r="A204" s="42"/>
    </row>
    <row r="205" spans="1:1">
      <c r="A205" s="42"/>
    </row>
    <row r="206" spans="1:1">
      <c r="A206" s="42"/>
    </row>
    <row r="207" spans="1:1">
      <c r="A207" s="42"/>
    </row>
    <row r="208" spans="1:1">
      <c r="A208" s="42"/>
    </row>
    <row r="209" spans="1:1">
      <c r="A209" s="42"/>
    </row>
    <row r="210" spans="1:1">
      <c r="A210" s="42"/>
    </row>
    <row r="211" spans="1:1">
      <c r="A211" s="42"/>
    </row>
    <row r="212" spans="1:1">
      <c r="A212" s="42"/>
    </row>
    <row r="213" spans="1:1">
      <c r="A213" s="42"/>
    </row>
    <row r="214" spans="1:1">
      <c r="A214" s="42"/>
    </row>
    <row r="215" spans="1:1">
      <c r="A215" s="42"/>
    </row>
    <row r="216" spans="1:1">
      <c r="A216" s="42"/>
    </row>
    <row r="217" spans="1:1">
      <c r="A217" s="42"/>
    </row>
    <row r="218" spans="1:1">
      <c r="A218" s="42"/>
    </row>
    <row r="219" spans="1:1">
      <c r="A219" s="42"/>
    </row>
    <row r="220" spans="1:1">
      <c r="A220" s="42"/>
    </row>
    <row r="221" spans="1:1">
      <c r="A221" s="42"/>
    </row>
    <row r="222" spans="1:1">
      <c r="A222" s="42"/>
    </row>
    <row r="223" spans="1:1">
      <c r="A223" s="42"/>
    </row>
    <row r="224" spans="1:1">
      <c r="A224" s="42"/>
    </row>
    <row r="225" spans="1:1">
      <c r="A225" s="42"/>
    </row>
    <row r="226" spans="1:1">
      <c r="A226" s="42"/>
    </row>
    <row r="227" spans="1:1">
      <c r="A227" s="42"/>
    </row>
    <row r="228" spans="1:1">
      <c r="A228" s="42"/>
    </row>
    <row r="229" spans="1:1">
      <c r="A229" s="42"/>
    </row>
    <row r="230" spans="1:1">
      <c r="A230" s="42"/>
    </row>
    <row r="231" spans="1:1">
      <c r="A231" s="42"/>
    </row>
    <row r="232" spans="1:1">
      <c r="A232" s="42"/>
    </row>
    <row r="233" spans="1:1">
      <c r="A233" s="42"/>
    </row>
    <row r="234" spans="1:1">
      <c r="A234" s="42"/>
    </row>
    <row r="235" spans="1:1">
      <c r="A235" s="42"/>
    </row>
    <row r="236" spans="1:1">
      <c r="A236" s="42"/>
    </row>
    <row r="237" spans="1:1">
      <c r="A237" s="42"/>
    </row>
    <row r="238" spans="1:1">
      <c r="A238" s="42"/>
    </row>
    <row r="239" spans="1:1">
      <c r="A239" s="42"/>
    </row>
    <row r="240" spans="1:1">
      <c r="A240" s="42"/>
    </row>
    <row r="241" spans="1:1">
      <c r="A241" s="42"/>
    </row>
    <row r="242" spans="1:1">
      <c r="A242" s="42"/>
    </row>
    <row r="243" spans="1:1">
      <c r="A243" s="42"/>
    </row>
    <row r="244" spans="1:1">
      <c r="A244" s="42"/>
    </row>
    <row r="245" spans="1:1">
      <c r="A245" s="42"/>
    </row>
    <row r="246" spans="1:1">
      <c r="A246" s="42"/>
    </row>
    <row r="247" spans="1:1">
      <c r="A247" s="42"/>
    </row>
    <row r="248" spans="1:1">
      <c r="A248" s="42"/>
    </row>
  </sheetData>
  <mergeCells count="34">
    <mergeCell ref="B11:D11"/>
    <mergeCell ref="B10:E10"/>
    <mergeCell ref="B9:D9"/>
    <mergeCell ref="E13:F13"/>
    <mergeCell ref="B12:E12"/>
    <mergeCell ref="B13:D13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C79:D79"/>
    <mergeCell ref="A23:G23"/>
    <mergeCell ref="A62:G62"/>
    <mergeCell ref="A53:G53"/>
    <mergeCell ref="A60:G60"/>
    <mergeCell ref="C27:C28"/>
    <mergeCell ref="A20:G20"/>
    <mergeCell ref="F78:G78"/>
    <mergeCell ref="B14:D14"/>
    <mergeCell ref="E14:F14"/>
    <mergeCell ref="B17:D17"/>
    <mergeCell ref="B18:D18"/>
  </mergeCells>
  <phoneticPr fontId="3" type="noConversion"/>
  <pageMargins left="0.59055118110236227" right="0.39370078740157483" top="0.59055118110236227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14"/>
  <sheetViews>
    <sheetView view="pageBreakPreview" topLeftCell="A146" zoomScale="75" zoomScaleNormal="75" zoomScaleSheetLayoutView="75" workbookViewId="0">
      <selection activeCell="G161" sqref="G161"/>
    </sheetView>
  </sheetViews>
  <sheetFormatPr defaultColWidth="9.1796875" defaultRowHeight="20.5" outlineLevelRow="1"/>
  <cols>
    <col min="1" max="1" width="72.54296875" style="2" customWidth="1"/>
    <col min="2" max="2" width="12" style="4" customWidth="1"/>
    <col min="3" max="3" width="17" style="71" customWidth="1"/>
    <col min="4" max="4" width="12.7265625" style="71" customWidth="1"/>
    <col min="5" max="5" width="13.54296875" style="71" customWidth="1"/>
    <col min="6" max="6" width="11.81640625" style="71" customWidth="1"/>
    <col min="7" max="7" width="15.1796875" style="4" customWidth="1"/>
    <col min="8" max="8" width="29.453125" style="4" customWidth="1"/>
    <col min="9" max="9" width="13.7265625" style="2" customWidth="1"/>
    <col min="10" max="10" width="11.54296875" style="2" bestFit="1" customWidth="1"/>
    <col min="11" max="16384" width="9.1796875" style="2"/>
  </cols>
  <sheetData>
    <row r="1" spans="1:13" hidden="1" outlineLevel="1">
      <c r="B1" s="6"/>
      <c r="C1" s="104"/>
      <c r="D1" s="104"/>
      <c r="E1" s="104"/>
      <c r="F1" s="104"/>
      <c r="G1" s="6"/>
      <c r="H1" s="3" t="s">
        <v>241</v>
      </c>
    </row>
    <row r="2" spans="1:13" hidden="1" outlineLevel="1">
      <c r="B2" s="6"/>
      <c r="C2" s="104"/>
      <c r="D2" s="104"/>
      <c r="E2" s="104"/>
      <c r="F2" s="104"/>
      <c r="G2" s="6"/>
      <c r="H2" s="3" t="s">
        <v>225</v>
      </c>
    </row>
    <row r="3" spans="1:13" s="55" customFormat="1" ht="21.5" collapsed="1">
      <c r="A3" s="249" t="s">
        <v>373</v>
      </c>
      <c r="B3" s="249"/>
      <c r="C3" s="249"/>
      <c r="D3" s="249"/>
      <c r="E3" s="249"/>
      <c r="F3" s="249"/>
      <c r="G3" s="249"/>
      <c r="H3" s="249"/>
    </row>
    <row r="4" spans="1:13" s="55" customFormat="1" ht="12.75" customHeight="1">
      <c r="A4" s="54"/>
      <c r="B4" s="56"/>
      <c r="C4" s="68"/>
      <c r="D4" s="68"/>
      <c r="E4" s="68"/>
      <c r="F4" s="68"/>
      <c r="G4" s="56"/>
      <c r="H4" s="56"/>
    </row>
    <row r="5" spans="1:13" s="55" customFormat="1" ht="25.5" customHeight="1">
      <c r="A5" s="254" t="s">
        <v>287</v>
      </c>
      <c r="B5" s="255" t="s">
        <v>18</v>
      </c>
      <c r="C5" s="256" t="s">
        <v>382</v>
      </c>
      <c r="D5" s="254" t="s">
        <v>353</v>
      </c>
      <c r="E5" s="254"/>
      <c r="F5" s="254"/>
      <c r="G5" s="254"/>
      <c r="H5" s="254"/>
    </row>
    <row r="6" spans="1:13" s="55" customFormat="1" ht="95">
      <c r="A6" s="254"/>
      <c r="B6" s="255"/>
      <c r="C6" s="257"/>
      <c r="D6" s="181" t="s">
        <v>265</v>
      </c>
      <c r="E6" s="181" t="s">
        <v>248</v>
      </c>
      <c r="F6" s="182" t="s">
        <v>381</v>
      </c>
      <c r="G6" s="182" t="s">
        <v>276</v>
      </c>
      <c r="H6" s="181" t="s">
        <v>274</v>
      </c>
    </row>
    <row r="7" spans="1:13" s="55" customFormat="1" ht="21.5">
      <c r="A7" s="180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>
        <v>8</v>
      </c>
    </row>
    <row r="8" spans="1:13" s="57" customFormat="1" ht="26.25" customHeight="1">
      <c r="A8" s="245" t="s">
        <v>273</v>
      </c>
      <c r="B8" s="246"/>
      <c r="C8" s="246"/>
      <c r="D8" s="246"/>
      <c r="E8" s="246"/>
      <c r="F8" s="246"/>
      <c r="G8" s="246"/>
      <c r="H8" s="247"/>
    </row>
    <row r="9" spans="1:13" s="57" customFormat="1" ht="43.5" customHeight="1">
      <c r="A9" s="183" t="s">
        <v>107</v>
      </c>
      <c r="B9" s="184">
        <v>1000</v>
      </c>
      <c r="C9" s="185">
        <f>C10+C11+C12</f>
        <v>117190</v>
      </c>
      <c r="D9" s="185">
        <f>D10+D11+D12</f>
        <v>271261</v>
      </c>
      <c r="E9" s="185">
        <f>E10+E11+E12</f>
        <v>178802</v>
      </c>
      <c r="F9" s="185">
        <f>E9-D9</f>
        <v>-92459</v>
      </c>
      <c r="G9" s="186">
        <f>E9/D9*100</f>
        <v>65.91511496307983</v>
      </c>
      <c r="H9" s="187"/>
      <c r="I9" s="65"/>
      <c r="J9" s="64"/>
    </row>
    <row r="10" spans="1:13" s="57" customFormat="1" ht="38">
      <c r="A10" s="183" t="s">
        <v>608</v>
      </c>
      <c r="B10" s="184" t="s">
        <v>394</v>
      </c>
      <c r="C10" s="185">
        <v>61639</v>
      </c>
      <c r="D10" s="188">
        <v>64560</v>
      </c>
      <c r="E10" s="185">
        <v>56822</v>
      </c>
      <c r="F10" s="185">
        <f t="shared" ref="F10:F18" si="0">E10-D10</f>
        <v>-7738</v>
      </c>
      <c r="G10" s="186">
        <f t="shared" ref="G10:G18" si="1">E10/D10*100</f>
        <v>88.014250309789347</v>
      </c>
      <c r="H10" s="187"/>
    </row>
    <row r="11" spans="1:13" s="57" customFormat="1" ht="38">
      <c r="A11" s="183" t="s">
        <v>571</v>
      </c>
      <c r="B11" s="184" t="s">
        <v>395</v>
      </c>
      <c r="C11" s="185">
        <v>53031</v>
      </c>
      <c r="D11" s="189">
        <v>203701</v>
      </c>
      <c r="E11" s="185">
        <f>118774+661</f>
        <v>119435</v>
      </c>
      <c r="F11" s="185">
        <f t="shared" si="0"/>
        <v>-84266</v>
      </c>
      <c r="G11" s="186">
        <f t="shared" si="1"/>
        <v>58.632505485981902</v>
      </c>
      <c r="H11" s="187"/>
    </row>
    <row r="12" spans="1:13" s="57" customFormat="1" ht="38">
      <c r="A12" s="190" t="s">
        <v>397</v>
      </c>
      <c r="B12" s="184" t="s">
        <v>396</v>
      </c>
      <c r="C12" s="185">
        <v>2520</v>
      </c>
      <c r="D12" s="189">
        <v>3000</v>
      </c>
      <c r="E12" s="185">
        <v>2545</v>
      </c>
      <c r="F12" s="185">
        <f t="shared" si="0"/>
        <v>-455</v>
      </c>
      <c r="G12" s="186">
        <f t="shared" si="1"/>
        <v>84.833333333333343</v>
      </c>
      <c r="H12" s="191"/>
    </row>
    <row r="13" spans="1:13" s="55" customFormat="1" ht="38">
      <c r="A13" s="183" t="s">
        <v>125</v>
      </c>
      <c r="B13" s="184">
        <v>1010</v>
      </c>
      <c r="C13" s="185">
        <f>C14+C15+C17+C18+C19+C20+C21+C16</f>
        <v>107629</v>
      </c>
      <c r="D13" s="185">
        <f>D14+D15+D16+D17+D18+D19+D20+D21</f>
        <v>256127</v>
      </c>
      <c r="E13" s="185">
        <f>E14+E15+E17+E18+E19+E20+E21+E16</f>
        <v>181814</v>
      </c>
      <c r="F13" s="185">
        <f t="shared" si="0"/>
        <v>-74313</v>
      </c>
      <c r="G13" s="186">
        <f>E13/D13*100</f>
        <v>70.985878099536563</v>
      </c>
      <c r="H13" s="192"/>
      <c r="J13" s="65"/>
      <c r="M13" s="65"/>
    </row>
    <row r="14" spans="1:13" s="55" customFormat="1" ht="21.5">
      <c r="A14" s="183" t="s">
        <v>286</v>
      </c>
      <c r="B14" s="181">
        <v>1011</v>
      </c>
      <c r="C14" s="123">
        <v>16899</v>
      </c>
      <c r="D14" s="189">
        <v>30500</v>
      </c>
      <c r="E14" s="123">
        <f>78930-E15-E16-1809</f>
        <v>16113</v>
      </c>
      <c r="F14" s="185">
        <f t="shared" si="0"/>
        <v>-14387</v>
      </c>
      <c r="G14" s="186">
        <f t="shared" si="1"/>
        <v>52.829508196721306</v>
      </c>
      <c r="H14" s="193"/>
    </row>
    <row r="15" spans="1:13" s="55" customFormat="1" ht="21.5">
      <c r="A15" s="183" t="s">
        <v>65</v>
      </c>
      <c r="B15" s="181">
        <v>1012</v>
      </c>
      <c r="C15" s="123">
        <v>3747</v>
      </c>
      <c r="D15" s="189">
        <v>4800</v>
      </c>
      <c r="E15" s="123">
        <v>7337</v>
      </c>
      <c r="F15" s="185">
        <f t="shared" si="0"/>
        <v>2537</v>
      </c>
      <c r="G15" s="186">
        <f t="shared" si="1"/>
        <v>152.85416666666666</v>
      </c>
      <c r="H15" s="193"/>
    </row>
    <row r="16" spans="1:13" s="55" customFormat="1" ht="21.5">
      <c r="A16" s="183" t="s">
        <v>64</v>
      </c>
      <c r="B16" s="181">
        <v>1013</v>
      </c>
      <c r="C16" s="123"/>
      <c r="D16" s="189">
        <v>129089</v>
      </c>
      <c r="E16" s="123">
        <v>53671</v>
      </c>
      <c r="F16" s="185">
        <f t="shared" si="0"/>
        <v>-75418</v>
      </c>
      <c r="G16" s="186"/>
      <c r="H16" s="193"/>
    </row>
    <row r="17" spans="1:10" s="55" customFormat="1" ht="21.5">
      <c r="A17" s="183" t="s">
        <v>40</v>
      </c>
      <c r="B17" s="181">
        <v>1014</v>
      </c>
      <c r="C17" s="123">
        <v>18816</v>
      </c>
      <c r="D17" s="189">
        <v>29901</v>
      </c>
      <c r="E17" s="123">
        <f>32160-E80-488</f>
        <v>24173</v>
      </c>
      <c r="F17" s="185">
        <f>E17-D17</f>
        <v>-5728</v>
      </c>
      <c r="G17" s="186">
        <f t="shared" si="1"/>
        <v>80.843450051837735</v>
      </c>
      <c r="H17" s="193"/>
    </row>
    <row r="18" spans="1:10" s="55" customFormat="1" ht="21.5">
      <c r="A18" s="183" t="s">
        <v>41</v>
      </c>
      <c r="B18" s="181">
        <v>1015</v>
      </c>
      <c r="C18" s="123">
        <v>4400</v>
      </c>
      <c r="D18" s="189">
        <v>6345</v>
      </c>
      <c r="E18" s="123">
        <f>7184-E81-107</f>
        <v>5448</v>
      </c>
      <c r="F18" s="185">
        <f t="shared" si="0"/>
        <v>-897</v>
      </c>
      <c r="G18" s="186">
        <f t="shared" si="1"/>
        <v>85.862884160756508</v>
      </c>
      <c r="H18" s="193"/>
    </row>
    <row r="19" spans="1:10" s="55" customFormat="1" ht="57">
      <c r="A19" s="183" t="s">
        <v>262</v>
      </c>
      <c r="B19" s="181">
        <v>1016</v>
      </c>
      <c r="C19" s="123"/>
      <c r="D19" s="189"/>
      <c r="E19" s="123"/>
      <c r="F19" s="123"/>
      <c r="G19" s="194"/>
      <c r="H19" s="193"/>
    </row>
    <row r="20" spans="1:10" s="55" customFormat="1" ht="21.5">
      <c r="A20" s="183" t="s">
        <v>63</v>
      </c>
      <c r="B20" s="181">
        <v>1017</v>
      </c>
      <c r="C20" s="123">
        <v>3089</v>
      </c>
      <c r="D20" s="189">
        <v>4300</v>
      </c>
      <c r="E20" s="123">
        <f>3226-E82-40</f>
        <v>2992</v>
      </c>
      <c r="F20" s="185">
        <f t="shared" ref="F20:F25" si="2">E20-D20</f>
        <v>-1308</v>
      </c>
      <c r="G20" s="186">
        <f>E20/D20*100</f>
        <v>69.581395348837205</v>
      </c>
      <c r="H20" s="195"/>
    </row>
    <row r="21" spans="1:10" s="55" customFormat="1" ht="21.5">
      <c r="A21" s="183" t="s">
        <v>123</v>
      </c>
      <c r="B21" s="181">
        <v>1018</v>
      </c>
      <c r="C21" s="123">
        <f>C22+C23+C24+C25+C30+C31+C32+C33+C38+C39+C40+C42+C46+C47+C51+C59+C29+C52+C53+C54+C57+C44+C36+C55+C56+C35</f>
        <v>60678</v>
      </c>
      <c r="D21" s="123">
        <f>D22+3+D23+D24+D25+D26+D27-3+D28+D29+D30+D31+D32+D33+D36+D38+D39+D40+D41+D42+D43+D44+D45+D48+D50+D51+D59+D52</f>
        <v>51192</v>
      </c>
      <c r="E21" s="123">
        <f>E22+E23+E24+E25+E30+E31+E32+E33+E38+E39+E40+E42+E46+E47+E51+E59+E29+E35+E36+E44+E58+E37+E48+E57+E49+E54+E56</f>
        <v>72080</v>
      </c>
      <c r="F21" s="185">
        <f t="shared" si="2"/>
        <v>20888</v>
      </c>
      <c r="G21" s="186">
        <f>E21/D21*100</f>
        <v>140.80325050789187</v>
      </c>
      <c r="H21" s="193"/>
      <c r="J21" s="65"/>
    </row>
    <row r="22" spans="1:10" s="55" customFormat="1" ht="21.5">
      <c r="A22" s="183" t="s">
        <v>399</v>
      </c>
      <c r="B22" s="181" t="s">
        <v>398</v>
      </c>
      <c r="C22" s="123">
        <v>194</v>
      </c>
      <c r="D22" s="123">
        <v>210</v>
      </c>
      <c r="E22" s="123">
        <v>209</v>
      </c>
      <c r="F22" s="185">
        <f t="shared" si="2"/>
        <v>-1</v>
      </c>
      <c r="G22" s="186">
        <f>E22/D22*100</f>
        <v>99.523809523809518</v>
      </c>
      <c r="H22" s="193"/>
    </row>
    <row r="23" spans="1:10" s="55" customFormat="1" ht="21.5">
      <c r="A23" s="183" t="s">
        <v>400</v>
      </c>
      <c r="B23" s="181" t="s">
        <v>401</v>
      </c>
      <c r="C23" s="123">
        <v>60</v>
      </c>
      <c r="D23" s="123">
        <v>160</v>
      </c>
      <c r="E23" s="123">
        <f>25+222</f>
        <v>247</v>
      </c>
      <c r="F23" s="185">
        <f t="shared" si="2"/>
        <v>87</v>
      </c>
      <c r="G23" s="186">
        <f t="shared" ref="G23:G39" si="3">E23/D23*100</f>
        <v>154.375</v>
      </c>
      <c r="H23" s="193"/>
    </row>
    <row r="24" spans="1:10" s="55" customFormat="1" ht="21.5">
      <c r="A24" s="183" t="s">
        <v>494</v>
      </c>
      <c r="B24" s="181" t="s">
        <v>402</v>
      </c>
      <c r="C24" s="123">
        <v>749</v>
      </c>
      <c r="D24" s="123">
        <v>615</v>
      </c>
      <c r="E24" s="123">
        <v>1803</v>
      </c>
      <c r="F24" s="185">
        <f t="shared" si="2"/>
        <v>1188</v>
      </c>
      <c r="G24" s="186">
        <f t="shared" si="3"/>
        <v>293.17073170731709</v>
      </c>
      <c r="H24" s="193"/>
    </row>
    <row r="25" spans="1:10" s="55" customFormat="1" ht="38">
      <c r="A25" s="183" t="s">
        <v>409</v>
      </c>
      <c r="B25" s="181" t="s">
        <v>403</v>
      </c>
      <c r="C25" s="123">
        <v>114</v>
      </c>
      <c r="D25" s="123">
        <v>110</v>
      </c>
      <c r="E25" s="123">
        <f>122</f>
        <v>122</v>
      </c>
      <c r="F25" s="185">
        <f t="shared" si="2"/>
        <v>12</v>
      </c>
      <c r="G25" s="186">
        <f t="shared" si="3"/>
        <v>110.90909090909091</v>
      </c>
      <c r="H25" s="193"/>
    </row>
    <row r="26" spans="1:10" s="55" customFormat="1" ht="21.5">
      <c r="A26" s="183" t="s">
        <v>410</v>
      </c>
      <c r="B26" s="181" t="s">
        <v>404</v>
      </c>
      <c r="C26" s="123"/>
      <c r="D26" s="123">
        <v>17</v>
      </c>
      <c r="E26" s="123"/>
      <c r="F26" s="185">
        <f t="shared" ref="F26:F33" si="4">E26-D26</f>
        <v>-17</v>
      </c>
      <c r="G26" s="186"/>
      <c r="H26" s="193"/>
    </row>
    <row r="27" spans="1:10" s="55" customFormat="1" ht="21.5">
      <c r="A27" s="183" t="s">
        <v>411</v>
      </c>
      <c r="B27" s="181" t="s">
        <v>405</v>
      </c>
      <c r="C27" s="123"/>
      <c r="D27" s="123">
        <v>20</v>
      </c>
      <c r="E27" s="123"/>
      <c r="F27" s="185">
        <f t="shared" si="4"/>
        <v>-20</v>
      </c>
      <c r="G27" s="186">
        <f t="shared" si="3"/>
        <v>0</v>
      </c>
      <c r="H27" s="193"/>
    </row>
    <row r="28" spans="1:10" s="55" customFormat="1" ht="21.5">
      <c r="A28" s="183" t="s">
        <v>412</v>
      </c>
      <c r="B28" s="181" t="s">
        <v>406</v>
      </c>
      <c r="C28" s="123"/>
      <c r="D28" s="123">
        <v>15</v>
      </c>
      <c r="E28" s="123"/>
      <c r="F28" s="185">
        <f t="shared" si="4"/>
        <v>-15</v>
      </c>
      <c r="G28" s="186">
        <f t="shared" si="3"/>
        <v>0</v>
      </c>
      <c r="H28" s="193"/>
    </row>
    <row r="29" spans="1:10" s="55" customFormat="1" ht="21.5">
      <c r="A29" s="183" t="s">
        <v>413</v>
      </c>
      <c r="B29" s="181" t="s">
        <v>407</v>
      </c>
      <c r="C29" s="123">
        <v>17</v>
      </c>
      <c r="D29" s="123">
        <v>32</v>
      </c>
      <c r="E29" s="123">
        <v>6</v>
      </c>
      <c r="F29" s="185">
        <f t="shared" si="4"/>
        <v>-26</v>
      </c>
      <c r="G29" s="186">
        <f t="shared" si="3"/>
        <v>18.75</v>
      </c>
      <c r="H29" s="193"/>
    </row>
    <row r="30" spans="1:10" s="55" customFormat="1" ht="21.5">
      <c r="A30" s="183" t="s">
        <v>423</v>
      </c>
      <c r="B30" s="181" t="s">
        <v>408</v>
      </c>
      <c r="C30" s="123">
        <v>156</v>
      </c>
      <c r="D30" s="123">
        <v>210</v>
      </c>
      <c r="E30" s="123">
        <v>147</v>
      </c>
      <c r="F30" s="185">
        <f t="shared" si="4"/>
        <v>-63</v>
      </c>
      <c r="G30" s="186">
        <f t="shared" si="3"/>
        <v>70</v>
      </c>
      <c r="H30" s="193"/>
    </row>
    <row r="31" spans="1:10" s="55" customFormat="1" ht="21.5">
      <c r="A31" s="183" t="s">
        <v>548</v>
      </c>
      <c r="B31" s="181" t="s">
        <v>414</v>
      </c>
      <c r="C31" s="123">
        <v>121</v>
      </c>
      <c r="D31" s="123">
        <v>575</v>
      </c>
      <c r="E31" s="123">
        <f>554+75</f>
        <v>629</v>
      </c>
      <c r="F31" s="185">
        <f t="shared" si="4"/>
        <v>54</v>
      </c>
      <c r="G31" s="186">
        <f t="shared" si="3"/>
        <v>109.39130434782609</v>
      </c>
      <c r="H31" s="193"/>
    </row>
    <row r="32" spans="1:10" s="55" customFormat="1" ht="38">
      <c r="A32" s="183" t="s">
        <v>537</v>
      </c>
      <c r="B32" s="181" t="s">
        <v>415</v>
      </c>
      <c r="C32" s="123">
        <v>95</v>
      </c>
      <c r="D32" s="123">
        <v>120</v>
      </c>
      <c r="E32" s="123">
        <f>47+15+16</f>
        <v>78</v>
      </c>
      <c r="F32" s="185">
        <f t="shared" si="4"/>
        <v>-42</v>
      </c>
      <c r="G32" s="186">
        <f t="shared" si="3"/>
        <v>65</v>
      </c>
      <c r="H32" s="193"/>
    </row>
    <row r="33" spans="1:8" s="55" customFormat="1" ht="21.5">
      <c r="A33" s="183" t="s">
        <v>424</v>
      </c>
      <c r="B33" s="181" t="s">
        <v>416</v>
      </c>
      <c r="C33" s="123">
        <v>20</v>
      </c>
      <c r="D33" s="123">
        <v>205</v>
      </c>
      <c r="E33" s="123">
        <v>20</v>
      </c>
      <c r="F33" s="185">
        <f t="shared" si="4"/>
        <v>-185</v>
      </c>
      <c r="G33" s="186">
        <f t="shared" si="3"/>
        <v>9.7560975609756095</v>
      </c>
      <c r="H33" s="193"/>
    </row>
    <row r="34" spans="1:8" s="55" customFormat="1" ht="21.5">
      <c r="A34" s="183" t="s">
        <v>541</v>
      </c>
      <c r="B34" s="181" t="s">
        <v>417</v>
      </c>
      <c r="C34" s="123"/>
      <c r="D34" s="123"/>
      <c r="E34" s="123"/>
      <c r="F34" s="185"/>
      <c r="G34" s="186"/>
      <c r="H34" s="193"/>
    </row>
    <row r="35" spans="1:8" s="55" customFormat="1" ht="21.5">
      <c r="A35" s="183" t="s">
        <v>591</v>
      </c>
      <c r="B35" s="181" t="s">
        <v>418</v>
      </c>
      <c r="C35" s="123">
        <v>46</v>
      </c>
      <c r="D35" s="123"/>
      <c r="E35" s="123">
        <v>83</v>
      </c>
      <c r="F35" s="185"/>
      <c r="G35" s="186"/>
      <c r="H35" s="193"/>
    </row>
    <row r="36" spans="1:8" s="55" customFormat="1" ht="21.5">
      <c r="A36" s="183" t="s">
        <v>425</v>
      </c>
      <c r="B36" s="181" t="s">
        <v>419</v>
      </c>
      <c r="C36" s="123">
        <v>64</v>
      </c>
      <c r="D36" s="123">
        <v>80</v>
      </c>
      <c r="E36" s="123">
        <v>105</v>
      </c>
      <c r="F36" s="185">
        <f t="shared" ref="F36:F43" si="5">E36-D36</f>
        <v>25</v>
      </c>
      <c r="G36" s="186">
        <f t="shared" si="3"/>
        <v>131.25</v>
      </c>
      <c r="H36" s="193"/>
    </row>
    <row r="37" spans="1:8" s="55" customFormat="1" ht="21.5">
      <c r="A37" s="183" t="s">
        <v>549</v>
      </c>
      <c r="B37" s="181" t="s">
        <v>420</v>
      </c>
      <c r="C37" s="123"/>
      <c r="D37" s="123"/>
      <c r="E37" s="123">
        <v>2</v>
      </c>
      <c r="F37" s="185">
        <f t="shared" si="5"/>
        <v>2</v>
      </c>
      <c r="G37" s="186"/>
      <c r="H37" s="193"/>
    </row>
    <row r="38" spans="1:8" s="55" customFormat="1" ht="38">
      <c r="A38" s="196" t="s">
        <v>426</v>
      </c>
      <c r="B38" s="181" t="s">
        <v>421</v>
      </c>
      <c r="C38" s="123">
        <v>268</v>
      </c>
      <c r="D38" s="123">
        <v>295</v>
      </c>
      <c r="E38" s="123">
        <v>337</v>
      </c>
      <c r="F38" s="185">
        <f t="shared" si="5"/>
        <v>42</v>
      </c>
      <c r="G38" s="186">
        <f t="shared" si="3"/>
        <v>114.23728813559322</v>
      </c>
      <c r="H38" s="193"/>
    </row>
    <row r="39" spans="1:8" s="55" customFormat="1" ht="21.5">
      <c r="A39" s="197" t="s">
        <v>427</v>
      </c>
      <c r="B39" s="181" t="s">
        <v>422</v>
      </c>
      <c r="C39" s="123">
        <v>55</v>
      </c>
      <c r="D39" s="123">
        <v>55</v>
      </c>
      <c r="E39" s="123">
        <v>52</v>
      </c>
      <c r="F39" s="185">
        <f t="shared" si="5"/>
        <v>-3</v>
      </c>
      <c r="G39" s="186">
        <f t="shared" si="3"/>
        <v>94.545454545454547</v>
      </c>
      <c r="H39" s="193"/>
    </row>
    <row r="40" spans="1:8" s="55" customFormat="1" ht="21.5">
      <c r="A40" s="183" t="s">
        <v>47</v>
      </c>
      <c r="B40" s="181" t="s">
        <v>428</v>
      </c>
      <c r="C40" s="123">
        <v>180</v>
      </c>
      <c r="D40" s="123">
        <v>250</v>
      </c>
      <c r="E40" s="123">
        <v>195</v>
      </c>
      <c r="F40" s="185">
        <f t="shared" si="5"/>
        <v>-55</v>
      </c>
      <c r="G40" s="186">
        <f>E40/D40*100</f>
        <v>78</v>
      </c>
      <c r="H40" s="193"/>
    </row>
    <row r="41" spans="1:8" s="55" customFormat="1" ht="21.5">
      <c r="A41" s="183" t="s">
        <v>467</v>
      </c>
      <c r="B41" s="181" t="s">
        <v>500</v>
      </c>
      <c r="C41" s="123"/>
      <c r="D41" s="123">
        <v>8</v>
      </c>
      <c r="E41" s="123"/>
      <c r="F41" s="185">
        <f t="shared" si="5"/>
        <v>-8</v>
      </c>
      <c r="G41" s="186"/>
      <c r="H41" s="193"/>
    </row>
    <row r="42" spans="1:8" s="55" customFormat="1" ht="38">
      <c r="A42" s="183" t="s">
        <v>503</v>
      </c>
      <c r="B42" s="181" t="s">
        <v>501</v>
      </c>
      <c r="C42" s="123">
        <v>124</v>
      </c>
      <c r="D42" s="123">
        <v>1500</v>
      </c>
      <c r="E42" s="123">
        <v>1239</v>
      </c>
      <c r="F42" s="185">
        <f t="shared" si="5"/>
        <v>-261</v>
      </c>
      <c r="G42" s="186">
        <f>E42/D42*100</f>
        <v>82.6</v>
      </c>
      <c r="H42" s="193"/>
    </row>
    <row r="43" spans="1:8" s="55" customFormat="1" ht="21.5">
      <c r="A43" s="183" t="s">
        <v>575</v>
      </c>
      <c r="B43" s="181" t="s">
        <v>502</v>
      </c>
      <c r="C43" s="123"/>
      <c r="D43" s="123">
        <v>300</v>
      </c>
      <c r="E43" s="123"/>
      <c r="F43" s="185">
        <f t="shared" si="5"/>
        <v>-300</v>
      </c>
      <c r="G43" s="186">
        <f>E43/D43*100</f>
        <v>0</v>
      </c>
      <c r="H43" s="193"/>
    </row>
    <row r="44" spans="1:8" s="55" customFormat="1" ht="21.5">
      <c r="A44" s="183" t="s">
        <v>561</v>
      </c>
      <c r="B44" s="181" t="s">
        <v>504</v>
      </c>
      <c r="C44" s="123">
        <v>110</v>
      </c>
      <c r="D44" s="123">
        <v>50</v>
      </c>
      <c r="E44" s="123">
        <v>92</v>
      </c>
      <c r="F44" s="185">
        <f>E44-D44</f>
        <v>42</v>
      </c>
      <c r="G44" s="186">
        <f>E44/D44*100</f>
        <v>184</v>
      </c>
      <c r="H44" s="193"/>
    </row>
    <row r="45" spans="1:8" s="55" customFormat="1" ht="21.5">
      <c r="A45" s="183" t="s">
        <v>562</v>
      </c>
      <c r="B45" s="181" t="s">
        <v>505</v>
      </c>
      <c r="C45" s="123"/>
      <c r="D45" s="123">
        <v>100</v>
      </c>
      <c r="E45" s="123"/>
      <c r="F45" s="185">
        <f>E45-D45</f>
        <v>-100</v>
      </c>
      <c r="G45" s="186">
        <f>E45/D45*100</f>
        <v>0</v>
      </c>
      <c r="H45" s="193"/>
    </row>
    <row r="46" spans="1:8" s="55" customFormat="1" ht="21.5">
      <c r="A46" s="183" t="s">
        <v>581</v>
      </c>
      <c r="B46" s="181" t="s">
        <v>520</v>
      </c>
      <c r="C46" s="123">
        <v>188</v>
      </c>
      <c r="D46" s="123"/>
      <c r="E46" s="123">
        <v>533</v>
      </c>
      <c r="F46" s="185">
        <f>E46-D46</f>
        <v>533</v>
      </c>
      <c r="G46" s="186"/>
      <c r="H46" s="193"/>
    </row>
    <row r="47" spans="1:8" s="55" customFormat="1" ht="21.5">
      <c r="A47" s="183" t="s">
        <v>580</v>
      </c>
      <c r="B47" s="181" t="s">
        <v>521</v>
      </c>
      <c r="C47" s="123">
        <v>30</v>
      </c>
      <c r="D47" s="123"/>
      <c r="E47" s="123">
        <v>29</v>
      </c>
      <c r="F47" s="185">
        <f>E47-D47</f>
        <v>29</v>
      </c>
      <c r="G47" s="186"/>
      <c r="H47" s="193"/>
    </row>
    <row r="48" spans="1:8" s="55" customFormat="1" ht="21.5">
      <c r="A48" s="183" t="s">
        <v>610</v>
      </c>
      <c r="B48" s="181" t="s">
        <v>522</v>
      </c>
      <c r="C48" s="123"/>
      <c r="D48" s="123"/>
      <c r="E48" s="123"/>
      <c r="F48" s="185">
        <f>E48-D48</f>
        <v>0</v>
      </c>
      <c r="G48" s="186"/>
      <c r="H48" s="193"/>
    </row>
    <row r="49" spans="1:8" s="55" customFormat="1" ht="21.5">
      <c r="A49" s="183" t="s">
        <v>611</v>
      </c>
      <c r="B49" s="181" t="s">
        <v>557</v>
      </c>
      <c r="C49" s="123"/>
      <c r="D49" s="123"/>
      <c r="E49" s="123">
        <v>48</v>
      </c>
      <c r="F49" s="185">
        <f t="shared" ref="F49:F62" si="6">E49-D49</f>
        <v>48</v>
      </c>
      <c r="G49" s="186"/>
      <c r="H49" s="193"/>
    </row>
    <row r="50" spans="1:8" s="55" customFormat="1" ht="21.5">
      <c r="A50" s="183" t="s">
        <v>563</v>
      </c>
      <c r="B50" s="181" t="s">
        <v>564</v>
      </c>
      <c r="C50" s="123"/>
      <c r="D50" s="123">
        <v>250</v>
      </c>
      <c r="E50" s="123"/>
      <c r="F50" s="185">
        <f t="shared" si="6"/>
        <v>-250</v>
      </c>
      <c r="G50" s="186">
        <f>E50/D50*100</f>
        <v>0</v>
      </c>
      <c r="H50" s="193"/>
    </row>
    <row r="51" spans="1:8" s="55" customFormat="1" ht="57">
      <c r="A51" s="183" t="s">
        <v>576</v>
      </c>
      <c r="B51" s="181" t="s">
        <v>565</v>
      </c>
      <c r="C51" s="123">
        <v>1119</v>
      </c>
      <c r="D51" s="123">
        <v>1000</v>
      </c>
      <c r="E51" s="123">
        <v>1283</v>
      </c>
      <c r="F51" s="185">
        <f t="shared" si="6"/>
        <v>283</v>
      </c>
      <c r="G51" s="186">
        <f>E51/D51*100</f>
        <v>128.29999999999998</v>
      </c>
      <c r="H51" s="193"/>
    </row>
    <row r="52" spans="1:8" s="55" customFormat="1" ht="21.5">
      <c r="A52" s="183" t="s">
        <v>577</v>
      </c>
      <c r="B52" s="181" t="s">
        <v>566</v>
      </c>
      <c r="C52" s="123"/>
      <c r="D52" s="123">
        <v>15</v>
      </c>
      <c r="E52" s="123"/>
      <c r="F52" s="185"/>
      <c r="G52" s="186"/>
      <c r="H52" s="193"/>
    </row>
    <row r="53" spans="1:8" s="55" customFormat="1" ht="21.5">
      <c r="A53" s="183" t="s">
        <v>597</v>
      </c>
      <c r="B53" s="181" t="s">
        <v>578</v>
      </c>
      <c r="C53" s="123">
        <v>58</v>
      </c>
      <c r="D53" s="123"/>
      <c r="E53" s="123"/>
      <c r="F53" s="185"/>
      <c r="G53" s="186"/>
      <c r="H53" s="193"/>
    </row>
    <row r="54" spans="1:8" s="55" customFormat="1" ht="21.5">
      <c r="A54" s="183" t="s">
        <v>601</v>
      </c>
      <c r="B54" s="181" t="s">
        <v>579</v>
      </c>
      <c r="C54" s="123">
        <v>8</v>
      </c>
      <c r="D54" s="123"/>
      <c r="E54" s="123">
        <v>11</v>
      </c>
      <c r="F54" s="185"/>
      <c r="G54" s="186"/>
      <c r="H54" s="193"/>
    </row>
    <row r="55" spans="1:8" s="55" customFormat="1" ht="21.5">
      <c r="A55" s="183" t="s">
        <v>615</v>
      </c>
      <c r="B55" s="181" t="s">
        <v>598</v>
      </c>
      <c r="C55" s="123">
        <v>27</v>
      </c>
      <c r="D55" s="123"/>
      <c r="E55" s="123"/>
      <c r="F55" s="185"/>
      <c r="G55" s="186"/>
      <c r="H55" s="193"/>
    </row>
    <row r="56" spans="1:8" s="55" customFormat="1" ht="21.5">
      <c r="A56" s="183" t="s">
        <v>621</v>
      </c>
      <c r="B56" s="181" t="s">
        <v>599</v>
      </c>
      <c r="C56" s="123"/>
      <c r="D56" s="123"/>
      <c r="E56" s="123">
        <v>42</v>
      </c>
      <c r="F56" s="185"/>
      <c r="G56" s="186"/>
      <c r="H56" s="193"/>
    </row>
    <row r="57" spans="1:8" s="55" customFormat="1" ht="21.5">
      <c r="A57" s="183" t="s">
        <v>609</v>
      </c>
      <c r="B57" s="181" t="s">
        <v>600</v>
      </c>
      <c r="C57" s="123"/>
      <c r="D57" s="123"/>
      <c r="E57" s="123"/>
      <c r="F57" s="185"/>
      <c r="G57" s="186"/>
      <c r="H57" s="193"/>
    </row>
    <row r="58" spans="1:8" s="55" customFormat="1" ht="21.5">
      <c r="A58" s="183" t="s">
        <v>592</v>
      </c>
      <c r="B58" s="181" t="s">
        <v>616</v>
      </c>
      <c r="C58" s="123"/>
      <c r="D58" s="123"/>
      <c r="E58" s="123">
        <v>12319</v>
      </c>
      <c r="F58" s="185">
        <f t="shared" si="6"/>
        <v>12319</v>
      </c>
      <c r="G58" s="186"/>
      <c r="H58" s="193"/>
    </row>
    <row r="59" spans="1:8" s="55" customFormat="1" ht="38">
      <c r="A59" s="183" t="s">
        <v>507</v>
      </c>
      <c r="B59" s="181" t="s">
        <v>617</v>
      </c>
      <c r="C59" s="123">
        <v>56875</v>
      </c>
      <c r="D59" s="123">
        <v>45000</v>
      </c>
      <c r="E59" s="123">
        <v>52449</v>
      </c>
      <c r="F59" s="185">
        <f t="shared" si="6"/>
        <v>7449</v>
      </c>
      <c r="G59" s="186">
        <f>E59/D59*100</f>
        <v>116.55333333333333</v>
      </c>
      <c r="H59" s="195"/>
    </row>
    <row r="60" spans="1:8" s="57" customFormat="1" ht="21">
      <c r="A60" s="198" t="s">
        <v>23</v>
      </c>
      <c r="B60" s="199">
        <v>1020</v>
      </c>
      <c r="C60" s="200">
        <f>C9-C13</f>
        <v>9561</v>
      </c>
      <c r="D60" s="200">
        <f>D9-D13</f>
        <v>15134</v>
      </c>
      <c r="E60" s="200">
        <f>E9-E13</f>
        <v>-3012</v>
      </c>
      <c r="F60" s="200">
        <f t="shared" si="6"/>
        <v>-18146</v>
      </c>
      <c r="G60" s="201">
        <f>E60/D60*100</f>
        <v>-19.90220695123563</v>
      </c>
      <c r="H60" s="202"/>
    </row>
    <row r="61" spans="1:8" s="55" customFormat="1" ht="21.5">
      <c r="A61" s="183" t="s">
        <v>218</v>
      </c>
      <c r="B61" s="184">
        <v>1030</v>
      </c>
      <c r="C61" s="185">
        <f>C62+C63+C64+C65+C66+C67+C68+C69+C70</f>
        <v>2520</v>
      </c>
      <c r="D61" s="185">
        <f>D62+D63+D64+D70+D69</f>
        <v>3750</v>
      </c>
      <c r="E61" s="185">
        <f>E62+E63+E64+E65+E66+E67+E68+E69+E70</f>
        <v>1869</v>
      </c>
      <c r="F61" s="185">
        <f t="shared" si="6"/>
        <v>-1881</v>
      </c>
      <c r="G61" s="186">
        <f>E61/D61*100</f>
        <v>49.84</v>
      </c>
      <c r="H61" s="203"/>
    </row>
    <row r="62" spans="1:8" s="55" customFormat="1" ht="21.5">
      <c r="A62" s="204" t="s">
        <v>567</v>
      </c>
      <c r="B62" s="184" t="s">
        <v>429</v>
      </c>
      <c r="C62" s="185">
        <v>1107</v>
      </c>
      <c r="D62" s="185">
        <v>2250</v>
      </c>
      <c r="E62" s="185">
        <v>424</v>
      </c>
      <c r="F62" s="185">
        <f t="shared" si="6"/>
        <v>-1826</v>
      </c>
      <c r="G62" s="186">
        <f>E62/D62*100</f>
        <v>18.844444444444445</v>
      </c>
      <c r="H62" s="203"/>
    </row>
    <row r="63" spans="1:8" s="55" customFormat="1" ht="21.5">
      <c r="A63" s="204" t="s">
        <v>427</v>
      </c>
      <c r="B63" s="184" t="s">
        <v>430</v>
      </c>
      <c r="C63" s="185">
        <v>274</v>
      </c>
      <c r="D63" s="185">
        <v>800</v>
      </c>
      <c r="E63" s="185">
        <v>1192</v>
      </c>
      <c r="F63" s="185"/>
      <c r="G63" s="186"/>
      <c r="H63" s="203"/>
    </row>
    <row r="64" spans="1:8" s="55" customFormat="1" ht="21.5">
      <c r="A64" s="204" t="s">
        <v>7</v>
      </c>
      <c r="B64" s="184" t="s">
        <v>431</v>
      </c>
      <c r="C64" s="185"/>
      <c r="D64" s="185"/>
      <c r="E64" s="185"/>
      <c r="F64" s="185"/>
      <c r="G64" s="186"/>
      <c r="H64" s="203"/>
    </row>
    <row r="65" spans="1:10" s="55" customFormat="1" ht="21.5">
      <c r="A65" s="204" t="s">
        <v>593</v>
      </c>
      <c r="B65" s="184" t="s">
        <v>432</v>
      </c>
      <c r="C65" s="185"/>
      <c r="D65" s="185"/>
      <c r="E65" s="185"/>
      <c r="F65" s="185"/>
      <c r="G65" s="186"/>
      <c r="H65" s="203"/>
    </row>
    <row r="66" spans="1:10" s="55" customFormat="1" ht="21.5">
      <c r="A66" s="204" t="s">
        <v>594</v>
      </c>
      <c r="B66" s="184" t="s">
        <v>433</v>
      </c>
      <c r="C66" s="185"/>
      <c r="D66" s="185"/>
      <c r="E66" s="185"/>
      <c r="F66" s="185"/>
      <c r="G66" s="186"/>
      <c r="H66" s="203"/>
    </row>
    <row r="67" spans="1:10" s="55" customFormat="1" ht="21.5">
      <c r="A67" s="204" t="s">
        <v>437</v>
      </c>
      <c r="B67" s="184" t="s">
        <v>434</v>
      </c>
      <c r="C67" s="185"/>
      <c r="D67" s="185"/>
      <c r="E67" s="185"/>
      <c r="F67" s="185"/>
      <c r="G67" s="186"/>
      <c r="H67" s="203"/>
    </row>
    <row r="68" spans="1:10" s="55" customFormat="1" ht="21.5">
      <c r="A68" s="204" t="s">
        <v>591</v>
      </c>
      <c r="B68" s="184" t="s">
        <v>435</v>
      </c>
      <c r="C68" s="185"/>
      <c r="D68" s="185"/>
      <c r="E68" s="185"/>
      <c r="F68" s="185"/>
      <c r="G68" s="186"/>
      <c r="H68" s="203"/>
    </row>
    <row r="69" spans="1:10" s="55" customFormat="1" ht="21.5">
      <c r="A69" s="204" t="s">
        <v>568</v>
      </c>
      <c r="B69" s="184" t="s">
        <v>436</v>
      </c>
      <c r="C69" s="185">
        <v>767</v>
      </c>
      <c r="D69" s="185">
        <v>700</v>
      </c>
      <c r="E69" s="185">
        <v>253</v>
      </c>
      <c r="F69" s="185">
        <f>E69-D69</f>
        <v>-447</v>
      </c>
      <c r="G69" s="186">
        <f>E69/D69*100</f>
        <v>36.142857142857146</v>
      </c>
      <c r="H69" s="203"/>
    </row>
    <row r="70" spans="1:10" s="55" customFormat="1" ht="21.5">
      <c r="A70" s="196" t="s">
        <v>618</v>
      </c>
      <c r="B70" s="184" t="s">
        <v>508</v>
      </c>
      <c r="C70" s="185">
        <v>372</v>
      </c>
      <c r="D70" s="185"/>
      <c r="E70" s="185"/>
      <c r="F70" s="185">
        <f>E70-D70</f>
        <v>0</v>
      </c>
      <c r="G70" s="186"/>
      <c r="H70" s="203"/>
    </row>
    <row r="71" spans="1:10" s="55" customFormat="1" ht="21.5">
      <c r="A71" s="183" t="s">
        <v>219</v>
      </c>
      <c r="B71" s="184">
        <v>1031</v>
      </c>
      <c r="C71" s="185"/>
      <c r="D71" s="185"/>
      <c r="E71" s="185"/>
      <c r="F71" s="185"/>
      <c r="G71" s="186"/>
      <c r="H71" s="203"/>
    </row>
    <row r="72" spans="1:10" s="55" customFormat="1" ht="21.5">
      <c r="A72" s="183" t="s">
        <v>228</v>
      </c>
      <c r="B72" s="184">
        <v>1040</v>
      </c>
      <c r="C72" s="185">
        <f>C73+C74+C75+C76+C77+C78+C79+C80+C81+C82+C87+C93+C94+C86+C90+C92</f>
        <v>8848</v>
      </c>
      <c r="D72" s="185">
        <f>D73+D78+D79+D80+D81+D82+D86+D87+D92+D94</f>
        <v>10674</v>
      </c>
      <c r="E72" s="185">
        <f>E73+E76+E78+E79+E80+E81+E82+E86+E87+E88+E90+E91+E92+E94+E93</f>
        <v>11539</v>
      </c>
      <c r="F72" s="185">
        <f>E72-D72</f>
        <v>865</v>
      </c>
      <c r="G72" s="186">
        <f>E72/D72*100</f>
        <v>108.10380363500094</v>
      </c>
      <c r="H72" s="203"/>
      <c r="J72" s="65"/>
    </row>
    <row r="73" spans="1:10" s="55" customFormat="1" ht="38">
      <c r="A73" s="183" t="s">
        <v>106</v>
      </c>
      <c r="B73" s="184">
        <v>1041</v>
      </c>
      <c r="C73" s="185">
        <v>563</v>
      </c>
      <c r="D73" s="185">
        <v>800</v>
      </c>
      <c r="E73" s="185">
        <f>301+40+488+107</f>
        <v>936</v>
      </c>
      <c r="F73" s="185">
        <f>E73-D73</f>
        <v>136</v>
      </c>
      <c r="G73" s="186">
        <f>E73/D73*100</f>
        <v>117</v>
      </c>
      <c r="H73" s="203"/>
      <c r="J73" s="65"/>
    </row>
    <row r="74" spans="1:10" s="55" customFormat="1" ht="21.5">
      <c r="A74" s="183" t="s">
        <v>209</v>
      </c>
      <c r="B74" s="184">
        <v>1042</v>
      </c>
      <c r="C74" s="185"/>
      <c r="D74" s="185"/>
      <c r="E74" s="185"/>
      <c r="F74" s="185"/>
      <c r="G74" s="186"/>
      <c r="H74" s="203"/>
    </row>
    <row r="75" spans="1:10" s="55" customFormat="1" ht="21.5">
      <c r="A75" s="183" t="s">
        <v>62</v>
      </c>
      <c r="B75" s="184">
        <v>1043</v>
      </c>
      <c r="C75" s="185"/>
      <c r="D75" s="185"/>
      <c r="E75" s="185"/>
      <c r="F75" s="185"/>
      <c r="G75" s="186"/>
      <c r="H75" s="203"/>
    </row>
    <row r="76" spans="1:10" s="55" customFormat="1" ht="21.5">
      <c r="A76" s="183" t="s">
        <v>21</v>
      </c>
      <c r="B76" s="184">
        <v>1044</v>
      </c>
      <c r="C76" s="185"/>
      <c r="D76" s="185"/>
      <c r="E76" s="185"/>
      <c r="F76" s="185"/>
      <c r="G76" s="186"/>
      <c r="H76" s="203"/>
    </row>
    <row r="77" spans="1:10" s="55" customFormat="1" ht="21.5">
      <c r="A77" s="183" t="s">
        <v>22</v>
      </c>
      <c r="B77" s="184">
        <v>1045</v>
      </c>
      <c r="C77" s="185"/>
      <c r="D77" s="185"/>
      <c r="E77" s="185"/>
      <c r="F77" s="185"/>
      <c r="G77" s="186"/>
      <c r="H77" s="203"/>
    </row>
    <row r="78" spans="1:10" s="55" customFormat="1" ht="21.5">
      <c r="A78" s="183" t="s">
        <v>38</v>
      </c>
      <c r="B78" s="184">
        <v>1046</v>
      </c>
      <c r="C78" s="185">
        <v>30</v>
      </c>
      <c r="D78" s="185">
        <v>16</v>
      </c>
      <c r="E78" s="185">
        <v>14</v>
      </c>
      <c r="F78" s="185">
        <f>E78-D78</f>
        <v>-2</v>
      </c>
      <c r="G78" s="186">
        <f>E78/D78*100</f>
        <v>87.5</v>
      </c>
      <c r="H78" s="203"/>
    </row>
    <row r="79" spans="1:10" s="55" customFormat="1" ht="21.5">
      <c r="A79" s="183" t="s">
        <v>39</v>
      </c>
      <c r="B79" s="184">
        <v>1047</v>
      </c>
      <c r="C79" s="185">
        <v>31</v>
      </c>
      <c r="D79" s="185">
        <v>40</v>
      </c>
      <c r="E79" s="185">
        <v>28</v>
      </c>
      <c r="F79" s="185">
        <f>E79-D79</f>
        <v>-12</v>
      </c>
      <c r="G79" s="186">
        <f>E79/D79*100</f>
        <v>70</v>
      </c>
      <c r="H79" s="203"/>
    </row>
    <row r="80" spans="1:10" s="55" customFormat="1" ht="21.5">
      <c r="A80" s="183" t="s">
        <v>40</v>
      </c>
      <c r="B80" s="184">
        <v>1048</v>
      </c>
      <c r="C80" s="185">
        <v>5893</v>
      </c>
      <c r="D80" s="185">
        <v>6983</v>
      </c>
      <c r="E80" s="185">
        <f>7987-488</f>
        <v>7499</v>
      </c>
      <c r="F80" s="185">
        <f>E80-D80</f>
        <v>516</v>
      </c>
      <c r="G80" s="186">
        <f>E80/D80*100</f>
        <v>107.3893741944723</v>
      </c>
      <c r="H80" s="203"/>
    </row>
    <row r="81" spans="1:8" s="55" customFormat="1" ht="21.5">
      <c r="A81" s="183" t="s">
        <v>41</v>
      </c>
      <c r="B81" s="184">
        <v>1049</v>
      </c>
      <c r="C81" s="185">
        <v>1179</v>
      </c>
      <c r="D81" s="185">
        <v>1435</v>
      </c>
      <c r="E81" s="185">
        <f>1736-107</f>
        <v>1629</v>
      </c>
      <c r="F81" s="185">
        <f>E81-D81</f>
        <v>194</v>
      </c>
      <c r="G81" s="186">
        <f>E81/D81*100</f>
        <v>113.51916376306622</v>
      </c>
      <c r="H81" s="203"/>
    </row>
    <row r="82" spans="1:8" s="55" customFormat="1" ht="38">
      <c r="A82" s="183" t="s">
        <v>42</v>
      </c>
      <c r="B82" s="184">
        <v>1050</v>
      </c>
      <c r="C82" s="185">
        <v>169</v>
      </c>
      <c r="D82" s="185">
        <v>180</v>
      </c>
      <c r="E82" s="185">
        <f>234-40</f>
        <v>194</v>
      </c>
      <c r="F82" s="185">
        <f>E82-D82</f>
        <v>14</v>
      </c>
      <c r="G82" s="186">
        <f>E82/D82*100</f>
        <v>107.77777777777777</v>
      </c>
      <c r="H82" s="203"/>
    </row>
    <row r="83" spans="1:8" s="55" customFormat="1" ht="38">
      <c r="A83" s="183" t="s">
        <v>43</v>
      </c>
      <c r="B83" s="184">
        <v>1051</v>
      </c>
      <c r="C83" s="185"/>
      <c r="D83" s="185"/>
      <c r="E83" s="185"/>
      <c r="F83" s="185"/>
      <c r="G83" s="186"/>
      <c r="H83" s="203"/>
    </row>
    <row r="84" spans="1:8" s="55" customFormat="1" ht="38">
      <c r="A84" s="183" t="s">
        <v>44</v>
      </c>
      <c r="B84" s="184">
        <v>1052</v>
      </c>
      <c r="C84" s="185"/>
      <c r="D84" s="185"/>
      <c r="E84" s="185"/>
      <c r="F84" s="185"/>
      <c r="G84" s="186"/>
      <c r="H84" s="203"/>
    </row>
    <row r="85" spans="1:8" s="55" customFormat="1" ht="21.5">
      <c r="A85" s="183" t="s">
        <v>45</v>
      </c>
      <c r="B85" s="184">
        <v>1053</v>
      </c>
      <c r="C85" s="185"/>
      <c r="D85" s="185"/>
      <c r="E85" s="185"/>
      <c r="F85" s="185"/>
      <c r="G85" s="186"/>
      <c r="H85" s="203"/>
    </row>
    <row r="86" spans="1:8" s="55" customFormat="1" ht="21.5">
      <c r="A86" s="183" t="s">
        <v>46</v>
      </c>
      <c r="B86" s="184">
        <v>1054</v>
      </c>
      <c r="C86" s="185">
        <v>18</v>
      </c>
      <c r="D86" s="185">
        <v>40</v>
      </c>
      <c r="E86" s="185">
        <v>133</v>
      </c>
      <c r="F86" s="185">
        <f>E86-D86</f>
        <v>93</v>
      </c>
      <c r="G86" s="186">
        <f>E86/D86*100</f>
        <v>332.5</v>
      </c>
      <c r="H86" s="203"/>
    </row>
    <row r="87" spans="1:8" s="55" customFormat="1" ht="21.5">
      <c r="A87" s="183" t="s">
        <v>66</v>
      </c>
      <c r="B87" s="184">
        <v>1055</v>
      </c>
      <c r="C87" s="185">
        <v>109</v>
      </c>
      <c r="D87" s="185">
        <v>150</v>
      </c>
      <c r="E87" s="185">
        <v>60</v>
      </c>
      <c r="F87" s="185">
        <f>E87-D87</f>
        <v>-90</v>
      </c>
      <c r="G87" s="186">
        <f>E87/D87*100</f>
        <v>40</v>
      </c>
      <c r="H87" s="203"/>
    </row>
    <row r="88" spans="1:8" s="55" customFormat="1" ht="21.5">
      <c r="A88" s="183" t="s">
        <v>47</v>
      </c>
      <c r="B88" s="184">
        <v>1056</v>
      </c>
      <c r="C88" s="185"/>
      <c r="D88" s="185"/>
      <c r="E88" s="185"/>
      <c r="F88" s="185"/>
      <c r="G88" s="186"/>
      <c r="H88" s="203"/>
    </row>
    <row r="89" spans="1:8" s="55" customFormat="1" ht="21.5">
      <c r="A89" s="183" t="s">
        <v>48</v>
      </c>
      <c r="B89" s="184">
        <v>1057</v>
      </c>
      <c r="C89" s="185"/>
      <c r="D89" s="185"/>
      <c r="E89" s="185"/>
      <c r="F89" s="185"/>
      <c r="G89" s="186"/>
      <c r="H89" s="203"/>
    </row>
    <row r="90" spans="1:8" s="55" customFormat="1" ht="38">
      <c r="A90" s="183" t="s">
        <v>49</v>
      </c>
      <c r="B90" s="184">
        <v>1058</v>
      </c>
      <c r="C90" s="185">
        <v>24</v>
      </c>
      <c r="D90" s="185"/>
      <c r="E90" s="185">
        <v>30</v>
      </c>
      <c r="F90" s="185"/>
      <c r="G90" s="186"/>
      <c r="H90" s="203"/>
    </row>
    <row r="91" spans="1:8" s="55" customFormat="1" ht="38">
      <c r="A91" s="183" t="s">
        <v>50</v>
      </c>
      <c r="B91" s="184">
        <v>1059</v>
      </c>
      <c r="C91" s="185"/>
      <c r="D91" s="185"/>
      <c r="E91" s="185"/>
      <c r="F91" s="185"/>
      <c r="G91" s="186"/>
      <c r="H91" s="203"/>
    </row>
    <row r="92" spans="1:8" s="55" customFormat="1" ht="57">
      <c r="A92" s="183" t="s">
        <v>76</v>
      </c>
      <c r="B92" s="184">
        <v>1060</v>
      </c>
      <c r="C92" s="185">
        <v>21</v>
      </c>
      <c r="D92" s="185">
        <v>50</v>
      </c>
      <c r="E92" s="185"/>
      <c r="F92" s="185"/>
      <c r="G92" s="186"/>
      <c r="H92" s="203"/>
    </row>
    <row r="93" spans="1:8" s="55" customFormat="1" ht="21.5">
      <c r="A93" s="183" t="s">
        <v>51</v>
      </c>
      <c r="B93" s="184">
        <v>1061</v>
      </c>
      <c r="C93" s="185"/>
      <c r="D93" s="185"/>
      <c r="E93" s="185"/>
      <c r="F93" s="185">
        <f>E93-D93</f>
        <v>0</v>
      </c>
      <c r="G93" s="186"/>
      <c r="H93" s="193"/>
    </row>
    <row r="94" spans="1:8" s="55" customFormat="1" ht="21.5">
      <c r="A94" s="183" t="s">
        <v>110</v>
      </c>
      <c r="B94" s="184">
        <v>1062</v>
      </c>
      <c r="C94" s="185">
        <f>C95+C96+C97+C98+C99+C101</f>
        <v>811</v>
      </c>
      <c r="D94" s="185">
        <v>980</v>
      </c>
      <c r="E94" s="185">
        <f>E95+E96+E97+E98+E99+E101+E109+E100</f>
        <v>1016</v>
      </c>
      <c r="F94" s="185">
        <f t="shared" ref="F94:F99" si="7">E94-D94</f>
        <v>36</v>
      </c>
      <c r="G94" s="186">
        <f t="shared" ref="G94:G99" si="8">E94/D94*100</f>
        <v>103.67346938775511</v>
      </c>
      <c r="H94" s="203"/>
    </row>
    <row r="95" spans="1:8" s="55" customFormat="1" ht="21.5">
      <c r="A95" s="204" t="s">
        <v>438</v>
      </c>
      <c r="B95" s="184" t="s">
        <v>441</v>
      </c>
      <c r="C95" s="185">
        <v>55</v>
      </c>
      <c r="D95" s="185">
        <v>55</v>
      </c>
      <c r="E95" s="185">
        <v>52</v>
      </c>
      <c r="F95" s="185">
        <f t="shared" si="7"/>
        <v>-3</v>
      </c>
      <c r="G95" s="186">
        <f t="shared" si="8"/>
        <v>94.545454545454547</v>
      </c>
      <c r="H95" s="203"/>
    </row>
    <row r="96" spans="1:8" s="55" customFormat="1" ht="21.5">
      <c r="A96" s="204" t="s">
        <v>439</v>
      </c>
      <c r="B96" s="184" t="s">
        <v>442</v>
      </c>
      <c r="C96" s="185">
        <v>10</v>
      </c>
      <c r="D96" s="185">
        <v>35</v>
      </c>
      <c r="E96" s="185">
        <v>14</v>
      </c>
      <c r="F96" s="185">
        <f t="shared" si="7"/>
        <v>-21</v>
      </c>
      <c r="G96" s="186">
        <f t="shared" si="8"/>
        <v>40</v>
      </c>
      <c r="H96" s="203"/>
    </row>
    <row r="97" spans="1:8" s="55" customFormat="1" ht="21.5">
      <c r="A97" s="204" t="s">
        <v>440</v>
      </c>
      <c r="B97" s="184" t="s">
        <v>443</v>
      </c>
      <c r="C97" s="185">
        <v>268</v>
      </c>
      <c r="D97" s="185">
        <v>295</v>
      </c>
      <c r="E97" s="185">
        <v>315</v>
      </c>
      <c r="F97" s="185">
        <f t="shared" si="7"/>
        <v>20</v>
      </c>
      <c r="G97" s="186">
        <f t="shared" si="8"/>
        <v>106.77966101694916</v>
      </c>
      <c r="H97" s="203"/>
    </row>
    <row r="98" spans="1:8" s="55" customFormat="1" ht="57">
      <c r="A98" s="197" t="s">
        <v>528</v>
      </c>
      <c r="B98" s="184" t="s">
        <v>444</v>
      </c>
      <c r="C98" s="185"/>
      <c r="D98" s="185">
        <v>25</v>
      </c>
      <c r="E98" s="185">
        <v>83</v>
      </c>
      <c r="F98" s="185">
        <f t="shared" si="7"/>
        <v>58</v>
      </c>
      <c r="G98" s="186">
        <f t="shared" si="8"/>
        <v>332</v>
      </c>
      <c r="H98" s="203"/>
    </row>
    <row r="99" spans="1:8" s="55" customFormat="1" ht="21.5">
      <c r="A99" s="183" t="s">
        <v>542</v>
      </c>
      <c r="B99" s="184" t="s">
        <v>445</v>
      </c>
      <c r="C99" s="185">
        <v>145</v>
      </c>
      <c r="D99" s="185">
        <v>70</v>
      </c>
      <c r="E99" s="185">
        <f>217+21</f>
        <v>238</v>
      </c>
      <c r="F99" s="185">
        <f t="shared" si="7"/>
        <v>168</v>
      </c>
      <c r="G99" s="186">
        <f t="shared" si="8"/>
        <v>340</v>
      </c>
      <c r="H99" s="203"/>
    </row>
    <row r="100" spans="1:8" s="55" customFormat="1" ht="38">
      <c r="A100" s="183" t="s">
        <v>607</v>
      </c>
      <c r="B100" s="184" t="s">
        <v>509</v>
      </c>
      <c r="C100" s="185"/>
      <c r="D100" s="185"/>
      <c r="E100" s="185"/>
      <c r="F100" s="185"/>
      <c r="G100" s="186"/>
      <c r="H100" s="203"/>
    </row>
    <row r="101" spans="1:8" s="55" customFormat="1" ht="38">
      <c r="A101" s="183" t="s">
        <v>503</v>
      </c>
      <c r="B101" s="184" t="s">
        <v>606</v>
      </c>
      <c r="C101" s="185">
        <v>333</v>
      </c>
      <c r="D101" s="185">
        <v>500</v>
      </c>
      <c r="E101" s="185">
        <f>574-260</f>
        <v>314</v>
      </c>
      <c r="F101" s="185">
        <f>E101-D101</f>
        <v>-186</v>
      </c>
      <c r="G101" s="186"/>
      <c r="H101" s="203"/>
    </row>
    <row r="102" spans="1:8" s="55" customFormat="1" ht="21.5">
      <c r="A102" s="183" t="s">
        <v>229</v>
      </c>
      <c r="B102" s="184">
        <v>1070</v>
      </c>
      <c r="C102" s="185"/>
      <c r="D102" s="185"/>
      <c r="E102" s="185"/>
      <c r="F102" s="185"/>
      <c r="G102" s="186"/>
      <c r="H102" s="203"/>
    </row>
    <row r="103" spans="1:8" s="55" customFormat="1" ht="21.5">
      <c r="A103" s="183" t="s">
        <v>188</v>
      </c>
      <c r="B103" s="184">
        <v>1071</v>
      </c>
      <c r="C103" s="185"/>
      <c r="D103" s="185"/>
      <c r="E103" s="185"/>
      <c r="F103" s="185"/>
      <c r="G103" s="186"/>
      <c r="H103" s="203"/>
    </row>
    <row r="104" spans="1:8" s="55" customFormat="1" ht="21.5">
      <c r="A104" s="183" t="s">
        <v>189</v>
      </c>
      <c r="B104" s="184">
        <v>1072</v>
      </c>
      <c r="C104" s="185"/>
      <c r="D104" s="185"/>
      <c r="E104" s="185"/>
      <c r="F104" s="185"/>
      <c r="G104" s="186"/>
      <c r="H104" s="203"/>
    </row>
    <row r="105" spans="1:8" s="55" customFormat="1" ht="21.5">
      <c r="A105" s="183" t="s">
        <v>40</v>
      </c>
      <c r="B105" s="184">
        <v>1073</v>
      </c>
      <c r="C105" s="185"/>
      <c r="D105" s="185"/>
      <c r="E105" s="185"/>
      <c r="F105" s="185"/>
      <c r="G105" s="186"/>
      <c r="H105" s="203"/>
    </row>
    <row r="106" spans="1:8" s="55" customFormat="1" ht="21.5">
      <c r="A106" s="183" t="s">
        <v>63</v>
      </c>
      <c r="B106" s="184">
        <v>1074</v>
      </c>
      <c r="C106" s="185"/>
      <c r="D106" s="185"/>
      <c r="E106" s="185"/>
      <c r="F106" s="185"/>
      <c r="G106" s="186"/>
      <c r="H106" s="203"/>
    </row>
    <row r="107" spans="1:8" s="55" customFormat="1" ht="21.5">
      <c r="A107" s="183" t="s">
        <v>79</v>
      </c>
      <c r="B107" s="184">
        <v>1075</v>
      </c>
      <c r="C107" s="185"/>
      <c r="D107" s="185"/>
      <c r="E107" s="185"/>
      <c r="F107" s="185"/>
      <c r="G107" s="186"/>
      <c r="H107" s="203"/>
    </row>
    <row r="108" spans="1:8" s="55" customFormat="1" ht="21.5">
      <c r="A108" s="183" t="s">
        <v>124</v>
      </c>
      <c r="B108" s="184">
        <v>1076</v>
      </c>
      <c r="C108" s="185"/>
      <c r="D108" s="185"/>
      <c r="E108" s="185"/>
      <c r="F108" s="185"/>
      <c r="G108" s="186"/>
      <c r="H108" s="203"/>
    </row>
    <row r="109" spans="1:8" s="55" customFormat="1" ht="21.5">
      <c r="A109" s="183" t="s">
        <v>41</v>
      </c>
      <c r="B109" s="184" t="s">
        <v>446</v>
      </c>
      <c r="C109" s="185"/>
      <c r="D109" s="185"/>
      <c r="E109" s="185"/>
      <c r="F109" s="185"/>
      <c r="G109" s="186"/>
      <c r="H109" s="203"/>
    </row>
    <row r="110" spans="1:8" s="55" customFormat="1" ht="21.5">
      <c r="A110" s="205" t="s">
        <v>80</v>
      </c>
      <c r="B110" s="184">
        <v>1080</v>
      </c>
      <c r="C110" s="185">
        <f>C112+C113+C115</f>
        <v>1284</v>
      </c>
      <c r="D110" s="185">
        <f>D112+D113+D115</f>
        <v>5135</v>
      </c>
      <c r="E110" s="185">
        <f>E112+E113+E115</f>
        <v>479</v>
      </c>
      <c r="F110" s="185">
        <f>E110-D110</f>
        <v>-4656</v>
      </c>
      <c r="G110" s="186">
        <f>E110/D110*100</f>
        <v>9.3281402142161625</v>
      </c>
      <c r="H110" s="203"/>
    </row>
    <row r="111" spans="1:8" s="55" customFormat="1" ht="21.5">
      <c r="A111" s="183" t="s">
        <v>72</v>
      </c>
      <c r="B111" s="184">
        <v>1081</v>
      </c>
      <c r="C111" s="185"/>
      <c r="D111" s="185"/>
      <c r="E111" s="185"/>
      <c r="F111" s="185"/>
      <c r="G111" s="186"/>
      <c r="H111" s="203"/>
    </row>
    <row r="112" spans="1:8" s="55" customFormat="1" ht="21.5">
      <c r="A112" s="183" t="s">
        <v>52</v>
      </c>
      <c r="B112" s="184">
        <v>1082</v>
      </c>
      <c r="C112" s="185"/>
      <c r="D112" s="185"/>
      <c r="E112" s="185"/>
      <c r="F112" s="185"/>
      <c r="G112" s="186"/>
      <c r="H112" s="203"/>
    </row>
    <row r="113" spans="1:10" s="55" customFormat="1" ht="21.5">
      <c r="A113" s="183" t="s">
        <v>511</v>
      </c>
      <c r="B113" s="184">
        <v>1083</v>
      </c>
      <c r="C113" s="185"/>
      <c r="D113" s="185"/>
      <c r="E113" s="185"/>
      <c r="F113" s="185"/>
      <c r="G113" s="186"/>
      <c r="H113" s="203"/>
    </row>
    <row r="114" spans="1:10" s="55" customFormat="1" ht="21.5">
      <c r="A114" s="183" t="s">
        <v>219</v>
      </c>
      <c r="B114" s="184">
        <v>1084</v>
      </c>
      <c r="C114" s="185"/>
      <c r="D114" s="185"/>
      <c r="E114" s="185"/>
      <c r="F114" s="185"/>
      <c r="G114" s="186"/>
      <c r="H114" s="203"/>
    </row>
    <row r="115" spans="1:10" s="55" customFormat="1" ht="21.5">
      <c r="A115" s="183" t="s">
        <v>263</v>
      </c>
      <c r="B115" s="184">
        <v>1085</v>
      </c>
      <c r="C115" s="185">
        <f>C118+C122+C125+C129+C131+C134+C135+C138+C117+C124+C137+C130+C136+C119</f>
        <v>1284</v>
      </c>
      <c r="D115" s="185">
        <f>D117+D118+D123+D122+D124+D125+D127+D129+D131+D132+D128+D134+D119+D135</f>
        <v>5135</v>
      </c>
      <c r="E115" s="185">
        <f>E118+E122+E125+E129+E131+E134+E135+E138+E117+E124+E137+E126</f>
        <v>479</v>
      </c>
      <c r="F115" s="185">
        <f>E115-D115</f>
        <v>-4656</v>
      </c>
      <c r="G115" s="186">
        <f>E115/D115*100</f>
        <v>9.3281402142161625</v>
      </c>
      <c r="H115" s="203"/>
      <c r="J115" s="65"/>
    </row>
    <row r="116" spans="1:10" s="55" customFormat="1" ht="21.5">
      <c r="A116" s="204" t="s">
        <v>463</v>
      </c>
      <c r="B116" s="184" t="s">
        <v>447</v>
      </c>
      <c r="C116" s="185"/>
      <c r="D116" s="185"/>
      <c r="E116" s="185"/>
      <c r="F116" s="185"/>
      <c r="G116" s="186"/>
      <c r="H116" s="203"/>
    </row>
    <row r="117" spans="1:10" s="55" customFormat="1" ht="21.5">
      <c r="A117" s="204" t="s">
        <v>573</v>
      </c>
      <c r="B117" s="184" t="s">
        <v>448</v>
      </c>
      <c r="C117" s="185">
        <v>64</v>
      </c>
      <c r="D117" s="185">
        <v>75</v>
      </c>
      <c r="E117" s="185">
        <v>60</v>
      </c>
      <c r="F117" s="185">
        <f>E117-D117</f>
        <v>-15</v>
      </c>
      <c r="G117" s="186">
        <f>E117/D117*100</f>
        <v>80</v>
      </c>
      <c r="H117" s="203"/>
    </row>
    <row r="118" spans="1:10" s="55" customFormat="1" ht="38">
      <c r="A118" s="204" t="s">
        <v>543</v>
      </c>
      <c r="B118" s="184" t="s">
        <v>449</v>
      </c>
      <c r="C118" s="185"/>
      <c r="D118" s="185">
        <v>350</v>
      </c>
      <c r="E118" s="185"/>
      <c r="F118" s="185"/>
      <c r="G118" s="186"/>
      <c r="H118" s="203"/>
    </row>
    <row r="119" spans="1:10" s="55" customFormat="1" ht="21.5">
      <c r="A119" s="204" t="s">
        <v>495</v>
      </c>
      <c r="B119" s="184" t="s">
        <v>450</v>
      </c>
      <c r="C119" s="185">
        <v>372</v>
      </c>
      <c r="D119" s="185"/>
      <c r="E119" s="185"/>
      <c r="F119" s="185"/>
      <c r="G119" s="186"/>
      <c r="H119" s="203"/>
    </row>
    <row r="120" spans="1:10" s="55" customFormat="1" ht="21.5">
      <c r="A120" s="204" t="s">
        <v>494</v>
      </c>
      <c r="B120" s="184" t="s">
        <v>451</v>
      </c>
      <c r="C120" s="185"/>
      <c r="D120" s="185"/>
      <c r="E120" s="185"/>
      <c r="F120" s="185"/>
      <c r="G120" s="186"/>
      <c r="H120" s="203"/>
    </row>
    <row r="121" spans="1:10" s="55" customFormat="1" ht="21.5">
      <c r="A121" s="204" t="s">
        <v>464</v>
      </c>
      <c r="B121" s="184" t="s">
        <v>452</v>
      </c>
      <c r="C121" s="185"/>
      <c r="D121" s="185"/>
      <c r="E121" s="185"/>
      <c r="F121" s="185"/>
      <c r="G121" s="186"/>
      <c r="H121" s="203"/>
    </row>
    <row r="122" spans="1:10" s="55" customFormat="1" ht="21.5">
      <c r="A122" s="204" t="s">
        <v>465</v>
      </c>
      <c r="B122" s="184" t="s">
        <v>453</v>
      </c>
      <c r="C122" s="185"/>
      <c r="D122" s="185"/>
      <c r="E122" s="185"/>
      <c r="F122" s="185"/>
      <c r="G122" s="186"/>
      <c r="H122" s="203"/>
    </row>
    <row r="123" spans="1:10" s="55" customFormat="1" ht="27" customHeight="1">
      <c r="A123" s="204" t="s">
        <v>466</v>
      </c>
      <c r="B123" s="184" t="s">
        <v>454</v>
      </c>
      <c r="C123" s="185"/>
      <c r="D123" s="185"/>
      <c r="E123" s="185"/>
      <c r="F123" s="185"/>
      <c r="G123" s="186"/>
      <c r="H123" s="203"/>
    </row>
    <row r="124" spans="1:10" s="55" customFormat="1" ht="21.5">
      <c r="A124" s="204" t="s">
        <v>569</v>
      </c>
      <c r="B124" s="184" t="s">
        <v>455</v>
      </c>
      <c r="C124" s="185"/>
      <c r="D124" s="185"/>
      <c r="E124" s="185"/>
      <c r="F124" s="185"/>
      <c r="G124" s="186"/>
      <c r="H124" s="203"/>
    </row>
    <row r="125" spans="1:10" s="55" customFormat="1" ht="21.5">
      <c r="A125" s="204" t="s">
        <v>550</v>
      </c>
      <c r="B125" s="184" t="s">
        <v>456</v>
      </c>
      <c r="C125" s="185"/>
      <c r="D125" s="185"/>
      <c r="E125" s="185"/>
      <c r="F125" s="185"/>
      <c r="G125" s="186"/>
      <c r="H125" s="203"/>
    </row>
    <row r="126" spans="1:10" s="55" customFormat="1" ht="21.5">
      <c r="A126" s="204" t="s">
        <v>594</v>
      </c>
      <c r="B126" s="184" t="s">
        <v>457</v>
      </c>
      <c r="C126" s="185"/>
      <c r="D126" s="185"/>
      <c r="E126" s="185">
        <f>11+6+22+45</f>
        <v>84</v>
      </c>
      <c r="F126" s="185"/>
      <c r="G126" s="186"/>
      <c r="H126" s="203"/>
    </row>
    <row r="127" spans="1:10" s="55" customFormat="1" ht="21.5">
      <c r="A127" s="204" t="s">
        <v>506</v>
      </c>
      <c r="B127" s="184" t="s">
        <v>458</v>
      </c>
      <c r="C127" s="185"/>
      <c r="D127" s="185"/>
      <c r="E127" s="185"/>
      <c r="F127" s="185"/>
      <c r="G127" s="186"/>
      <c r="H127" s="203"/>
    </row>
    <row r="128" spans="1:10" s="55" customFormat="1" ht="38">
      <c r="A128" s="204" t="s">
        <v>544</v>
      </c>
      <c r="B128" s="184" t="s">
        <v>459</v>
      </c>
      <c r="C128" s="185"/>
      <c r="D128" s="185">
        <v>10</v>
      </c>
      <c r="E128" s="185"/>
      <c r="F128" s="185"/>
      <c r="G128" s="186"/>
      <c r="H128" s="203"/>
    </row>
    <row r="129" spans="1:8" s="55" customFormat="1" ht="21.5">
      <c r="A129" s="204" t="s">
        <v>467</v>
      </c>
      <c r="B129" s="184" t="s">
        <v>460</v>
      </c>
      <c r="C129" s="185"/>
      <c r="D129" s="185"/>
      <c r="E129" s="185"/>
      <c r="F129" s="185">
        <f>E129-D129</f>
        <v>0</v>
      </c>
      <c r="G129" s="186"/>
      <c r="H129" s="203"/>
    </row>
    <row r="130" spans="1:8" s="55" customFormat="1" ht="21.5">
      <c r="A130" s="204" t="s">
        <v>602</v>
      </c>
      <c r="B130" s="184" t="s">
        <v>461</v>
      </c>
      <c r="C130" s="185">
        <v>8</v>
      </c>
      <c r="D130" s="185"/>
      <c r="E130" s="185"/>
      <c r="F130" s="185"/>
      <c r="G130" s="186"/>
      <c r="H130" s="203"/>
    </row>
    <row r="131" spans="1:8" s="55" customFormat="1" ht="21.5">
      <c r="A131" s="204" t="s">
        <v>468</v>
      </c>
      <c r="B131" s="184" t="s">
        <v>462</v>
      </c>
      <c r="C131" s="185"/>
      <c r="D131" s="185">
        <v>4000</v>
      </c>
      <c r="E131" s="185"/>
      <c r="F131" s="185">
        <f>E131-D131</f>
        <v>-4000</v>
      </c>
      <c r="G131" s="186">
        <f>E131/D131*100</f>
        <v>0</v>
      </c>
      <c r="H131" s="203"/>
    </row>
    <row r="132" spans="1:8" s="55" customFormat="1" ht="24" customHeight="1">
      <c r="A132" s="204" t="s">
        <v>538</v>
      </c>
      <c r="B132" s="184" t="s">
        <v>539</v>
      </c>
      <c r="C132" s="185"/>
      <c r="D132" s="185"/>
      <c r="E132" s="185"/>
      <c r="F132" s="185"/>
      <c r="G132" s="186"/>
      <c r="H132" s="203"/>
    </row>
    <row r="133" spans="1:8" s="55" customFormat="1" ht="21.5">
      <c r="A133" s="204" t="s">
        <v>439</v>
      </c>
      <c r="B133" s="184" t="s">
        <v>540</v>
      </c>
      <c r="C133" s="185"/>
      <c r="D133" s="185"/>
      <c r="E133" s="185"/>
      <c r="F133" s="185"/>
      <c r="G133" s="186"/>
      <c r="H133" s="203"/>
    </row>
    <row r="134" spans="1:8" s="55" customFormat="1" ht="21.5">
      <c r="A134" s="197" t="s">
        <v>547</v>
      </c>
      <c r="B134" s="184" t="s">
        <v>552</v>
      </c>
      <c r="C134" s="185"/>
      <c r="D134" s="185"/>
      <c r="E134" s="185"/>
      <c r="F134" s="185"/>
      <c r="G134" s="186"/>
      <c r="H134" s="203"/>
    </row>
    <row r="135" spans="1:8" s="55" customFormat="1" ht="21.5">
      <c r="A135" s="183" t="s">
        <v>551</v>
      </c>
      <c r="B135" s="184" t="s">
        <v>553</v>
      </c>
      <c r="C135" s="185">
        <v>767</v>
      </c>
      <c r="D135" s="185">
        <v>700</v>
      </c>
      <c r="E135" s="185">
        <v>252</v>
      </c>
      <c r="F135" s="185">
        <f t="shared" ref="F135" si="9">E135-D135</f>
        <v>-448</v>
      </c>
      <c r="G135" s="186">
        <f t="shared" ref="G135" si="10">E135/D135*100</f>
        <v>36</v>
      </c>
      <c r="H135" s="203"/>
    </row>
    <row r="136" spans="1:8" s="55" customFormat="1" ht="21.5">
      <c r="A136" s="183" t="s">
        <v>615</v>
      </c>
      <c r="B136" s="184" t="s">
        <v>570</v>
      </c>
      <c r="C136" s="185">
        <v>27</v>
      </c>
      <c r="D136" s="185"/>
      <c r="E136" s="185"/>
      <c r="F136" s="185"/>
      <c r="G136" s="186"/>
      <c r="H136" s="203"/>
    </row>
    <row r="137" spans="1:8" s="55" customFormat="1" ht="21.5">
      <c r="A137" s="183" t="s">
        <v>591</v>
      </c>
      <c r="B137" s="184" t="s">
        <v>603</v>
      </c>
      <c r="C137" s="185">
        <v>46</v>
      </c>
      <c r="D137" s="185"/>
      <c r="E137" s="185">
        <v>83</v>
      </c>
      <c r="F137" s="185"/>
      <c r="G137" s="186"/>
      <c r="H137" s="203"/>
    </row>
    <row r="138" spans="1:8" s="55" customFormat="1" ht="57">
      <c r="A138" s="183" t="s">
        <v>554</v>
      </c>
      <c r="B138" s="184" t="s">
        <v>619</v>
      </c>
      <c r="C138" s="185"/>
      <c r="D138" s="185"/>
      <c r="E138" s="185"/>
      <c r="F138" s="185"/>
      <c r="G138" s="186"/>
      <c r="H138" s="203"/>
    </row>
    <row r="139" spans="1:8" s="57" customFormat="1" ht="21">
      <c r="A139" s="198" t="s">
        <v>4</v>
      </c>
      <c r="B139" s="199">
        <v>1100</v>
      </c>
      <c r="C139" s="200">
        <f>C60+C61-C72-C110</f>
        <v>1949</v>
      </c>
      <c r="D139" s="200">
        <f>D60+D61-D72-D110</f>
        <v>3075</v>
      </c>
      <c r="E139" s="200">
        <f>E60+E61-E72-E110</f>
        <v>-13161</v>
      </c>
      <c r="F139" s="200">
        <f>E139-D139</f>
        <v>-16236</v>
      </c>
      <c r="G139" s="201">
        <f>E139/D139*100</f>
        <v>-428</v>
      </c>
      <c r="H139" s="202"/>
    </row>
    <row r="140" spans="1:8" s="55" customFormat="1" ht="21.5">
      <c r="A140" s="183" t="s">
        <v>108</v>
      </c>
      <c r="B140" s="184">
        <v>1110</v>
      </c>
      <c r="C140" s="185"/>
      <c r="D140" s="185"/>
      <c r="E140" s="185"/>
      <c r="F140" s="185"/>
      <c r="G140" s="186"/>
      <c r="H140" s="203"/>
    </row>
    <row r="141" spans="1:8" s="55" customFormat="1" ht="21.5">
      <c r="A141" s="183" t="s">
        <v>109</v>
      </c>
      <c r="B141" s="184">
        <v>1120</v>
      </c>
      <c r="C141" s="185"/>
      <c r="D141" s="185"/>
      <c r="E141" s="185"/>
      <c r="F141" s="185"/>
      <c r="G141" s="186"/>
      <c r="H141" s="203"/>
    </row>
    <row r="142" spans="1:8" s="55" customFormat="1" ht="21.5">
      <c r="A142" s="183" t="s">
        <v>112</v>
      </c>
      <c r="B142" s="184">
        <v>1130</v>
      </c>
      <c r="C142" s="185"/>
      <c r="D142" s="185"/>
      <c r="E142" s="185"/>
      <c r="F142" s="185"/>
      <c r="G142" s="186"/>
      <c r="H142" s="203"/>
    </row>
    <row r="143" spans="1:8" s="55" customFormat="1" ht="21.5">
      <c r="A143" s="183" t="s">
        <v>111</v>
      </c>
      <c r="B143" s="184">
        <v>1140</v>
      </c>
      <c r="C143" s="185"/>
      <c r="D143" s="185"/>
      <c r="E143" s="185"/>
      <c r="F143" s="185"/>
      <c r="G143" s="186"/>
      <c r="H143" s="203"/>
    </row>
    <row r="144" spans="1:8" s="55" customFormat="1" ht="21.5">
      <c r="A144" s="183" t="s">
        <v>220</v>
      </c>
      <c r="B144" s="184">
        <v>1150</v>
      </c>
      <c r="C144" s="185">
        <f>C145</f>
        <v>51229</v>
      </c>
      <c r="D144" s="185">
        <f>D145</f>
        <v>41300</v>
      </c>
      <c r="E144" s="185">
        <f>E145+E146+E147</f>
        <v>45853</v>
      </c>
      <c r="F144" s="185"/>
      <c r="G144" s="186"/>
      <c r="H144" s="203"/>
    </row>
    <row r="145" spans="1:8" s="55" customFormat="1" ht="21.5">
      <c r="A145" s="204" t="s">
        <v>582</v>
      </c>
      <c r="B145" s="184" t="s">
        <v>469</v>
      </c>
      <c r="C145" s="185">
        <v>51229</v>
      </c>
      <c r="D145" s="185">
        <v>41300</v>
      </c>
      <c r="E145" s="185"/>
      <c r="F145" s="185"/>
      <c r="G145" s="186"/>
      <c r="H145" s="203"/>
    </row>
    <row r="146" spans="1:8" s="55" customFormat="1" ht="21.5">
      <c r="A146" s="204" t="s">
        <v>623</v>
      </c>
      <c r="B146" s="184" t="s">
        <v>470</v>
      </c>
      <c r="C146" s="185"/>
      <c r="D146" s="185"/>
      <c r="E146" s="185">
        <v>45726</v>
      </c>
      <c r="F146" s="185"/>
      <c r="G146" s="186"/>
      <c r="H146" s="203"/>
    </row>
    <row r="147" spans="1:8" s="55" customFormat="1" ht="21.5">
      <c r="A147" s="204" t="s">
        <v>624</v>
      </c>
      <c r="B147" s="184" t="s">
        <v>622</v>
      </c>
      <c r="C147" s="185"/>
      <c r="D147" s="185"/>
      <c r="E147" s="185">
        <v>127</v>
      </c>
      <c r="F147" s="185"/>
      <c r="G147" s="186"/>
      <c r="H147" s="203"/>
    </row>
    <row r="148" spans="1:8" s="55" customFormat="1" ht="21.5">
      <c r="A148" s="183" t="s">
        <v>219</v>
      </c>
      <c r="B148" s="184">
        <v>1151</v>
      </c>
      <c r="C148" s="185"/>
      <c r="D148" s="185"/>
      <c r="E148" s="185"/>
      <c r="F148" s="185"/>
      <c r="G148" s="186"/>
      <c r="H148" s="203"/>
    </row>
    <row r="149" spans="1:8" s="55" customFormat="1" ht="21.5">
      <c r="A149" s="183" t="s">
        <v>221</v>
      </c>
      <c r="B149" s="184">
        <v>1160</v>
      </c>
      <c r="C149" s="185">
        <f>C153+C155+C154</f>
        <v>52559</v>
      </c>
      <c r="D149" s="185">
        <f>D153+D154+D155</f>
        <v>43400</v>
      </c>
      <c r="E149" s="185">
        <f>E153+E155+E154</f>
        <v>46202</v>
      </c>
      <c r="F149" s="185">
        <f>E149-D149</f>
        <v>2802</v>
      </c>
      <c r="G149" s="186">
        <f>E149/D149*100</f>
        <v>106.45622119815667</v>
      </c>
      <c r="H149" s="203"/>
    </row>
    <row r="150" spans="1:8" s="55" customFormat="1" ht="21.5" hidden="1">
      <c r="A150" s="204" t="s">
        <v>471</v>
      </c>
      <c r="B150" s="184" t="s">
        <v>472</v>
      </c>
      <c r="C150" s="185"/>
      <c r="D150" s="185"/>
      <c r="E150" s="185"/>
      <c r="F150" s="185"/>
      <c r="G150" s="186"/>
      <c r="H150" s="203"/>
    </row>
    <row r="151" spans="1:8" s="55" customFormat="1" ht="21.5" hidden="1">
      <c r="A151" s="197" t="s">
        <v>475</v>
      </c>
      <c r="B151" s="184" t="s">
        <v>473</v>
      </c>
      <c r="C151" s="185"/>
      <c r="D151" s="185"/>
      <c r="E151" s="185"/>
      <c r="F151" s="185"/>
      <c r="G151" s="186"/>
      <c r="H151" s="203"/>
    </row>
    <row r="152" spans="1:8" s="55" customFormat="1" ht="38" hidden="1">
      <c r="A152" s="183" t="s">
        <v>476</v>
      </c>
      <c r="B152" s="184" t="s">
        <v>474</v>
      </c>
      <c r="C152" s="185"/>
      <c r="D152" s="185"/>
      <c r="E152" s="185"/>
      <c r="F152" s="185"/>
      <c r="G152" s="186"/>
      <c r="H152" s="203"/>
    </row>
    <row r="153" spans="1:8" s="55" customFormat="1" ht="21.5">
      <c r="A153" s="183" t="s">
        <v>563</v>
      </c>
      <c r="B153" s="184" t="s">
        <v>472</v>
      </c>
      <c r="C153" s="185">
        <v>1273</v>
      </c>
      <c r="D153" s="185">
        <v>1600</v>
      </c>
      <c r="E153" s="185">
        <v>427</v>
      </c>
      <c r="F153" s="185"/>
      <c r="G153" s="186"/>
      <c r="H153" s="203"/>
    </row>
    <row r="154" spans="1:8" s="55" customFormat="1" ht="21.5">
      <c r="A154" s="183" t="s">
        <v>7</v>
      </c>
      <c r="B154" s="184" t="s">
        <v>473</v>
      </c>
      <c r="C154" s="185">
        <v>51157</v>
      </c>
      <c r="D154" s="185">
        <v>41300</v>
      </c>
      <c r="E154" s="185">
        <v>45726</v>
      </c>
      <c r="F154" s="185"/>
      <c r="G154" s="186"/>
      <c r="H154" s="203"/>
    </row>
    <row r="155" spans="1:8" s="55" customFormat="1" ht="21.5">
      <c r="A155" s="183" t="s">
        <v>477</v>
      </c>
      <c r="B155" s="184" t="s">
        <v>474</v>
      </c>
      <c r="C155" s="185">
        <v>129</v>
      </c>
      <c r="D155" s="185">
        <v>500</v>
      </c>
      <c r="E155" s="185">
        <v>49</v>
      </c>
      <c r="F155" s="185">
        <f>E155-D155</f>
        <v>-451</v>
      </c>
      <c r="G155" s="186">
        <f>E155/D155*100</f>
        <v>9.8000000000000007</v>
      </c>
      <c r="H155" s="203"/>
    </row>
    <row r="156" spans="1:8" s="55" customFormat="1" ht="21.5" hidden="1">
      <c r="A156" s="183" t="s">
        <v>496</v>
      </c>
      <c r="B156" s="184" t="s">
        <v>510</v>
      </c>
      <c r="C156" s="185"/>
      <c r="D156" s="185"/>
      <c r="E156" s="185"/>
      <c r="F156" s="185"/>
      <c r="G156" s="186"/>
      <c r="H156" s="203"/>
    </row>
    <row r="157" spans="1:8" s="55" customFormat="1" ht="21.5">
      <c r="A157" s="183" t="s">
        <v>219</v>
      </c>
      <c r="B157" s="184">
        <v>1161</v>
      </c>
      <c r="C157" s="185"/>
      <c r="D157" s="185"/>
      <c r="E157" s="185"/>
      <c r="F157" s="185"/>
      <c r="G157" s="186"/>
      <c r="H157" s="203"/>
    </row>
    <row r="158" spans="1:8" s="57" customFormat="1" ht="21">
      <c r="A158" s="198" t="s">
        <v>96</v>
      </c>
      <c r="B158" s="199">
        <v>1170</v>
      </c>
      <c r="C158" s="200">
        <f>C139+C144-C149</f>
        <v>619</v>
      </c>
      <c r="D158" s="200">
        <f>D139+D144-D149</f>
        <v>975</v>
      </c>
      <c r="E158" s="200">
        <f>E139+E144-E149</f>
        <v>-13510</v>
      </c>
      <c r="F158" s="200">
        <f>E158-D158</f>
        <v>-14485</v>
      </c>
      <c r="G158" s="201">
        <f>E158/D158*100</f>
        <v>-1385.6410256410256</v>
      </c>
      <c r="H158" s="202"/>
    </row>
    <row r="159" spans="1:8" s="55" customFormat="1" ht="21.5">
      <c r="A159" s="183" t="s">
        <v>140</v>
      </c>
      <c r="B159" s="184">
        <v>1180</v>
      </c>
      <c r="C159" s="188">
        <f>ROUND(C158*18%,0)</f>
        <v>111</v>
      </c>
      <c r="D159" s="188">
        <v>176</v>
      </c>
      <c r="E159" s="188"/>
      <c r="F159" s="185">
        <f>E159-D159</f>
        <v>-176</v>
      </c>
      <c r="G159" s="186"/>
      <c r="H159" s="203"/>
    </row>
    <row r="160" spans="1:8" s="55" customFormat="1" ht="38">
      <c r="A160" s="183" t="s">
        <v>141</v>
      </c>
      <c r="B160" s="184">
        <v>1190</v>
      </c>
      <c r="C160" s="185"/>
      <c r="D160" s="185"/>
      <c r="E160" s="185"/>
      <c r="F160" s="185"/>
      <c r="G160" s="186"/>
      <c r="H160" s="203"/>
    </row>
    <row r="161" spans="1:9" s="57" customFormat="1" ht="21">
      <c r="A161" s="198" t="s">
        <v>97</v>
      </c>
      <c r="B161" s="199">
        <v>1200</v>
      </c>
      <c r="C161" s="200">
        <f>C158-C159</f>
        <v>508</v>
      </c>
      <c r="D161" s="200">
        <f>D158-D159</f>
        <v>799</v>
      </c>
      <c r="E161" s="200">
        <f>E158-E159</f>
        <v>-13510</v>
      </c>
      <c r="F161" s="200">
        <f>E161-D161</f>
        <v>-14309</v>
      </c>
      <c r="G161" s="201">
        <f>E161/D161*100</f>
        <v>-1690.8635794743429</v>
      </c>
      <c r="H161" s="202"/>
    </row>
    <row r="162" spans="1:9" s="55" customFormat="1" ht="21.5">
      <c r="A162" s="183" t="s">
        <v>24</v>
      </c>
      <c r="B162" s="180">
        <v>1201</v>
      </c>
      <c r="C162" s="188">
        <f>SUMIF(C161,"&gt;0")</f>
        <v>508</v>
      </c>
      <c r="D162" s="188">
        <f>SUMIF(D161,"&gt;0")</f>
        <v>799</v>
      </c>
      <c r="E162" s="188">
        <f>SUMIF(E161,"&gt;0")</f>
        <v>0</v>
      </c>
      <c r="F162" s="185">
        <f>E162-D162</f>
        <v>-799</v>
      </c>
      <c r="G162" s="186">
        <f>E162/D162*100</f>
        <v>0</v>
      </c>
      <c r="H162" s="193"/>
    </row>
    <row r="163" spans="1:9" s="55" customFormat="1" ht="21.5">
      <c r="A163" s="183" t="s">
        <v>25</v>
      </c>
      <c r="B163" s="180">
        <v>1202</v>
      </c>
      <c r="C163" s="188">
        <f>SUMIF(C161,"&lt;0")</f>
        <v>0</v>
      </c>
      <c r="D163" s="188">
        <f>SUMIF(D161,"&lt;0")</f>
        <v>0</v>
      </c>
      <c r="E163" s="188">
        <f>SUMIF(E161,"&lt;0")</f>
        <v>-13510</v>
      </c>
      <c r="F163" s="123"/>
      <c r="G163" s="194"/>
      <c r="H163" s="193"/>
    </row>
    <row r="164" spans="1:9" s="55" customFormat="1" ht="21.5">
      <c r="A164" s="183" t="s">
        <v>264</v>
      </c>
      <c r="B164" s="184">
        <v>1210</v>
      </c>
      <c r="C164" s="185"/>
      <c r="D164" s="185"/>
      <c r="E164" s="185"/>
      <c r="F164" s="185"/>
      <c r="G164" s="186"/>
      <c r="H164" s="203"/>
    </row>
    <row r="165" spans="1:9" s="57" customFormat="1" ht="27.75" customHeight="1">
      <c r="A165" s="245" t="s">
        <v>277</v>
      </c>
      <c r="B165" s="246"/>
      <c r="C165" s="246"/>
      <c r="D165" s="246"/>
      <c r="E165" s="246"/>
      <c r="F165" s="246"/>
      <c r="G165" s="246"/>
      <c r="H165" s="247"/>
    </row>
    <row r="166" spans="1:9" s="55" customFormat="1" ht="38">
      <c r="A166" s="66" t="s">
        <v>278</v>
      </c>
      <c r="B166" s="180">
        <v>1300</v>
      </c>
      <c r="C166" s="123">
        <f>C61-C110</f>
        <v>1236</v>
      </c>
      <c r="D166" s="123">
        <v>-1385</v>
      </c>
      <c r="E166" s="123">
        <f>E61-E110</f>
        <v>1390</v>
      </c>
      <c r="F166" s="185">
        <f>E166-D166</f>
        <v>2775</v>
      </c>
      <c r="G166" s="186">
        <f>E166/D166*100</f>
        <v>-100.36101083032491</v>
      </c>
      <c r="H166" s="193"/>
    </row>
    <row r="167" spans="1:9" s="55" customFormat="1" ht="70.5" customHeight="1">
      <c r="A167" s="206" t="s">
        <v>279</v>
      </c>
      <c r="B167" s="180">
        <v>1310</v>
      </c>
      <c r="C167" s="123">
        <f>C140+C141-C142-C143</f>
        <v>0</v>
      </c>
      <c r="D167" s="123">
        <f>D140+D141-D142-D143</f>
        <v>0</v>
      </c>
      <c r="E167" s="123">
        <f>E140+E141-E142-E143</f>
        <v>0</v>
      </c>
      <c r="F167" s="123"/>
      <c r="G167" s="194"/>
      <c r="H167" s="193"/>
    </row>
    <row r="168" spans="1:9" s="55" customFormat="1" ht="38">
      <c r="A168" s="66" t="s">
        <v>280</v>
      </c>
      <c r="B168" s="180">
        <v>1320</v>
      </c>
      <c r="C168" s="123">
        <f>C144-C149</f>
        <v>-1330</v>
      </c>
      <c r="D168" s="123">
        <f>D144-D149</f>
        <v>-2100</v>
      </c>
      <c r="E168" s="123">
        <f>E144-E149</f>
        <v>-349</v>
      </c>
      <c r="F168" s="185">
        <f>E168-D168</f>
        <v>1751</v>
      </c>
      <c r="G168" s="186">
        <f>E168/D168*100</f>
        <v>16.61904761904762</v>
      </c>
      <c r="H168" s="193"/>
    </row>
    <row r="169" spans="1:9" s="55" customFormat="1" ht="46.5" customHeight="1">
      <c r="A169" s="183" t="s">
        <v>383</v>
      </c>
      <c r="B169" s="184">
        <v>1330</v>
      </c>
      <c r="C169" s="185">
        <f>C9+C61+C140+C141+C144</f>
        <v>170939</v>
      </c>
      <c r="D169" s="185">
        <f>D9+D61+D140+D141+D144</f>
        <v>316311</v>
      </c>
      <c r="E169" s="185">
        <f>E9+E61+E140+E141+E144</f>
        <v>226524</v>
      </c>
      <c r="F169" s="185">
        <f>E169-D169</f>
        <v>-89787</v>
      </c>
      <c r="G169" s="186">
        <f>E169/D169*100</f>
        <v>71.614328935762586</v>
      </c>
      <c r="H169" s="203"/>
    </row>
    <row r="170" spans="1:9" s="55" customFormat="1" ht="65.25" customHeight="1">
      <c r="A170" s="183" t="s">
        <v>384</v>
      </c>
      <c r="B170" s="184">
        <v>1340</v>
      </c>
      <c r="C170" s="185">
        <f>C13+C72+C102+C110+C142+C143+C149+C159+C160</f>
        <v>170431</v>
      </c>
      <c r="D170" s="185">
        <v>315512</v>
      </c>
      <c r="E170" s="185">
        <f>E13+E72+E102+E110+E142+E143+E149+E159+E160</f>
        <v>240034</v>
      </c>
      <c r="F170" s="185">
        <f>E170-D170</f>
        <v>-75478</v>
      </c>
      <c r="G170" s="186">
        <f>E170/D170*100</f>
        <v>76.0776135297548</v>
      </c>
      <c r="H170" s="193"/>
      <c r="I170" s="65"/>
    </row>
    <row r="171" spans="1:9" s="55" customFormat="1" ht="21.5">
      <c r="A171" s="248" t="s">
        <v>169</v>
      </c>
      <c r="B171" s="248"/>
      <c r="C171" s="248"/>
      <c r="D171" s="248"/>
      <c r="E171" s="248"/>
      <c r="F171" s="248"/>
      <c r="G171" s="248"/>
      <c r="H171" s="248"/>
    </row>
    <row r="172" spans="1:9" s="55" customFormat="1" ht="38">
      <c r="A172" s="183" t="s">
        <v>281</v>
      </c>
      <c r="B172" s="184">
        <v>1400</v>
      </c>
      <c r="C172" s="185">
        <f>C139</f>
        <v>1949</v>
      </c>
      <c r="D172" s="185">
        <f>D139</f>
        <v>3075</v>
      </c>
      <c r="E172" s="185">
        <f>E139</f>
        <v>-13161</v>
      </c>
      <c r="F172" s="185">
        <f>E172-D172</f>
        <v>-16236</v>
      </c>
      <c r="G172" s="186">
        <f>E172/D172*100</f>
        <v>-428</v>
      </c>
      <c r="H172" s="203"/>
    </row>
    <row r="173" spans="1:9" s="55" customFormat="1" ht="21.5">
      <c r="A173" s="183" t="s">
        <v>282</v>
      </c>
      <c r="B173" s="184">
        <v>1401</v>
      </c>
      <c r="C173" s="185">
        <f>C184</f>
        <v>3298</v>
      </c>
      <c r="D173" s="185">
        <f>D184</f>
        <v>8525</v>
      </c>
      <c r="E173" s="185">
        <f>E184</f>
        <v>3226</v>
      </c>
      <c r="F173" s="185">
        <f>E173-D173</f>
        <v>-5299</v>
      </c>
      <c r="G173" s="186">
        <f>E173/D173*100</f>
        <v>37.841642228739005</v>
      </c>
      <c r="H173" s="203"/>
    </row>
    <row r="174" spans="1:9" s="55" customFormat="1" ht="21.5">
      <c r="A174" s="183" t="s">
        <v>283</v>
      </c>
      <c r="B174" s="184">
        <v>1402</v>
      </c>
      <c r="C174" s="185"/>
      <c r="D174" s="185"/>
      <c r="E174" s="185"/>
      <c r="F174" s="185"/>
      <c r="G174" s="186"/>
      <c r="H174" s="203"/>
    </row>
    <row r="175" spans="1:9" s="55" customFormat="1" ht="28.5" customHeight="1">
      <c r="A175" s="183" t="s">
        <v>284</v>
      </c>
      <c r="B175" s="184">
        <v>1403</v>
      </c>
      <c r="C175" s="185"/>
      <c r="D175" s="185"/>
      <c r="E175" s="185"/>
      <c r="F175" s="185"/>
      <c r="G175" s="186"/>
      <c r="H175" s="203"/>
    </row>
    <row r="176" spans="1:9" s="55" customFormat="1" ht="38">
      <c r="A176" s="183" t="s">
        <v>328</v>
      </c>
      <c r="B176" s="184">
        <v>1404</v>
      </c>
      <c r="C176" s="185"/>
      <c r="D176" s="185"/>
      <c r="E176" s="185"/>
      <c r="F176" s="185"/>
      <c r="G176" s="186"/>
      <c r="H176" s="203"/>
    </row>
    <row r="177" spans="1:10" s="57" customFormat="1" ht="21">
      <c r="A177" s="198" t="s">
        <v>144</v>
      </c>
      <c r="B177" s="199">
        <v>1410</v>
      </c>
      <c r="C177" s="200">
        <f>SUM(C172:C176)</f>
        <v>5247</v>
      </c>
      <c r="D177" s="200">
        <f>SUM(D172:D176)</f>
        <v>11600</v>
      </c>
      <c r="E177" s="200">
        <f>SUM(E172:E176)</f>
        <v>-9935</v>
      </c>
      <c r="F177" s="200">
        <f>E177-D177</f>
        <v>-21535</v>
      </c>
      <c r="G177" s="201">
        <f>E177/D177*100</f>
        <v>-85.646551724137936</v>
      </c>
      <c r="H177" s="202"/>
    </row>
    <row r="178" spans="1:10" s="55" customFormat="1" ht="21.5">
      <c r="A178" s="251" t="s">
        <v>236</v>
      </c>
      <c r="B178" s="252"/>
      <c r="C178" s="252"/>
      <c r="D178" s="252"/>
      <c r="E178" s="252"/>
      <c r="F178" s="252"/>
      <c r="G178" s="252"/>
      <c r="H178" s="253"/>
    </row>
    <row r="179" spans="1:10" s="55" customFormat="1" ht="21.5">
      <c r="A179" s="183" t="s">
        <v>285</v>
      </c>
      <c r="B179" s="184">
        <v>1500</v>
      </c>
      <c r="C179" s="185">
        <f>C180+C181</f>
        <v>20803</v>
      </c>
      <c r="D179" s="185">
        <f>D180+D181</f>
        <v>164489</v>
      </c>
      <c r="E179" s="185">
        <f>E180+E181</f>
        <v>77121</v>
      </c>
      <c r="F179" s="185">
        <f>E179-D179</f>
        <v>-87368</v>
      </c>
      <c r="G179" s="186">
        <f>E179/D179*100</f>
        <v>46.885202049985104</v>
      </c>
      <c r="H179" s="203"/>
    </row>
    <row r="180" spans="1:10" s="55" customFormat="1" ht="21.5">
      <c r="A180" s="183" t="s">
        <v>286</v>
      </c>
      <c r="B180" s="207">
        <v>1501</v>
      </c>
      <c r="C180" s="123">
        <f>C14</f>
        <v>16899</v>
      </c>
      <c r="D180" s="123">
        <v>30500</v>
      </c>
      <c r="E180" s="123">
        <f>E14</f>
        <v>16113</v>
      </c>
      <c r="F180" s="185">
        <f t="shared" ref="F180:F186" si="11">E180-D180</f>
        <v>-14387</v>
      </c>
      <c r="G180" s="186">
        <f t="shared" ref="G180:G186" si="12">E180/D180*100</f>
        <v>52.829508196721306</v>
      </c>
      <c r="H180" s="193"/>
    </row>
    <row r="181" spans="1:10" s="55" customFormat="1" ht="21.5">
      <c r="A181" s="183" t="s">
        <v>28</v>
      </c>
      <c r="B181" s="207">
        <v>1502</v>
      </c>
      <c r="C181" s="123">
        <f>C15+157</f>
        <v>3904</v>
      </c>
      <c r="D181" s="123">
        <v>133989</v>
      </c>
      <c r="E181" s="123">
        <f>E15+E16</f>
        <v>61008</v>
      </c>
      <c r="F181" s="185">
        <f t="shared" si="11"/>
        <v>-72981</v>
      </c>
      <c r="G181" s="186">
        <f t="shared" si="12"/>
        <v>45.532095918321652</v>
      </c>
      <c r="H181" s="193"/>
    </row>
    <row r="182" spans="1:10" s="55" customFormat="1" ht="21.5">
      <c r="A182" s="183" t="s">
        <v>5</v>
      </c>
      <c r="B182" s="208">
        <v>1510</v>
      </c>
      <c r="C182" s="185">
        <f>C17+C80+300</f>
        <v>25009</v>
      </c>
      <c r="D182" s="185">
        <v>37421</v>
      </c>
      <c r="E182" s="185">
        <f>E17+E80+488</f>
        <v>32160</v>
      </c>
      <c r="F182" s="185">
        <f t="shared" si="11"/>
        <v>-5261</v>
      </c>
      <c r="G182" s="186">
        <f t="shared" si="12"/>
        <v>85.941049143529042</v>
      </c>
      <c r="H182" s="203"/>
    </row>
    <row r="183" spans="1:10" s="55" customFormat="1" ht="21.5">
      <c r="A183" s="183" t="s">
        <v>6</v>
      </c>
      <c r="B183" s="208">
        <v>1520</v>
      </c>
      <c r="C183" s="185">
        <v>5645</v>
      </c>
      <c r="D183" s="185">
        <v>7898</v>
      </c>
      <c r="E183" s="185">
        <f>E18+E81+107</f>
        <v>7184</v>
      </c>
      <c r="F183" s="185">
        <f t="shared" si="11"/>
        <v>-714</v>
      </c>
      <c r="G183" s="186">
        <f t="shared" si="12"/>
        <v>90.959736642187892</v>
      </c>
      <c r="H183" s="203"/>
    </row>
    <row r="184" spans="1:10" s="55" customFormat="1" ht="21.5">
      <c r="A184" s="183" t="s">
        <v>7</v>
      </c>
      <c r="B184" s="208">
        <v>1530</v>
      </c>
      <c r="C184" s="185">
        <v>3298</v>
      </c>
      <c r="D184" s="185">
        <v>8525</v>
      </c>
      <c r="E184" s="185">
        <f>E20+E82+E131+40</f>
        <v>3226</v>
      </c>
      <c r="F184" s="185">
        <f t="shared" si="11"/>
        <v>-5299</v>
      </c>
      <c r="G184" s="186">
        <f t="shared" si="12"/>
        <v>37.841642228739005</v>
      </c>
      <c r="H184" s="203"/>
      <c r="J184" s="65"/>
    </row>
    <row r="185" spans="1:10" s="55" customFormat="1" ht="21.5">
      <c r="A185" s="183" t="s">
        <v>29</v>
      </c>
      <c r="B185" s="208">
        <v>1540</v>
      </c>
      <c r="C185" s="185">
        <v>115565</v>
      </c>
      <c r="D185" s="185">
        <v>53603</v>
      </c>
      <c r="E185" s="185">
        <f>E170-E159-E179-E182-E183-E184</f>
        <v>120343</v>
      </c>
      <c r="F185" s="185">
        <f t="shared" si="11"/>
        <v>66740</v>
      </c>
      <c r="G185" s="186">
        <f t="shared" si="12"/>
        <v>224.50795664421767</v>
      </c>
      <c r="H185" s="203"/>
    </row>
    <row r="186" spans="1:10" s="57" customFormat="1" ht="21">
      <c r="A186" s="198" t="s">
        <v>58</v>
      </c>
      <c r="B186" s="209">
        <v>1550</v>
      </c>
      <c r="C186" s="200">
        <f>C179+C182+C183+C184+C185</f>
        <v>170320</v>
      </c>
      <c r="D186" s="200">
        <f>D179+D182+D183+D184+D185</f>
        <v>271936</v>
      </c>
      <c r="E186" s="200">
        <f>E179+E182+E183+E184+E185</f>
        <v>240034</v>
      </c>
      <c r="F186" s="200">
        <f t="shared" si="11"/>
        <v>-31902</v>
      </c>
      <c r="G186" s="201">
        <f t="shared" si="12"/>
        <v>88.268563191339126</v>
      </c>
      <c r="H186" s="202"/>
    </row>
    <row r="187" spans="1:10" s="57" customFormat="1" ht="56.25" customHeight="1">
      <c r="A187" s="58"/>
      <c r="B187" s="59"/>
      <c r="C187" s="98"/>
      <c r="D187" s="69"/>
      <c r="E187" s="69"/>
      <c r="F187" s="69"/>
      <c r="G187" s="59"/>
      <c r="H187" s="59"/>
    </row>
    <row r="188" spans="1:10" ht="28.5" customHeight="1">
      <c r="A188" s="62" t="s">
        <v>627</v>
      </c>
      <c r="B188" s="60"/>
      <c r="C188" s="70"/>
      <c r="D188" s="70"/>
      <c r="E188" s="70"/>
      <c r="F188" s="70"/>
      <c r="G188" s="250" t="s">
        <v>626</v>
      </c>
      <c r="H188" s="250"/>
    </row>
    <row r="189" spans="1:10">
      <c r="A189" s="6" t="s">
        <v>385</v>
      </c>
      <c r="B189" s="250" t="s">
        <v>78</v>
      </c>
      <c r="C189" s="250"/>
      <c r="D189" s="250"/>
      <c r="E189" s="250"/>
      <c r="F189" s="70"/>
      <c r="G189" s="2" t="s">
        <v>102</v>
      </c>
      <c r="H189" s="2"/>
    </row>
    <row r="190" spans="1:10" ht="35.25" customHeight="1">
      <c r="A190" s="5"/>
      <c r="B190" s="101"/>
      <c r="C190" s="99"/>
      <c r="D190" s="99"/>
      <c r="E190" s="99"/>
      <c r="F190" s="99"/>
    </row>
    <row r="191" spans="1:10" s="11" customFormat="1" ht="102.75" customHeight="1">
      <c r="A191" s="235"/>
      <c r="B191" s="235"/>
      <c r="C191" s="235"/>
      <c r="D191" s="235"/>
      <c r="E191" s="235"/>
      <c r="F191" s="235"/>
      <c r="G191" s="235"/>
      <c r="H191" s="235"/>
    </row>
    <row r="192" spans="1:10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</sheetData>
  <mergeCells count="12">
    <mergeCell ref="A165:H165"/>
    <mergeCell ref="A171:H171"/>
    <mergeCell ref="A3:H3"/>
    <mergeCell ref="G188:H188"/>
    <mergeCell ref="A191:H191"/>
    <mergeCell ref="A178:H178"/>
    <mergeCell ref="D5:H5"/>
    <mergeCell ref="B5:B6"/>
    <mergeCell ref="A5:A6"/>
    <mergeCell ref="C5:C6"/>
    <mergeCell ref="A8:H8"/>
    <mergeCell ref="B189:E189"/>
  </mergeCells>
  <phoneticPr fontId="0" type="noConversion"/>
  <pageMargins left="0.59055118110236227" right="0.39370078740157483" top="0.39370078740157483" bottom="0.39370078740157483" header="0.19685039370078741" footer="0.11811023622047245"/>
  <pageSetup paperSize="9" scale="42" orientation="portrait" r:id="rId1"/>
  <headerFooter alignWithMargins="0"/>
  <rowBreaks count="2" manualBreakCount="2">
    <brk id="71" max="7" man="1"/>
    <brk id="1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K188"/>
  <sheetViews>
    <sheetView view="pageBreakPreview" topLeftCell="A21" zoomScale="75" zoomScaleNormal="75" zoomScaleSheetLayoutView="75" workbookViewId="0">
      <selection activeCell="C37" sqref="C37"/>
    </sheetView>
  </sheetViews>
  <sheetFormatPr defaultColWidth="9.1796875" defaultRowHeight="20.5" outlineLevelRow="1"/>
  <cols>
    <col min="1" max="1" width="64.1796875" style="166" customWidth="1"/>
    <col min="2" max="2" width="15.26953125" style="167" customWidth="1"/>
    <col min="3" max="3" width="18.7265625" style="167" customWidth="1"/>
    <col min="4" max="4" width="14.54296875" style="167" customWidth="1"/>
    <col min="5" max="5" width="14" style="167" customWidth="1"/>
    <col min="6" max="6" width="18.7265625" style="167" customWidth="1"/>
    <col min="7" max="7" width="15.54296875" style="167" customWidth="1"/>
    <col min="8" max="8" width="10" style="166" customWidth="1"/>
    <col min="9" max="9" width="0.26953125" style="166" customWidth="1"/>
    <col min="10" max="11" width="9.1796875" style="166" hidden="1" customWidth="1"/>
    <col min="12" max="16384" width="9.1796875" style="166"/>
  </cols>
  <sheetData>
    <row r="1" spans="1:7" hidden="1" outlineLevel="1">
      <c r="G1" s="3" t="s">
        <v>241</v>
      </c>
    </row>
    <row r="2" spans="1:7" hidden="1" outlineLevel="1">
      <c r="G2" s="3" t="s">
        <v>226</v>
      </c>
    </row>
    <row r="3" spans="1:7" collapsed="1">
      <c r="A3" s="262" t="s">
        <v>374</v>
      </c>
      <c r="B3" s="262"/>
      <c r="C3" s="262"/>
      <c r="D3" s="262"/>
      <c r="E3" s="262"/>
      <c r="F3" s="262"/>
      <c r="G3" s="262"/>
    </row>
    <row r="4" spans="1:7" ht="38.25" customHeight="1">
      <c r="A4" s="263" t="s">
        <v>287</v>
      </c>
      <c r="B4" s="264" t="s">
        <v>18</v>
      </c>
      <c r="C4" s="265" t="s">
        <v>355</v>
      </c>
      <c r="D4" s="263" t="s">
        <v>353</v>
      </c>
      <c r="E4" s="263"/>
      <c r="F4" s="263"/>
      <c r="G4" s="263"/>
    </row>
    <row r="5" spans="1:7" ht="38.25" customHeight="1">
      <c r="A5" s="263"/>
      <c r="B5" s="264"/>
      <c r="C5" s="266"/>
      <c r="D5" s="106" t="s">
        <v>265</v>
      </c>
      <c r="E5" s="106" t="s">
        <v>248</v>
      </c>
      <c r="F5" s="105" t="s">
        <v>275</v>
      </c>
      <c r="G5" s="105" t="s">
        <v>276</v>
      </c>
    </row>
    <row r="6" spans="1:7">
      <c r="A6" s="122">
        <v>1</v>
      </c>
      <c r="B6" s="169">
        <v>2</v>
      </c>
      <c r="C6" s="122">
        <v>3</v>
      </c>
      <c r="D6" s="122">
        <v>4</v>
      </c>
      <c r="E6" s="169">
        <v>5</v>
      </c>
      <c r="F6" s="122">
        <v>6</v>
      </c>
      <c r="G6" s="169">
        <v>7</v>
      </c>
    </row>
    <row r="7" spans="1:7">
      <c r="A7" s="259" t="s">
        <v>153</v>
      </c>
      <c r="B7" s="260"/>
      <c r="C7" s="260"/>
      <c r="D7" s="260"/>
      <c r="E7" s="260"/>
      <c r="F7" s="260"/>
      <c r="G7" s="261"/>
    </row>
    <row r="8" spans="1:7" ht="45.75" customHeight="1">
      <c r="A8" s="170" t="s">
        <v>60</v>
      </c>
      <c r="B8" s="13">
        <v>2000</v>
      </c>
      <c r="C8" s="108">
        <v>316</v>
      </c>
      <c r="D8" s="108">
        <v>401</v>
      </c>
      <c r="E8" s="108">
        <v>-6452</v>
      </c>
      <c r="F8" s="108">
        <f>E8-D8</f>
        <v>-6853</v>
      </c>
      <c r="G8" s="107">
        <f>E8/D8*100</f>
        <v>-1608.9775561097256</v>
      </c>
    </row>
    <row r="9" spans="1:7" ht="41">
      <c r="A9" s="171" t="s">
        <v>208</v>
      </c>
      <c r="B9" s="13">
        <v>2010</v>
      </c>
      <c r="C9" s="108">
        <f>C10+C11</f>
        <v>335.28</v>
      </c>
      <c r="D9" s="108">
        <f>D10+D11</f>
        <v>526.85</v>
      </c>
      <c r="E9" s="108">
        <f>E10+E11</f>
        <v>0</v>
      </c>
      <c r="F9" s="108">
        <f>E9-D9</f>
        <v>-526.85</v>
      </c>
      <c r="G9" s="107">
        <f>E9/D9*100</f>
        <v>0</v>
      </c>
    </row>
    <row r="10" spans="1:7" ht="41">
      <c r="A10" s="7" t="s">
        <v>359</v>
      </c>
      <c r="B10" s="13">
        <v>2011</v>
      </c>
      <c r="C10" s="108">
        <f>'1. Фін результат'!C161*0.15</f>
        <v>76.2</v>
      </c>
      <c r="D10" s="108">
        <f>'1. Фін результат'!D161*0.15</f>
        <v>119.85</v>
      </c>
      <c r="E10" s="108"/>
      <c r="F10" s="108">
        <f>E10-D10</f>
        <v>-119.85</v>
      </c>
      <c r="G10" s="107">
        <f>E10/D10*100</f>
        <v>0</v>
      </c>
    </row>
    <row r="11" spans="1:7" ht="90">
      <c r="A11" s="156" t="s">
        <v>360</v>
      </c>
      <c r="B11" s="13">
        <v>2012</v>
      </c>
      <c r="C11" s="108">
        <f>('1. Фін результат'!C161-'2. Розрахунки з бюджетом'!C10)*0.6</f>
        <v>259.08</v>
      </c>
      <c r="D11" s="108">
        <v>407</v>
      </c>
      <c r="E11" s="108"/>
      <c r="F11" s="108">
        <f>E11-D11</f>
        <v>-407</v>
      </c>
      <c r="G11" s="107">
        <f>E11/D11*100</f>
        <v>0</v>
      </c>
    </row>
    <row r="12" spans="1:7">
      <c r="A12" s="7" t="s">
        <v>195</v>
      </c>
      <c r="B12" s="13">
        <v>2020</v>
      </c>
      <c r="C12" s="108"/>
      <c r="D12" s="108"/>
      <c r="E12" s="108"/>
      <c r="F12" s="108"/>
      <c r="G12" s="107"/>
    </row>
    <row r="13" spans="1:7" s="172" customFormat="1">
      <c r="A13" s="171" t="s">
        <v>71</v>
      </c>
      <c r="B13" s="13">
        <v>2030</v>
      </c>
      <c r="C13" s="108"/>
      <c r="D13" s="108"/>
      <c r="E13" s="108"/>
      <c r="F13" s="108"/>
      <c r="G13" s="107"/>
    </row>
    <row r="14" spans="1:7" ht="24" customHeight="1">
      <c r="A14" s="143" t="s">
        <v>132</v>
      </c>
      <c r="B14" s="13">
        <v>2031</v>
      </c>
      <c r="C14" s="108"/>
      <c r="D14" s="108"/>
      <c r="E14" s="108"/>
      <c r="F14" s="108"/>
      <c r="G14" s="107"/>
    </row>
    <row r="15" spans="1:7">
      <c r="A15" s="171" t="s">
        <v>26</v>
      </c>
      <c r="B15" s="13">
        <v>2040</v>
      </c>
      <c r="C15" s="108"/>
      <c r="D15" s="108"/>
      <c r="E15" s="108"/>
      <c r="F15" s="108"/>
      <c r="G15" s="107"/>
    </row>
    <row r="16" spans="1:7">
      <c r="A16" s="171" t="s">
        <v>114</v>
      </c>
      <c r="B16" s="13">
        <v>2050</v>
      </c>
      <c r="C16" s="108"/>
      <c r="D16" s="108"/>
      <c r="E16" s="108"/>
      <c r="F16" s="108"/>
      <c r="G16" s="107"/>
    </row>
    <row r="17" spans="1:10">
      <c r="A17" s="171" t="s">
        <v>115</v>
      </c>
      <c r="B17" s="13">
        <v>2060</v>
      </c>
      <c r="C17" s="108">
        <v>6941</v>
      </c>
      <c r="D17" s="108"/>
      <c r="E17" s="108">
        <v>-66</v>
      </c>
      <c r="F17" s="108"/>
      <c r="G17" s="107"/>
    </row>
    <row r="18" spans="1:10" ht="45" customHeight="1">
      <c r="A18" s="171" t="s">
        <v>61</v>
      </c>
      <c r="B18" s="13">
        <v>2070</v>
      </c>
      <c r="C18" s="16">
        <f>C8+'1. Фін результат'!C161-'2.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-6452.28</v>
      </c>
      <c r="D18" s="16">
        <v>673</v>
      </c>
      <c r="E18" s="16">
        <f>E8+'1. Фін результат'!E161-'2.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-19896</v>
      </c>
      <c r="F18" s="16">
        <f>E18-D18</f>
        <v>-20569</v>
      </c>
      <c r="G18" s="17">
        <f>E18/D18*100</f>
        <v>-2956.3150074294208</v>
      </c>
      <c r="H18" s="173"/>
      <c r="J18" s="173"/>
    </row>
    <row r="19" spans="1:10" ht="41.25" customHeight="1">
      <c r="A19" s="259" t="s">
        <v>154</v>
      </c>
      <c r="B19" s="260"/>
      <c r="C19" s="260"/>
      <c r="D19" s="260"/>
      <c r="E19" s="260"/>
      <c r="F19" s="260"/>
      <c r="G19" s="261"/>
    </row>
    <row r="20" spans="1:10" ht="41">
      <c r="A20" s="171" t="s">
        <v>208</v>
      </c>
      <c r="B20" s="13">
        <v>2100</v>
      </c>
      <c r="C20" s="108">
        <f>C21+C22</f>
        <v>335.28</v>
      </c>
      <c r="D20" s="108">
        <f>D21+D22</f>
        <v>526.85</v>
      </c>
      <c r="E20" s="108">
        <f>E21+E22</f>
        <v>0</v>
      </c>
      <c r="F20" s="108">
        <f>E20-D20</f>
        <v>-526.85</v>
      </c>
      <c r="G20" s="107">
        <f>E20/D20*100</f>
        <v>0</v>
      </c>
    </row>
    <row r="21" spans="1:10" ht="41">
      <c r="A21" s="7" t="s">
        <v>359</v>
      </c>
      <c r="B21" s="13">
        <v>2101</v>
      </c>
      <c r="C21" s="108">
        <f t="shared" ref="C21:E22" si="0">C10</f>
        <v>76.2</v>
      </c>
      <c r="D21" s="108">
        <f t="shared" si="0"/>
        <v>119.85</v>
      </c>
      <c r="E21" s="108">
        <f t="shared" si="0"/>
        <v>0</v>
      </c>
      <c r="F21" s="108">
        <f>E21-D21</f>
        <v>-119.85</v>
      </c>
      <c r="G21" s="107">
        <f>E21/D21*100</f>
        <v>0</v>
      </c>
    </row>
    <row r="22" spans="1:10" ht="90">
      <c r="A22" s="156" t="s">
        <v>360</v>
      </c>
      <c r="B22" s="13">
        <v>2102</v>
      </c>
      <c r="C22" s="108">
        <f t="shared" si="0"/>
        <v>259.08</v>
      </c>
      <c r="D22" s="108">
        <f t="shared" si="0"/>
        <v>407</v>
      </c>
      <c r="E22" s="108">
        <f t="shared" si="0"/>
        <v>0</v>
      </c>
      <c r="F22" s="108">
        <f>E22-D22</f>
        <v>-407</v>
      </c>
      <c r="G22" s="107">
        <f>E22/D22*100</f>
        <v>0</v>
      </c>
    </row>
    <row r="23" spans="1:10" s="172" customFormat="1">
      <c r="A23" s="171" t="s">
        <v>156</v>
      </c>
      <c r="B23" s="122">
        <v>2110</v>
      </c>
      <c r="C23" s="124">
        <f>'1. Фін результат'!C159</f>
        <v>111</v>
      </c>
      <c r="D23" s="124">
        <f>'1. Фін результат'!D159</f>
        <v>176</v>
      </c>
      <c r="E23" s="124">
        <v>65</v>
      </c>
      <c r="F23" s="108">
        <f>E23-D23</f>
        <v>-111</v>
      </c>
      <c r="G23" s="107"/>
    </row>
    <row r="24" spans="1:10" ht="61.5">
      <c r="A24" s="171" t="s">
        <v>338</v>
      </c>
      <c r="B24" s="122">
        <v>2120</v>
      </c>
      <c r="C24" s="124">
        <v>2037</v>
      </c>
      <c r="D24" s="124">
        <v>4600</v>
      </c>
      <c r="E24" s="124">
        <v>991</v>
      </c>
      <c r="F24" s="108">
        <f>E24-D24</f>
        <v>-3609</v>
      </c>
      <c r="G24" s="107">
        <f>E24/D24*100</f>
        <v>21.543478260869563</v>
      </c>
    </row>
    <row r="25" spans="1:10" ht="61.5" customHeight="1">
      <c r="A25" s="171" t="s">
        <v>339</v>
      </c>
      <c r="B25" s="122">
        <v>2130</v>
      </c>
      <c r="C25" s="124"/>
      <c r="D25" s="124"/>
      <c r="E25" s="124"/>
      <c r="F25" s="124"/>
      <c r="G25" s="174"/>
    </row>
    <row r="26" spans="1:10" s="168" customFormat="1" ht="39.75" customHeight="1">
      <c r="A26" s="151" t="s">
        <v>257</v>
      </c>
      <c r="B26" s="175">
        <v>2140</v>
      </c>
      <c r="C26" s="176">
        <f>C30+C29+C35</f>
        <v>5339</v>
      </c>
      <c r="D26" s="176">
        <f>D30+D29+D35</f>
        <v>7592</v>
      </c>
      <c r="E26" s="176">
        <f>E30+E29+E35</f>
        <v>7010</v>
      </c>
      <c r="F26" s="16">
        <f>E26-D26</f>
        <v>-582</v>
      </c>
      <c r="G26" s="17">
        <f>E26/D26*100</f>
        <v>92.334035827186511</v>
      </c>
    </row>
    <row r="27" spans="1:10">
      <c r="A27" s="171" t="s">
        <v>84</v>
      </c>
      <c r="B27" s="122">
        <v>2141</v>
      </c>
      <c r="C27" s="124"/>
      <c r="D27" s="124"/>
      <c r="E27" s="124"/>
      <c r="F27" s="124"/>
      <c r="G27" s="174"/>
    </row>
    <row r="28" spans="1:10">
      <c r="A28" s="171" t="s">
        <v>104</v>
      </c>
      <c r="B28" s="122">
        <v>2142</v>
      </c>
      <c r="C28" s="124"/>
      <c r="D28" s="124"/>
      <c r="E28" s="124"/>
      <c r="F28" s="124"/>
      <c r="G28" s="174"/>
    </row>
    <row r="29" spans="1:10">
      <c r="A29" s="171" t="s">
        <v>99</v>
      </c>
      <c r="B29" s="122">
        <v>2143</v>
      </c>
      <c r="C29" s="124">
        <f>'1. Фін результат'!C97</f>
        <v>268</v>
      </c>
      <c r="D29" s="124">
        <v>295</v>
      </c>
      <c r="E29" s="124">
        <f>'1. Фін результат'!E97</f>
        <v>315</v>
      </c>
      <c r="F29" s="108">
        <f>E29-D29</f>
        <v>20</v>
      </c>
      <c r="G29" s="107">
        <f>E29/D29*100</f>
        <v>106.77966101694916</v>
      </c>
    </row>
    <row r="30" spans="1:10">
      <c r="A30" s="171" t="s">
        <v>82</v>
      </c>
      <c r="B30" s="122">
        <v>2144</v>
      </c>
      <c r="C30" s="124">
        <v>4662</v>
      </c>
      <c r="D30" s="124">
        <v>6736</v>
      </c>
      <c r="E30" s="124">
        <v>6164</v>
      </c>
      <c r="F30" s="108">
        <f>E30-D30</f>
        <v>-572</v>
      </c>
      <c r="G30" s="107">
        <f>E30/D30*100</f>
        <v>91.5083135391924</v>
      </c>
    </row>
    <row r="31" spans="1:10" s="172" customFormat="1">
      <c r="A31" s="171" t="s">
        <v>175</v>
      </c>
      <c r="B31" s="122">
        <v>2145</v>
      </c>
      <c r="C31" s="124"/>
      <c r="D31" s="124"/>
      <c r="E31" s="124"/>
      <c r="F31" s="124"/>
      <c r="G31" s="174"/>
    </row>
    <row r="32" spans="1:10" ht="61.5">
      <c r="A32" s="171" t="s">
        <v>133</v>
      </c>
      <c r="B32" s="122" t="s">
        <v>222</v>
      </c>
      <c r="C32" s="124"/>
      <c r="D32" s="124"/>
      <c r="E32" s="124"/>
      <c r="F32" s="124"/>
      <c r="G32" s="174"/>
    </row>
    <row r="33" spans="1:9">
      <c r="A33" s="171" t="s">
        <v>27</v>
      </c>
      <c r="B33" s="122" t="s">
        <v>223</v>
      </c>
      <c r="C33" s="124"/>
      <c r="D33" s="124"/>
      <c r="E33" s="124"/>
      <c r="F33" s="124"/>
      <c r="G33" s="174"/>
    </row>
    <row r="34" spans="1:9" s="172" customFormat="1">
      <c r="A34" s="171" t="s">
        <v>116</v>
      </c>
      <c r="B34" s="122">
        <v>2146</v>
      </c>
      <c r="C34" s="124"/>
      <c r="D34" s="124"/>
      <c r="E34" s="124"/>
      <c r="F34" s="124"/>
      <c r="G34" s="174"/>
    </row>
    <row r="35" spans="1:9">
      <c r="A35" s="171" t="s">
        <v>88</v>
      </c>
      <c r="B35" s="122">
        <v>2147</v>
      </c>
      <c r="C35" s="124">
        <f>C36</f>
        <v>409</v>
      </c>
      <c r="D35" s="124">
        <f>D36</f>
        <v>561</v>
      </c>
      <c r="E35" s="124">
        <f>E36</f>
        <v>531</v>
      </c>
      <c r="F35" s="108">
        <f>E35-D35</f>
        <v>-30</v>
      </c>
      <c r="G35" s="107">
        <f>E35/D35*100</f>
        <v>94.652406417112303</v>
      </c>
    </row>
    <row r="36" spans="1:9">
      <c r="A36" s="171" t="s">
        <v>479</v>
      </c>
      <c r="B36" s="122" t="s">
        <v>478</v>
      </c>
      <c r="C36" s="124">
        <v>409</v>
      </c>
      <c r="D36" s="124">
        <v>561</v>
      </c>
      <c r="E36" s="124">
        <v>531</v>
      </c>
      <c r="F36" s="108">
        <f>E36-D36</f>
        <v>-30</v>
      </c>
      <c r="G36" s="107">
        <f>E36/D36*100</f>
        <v>94.652406417112303</v>
      </c>
    </row>
    <row r="37" spans="1:9" s="172" customFormat="1" ht="41">
      <c r="A37" s="171" t="s">
        <v>83</v>
      </c>
      <c r="B37" s="122">
        <v>2150</v>
      </c>
      <c r="C37" s="124">
        <v>5645</v>
      </c>
      <c r="D37" s="124">
        <v>7898</v>
      </c>
      <c r="E37" s="124">
        <f>'1. Фін результат'!E183</f>
        <v>7184</v>
      </c>
      <c r="F37" s="108">
        <f>E37-D37</f>
        <v>-714</v>
      </c>
      <c r="G37" s="107">
        <f>E37/D37*100</f>
        <v>90.959736642187892</v>
      </c>
    </row>
    <row r="38" spans="1:9" s="172" customFormat="1" ht="25.5" customHeight="1">
      <c r="A38" s="177" t="s">
        <v>358</v>
      </c>
      <c r="B38" s="175">
        <v>2200</v>
      </c>
      <c r="C38" s="176">
        <f>C20+C24+C26+C37+C23</f>
        <v>13467.279999999999</v>
      </c>
      <c r="D38" s="176">
        <f>D20+D24+D26+D37+D23</f>
        <v>20792.849999999999</v>
      </c>
      <c r="E38" s="176">
        <f>E20+E24+E26+E37+E23</f>
        <v>15250</v>
      </c>
      <c r="F38" s="16">
        <f>E38-D38</f>
        <v>-5542.8499999999985</v>
      </c>
      <c r="G38" s="17">
        <f>E38/D38*100</f>
        <v>73.342519183276949</v>
      </c>
      <c r="H38" s="172" t="s">
        <v>372</v>
      </c>
    </row>
    <row r="39" spans="1:9" s="172" customFormat="1" ht="82.5" customHeight="1">
      <c r="A39" s="178"/>
      <c r="B39" s="167"/>
      <c r="C39" s="167"/>
      <c r="D39" s="167"/>
      <c r="E39" s="167"/>
      <c r="F39" s="167"/>
      <c r="G39" s="167"/>
    </row>
    <row r="40" spans="1:9" s="2" customFormat="1" ht="20.149999999999999" customHeight="1">
      <c r="A40" s="63" t="s">
        <v>627</v>
      </c>
      <c r="B40" s="60"/>
      <c r="F40" s="250" t="s">
        <v>626</v>
      </c>
      <c r="G40" s="250"/>
    </row>
    <row r="41" spans="1:9" s="2" customFormat="1" ht="20.149999999999999" customHeight="1">
      <c r="A41" s="4" t="s">
        <v>77</v>
      </c>
      <c r="C41" s="250" t="s">
        <v>78</v>
      </c>
      <c r="D41" s="250"/>
      <c r="F41" s="250" t="s">
        <v>102</v>
      </c>
      <c r="G41" s="250"/>
    </row>
    <row r="42" spans="1:9" s="167" customFormat="1" ht="29.25" customHeight="1">
      <c r="A42" s="179"/>
      <c r="H42" s="166"/>
      <c r="I42" s="166"/>
    </row>
    <row r="43" spans="1:9" s="55" customFormat="1" ht="80.25" customHeight="1">
      <c r="A43" s="258"/>
      <c r="B43" s="258"/>
      <c r="C43" s="258"/>
      <c r="D43" s="258"/>
      <c r="E43" s="258"/>
      <c r="F43" s="258"/>
      <c r="G43" s="258"/>
      <c r="H43" s="258"/>
    </row>
    <row r="44" spans="1:9" s="167" customFormat="1">
      <c r="A44" s="179"/>
      <c r="H44" s="166"/>
      <c r="I44" s="166"/>
    </row>
    <row r="45" spans="1:9" s="167" customFormat="1">
      <c r="A45" s="179"/>
      <c r="H45" s="166"/>
      <c r="I45" s="166"/>
    </row>
    <row r="46" spans="1:9" s="167" customFormat="1">
      <c r="A46" s="179"/>
      <c r="H46" s="166"/>
      <c r="I46" s="166"/>
    </row>
    <row r="47" spans="1:9" s="167" customFormat="1">
      <c r="A47" s="179"/>
      <c r="H47" s="166"/>
      <c r="I47" s="166"/>
    </row>
    <row r="48" spans="1:9" s="167" customFormat="1">
      <c r="A48" s="179"/>
      <c r="H48" s="166"/>
      <c r="I48" s="166"/>
    </row>
    <row r="49" spans="1:9" s="167" customFormat="1">
      <c r="A49" s="179"/>
      <c r="H49" s="166"/>
      <c r="I49" s="166"/>
    </row>
    <row r="50" spans="1:9" s="167" customFormat="1">
      <c r="A50" s="179"/>
      <c r="H50" s="166"/>
      <c r="I50" s="166"/>
    </row>
    <row r="51" spans="1:9" s="167" customFormat="1">
      <c r="A51" s="179"/>
      <c r="H51" s="166"/>
      <c r="I51" s="166"/>
    </row>
    <row r="52" spans="1:9" s="167" customFormat="1">
      <c r="A52" s="179"/>
      <c r="H52" s="166"/>
      <c r="I52" s="166"/>
    </row>
    <row r="53" spans="1:9" s="167" customFormat="1">
      <c r="A53" s="179"/>
      <c r="H53" s="166"/>
      <c r="I53" s="166"/>
    </row>
    <row r="54" spans="1:9" s="167" customFormat="1">
      <c r="A54" s="179"/>
      <c r="H54" s="166"/>
      <c r="I54" s="166"/>
    </row>
    <row r="55" spans="1:9" s="167" customFormat="1">
      <c r="A55" s="179"/>
      <c r="H55" s="166"/>
      <c r="I55" s="166"/>
    </row>
    <row r="56" spans="1:9" s="167" customFormat="1">
      <c r="A56" s="179"/>
      <c r="H56" s="166"/>
      <c r="I56" s="166"/>
    </row>
    <row r="57" spans="1:9" s="167" customFormat="1">
      <c r="A57" s="179"/>
      <c r="H57" s="166"/>
      <c r="I57" s="166"/>
    </row>
    <row r="58" spans="1:9" s="167" customFormat="1">
      <c r="A58" s="179"/>
      <c r="H58" s="166"/>
      <c r="I58" s="166"/>
    </row>
    <row r="59" spans="1:9" s="167" customFormat="1">
      <c r="A59" s="179"/>
      <c r="H59" s="166"/>
      <c r="I59" s="166"/>
    </row>
    <row r="60" spans="1:9" s="167" customFormat="1">
      <c r="A60" s="179"/>
      <c r="H60" s="166"/>
      <c r="I60" s="166"/>
    </row>
    <row r="61" spans="1:9" s="167" customFormat="1">
      <c r="A61" s="179"/>
      <c r="H61" s="166"/>
      <c r="I61" s="166"/>
    </row>
    <row r="62" spans="1:9" s="167" customFormat="1">
      <c r="A62" s="179"/>
      <c r="H62" s="166"/>
      <c r="I62" s="166"/>
    </row>
    <row r="63" spans="1:9" s="167" customFormat="1">
      <c r="A63" s="179"/>
      <c r="H63" s="166"/>
      <c r="I63" s="166"/>
    </row>
    <row r="64" spans="1:9" s="167" customFormat="1">
      <c r="A64" s="179"/>
      <c r="H64" s="166"/>
      <c r="I64" s="166"/>
    </row>
    <row r="65" spans="1:9" s="167" customFormat="1">
      <c r="A65" s="179"/>
      <c r="H65" s="166"/>
      <c r="I65" s="166"/>
    </row>
    <row r="66" spans="1:9" s="167" customFormat="1">
      <c r="A66" s="179"/>
      <c r="H66" s="166"/>
      <c r="I66" s="166"/>
    </row>
    <row r="67" spans="1:9" s="167" customFormat="1">
      <c r="A67" s="179"/>
      <c r="H67" s="166"/>
      <c r="I67" s="166"/>
    </row>
    <row r="68" spans="1:9" s="167" customFormat="1">
      <c r="A68" s="179"/>
      <c r="H68" s="166"/>
      <c r="I68" s="166"/>
    </row>
    <row r="69" spans="1:9" s="167" customFormat="1">
      <c r="A69" s="179"/>
      <c r="H69" s="166"/>
      <c r="I69" s="166"/>
    </row>
    <row r="70" spans="1:9" s="167" customFormat="1">
      <c r="A70" s="179"/>
      <c r="H70" s="166"/>
      <c r="I70" s="166"/>
    </row>
    <row r="71" spans="1:9" s="167" customFormat="1">
      <c r="A71" s="179"/>
      <c r="H71" s="166"/>
      <c r="I71" s="166"/>
    </row>
    <row r="72" spans="1:9" s="167" customFormat="1">
      <c r="A72" s="179"/>
      <c r="H72" s="166"/>
      <c r="I72" s="166"/>
    </row>
    <row r="73" spans="1:9" s="167" customFormat="1">
      <c r="A73" s="179"/>
      <c r="H73" s="166"/>
      <c r="I73" s="166"/>
    </row>
    <row r="74" spans="1:9" s="167" customFormat="1">
      <c r="A74" s="179"/>
      <c r="H74" s="166"/>
      <c r="I74" s="166"/>
    </row>
    <row r="75" spans="1:9" s="167" customFormat="1">
      <c r="A75" s="179"/>
      <c r="H75" s="166"/>
      <c r="I75" s="166"/>
    </row>
    <row r="76" spans="1:9" s="167" customFormat="1">
      <c r="A76" s="179"/>
      <c r="H76" s="166"/>
      <c r="I76" s="166"/>
    </row>
    <row r="77" spans="1:9" s="167" customFormat="1">
      <c r="A77" s="179"/>
      <c r="H77" s="166"/>
      <c r="I77" s="166"/>
    </row>
    <row r="78" spans="1:9" s="167" customFormat="1">
      <c r="A78" s="179"/>
      <c r="H78" s="166"/>
      <c r="I78" s="166"/>
    </row>
    <row r="79" spans="1:9" s="167" customFormat="1">
      <c r="A79" s="179"/>
      <c r="H79" s="166"/>
      <c r="I79" s="166"/>
    </row>
    <row r="80" spans="1:9" s="167" customFormat="1">
      <c r="A80" s="179"/>
      <c r="H80" s="166"/>
      <c r="I80" s="166"/>
    </row>
    <row r="81" spans="1:9" s="167" customFormat="1">
      <c r="A81" s="179"/>
      <c r="H81" s="166"/>
      <c r="I81" s="166"/>
    </row>
    <row r="82" spans="1:9" s="167" customFormat="1">
      <c r="A82" s="179"/>
      <c r="H82" s="166"/>
      <c r="I82" s="166"/>
    </row>
    <row r="83" spans="1:9" s="167" customFormat="1">
      <c r="A83" s="179"/>
      <c r="H83" s="166"/>
      <c r="I83" s="166"/>
    </row>
    <row r="84" spans="1:9" s="167" customFormat="1">
      <c r="A84" s="179"/>
      <c r="H84" s="166"/>
      <c r="I84" s="166"/>
    </row>
    <row r="85" spans="1:9" s="167" customFormat="1">
      <c r="A85" s="179"/>
      <c r="H85" s="166"/>
      <c r="I85" s="166"/>
    </row>
    <row r="86" spans="1:9" s="167" customFormat="1">
      <c r="A86" s="179"/>
      <c r="H86" s="166"/>
      <c r="I86" s="166"/>
    </row>
    <row r="87" spans="1:9" s="167" customFormat="1">
      <c r="A87" s="179"/>
      <c r="H87" s="166"/>
      <c r="I87" s="166"/>
    </row>
    <row r="88" spans="1:9" s="167" customFormat="1">
      <c r="A88" s="179"/>
      <c r="H88" s="166"/>
      <c r="I88" s="166"/>
    </row>
    <row r="89" spans="1:9" s="167" customFormat="1">
      <c r="A89" s="179"/>
      <c r="H89" s="166"/>
      <c r="I89" s="166"/>
    </row>
    <row r="90" spans="1:9" s="167" customFormat="1">
      <c r="A90" s="179"/>
      <c r="H90" s="166"/>
      <c r="I90" s="166"/>
    </row>
    <row r="91" spans="1:9" s="167" customFormat="1">
      <c r="A91" s="179"/>
      <c r="H91" s="166"/>
      <c r="I91" s="166"/>
    </row>
    <row r="92" spans="1:9" s="167" customFormat="1">
      <c r="A92" s="179"/>
      <c r="H92" s="166"/>
      <c r="I92" s="166"/>
    </row>
    <row r="93" spans="1:9" s="167" customFormat="1">
      <c r="A93" s="179"/>
      <c r="H93" s="166"/>
      <c r="I93" s="166"/>
    </row>
    <row r="94" spans="1:9" s="167" customFormat="1">
      <c r="A94" s="179"/>
      <c r="H94" s="166"/>
      <c r="I94" s="166"/>
    </row>
    <row r="95" spans="1:9" s="167" customFormat="1">
      <c r="A95" s="179"/>
      <c r="H95" s="166"/>
      <c r="I95" s="166"/>
    </row>
    <row r="96" spans="1:9" s="167" customFormat="1">
      <c r="A96" s="179"/>
      <c r="H96" s="166"/>
      <c r="I96" s="166"/>
    </row>
    <row r="97" spans="1:9" s="167" customFormat="1">
      <c r="A97" s="179"/>
      <c r="H97" s="166"/>
      <c r="I97" s="166"/>
    </row>
    <row r="98" spans="1:9" s="167" customFormat="1">
      <c r="A98" s="179"/>
      <c r="H98" s="166"/>
      <c r="I98" s="166"/>
    </row>
    <row r="99" spans="1:9" s="167" customFormat="1">
      <c r="A99" s="179"/>
      <c r="H99" s="166"/>
      <c r="I99" s="166"/>
    </row>
    <row r="100" spans="1:9" s="167" customFormat="1">
      <c r="A100" s="179"/>
      <c r="H100" s="166"/>
      <c r="I100" s="166"/>
    </row>
    <row r="101" spans="1:9" s="167" customFormat="1">
      <c r="A101" s="179"/>
      <c r="H101" s="166"/>
      <c r="I101" s="166"/>
    </row>
    <row r="102" spans="1:9" s="167" customFormat="1">
      <c r="A102" s="179"/>
      <c r="H102" s="166"/>
      <c r="I102" s="166"/>
    </row>
    <row r="103" spans="1:9" s="167" customFormat="1">
      <c r="A103" s="179"/>
      <c r="H103" s="166"/>
      <c r="I103" s="166"/>
    </row>
    <row r="104" spans="1:9" s="167" customFormat="1">
      <c r="A104" s="179"/>
      <c r="H104" s="166"/>
      <c r="I104" s="166"/>
    </row>
    <row r="105" spans="1:9" s="167" customFormat="1">
      <c r="A105" s="179"/>
      <c r="H105" s="166"/>
      <c r="I105" s="166"/>
    </row>
    <row r="106" spans="1:9" s="167" customFormat="1">
      <c r="A106" s="179"/>
      <c r="H106" s="166"/>
      <c r="I106" s="166"/>
    </row>
    <row r="107" spans="1:9" s="167" customFormat="1">
      <c r="A107" s="179"/>
      <c r="H107" s="166"/>
      <c r="I107" s="166"/>
    </row>
    <row r="108" spans="1:9" s="167" customFormat="1">
      <c r="A108" s="179"/>
      <c r="H108" s="166"/>
      <c r="I108" s="166"/>
    </row>
    <row r="109" spans="1:9" s="167" customFormat="1">
      <c r="A109" s="179"/>
      <c r="H109" s="166"/>
      <c r="I109" s="166"/>
    </row>
    <row r="110" spans="1:9" s="167" customFormat="1">
      <c r="A110" s="179"/>
      <c r="H110" s="166"/>
      <c r="I110" s="166"/>
    </row>
    <row r="111" spans="1:9" s="167" customFormat="1">
      <c r="A111" s="179"/>
      <c r="H111" s="166"/>
      <c r="I111" s="166"/>
    </row>
    <row r="112" spans="1:9" s="167" customFormat="1">
      <c r="A112" s="179"/>
      <c r="H112" s="166"/>
      <c r="I112" s="166"/>
    </row>
    <row r="113" spans="1:9" s="167" customFormat="1">
      <c r="A113" s="179"/>
      <c r="H113" s="166"/>
      <c r="I113" s="166"/>
    </row>
    <row r="114" spans="1:9" s="167" customFormat="1">
      <c r="A114" s="179"/>
      <c r="H114" s="166"/>
      <c r="I114" s="166"/>
    </row>
    <row r="115" spans="1:9" s="167" customFormat="1">
      <c r="A115" s="179"/>
      <c r="H115" s="166"/>
      <c r="I115" s="166"/>
    </row>
    <row r="116" spans="1:9" s="167" customFormat="1">
      <c r="A116" s="179"/>
      <c r="H116" s="166"/>
      <c r="I116" s="166"/>
    </row>
    <row r="117" spans="1:9" s="167" customFormat="1">
      <c r="A117" s="179"/>
      <c r="H117" s="166"/>
      <c r="I117" s="166"/>
    </row>
    <row r="118" spans="1:9" s="167" customFormat="1">
      <c r="A118" s="179"/>
      <c r="H118" s="166"/>
      <c r="I118" s="166"/>
    </row>
    <row r="119" spans="1:9" s="167" customFormat="1">
      <c r="A119" s="179"/>
      <c r="H119" s="166"/>
      <c r="I119" s="166"/>
    </row>
    <row r="120" spans="1:9" s="167" customFormat="1">
      <c r="A120" s="179"/>
      <c r="H120" s="166"/>
      <c r="I120" s="166"/>
    </row>
    <row r="121" spans="1:9" s="167" customFormat="1">
      <c r="A121" s="179"/>
      <c r="H121" s="166"/>
      <c r="I121" s="166"/>
    </row>
    <row r="122" spans="1:9" s="167" customFormat="1">
      <c r="A122" s="179"/>
      <c r="H122" s="166"/>
      <c r="I122" s="166"/>
    </row>
    <row r="123" spans="1:9" s="167" customFormat="1">
      <c r="A123" s="179"/>
      <c r="H123" s="166"/>
      <c r="I123" s="166"/>
    </row>
    <row r="124" spans="1:9" s="167" customFormat="1">
      <c r="A124" s="179"/>
      <c r="H124" s="166"/>
      <c r="I124" s="166"/>
    </row>
    <row r="125" spans="1:9" s="167" customFormat="1">
      <c r="A125" s="179"/>
      <c r="H125" s="166"/>
      <c r="I125" s="166"/>
    </row>
    <row r="126" spans="1:9" s="167" customFormat="1">
      <c r="A126" s="179"/>
      <c r="H126" s="166"/>
      <c r="I126" s="166"/>
    </row>
    <row r="127" spans="1:9" s="167" customFormat="1">
      <c r="A127" s="179"/>
      <c r="H127" s="166"/>
      <c r="I127" s="166"/>
    </row>
    <row r="128" spans="1:9" s="167" customFormat="1">
      <c r="A128" s="179"/>
      <c r="H128" s="166"/>
      <c r="I128" s="166"/>
    </row>
    <row r="129" spans="1:9" s="167" customFormat="1">
      <c r="A129" s="179"/>
      <c r="H129" s="166"/>
      <c r="I129" s="166"/>
    </row>
    <row r="130" spans="1:9" s="167" customFormat="1">
      <c r="A130" s="179"/>
      <c r="H130" s="166"/>
      <c r="I130" s="166"/>
    </row>
    <row r="131" spans="1:9" s="167" customFormat="1">
      <c r="A131" s="179"/>
      <c r="H131" s="166"/>
      <c r="I131" s="166"/>
    </row>
    <row r="132" spans="1:9" s="167" customFormat="1">
      <c r="A132" s="179"/>
      <c r="H132" s="166"/>
      <c r="I132" s="166"/>
    </row>
    <row r="133" spans="1:9" s="167" customFormat="1">
      <c r="A133" s="179"/>
      <c r="H133" s="166"/>
      <c r="I133" s="166"/>
    </row>
    <row r="134" spans="1:9" s="167" customFormat="1">
      <c r="A134" s="179"/>
      <c r="H134" s="166"/>
      <c r="I134" s="166"/>
    </row>
    <row r="135" spans="1:9" s="167" customFormat="1">
      <c r="A135" s="179"/>
      <c r="H135" s="166"/>
      <c r="I135" s="166"/>
    </row>
    <row r="136" spans="1:9" s="167" customFormat="1">
      <c r="A136" s="179"/>
      <c r="H136" s="166"/>
      <c r="I136" s="166"/>
    </row>
    <row r="137" spans="1:9" s="167" customFormat="1">
      <c r="A137" s="179"/>
      <c r="H137" s="166"/>
      <c r="I137" s="166"/>
    </row>
    <row r="138" spans="1:9" s="167" customFormat="1">
      <c r="A138" s="179"/>
      <c r="H138" s="166"/>
      <c r="I138" s="166"/>
    </row>
    <row r="139" spans="1:9" s="167" customFormat="1">
      <c r="A139" s="179"/>
      <c r="H139" s="166"/>
      <c r="I139" s="166"/>
    </row>
    <row r="140" spans="1:9" s="167" customFormat="1">
      <c r="A140" s="179"/>
      <c r="H140" s="166"/>
      <c r="I140" s="166"/>
    </row>
    <row r="141" spans="1:9" s="167" customFormat="1">
      <c r="A141" s="179"/>
      <c r="H141" s="166"/>
      <c r="I141" s="166"/>
    </row>
    <row r="142" spans="1:9" s="167" customFormat="1">
      <c r="A142" s="179"/>
      <c r="H142" s="166"/>
      <c r="I142" s="166"/>
    </row>
    <row r="143" spans="1:9" s="167" customFormat="1">
      <c r="A143" s="179"/>
      <c r="H143" s="166"/>
      <c r="I143" s="166"/>
    </row>
    <row r="144" spans="1:9" s="167" customFormat="1">
      <c r="A144" s="179"/>
      <c r="H144" s="166"/>
      <c r="I144" s="166"/>
    </row>
    <row r="145" spans="1:9" s="167" customFormat="1">
      <c r="A145" s="179"/>
      <c r="H145" s="166"/>
      <c r="I145" s="166"/>
    </row>
    <row r="146" spans="1:9" s="167" customFormat="1">
      <c r="A146" s="179"/>
      <c r="H146" s="166"/>
      <c r="I146" s="166"/>
    </row>
    <row r="147" spans="1:9" s="167" customFormat="1">
      <c r="A147" s="179"/>
      <c r="H147" s="166"/>
      <c r="I147" s="166"/>
    </row>
    <row r="148" spans="1:9" s="167" customFormat="1">
      <c r="A148" s="179"/>
      <c r="H148" s="166"/>
      <c r="I148" s="166"/>
    </row>
    <row r="149" spans="1:9" s="167" customFormat="1">
      <c r="A149" s="179"/>
      <c r="H149" s="166"/>
      <c r="I149" s="166"/>
    </row>
    <row r="150" spans="1:9" s="167" customFormat="1">
      <c r="A150" s="179"/>
      <c r="H150" s="166"/>
      <c r="I150" s="166"/>
    </row>
    <row r="151" spans="1:9" s="167" customFormat="1">
      <c r="A151" s="179"/>
      <c r="H151" s="166"/>
      <c r="I151" s="166"/>
    </row>
    <row r="152" spans="1:9" s="167" customFormat="1">
      <c r="A152" s="179"/>
      <c r="H152" s="166"/>
      <c r="I152" s="166"/>
    </row>
    <row r="153" spans="1:9" s="167" customFormat="1">
      <c r="A153" s="179"/>
      <c r="H153" s="166"/>
      <c r="I153" s="166"/>
    </row>
    <row r="154" spans="1:9" s="167" customFormat="1">
      <c r="A154" s="179"/>
      <c r="H154" s="166"/>
      <c r="I154" s="166"/>
    </row>
    <row r="155" spans="1:9" s="167" customFormat="1">
      <c r="A155" s="179"/>
      <c r="H155" s="166"/>
      <c r="I155" s="166"/>
    </row>
    <row r="156" spans="1:9" s="167" customFormat="1">
      <c r="A156" s="179"/>
      <c r="H156" s="166"/>
      <c r="I156" s="166"/>
    </row>
    <row r="157" spans="1:9" s="167" customFormat="1">
      <c r="A157" s="179"/>
      <c r="H157" s="166"/>
      <c r="I157" s="166"/>
    </row>
    <row r="158" spans="1:9" s="167" customFormat="1">
      <c r="A158" s="179"/>
      <c r="H158" s="166"/>
      <c r="I158" s="166"/>
    </row>
    <row r="159" spans="1:9" s="167" customFormat="1">
      <c r="A159" s="179"/>
      <c r="H159" s="166"/>
      <c r="I159" s="166"/>
    </row>
    <row r="160" spans="1:9" s="167" customFormat="1">
      <c r="A160" s="179"/>
      <c r="H160" s="166"/>
      <c r="I160" s="166"/>
    </row>
    <row r="161" spans="1:9" s="167" customFormat="1">
      <c r="A161" s="179"/>
      <c r="H161" s="166"/>
      <c r="I161" s="166"/>
    </row>
    <row r="162" spans="1:9" s="167" customFormat="1">
      <c r="A162" s="179"/>
      <c r="H162" s="166"/>
      <c r="I162" s="166"/>
    </row>
    <row r="163" spans="1:9" s="167" customFormat="1">
      <c r="A163" s="179"/>
      <c r="H163" s="166"/>
      <c r="I163" s="166"/>
    </row>
    <row r="164" spans="1:9" s="167" customFormat="1">
      <c r="A164" s="179"/>
      <c r="H164" s="166"/>
      <c r="I164" s="166"/>
    </row>
    <row r="165" spans="1:9" s="167" customFormat="1">
      <c r="A165" s="179"/>
      <c r="H165" s="166"/>
      <c r="I165" s="166"/>
    </row>
    <row r="166" spans="1:9" s="167" customFormat="1">
      <c r="A166" s="179"/>
      <c r="H166" s="166"/>
      <c r="I166" s="166"/>
    </row>
    <row r="167" spans="1:9" s="167" customFormat="1">
      <c r="A167" s="179"/>
      <c r="H167" s="166"/>
      <c r="I167" s="166"/>
    </row>
    <row r="168" spans="1:9" s="167" customFormat="1">
      <c r="A168" s="179"/>
      <c r="H168" s="166"/>
      <c r="I168" s="166"/>
    </row>
    <row r="169" spans="1:9" s="167" customFormat="1">
      <c r="A169" s="179"/>
      <c r="H169" s="166"/>
      <c r="I169" s="166"/>
    </row>
    <row r="170" spans="1:9" s="167" customFormat="1">
      <c r="A170" s="179"/>
      <c r="H170" s="166"/>
      <c r="I170" s="166"/>
    </row>
    <row r="171" spans="1:9" s="167" customFormat="1">
      <c r="A171" s="179"/>
      <c r="H171" s="166"/>
      <c r="I171" s="166"/>
    </row>
    <row r="172" spans="1:9" s="167" customFormat="1">
      <c r="A172" s="179"/>
      <c r="H172" s="166"/>
      <c r="I172" s="166"/>
    </row>
    <row r="173" spans="1:9" s="167" customFormat="1">
      <c r="A173" s="179"/>
      <c r="H173" s="166"/>
      <c r="I173" s="166"/>
    </row>
    <row r="174" spans="1:9" s="167" customFormat="1">
      <c r="A174" s="179"/>
      <c r="H174" s="166"/>
      <c r="I174" s="166"/>
    </row>
    <row r="175" spans="1:9" s="167" customFormat="1">
      <c r="A175" s="179"/>
      <c r="H175" s="166"/>
      <c r="I175" s="166"/>
    </row>
    <row r="176" spans="1:9" s="167" customFormat="1">
      <c r="A176" s="179"/>
      <c r="H176" s="166"/>
      <c r="I176" s="166"/>
    </row>
    <row r="177" spans="1:9" s="167" customFormat="1">
      <c r="A177" s="179"/>
      <c r="H177" s="166"/>
      <c r="I177" s="166"/>
    </row>
    <row r="178" spans="1:9" s="167" customFormat="1">
      <c r="A178" s="179"/>
      <c r="H178" s="166"/>
      <c r="I178" s="166"/>
    </row>
    <row r="179" spans="1:9" s="167" customFormat="1">
      <c r="A179" s="179"/>
      <c r="H179" s="166"/>
      <c r="I179" s="166"/>
    </row>
    <row r="180" spans="1:9" s="167" customFormat="1">
      <c r="A180" s="179"/>
      <c r="H180" s="166"/>
      <c r="I180" s="166"/>
    </row>
    <row r="181" spans="1:9" s="167" customFormat="1">
      <c r="A181" s="179"/>
      <c r="H181" s="166"/>
      <c r="I181" s="166"/>
    </row>
    <row r="182" spans="1:9" s="167" customFormat="1">
      <c r="A182" s="179"/>
      <c r="H182" s="166"/>
      <c r="I182" s="166"/>
    </row>
    <row r="183" spans="1:9" s="167" customFormat="1">
      <c r="A183" s="179"/>
      <c r="H183" s="166"/>
      <c r="I183" s="166"/>
    </row>
    <row r="184" spans="1:9" s="167" customFormat="1">
      <c r="A184" s="179"/>
      <c r="H184" s="166"/>
      <c r="I184" s="166"/>
    </row>
    <row r="185" spans="1:9" s="167" customFormat="1">
      <c r="A185" s="179"/>
      <c r="H185" s="166"/>
      <c r="I185" s="166"/>
    </row>
    <row r="186" spans="1:9" s="167" customFormat="1">
      <c r="A186" s="179"/>
      <c r="H186" s="166"/>
      <c r="I186" s="166"/>
    </row>
    <row r="187" spans="1:9" s="167" customFormat="1">
      <c r="A187" s="179"/>
      <c r="H187" s="166"/>
      <c r="I187" s="166"/>
    </row>
    <row r="188" spans="1:9" s="167" customFormat="1">
      <c r="A188" s="179"/>
      <c r="H188" s="166"/>
      <c r="I188" s="166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ageMargins left="0.59055118110236227" right="0.39370078740157483" top="0.39370078740157483" bottom="0.31496062992125984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O96"/>
  <sheetViews>
    <sheetView view="pageBreakPreview" topLeftCell="A3" zoomScale="75" zoomScaleNormal="75" zoomScaleSheetLayoutView="75" workbookViewId="0">
      <selection activeCell="G23" sqref="G23"/>
    </sheetView>
  </sheetViews>
  <sheetFormatPr defaultColWidth="9.1796875" defaultRowHeight="18" outlineLevelRow="1"/>
  <cols>
    <col min="1" max="1" width="60.1796875" style="137" customWidth="1"/>
    <col min="2" max="2" width="12" style="137" customWidth="1"/>
    <col min="3" max="3" width="18.81640625" style="137" customWidth="1"/>
    <col min="4" max="4" width="11" style="137" customWidth="1"/>
    <col min="5" max="5" width="10.7265625" style="137" customWidth="1"/>
    <col min="6" max="6" width="16" style="137" customWidth="1"/>
    <col min="7" max="7" width="14.81640625" style="137" customWidth="1"/>
    <col min="8" max="8" width="8.453125" style="137" customWidth="1"/>
    <col min="9" max="15" width="9.1796875" style="137" hidden="1" customWidth="1"/>
    <col min="16" max="16384" width="9.1796875" style="137"/>
  </cols>
  <sheetData>
    <row r="1" spans="1:7" hidden="1" outlineLevel="1">
      <c r="G1" s="138" t="s">
        <v>241</v>
      </c>
    </row>
    <row r="2" spans="1:7" hidden="1" outlineLevel="1">
      <c r="G2" s="138" t="s">
        <v>227</v>
      </c>
    </row>
    <row r="3" spans="1:7" collapsed="1">
      <c r="A3" s="272" t="s">
        <v>375</v>
      </c>
      <c r="B3" s="272"/>
      <c r="C3" s="272"/>
      <c r="D3" s="272"/>
      <c r="E3" s="272"/>
      <c r="F3" s="272"/>
      <c r="G3" s="272"/>
    </row>
    <row r="4" spans="1:7">
      <c r="A4" s="138"/>
      <c r="B4" s="138"/>
      <c r="C4" s="138"/>
      <c r="D4" s="138"/>
      <c r="E4" s="138"/>
      <c r="F4" s="138"/>
      <c r="G4" s="138"/>
    </row>
    <row r="5" spans="1:7" ht="39" customHeight="1">
      <c r="A5" s="273" t="s">
        <v>287</v>
      </c>
      <c r="B5" s="274" t="s">
        <v>0</v>
      </c>
      <c r="C5" s="265" t="s">
        <v>355</v>
      </c>
      <c r="D5" s="275" t="s">
        <v>353</v>
      </c>
      <c r="E5" s="275"/>
      <c r="F5" s="275"/>
      <c r="G5" s="275"/>
    </row>
    <row r="6" spans="1:7" ht="38.25" customHeight="1">
      <c r="A6" s="273"/>
      <c r="B6" s="274"/>
      <c r="C6" s="266"/>
      <c r="D6" s="139" t="s">
        <v>265</v>
      </c>
      <c r="E6" s="139" t="s">
        <v>248</v>
      </c>
      <c r="F6" s="141" t="s">
        <v>275</v>
      </c>
      <c r="G6" s="141" t="s">
        <v>276</v>
      </c>
    </row>
    <row r="7" spans="1:7">
      <c r="A7" s="139">
        <v>1</v>
      </c>
      <c r="B7" s="140">
        <v>2</v>
      </c>
      <c r="C7" s="139">
        <v>3</v>
      </c>
      <c r="D7" s="139">
        <v>4</v>
      </c>
      <c r="E7" s="140">
        <v>5</v>
      </c>
      <c r="F7" s="139">
        <v>6</v>
      </c>
      <c r="G7" s="140">
        <v>7</v>
      </c>
    </row>
    <row r="8" spans="1:7" s="142" customFormat="1" ht="17.5">
      <c r="A8" s="267" t="s">
        <v>159</v>
      </c>
      <c r="B8" s="268"/>
      <c r="C8" s="268"/>
      <c r="D8" s="268"/>
      <c r="E8" s="268"/>
      <c r="F8" s="268"/>
      <c r="G8" s="269"/>
    </row>
    <row r="9" spans="1:7" ht="36">
      <c r="A9" s="143" t="s">
        <v>178</v>
      </c>
      <c r="B9" s="144">
        <v>1170</v>
      </c>
      <c r="C9" s="145">
        <f>'1. Фін результат'!C158</f>
        <v>619</v>
      </c>
      <c r="D9" s="145">
        <f>'1. Фін результат'!D158</f>
        <v>975</v>
      </c>
      <c r="E9" s="145">
        <f>'1. Фін результат'!E158</f>
        <v>-13510</v>
      </c>
      <c r="F9" s="145">
        <f>E9-D9</f>
        <v>-14485</v>
      </c>
      <c r="G9" s="146">
        <f>E9/D9*100</f>
        <v>-1385.6410256410256</v>
      </c>
    </row>
    <row r="10" spans="1:7">
      <c r="A10" s="143" t="s">
        <v>179</v>
      </c>
      <c r="B10" s="147"/>
      <c r="C10" s="148"/>
      <c r="D10" s="148"/>
      <c r="E10" s="148"/>
      <c r="F10" s="145"/>
      <c r="G10" s="146"/>
    </row>
    <row r="11" spans="1:7">
      <c r="A11" s="143" t="s">
        <v>182</v>
      </c>
      <c r="B11" s="149">
        <v>3000</v>
      </c>
      <c r="C11" s="148">
        <f>'1. Фін результат'!C184</f>
        <v>3298</v>
      </c>
      <c r="D11" s="148">
        <f>'1. Фін результат'!D184</f>
        <v>8525</v>
      </c>
      <c r="E11" s="148">
        <f>'1. Фін результат'!E184</f>
        <v>3226</v>
      </c>
      <c r="F11" s="145">
        <f>E11-D11</f>
        <v>-5299</v>
      </c>
      <c r="G11" s="146">
        <f>E11/D11*100</f>
        <v>37.841642228739005</v>
      </c>
    </row>
    <row r="12" spans="1:7">
      <c r="A12" s="143" t="s">
        <v>183</v>
      </c>
      <c r="B12" s="149">
        <v>3010</v>
      </c>
      <c r="C12" s="148">
        <v>7338</v>
      </c>
      <c r="D12" s="148"/>
      <c r="E12" s="148">
        <f>8918-7680</f>
        <v>1238</v>
      </c>
      <c r="F12" s="145"/>
      <c r="G12" s="146"/>
    </row>
    <row r="13" spans="1:7" ht="36">
      <c r="A13" s="143" t="s">
        <v>184</v>
      </c>
      <c r="B13" s="149">
        <v>3020</v>
      </c>
      <c r="C13" s="148"/>
      <c r="D13" s="148"/>
      <c r="E13" s="148"/>
      <c r="F13" s="145"/>
      <c r="G13" s="146"/>
    </row>
    <row r="14" spans="1:7" ht="36">
      <c r="A14" s="143" t="s">
        <v>185</v>
      </c>
      <c r="B14" s="149">
        <v>3030</v>
      </c>
      <c r="C14" s="148">
        <f>C15+C17+C18</f>
        <v>-41469</v>
      </c>
      <c r="D14" s="148">
        <f>D15</f>
        <v>-4000</v>
      </c>
      <c r="E14" s="148">
        <f>E15+E17+E18+E16</f>
        <v>-73383</v>
      </c>
      <c r="F14" s="145">
        <f>E14-D14</f>
        <v>-69383</v>
      </c>
      <c r="G14" s="146">
        <f>E14/D14*100</f>
        <v>1834.5749999999998</v>
      </c>
    </row>
    <row r="15" spans="1:7">
      <c r="A15" s="143" t="s">
        <v>526</v>
      </c>
      <c r="B15" s="149" t="s">
        <v>523</v>
      </c>
      <c r="C15" s="148">
        <v>46880</v>
      </c>
      <c r="D15" s="148">
        <v>-4000</v>
      </c>
      <c r="E15" s="148">
        <f>46328-E11</f>
        <v>43102</v>
      </c>
      <c r="F15" s="145">
        <f>E15-D15</f>
        <v>47102</v>
      </c>
      <c r="G15" s="146">
        <f>E15/D15*100</f>
        <v>-1077.55</v>
      </c>
    </row>
    <row r="16" spans="1:7">
      <c r="A16" s="143" t="s">
        <v>629</v>
      </c>
      <c r="B16" s="149" t="s">
        <v>524</v>
      </c>
      <c r="C16" s="148"/>
      <c r="D16" s="148"/>
      <c r="E16" s="148">
        <v>348</v>
      </c>
      <c r="F16" s="145"/>
      <c r="G16" s="146"/>
    </row>
    <row r="17" spans="1:9">
      <c r="A17" s="143" t="s">
        <v>527</v>
      </c>
      <c r="B17" s="149" t="s">
        <v>525</v>
      </c>
      <c r="C17" s="148">
        <f>-'2. Розрахунки з бюджетом'!C17</f>
        <v>-6941</v>
      </c>
      <c r="D17" s="148">
        <f>-'2. Розрахунки з бюджетом'!D17</f>
        <v>0</v>
      </c>
      <c r="E17" s="148">
        <f>-'2. Розрахунки з бюджетом'!E17</f>
        <v>66</v>
      </c>
      <c r="F17" s="145"/>
      <c r="G17" s="146"/>
    </row>
    <row r="18" spans="1:9">
      <c r="A18" s="143" t="s">
        <v>586</v>
      </c>
      <c r="B18" s="149" t="s">
        <v>585</v>
      </c>
      <c r="C18" s="148">
        <v>-81408</v>
      </c>
      <c r="D18" s="148"/>
      <c r="E18" s="148">
        <f>-130199-E55</f>
        <v>-116899</v>
      </c>
      <c r="F18" s="145"/>
      <c r="G18" s="146"/>
      <c r="H18" s="150"/>
      <c r="I18" s="150"/>
    </row>
    <row r="19" spans="1:9" ht="35">
      <c r="A19" s="151" t="s">
        <v>256</v>
      </c>
      <c r="B19" s="149">
        <v>3040</v>
      </c>
      <c r="C19" s="152">
        <f>C9+C11+C12+C14</f>
        <v>-30214</v>
      </c>
      <c r="D19" s="152">
        <f>SUM(D9:D14)</f>
        <v>5500</v>
      </c>
      <c r="E19" s="152">
        <f>SUM(E9:E14)</f>
        <v>-82429</v>
      </c>
      <c r="F19" s="145">
        <f>E19-D19</f>
        <v>-87929</v>
      </c>
      <c r="G19" s="146">
        <f>E19/D19*100</f>
        <v>-1498.7090909090909</v>
      </c>
    </row>
    <row r="20" spans="1:9" ht="36">
      <c r="A20" s="143" t="s">
        <v>186</v>
      </c>
      <c r="B20" s="149">
        <v>3050</v>
      </c>
      <c r="C20" s="148">
        <f>C21+C22+C23+C24</f>
        <v>-5330</v>
      </c>
      <c r="D20" s="148"/>
      <c r="E20" s="148">
        <f>E21+E22+E23+E24</f>
        <v>11763</v>
      </c>
      <c r="F20" s="148"/>
      <c r="G20" s="153"/>
    </row>
    <row r="21" spans="1:9">
      <c r="A21" s="143" t="s">
        <v>512</v>
      </c>
      <c r="B21" s="149" t="s">
        <v>513</v>
      </c>
      <c r="C21" s="148">
        <v>-1378</v>
      </c>
      <c r="D21" s="148"/>
      <c r="E21" s="148">
        <v>5139</v>
      </c>
      <c r="F21" s="148"/>
      <c r="G21" s="153"/>
      <c r="H21" s="154"/>
    </row>
    <row r="22" spans="1:9">
      <c r="A22" s="143" t="s">
        <v>516</v>
      </c>
      <c r="B22" s="149" t="s">
        <v>514</v>
      </c>
      <c r="C22" s="148">
        <v>785</v>
      </c>
      <c r="D22" s="148"/>
      <c r="E22" s="148">
        <v>-707</v>
      </c>
      <c r="F22" s="148"/>
      <c r="G22" s="153"/>
    </row>
    <row r="23" spans="1:9">
      <c r="A23" s="143" t="s">
        <v>517</v>
      </c>
      <c r="B23" s="149" t="s">
        <v>515</v>
      </c>
      <c r="C23" s="148">
        <v>-159</v>
      </c>
      <c r="D23" s="148"/>
      <c r="E23" s="148">
        <f>419-987</f>
        <v>-568</v>
      </c>
      <c r="F23" s="148"/>
      <c r="G23" s="153"/>
    </row>
    <row r="24" spans="1:9">
      <c r="A24" s="143" t="s">
        <v>529</v>
      </c>
      <c r="B24" s="149" t="s">
        <v>530</v>
      </c>
      <c r="C24" s="148">
        <v>-4578</v>
      </c>
      <c r="D24" s="148"/>
      <c r="E24" s="148">
        <f>8726-827</f>
        <v>7899</v>
      </c>
      <c r="F24" s="148"/>
      <c r="G24" s="153"/>
    </row>
    <row r="25" spans="1:9" ht="36">
      <c r="A25" s="143" t="s">
        <v>187</v>
      </c>
      <c r="B25" s="149">
        <v>3060</v>
      </c>
      <c r="C25" s="148">
        <f>C26+C27+C28</f>
        <v>13434</v>
      </c>
      <c r="D25" s="148">
        <f>D29</f>
        <v>-12000</v>
      </c>
      <c r="E25" s="148">
        <f>E26+E28+E27</f>
        <v>-15656</v>
      </c>
      <c r="F25" s="148"/>
      <c r="G25" s="153"/>
    </row>
    <row r="26" spans="1:9" ht="36">
      <c r="A26" s="143" t="s">
        <v>518</v>
      </c>
      <c r="B26" s="149" t="s">
        <v>531</v>
      </c>
      <c r="C26" s="148">
        <v>13449</v>
      </c>
      <c r="D26" s="148"/>
      <c r="E26" s="148">
        <v>-15656</v>
      </c>
      <c r="F26" s="148"/>
      <c r="G26" s="153"/>
    </row>
    <row r="27" spans="1:9">
      <c r="A27" s="143" t="s">
        <v>584</v>
      </c>
      <c r="B27" s="149" t="s">
        <v>532</v>
      </c>
      <c r="C27" s="148">
        <v>-15</v>
      </c>
      <c r="D27" s="148"/>
      <c r="E27" s="148"/>
      <c r="F27" s="148"/>
      <c r="G27" s="153"/>
    </row>
    <row r="28" spans="1:9">
      <c r="A28" s="143" t="s">
        <v>519</v>
      </c>
      <c r="B28" s="149" t="s">
        <v>583</v>
      </c>
      <c r="C28" s="148"/>
      <c r="D28" s="148"/>
      <c r="E28" s="148"/>
      <c r="F28" s="148"/>
      <c r="G28" s="153"/>
    </row>
    <row r="29" spans="1:9" ht="36">
      <c r="A29" s="143" t="s">
        <v>588</v>
      </c>
      <c r="B29" s="149" t="s">
        <v>589</v>
      </c>
      <c r="C29" s="148"/>
      <c r="D29" s="148">
        <v>-12000</v>
      </c>
      <c r="E29" s="148"/>
      <c r="F29" s="148"/>
      <c r="G29" s="153"/>
    </row>
    <row r="30" spans="1:9">
      <c r="A30" s="151" t="s">
        <v>180</v>
      </c>
      <c r="B30" s="149">
        <v>3070</v>
      </c>
      <c r="C30" s="152">
        <f>C19+C20+C25</f>
        <v>-22110</v>
      </c>
      <c r="D30" s="152">
        <f>D19+D20+D25</f>
        <v>-6500</v>
      </c>
      <c r="E30" s="152">
        <f>E19+E20+E25</f>
        <v>-86322</v>
      </c>
      <c r="F30" s="145">
        <f>E30-D30</f>
        <v>-79822</v>
      </c>
      <c r="G30" s="146">
        <f>E30/D30*100</f>
        <v>1328.0307692307692</v>
      </c>
    </row>
    <row r="31" spans="1:9">
      <c r="A31" s="143" t="s">
        <v>181</v>
      </c>
      <c r="B31" s="149">
        <v>3080</v>
      </c>
      <c r="C31" s="148">
        <f>'1. Фін результат'!C159</f>
        <v>111</v>
      </c>
      <c r="D31" s="148">
        <f>'1. Фін результат'!D159</f>
        <v>176</v>
      </c>
      <c r="E31" s="148">
        <f>'1. Фін результат'!E159</f>
        <v>0</v>
      </c>
      <c r="F31" s="145">
        <f>E31-D31</f>
        <v>-176</v>
      </c>
      <c r="G31" s="146">
        <f>E31/D31*100</f>
        <v>0</v>
      </c>
    </row>
    <row r="32" spans="1:9" ht="35">
      <c r="A32" s="155" t="s">
        <v>158</v>
      </c>
      <c r="B32" s="149">
        <v>3090</v>
      </c>
      <c r="C32" s="152">
        <f>C30-C31</f>
        <v>-22221</v>
      </c>
      <c r="D32" s="152">
        <f>D30-D31</f>
        <v>-6676</v>
      </c>
      <c r="E32" s="152">
        <f>E30-E31</f>
        <v>-86322</v>
      </c>
      <c r="F32" s="145">
        <f>E32-D32</f>
        <v>-79646</v>
      </c>
      <c r="G32" s="145">
        <f>F32-E32</f>
        <v>6676</v>
      </c>
    </row>
    <row r="33" spans="1:9">
      <c r="A33" s="267" t="s">
        <v>160</v>
      </c>
      <c r="B33" s="268"/>
      <c r="C33" s="268"/>
      <c r="D33" s="268"/>
      <c r="E33" s="268"/>
      <c r="F33" s="268"/>
      <c r="G33" s="269"/>
    </row>
    <row r="34" spans="1:9">
      <c r="A34" s="151" t="s">
        <v>288</v>
      </c>
      <c r="B34" s="144"/>
      <c r="C34" s="145"/>
      <c r="D34" s="145"/>
      <c r="E34" s="145"/>
      <c r="F34" s="145"/>
      <c r="G34" s="146"/>
    </row>
    <row r="35" spans="1:9">
      <c r="A35" s="156" t="s">
        <v>32</v>
      </c>
      <c r="B35" s="144">
        <v>3200</v>
      </c>
      <c r="C35" s="145"/>
      <c r="D35" s="145"/>
      <c r="E35" s="145"/>
      <c r="F35" s="145"/>
      <c r="G35" s="146"/>
    </row>
    <row r="36" spans="1:9">
      <c r="A36" s="156" t="s">
        <v>33</v>
      </c>
      <c r="B36" s="144">
        <v>3210</v>
      </c>
      <c r="C36" s="145"/>
      <c r="D36" s="145"/>
      <c r="E36" s="145"/>
      <c r="F36" s="145"/>
      <c r="G36" s="146"/>
    </row>
    <row r="37" spans="1:9">
      <c r="A37" s="156" t="s">
        <v>54</v>
      </c>
      <c r="B37" s="144">
        <v>3220</v>
      </c>
      <c r="C37" s="145"/>
      <c r="D37" s="145"/>
      <c r="E37" s="145"/>
      <c r="F37" s="145"/>
      <c r="G37" s="146"/>
    </row>
    <row r="38" spans="1:9">
      <c r="A38" s="143" t="s">
        <v>164</v>
      </c>
      <c r="B38" s="144"/>
      <c r="C38" s="145"/>
      <c r="D38" s="145"/>
      <c r="E38" s="145"/>
      <c r="F38" s="145"/>
      <c r="G38" s="146"/>
    </row>
    <row r="39" spans="1:9">
      <c r="A39" s="156" t="s">
        <v>165</v>
      </c>
      <c r="B39" s="144">
        <v>3230</v>
      </c>
      <c r="C39" s="145"/>
      <c r="D39" s="145"/>
      <c r="E39" s="145"/>
      <c r="F39" s="145"/>
      <c r="G39" s="146"/>
    </row>
    <row r="40" spans="1:9">
      <c r="A40" s="156" t="s">
        <v>166</v>
      </c>
      <c r="B40" s="144">
        <v>3240</v>
      </c>
      <c r="C40" s="145"/>
      <c r="D40" s="145"/>
      <c r="E40" s="145"/>
      <c r="F40" s="145"/>
      <c r="G40" s="146"/>
    </row>
    <row r="41" spans="1:9">
      <c r="A41" s="143" t="s">
        <v>167</v>
      </c>
      <c r="B41" s="144">
        <v>3250</v>
      </c>
      <c r="C41" s="145"/>
      <c r="D41" s="145"/>
      <c r="E41" s="145"/>
      <c r="F41" s="145"/>
      <c r="G41" s="146"/>
    </row>
    <row r="42" spans="1:9">
      <c r="A42" s="156" t="s">
        <v>118</v>
      </c>
      <c r="B42" s="144">
        <v>3260</v>
      </c>
      <c r="C42" s="145"/>
      <c r="D42" s="145"/>
      <c r="E42" s="145"/>
      <c r="F42" s="145"/>
      <c r="G42" s="146"/>
    </row>
    <row r="43" spans="1:9">
      <c r="A43" s="151" t="s">
        <v>289</v>
      </c>
      <c r="B43" s="144"/>
      <c r="C43" s="145"/>
      <c r="D43" s="145"/>
      <c r="E43" s="145"/>
      <c r="F43" s="145"/>
      <c r="G43" s="146"/>
    </row>
    <row r="44" spans="1:9" ht="36">
      <c r="A44" s="156" t="s">
        <v>119</v>
      </c>
      <c r="B44" s="144">
        <v>3270</v>
      </c>
      <c r="C44" s="145">
        <f>C46+C47</f>
        <v>74154</v>
      </c>
      <c r="D44" s="145">
        <f>D46</f>
        <v>1300</v>
      </c>
      <c r="E44" s="145"/>
      <c r="F44" s="145"/>
      <c r="G44" s="146"/>
      <c r="H44" s="150"/>
      <c r="I44" s="150"/>
    </row>
    <row r="45" spans="1:9">
      <c r="A45" s="156" t="s">
        <v>483</v>
      </c>
      <c r="B45" s="144" t="s">
        <v>480</v>
      </c>
      <c r="C45" s="145"/>
      <c r="D45" s="145"/>
      <c r="E45" s="145"/>
      <c r="F45" s="145"/>
      <c r="G45" s="146"/>
    </row>
    <row r="46" spans="1:9">
      <c r="A46" s="156" t="s">
        <v>482</v>
      </c>
      <c r="B46" s="144" t="s">
        <v>481</v>
      </c>
      <c r="C46" s="145">
        <v>1435</v>
      </c>
      <c r="D46" s="145">
        <v>1300</v>
      </c>
      <c r="E46" s="145"/>
      <c r="F46" s="145"/>
      <c r="G46" s="146"/>
    </row>
    <row r="47" spans="1:9">
      <c r="A47" s="156" t="s">
        <v>596</v>
      </c>
      <c r="B47" s="144" t="s">
        <v>533</v>
      </c>
      <c r="C47" s="145">
        <v>72719</v>
      </c>
      <c r="D47" s="145"/>
      <c r="E47" s="145"/>
      <c r="F47" s="145"/>
      <c r="G47" s="146"/>
    </row>
    <row r="48" spans="1:9">
      <c r="A48" s="156" t="s">
        <v>120</v>
      </c>
      <c r="B48" s="144">
        <v>3280</v>
      </c>
      <c r="C48" s="145"/>
      <c r="D48" s="145"/>
      <c r="E48" s="145"/>
      <c r="F48" s="145"/>
      <c r="G48" s="146"/>
    </row>
    <row r="49" spans="1:8" ht="36">
      <c r="A49" s="156" t="s">
        <v>121</v>
      </c>
      <c r="B49" s="144">
        <v>3290</v>
      </c>
      <c r="C49" s="145">
        <f>C52</f>
        <v>8705</v>
      </c>
      <c r="D49" s="145"/>
      <c r="E49" s="145">
        <f>E51</f>
        <v>13300</v>
      </c>
      <c r="F49" s="145">
        <f>E49-D49</f>
        <v>13300</v>
      </c>
      <c r="G49" s="146"/>
    </row>
    <row r="50" spans="1:8" hidden="1">
      <c r="A50" s="156" t="s">
        <v>485</v>
      </c>
      <c r="B50" s="144" t="s">
        <v>484</v>
      </c>
      <c r="C50" s="145"/>
      <c r="D50" s="145"/>
      <c r="E50" s="145"/>
      <c r="F50" s="145">
        <f>E50-D50</f>
        <v>0</v>
      </c>
      <c r="G50" s="146"/>
    </row>
    <row r="51" spans="1:8" ht="36">
      <c r="A51" s="156" t="s">
        <v>595</v>
      </c>
      <c r="B51" s="144" t="s">
        <v>484</v>
      </c>
      <c r="C51" s="145"/>
      <c r="D51" s="145"/>
      <c r="E51" s="145">
        <v>13300</v>
      </c>
      <c r="F51" s="145">
        <f>E51-D51</f>
        <v>13300</v>
      </c>
      <c r="G51" s="146"/>
      <c r="H51" s="157"/>
    </row>
    <row r="52" spans="1:8">
      <c r="A52" s="156" t="s">
        <v>620</v>
      </c>
      <c r="B52" s="144" t="s">
        <v>555</v>
      </c>
      <c r="C52" s="145">
        <v>8705</v>
      </c>
      <c r="D52" s="145"/>
      <c r="E52" s="145"/>
      <c r="F52" s="145"/>
      <c r="G52" s="146"/>
    </row>
    <row r="53" spans="1:8">
      <c r="A53" s="156" t="s">
        <v>55</v>
      </c>
      <c r="B53" s="144">
        <v>3300</v>
      </c>
      <c r="C53" s="145"/>
      <c r="D53" s="145"/>
      <c r="E53" s="145"/>
      <c r="F53" s="145"/>
      <c r="G53" s="146"/>
    </row>
    <row r="54" spans="1:8">
      <c r="A54" s="156" t="s">
        <v>113</v>
      </c>
      <c r="B54" s="144">
        <v>3310</v>
      </c>
      <c r="C54" s="145"/>
      <c r="D54" s="145"/>
      <c r="E54" s="145"/>
      <c r="F54" s="145"/>
      <c r="G54" s="146"/>
    </row>
    <row r="55" spans="1:8">
      <c r="A55" s="151" t="s">
        <v>161</v>
      </c>
      <c r="B55" s="144">
        <v>3320</v>
      </c>
      <c r="C55" s="145">
        <f>(C35+C36+C37+C39+C40+C41+C42)-(C44+C49+C82+C54)</f>
        <v>-82859</v>
      </c>
      <c r="D55" s="145">
        <f>(D35+D36+D37+D39+D40+D41+D42)-(D44+D49+D82)</f>
        <v>-1300</v>
      </c>
      <c r="E55" s="145">
        <f>(E35+E36+E37+E39+E40+E41+E42)-(E44+E49)</f>
        <v>-13300</v>
      </c>
      <c r="F55" s="145">
        <f>E55-D55</f>
        <v>-12000</v>
      </c>
      <c r="G55" s="146"/>
    </row>
    <row r="56" spans="1:8">
      <c r="A56" s="267" t="s">
        <v>162</v>
      </c>
      <c r="B56" s="268"/>
      <c r="C56" s="268"/>
      <c r="D56" s="268"/>
      <c r="E56" s="268"/>
      <c r="F56" s="268"/>
      <c r="G56" s="269"/>
    </row>
    <row r="57" spans="1:8">
      <c r="A57" s="151" t="s">
        <v>288</v>
      </c>
      <c r="B57" s="144"/>
      <c r="C57" s="145"/>
      <c r="D57" s="145"/>
      <c r="E57" s="145"/>
      <c r="F57" s="145"/>
      <c r="G57" s="146"/>
    </row>
    <row r="58" spans="1:8">
      <c r="A58" s="143" t="s">
        <v>168</v>
      </c>
      <c r="B58" s="144">
        <v>3400</v>
      </c>
      <c r="C58" s="145">
        <v>84645</v>
      </c>
      <c r="D58" s="145"/>
      <c r="E58" s="145">
        <f>182050-168750</f>
        <v>13300</v>
      </c>
      <c r="F58" s="145"/>
      <c r="G58" s="146"/>
    </row>
    <row r="59" spans="1:8" ht="36">
      <c r="A59" s="156" t="s">
        <v>91</v>
      </c>
      <c r="B59" s="147"/>
      <c r="C59" s="158"/>
      <c r="D59" s="158"/>
      <c r="E59" s="158"/>
      <c r="F59" s="158"/>
      <c r="G59" s="147"/>
    </row>
    <row r="60" spans="1:8">
      <c r="A60" s="156" t="s">
        <v>90</v>
      </c>
      <c r="B60" s="144">
        <v>3410</v>
      </c>
      <c r="C60" s="145"/>
      <c r="D60" s="145"/>
      <c r="E60" s="145"/>
      <c r="F60" s="145"/>
      <c r="G60" s="146"/>
    </row>
    <row r="61" spans="1:8">
      <c r="A61" s="156" t="s">
        <v>95</v>
      </c>
      <c r="B61" s="149">
        <v>3420</v>
      </c>
      <c r="C61" s="148"/>
      <c r="D61" s="148"/>
      <c r="E61" s="148"/>
      <c r="F61" s="148"/>
      <c r="G61" s="153"/>
    </row>
    <row r="62" spans="1:8">
      <c r="A62" s="156" t="s">
        <v>122</v>
      </c>
      <c r="B62" s="144">
        <v>3430</v>
      </c>
      <c r="C62" s="145"/>
      <c r="D62" s="145"/>
      <c r="E62" s="145"/>
      <c r="F62" s="145"/>
      <c r="G62" s="146"/>
    </row>
    <row r="63" spans="1:8" ht="36">
      <c r="A63" s="156" t="s">
        <v>93</v>
      </c>
      <c r="B63" s="144"/>
      <c r="C63" s="145"/>
      <c r="D63" s="145"/>
      <c r="E63" s="145"/>
      <c r="F63" s="145"/>
      <c r="G63" s="146"/>
    </row>
    <row r="64" spans="1:8">
      <c r="A64" s="156" t="s">
        <v>90</v>
      </c>
      <c r="B64" s="149">
        <v>3440</v>
      </c>
      <c r="C64" s="148"/>
      <c r="D64" s="148"/>
      <c r="E64" s="148"/>
      <c r="F64" s="148"/>
      <c r="G64" s="153"/>
    </row>
    <row r="65" spans="1:9">
      <c r="A65" s="156" t="s">
        <v>95</v>
      </c>
      <c r="B65" s="149">
        <v>3450</v>
      </c>
      <c r="C65" s="148"/>
      <c r="D65" s="148"/>
      <c r="E65" s="148"/>
      <c r="F65" s="148"/>
      <c r="G65" s="153"/>
    </row>
    <row r="66" spans="1:9">
      <c r="A66" s="156" t="s">
        <v>122</v>
      </c>
      <c r="B66" s="149">
        <v>3460</v>
      </c>
      <c r="C66" s="148"/>
      <c r="D66" s="148"/>
      <c r="E66" s="148"/>
      <c r="F66" s="148"/>
      <c r="G66" s="153"/>
    </row>
    <row r="67" spans="1:9">
      <c r="A67" s="156" t="s">
        <v>117</v>
      </c>
      <c r="B67" s="149">
        <v>3470</v>
      </c>
      <c r="C67" s="148"/>
      <c r="D67" s="148"/>
      <c r="E67" s="148"/>
      <c r="F67" s="148"/>
      <c r="G67" s="153"/>
      <c r="H67" s="150"/>
      <c r="I67" s="150"/>
    </row>
    <row r="68" spans="1:9">
      <c r="A68" s="156" t="s">
        <v>118</v>
      </c>
      <c r="B68" s="149">
        <v>3480</v>
      </c>
      <c r="C68" s="148">
        <f>C70+C69</f>
        <v>39107</v>
      </c>
      <c r="D68" s="148">
        <f>D70</f>
        <v>13300</v>
      </c>
      <c r="E68" s="148">
        <f>E70</f>
        <v>83136</v>
      </c>
      <c r="F68" s="148"/>
      <c r="G68" s="153"/>
    </row>
    <row r="69" spans="1:9">
      <c r="A69" s="156" t="s">
        <v>605</v>
      </c>
      <c r="B69" s="149" t="s">
        <v>486</v>
      </c>
      <c r="C69" s="148"/>
      <c r="D69" s="148"/>
      <c r="E69" s="148"/>
      <c r="F69" s="148"/>
      <c r="G69" s="153"/>
    </row>
    <row r="70" spans="1:9" ht="36">
      <c r="A70" s="156" t="s">
        <v>590</v>
      </c>
      <c r="B70" s="149" t="s">
        <v>604</v>
      </c>
      <c r="C70" s="148">
        <v>39107</v>
      </c>
      <c r="D70" s="148">
        <v>13300</v>
      </c>
      <c r="E70" s="148">
        <f>298293-215157</f>
        <v>83136</v>
      </c>
      <c r="F70" s="148"/>
      <c r="G70" s="153"/>
      <c r="H70" s="157"/>
      <c r="I70" s="150"/>
    </row>
    <row r="71" spans="1:9">
      <c r="A71" s="151" t="s">
        <v>289</v>
      </c>
      <c r="B71" s="144"/>
      <c r="C71" s="145"/>
      <c r="D71" s="145"/>
      <c r="E71" s="145"/>
      <c r="F71" s="145"/>
      <c r="G71" s="146"/>
    </row>
    <row r="72" spans="1:9" ht="36">
      <c r="A72" s="156" t="s">
        <v>359</v>
      </c>
      <c r="B72" s="144">
        <v>3490</v>
      </c>
      <c r="C72" s="145">
        <f>'2. Розрахунки з бюджетом'!C21</f>
        <v>76.2</v>
      </c>
      <c r="D72" s="145">
        <f>'2. Розрахунки з бюджетом'!D21</f>
        <v>119.85</v>
      </c>
      <c r="E72" s="145">
        <f>'2. Розрахунки з бюджетом'!E10</f>
        <v>0</v>
      </c>
      <c r="F72" s="145">
        <f>E72-D72</f>
        <v>-119.85</v>
      </c>
      <c r="G72" s="146">
        <f>E72/D72*100</f>
        <v>0</v>
      </c>
    </row>
    <row r="73" spans="1:9" ht="90">
      <c r="A73" s="156" t="s">
        <v>487</v>
      </c>
      <c r="B73" s="144">
        <v>3500</v>
      </c>
      <c r="C73" s="145">
        <f>'2. Розрахунки з бюджетом'!C22</f>
        <v>259.08</v>
      </c>
      <c r="D73" s="145">
        <f>'2. Розрахунки з бюджетом'!D22</f>
        <v>407</v>
      </c>
      <c r="E73" s="145">
        <f>'2. Розрахунки з бюджетом'!E11</f>
        <v>0</v>
      </c>
      <c r="F73" s="145">
        <f>E73-D73</f>
        <v>-407</v>
      </c>
      <c r="G73" s="146">
        <f>E73/D73*100</f>
        <v>0</v>
      </c>
    </row>
    <row r="74" spans="1:9" ht="36">
      <c r="A74" s="156" t="s">
        <v>94</v>
      </c>
      <c r="B74" s="144"/>
      <c r="C74" s="145"/>
      <c r="D74" s="145"/>
      <c r="E74" s="145"/>
      <c r="F74" s="145"/>
      <c r="G74" s="146"/>
    </row>
    <row r="75" spans="1:9">
      <c r="A75" s="156" t="s">
        <v>90</v>
      </c>
      <c r="B75" s="149">
        <v>3510</v>
      </c>
      <c r="C75" s="148"/>
      <c r="D75" s="148"/>
      <c r="E75" s="148"/>
      <c r="F75" s="148"/>
      <c r="G75" s="153"/>
    </row>
    <row r="76" spans="1:9">
      <c r="A76" s="156" t="s">
        <v>95</v>
      </c>
      <c r="B76" s="149">
        <v>3520</v>
      </c>
      <c r="C76" s="148"/>
      <c r="D76" s="148"/>
      <c r="E76" s="148"/>
      <c r="F76" s="148"/>
      <c r="G76" s="153"/>
    </row>
    <row r="77" spans="1:9">
      <c r="A77" s="156" t="s">
        <v>122</v>
      </c>
      <c r="B77" s="149">
        <v>3530</v>
      </c>
      <c r="C77" s="148"/>
      <c r="D77" s="148"/>
      <c r="E77" s="148"/>
      <c r="F77" s="148"/>
      <c r="G77" s="153"/>
    </row>
    <row r="78" spans="1:9" ht="36">
      <c r="A78" s="156" t="s">
        <v>92</v>
      </c>
      <c r="B78" s="144"/>
      <c r="C78" s="145"/>
      <c r="D78" s="145"/>
      <c r="E78" s="145"/>
      <c r="F78" s="145"/>
      <c r="G78" s="146"/>
    </row>
    <row r="79" spans="1:9">
      <c r="A79" s="156" t="s">
        <v>90</v>
      </c>
      <c r="B79" s="149">
        <v>3540</v>
      </c>
      <c r="C79" s="148"/>
      <c r="D79" s="148"/>
      <c r="E79" s="148"/>
      <c r="F79" s="148"/>
      <c r="G79" s="153"/>
    </row>
    <row r="80" spans="1:9">
      <c r="A80" s="156" t="s">
        <v>95</v>
      </c>
      <c r="B80" s="149">
        <v>3550</v>
      </c>
      <c r="C80" s="148"/>
      <c r="D80" s="148"/>
      <c r="E80" s="148"/>
      <c r="F80" s="148"/>
      <c r="G80" s="153"/>
    </row>
    <row r="81" spans="1:9">
      <c r="A81" s="156" t="s">
        <v>122</v>
      </c>
      <c r="B81" s="149">
        <v>3560</v>
      </c>
      <c r="C81" s="148"/>
      <c r="D81" s="148"/>
      <c r="E81" s="148"/>
      <c r="F81" s="148"/>
      <c r="G81" s="153"/>
    </row>
    <row r="82" spans="1:9">
      <c r="A82" s="156" t="s">
        <v>113</v>
      </c>
      <c r="B82" s="149">
        <v>3570</v>
      </c>
      <c r="C82" s="148"/>
      <c r="D82" s="148"/>
      <c r="E82" s="148"/>
      <c r="F82" s="148"/>
      <c r="G82" s="153"/>
    </row>
    <row r="83" spans="1:9">
      <c r="A83" s="156" t="s">
        <v>490</v>
      </c>
      <c r="B83" s="149" t="s">
        <v>488</v>
      </c>
      <c r="C83" s="148"/>
      <c r="D83" s="148"/>
      <c r="E83" s="148"/>
      <c r="F83" s="148"/>
      <c r="G83" s="153"/>
    </row>
    <row r="84" spans="1:9">
      <c r="A84" s="156" t="s">
        <v>491</v>
      </c>
      <c r="B84" s="149" t="s">
        <v>489</v>
      </c>
      <c r="C84" s="148"/>
      <c r="D84" s="148"/>
      <c r="E84" s="148"/>
      <c r="F84" s="148"/>
      <c r="G84" s="153"/>
    </row>
    <row r="85" spans="1:9">
      <c r="A85" s="151" t="s">
        <v>163</v>
      </c>
      <c r="B85" s="149">
        <v>3580</v>
      </c>
      <c r="C85" s="152">
        <f>(C58+C60+C61+C62+C64+C65+C66+C67+C68)-(C72+C73+C82)</f>
        <v>123416.72</v>
      </c>
      <c r="D85" s="152">
        <f>(D58+D60+D61+D62+D64+D65+D66+D67+D68)-(D72+D73+D82)</f>
        <v>12773.15</v>
      </c>
      <c r="E85" s="152">
        <f>(E58+E60+E61+E62+E64+E65+E66+E67+E68)-(E72+E73+E82)</f>
        <v>96436</v>
      </c>
      <c r="F85" s="145">
        <f>E85-D85</f>
        <v>83662.850000000006</v>
      </c>
      <c r="G85" s="146">
        <f>E85/D85*100</f>
        <v>754.98995940703742</v>
      </c>
    </row>
    <row r="86" spans="1:9" s="157" customFormat="1">
      <c r="A86" s="156" t="s">
        <v>321</v>
      </c>
      <c r="B86" s="149"/>
      <c r="C86" s="148"/>
      <c r="D86" s="148"/>
      <c r="E86" s="148"/>
      <c r="F86" s="145"/>
      <c r="G86" s="146"/>
    </row>
    <row r="87" spans="1:9" s="157" customFormat="1">
      <c r="A87" s="155" t="s">
        <v>34</v>
      </c>
      <c r="B87" s="149">
        <v>3600</v>
      </c>
      <c r="C87" s="148">
        <v>12469</v>
      </c>
      <c r="D87" s="148">
        <v>39735</v>
      </c>
      <c r="E87" s="148">
        <v>30806</v>
      </c>
      <c r="F87" s="145">
        <f>E87-D87</f>
        <v>-8929</v>
      </c>
      <c r="G87" s="146">
        <f>E87/D87*100</f>
        <v>77.528627154901216</v>
      </c>
    </row>
    <row r="88" spans="1:9" s="157" customFormat="1">
      <c r="A88" s="159" t="s">
        <v>290</v>
      </c>
      <c r="B88" s="149">
        <v>3610</v>
      </c>
      <c r="C88" s="148"/>
      <c r="D88" s="148"/>
      <c r="E88" s="148"/>
      <c r="F88" s="145"/>
      <c r="G88" s="146"/>
    </row>
    <row r="89" spans="1:9" s="157" customFormat="1">
      <c r="A89" s="155" t="s">
        <v>56</v>
      </c>
      <c r="B89" s="149">
        <v>3620</v>
      </c>
      <c r="C89" s="152">
        <f>C87+C32+C55+C85</f>
        <v>30805.72</v>
      </c>
      <c r="D89" s="152">
        <f>D87+D32+D55+D85</f>
        <v>44532.15</v>
      </c>
      <c r="E89" s="152">
        <f>E87+E32+E55+E85</f>
        <v>27620</v>
      </c>
      <c r="F89" s="145">
        <f>E89-D89</f>
        <v>-16912.150000000001</v>
      </c>
      <c r="G89" s="146">
        <f>E89/D89*100</f>
        <v>62.022606139609252</v>
      </c>
      <c r="I89" s="160"/>
    </row>
    <row r="90" spans="1:9" s="157" customFormat="1">
      <c r="A90" s="155" t="s">
        <v>35</v>
      </c>
      <c r="B90" s="149">
        <v>3630</v>
      </c>
      <c r="C90" s="152">
        <f>C32+C55+C85</f>
        <v>18336.72</v>
      </c>
      <c r="D90" s="152">
        <f>D32+D55+D85</f>
        <v>4797.1499999999996</v>
      </c>
      <c r="E90" s="152">
        <f>E32+E55+E85</f>
        <v>-3186</v>
      </c>
      <c r="F90" s="145">
        <f>E90-D90</f>
        <v>-7983.15</v>
      </c>
      <c r="G90" s="146">
        <f>E90/D90*100</f>
        <v>-66.414433569932157</v>
      </c>
      <c r="H90" s="160"/>
    </row>
    <row r="91" spans="1:9" s="157" customFormat="1">
      <c r="A91" s="137"/>
      <c r="B91" s="161"/>
      <c r="C91" s="161"/>
      <c r="D91" s="161"/>
      <c r="E91" s="161"/>
      <c r="F91" s="161"/>
      <c r="G91" s="161"/>
    </row>
    <row r="92" spans="1:9" ht="57" customHeight="1">
      <c r="A92" s="162"/>
      <c r="B92" s="163"/>
      <c r="C92" s="164"/>
      <c r="D92" s="165"/>
      <c r="E92" s="271"/>
      <c r="F92" s="271"/>
      <c r="G92" s="271"/>
    </row>
    <row r="93" spans="1:9" s="2" customFormat="1" ht="28" customHeight="1">
      <c r="A93" s="63" t="s">
        <v>627</v>
      </c>
      <c r="B93" s="60"/>
      <c r="F93" s="270" t="s">
        <v>626</v>
      </c>
      <c r="G93" s="250"/>
    </row>
    <row r="94" spans="1:9" s="2" customFormat="1" ht="19.5" customHeight="1">
      <c r="A94" s="6" t="s">
        <v>387</v>
      </c>
      <c r="C94" s="250" t="s">
        <v>78</v>
      </c>
      <c r="D94" s="250"/>
      <c r="F94" s="250" t="s">
        <v>361</v>
      </c>
      <c r="G94" s="250"/>
    </row>
    <row r="95" spans="1:9" ht="45.75" customHeight="1"/>
    <row r="96" spans="1:9" s="55" customFormat="1" ht="80.25" customHeight="1">
      <c r="A96" s="258"/>
      <c r="B96" s="258"/>
      <c r="C96" s="258"/>
      <c r="D96" s="258"/>
      <c r="E96" s="258"/>
      <c r="F96" s="258"/>
      <c r="G96" s="258"/>
      <c r="H96" s="258"/>
    </row>
  </sheetData>
  <mergeCells count="13">
    <mergeCell ref="A3:G3"/>
    <mergeCell ref="A5:A6"/>
    <mergeCell ref="B5:B6"/>
    <mergeCell ref="D5:G5"/>
    <mergeCell ref="C5:C6"/>
    <mergeCell ref="A96:H96"/>
    <mergeCell ref="F94:G94"/>
    <mergeCell ref="C94:D94"/>
    <mergeCell ref="A8:G8"/>
    <mergeCell ref="A33:G33"/>
    <mergeCell ref="F93:G93"/>
    <mergeCell ref="A56:G56"/>
    <mergeCell ref="E92:G92"/>
  </mergeCells>
  <phoneticPr fontId="3" type="noConversion"/>
  <pageMargins left="0.59055118110236227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9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view="pageBreakPreview" zoomScale="55" zoomScaleNormal="75" zoomScaleSheetLayoutView="55" workbookViewId="0">
      <selection activeCell="E9" sqref="E9"/>
    </sheetView>
  </sheetViews>
  <sheetFormatPr defaultColWidth="9.1796875" defaultRowHeight="20.5"/>
  <cols>
    <col min="1" max="1" width="61" style="2" customWidth="1"/>
    <col min="2" max="2" width="9.81640625" style="4" customWidth="1"/>
    <col min="3" max="3" width="19.453125" style="4" customWidth="1"/>
    <col min="4" max="4" width="14.54296875" style="4" customWidth="1"/>
    <col min="5" max="5" width="16.54296875" style="4" customWidth="1"/>
    <col min="6" max="6" width="17.54296875" style="4" customWidth="1"/>
    <col min="7" max="7" width="18.54296875" style="4" customWidth="1"/>
    <col min="8" max="8" width="9.54296875" style="2" customWidth="1"/>
    <col min="9" max="9" width="9.81640625" style="2" customWidth="1"/>
    <col min="10" max="16384" width="9.1796875" style="2"/>
  </cols>
  <sheetData>
    <row r="1" spans="1:14">
      <c r="A1" s="279" t="s">
        <v>376</v>
      </c>
      <c r="B1" s="279"/>
      <c r="C1" s="279"/>
      <c r="D1" s="279"/>
      <c r="E1" s="279"/>
      <c r="F1" s="279"/>
      <c r="G1" s="279"/>
    </row>
    <row r="2" spans="1:14">
      <c r="A2" s="281"/>
      <c r="B2" s="281"/>
      <c r="C2" s="281"/>
      <c r="D2" s="281"/>
      <c r="E2" s="281"/>
      <c r="F2" s="281"/>
      <c r="G2" s="281"/>
    </row>
    <row r="3" spans="1:14" ht="43.5" customHeight="1">
      <c r="A3" s="277" t="s">
        <v>287</v>
      </c>
      <c r="B3" s="280" t="s">
        <v>18</v>
      </c>
      <c r="C3" s="265" t="s">
        <v>355</v>
      </c>
      <c r="D3" s="263" t="s">
        <v>353</v>
      </c>
      <c r="E3" s="263"/>
      <c r="F3" s="263"/>
      <c r="G3" s="263"/>
    </row>
    <row r="4" spans="1:14" ht="56.25" customHeight="1">
      <c r="A4" s="278"/>
      <c r="B4" s="280"/>
      <c r="C4" s="266"/>
      <c r="D4" s="106" t="s">
        <v>265</v>
      </c>
      <c r="E4" s="106" t="s">
        <v>248</v>
      </c>
      <c r="F4" s="105" t="s">
        <v>275</v>
      </c>
      <c r="G4" s="105" t="s">
        <v>276</v>
      </c>
    </row>
    <row r="5" spans="1:14" ht="15.75" customHeight="1">
      <c r="A5" s="13">
        <v>1</v>
      </c>
      <c r="B5" s="106">
        <v>2</v>
      </c>
      <c r="C5" s="13">
        <v>3</v>
      </c>
      <c r="D5" s="13">
        <v>4</v>
      </c>
      <c r="E5" s="106">
        <v>5</v>
      </c>
      <c r="F5" s="13">
        <v>6</v>
      </c>
      <c r="G5" s="106">
        <v>7</v>
      </c>
    </row>
    <row r="6" spans="1:14" s="8" customFormat="1" ht="56.25" customHeight="1">
      <c r="A6" s="7" t="s">
        <v>81</v>
      </c>
      <c r="B6" s="12">
        <v>4000</v>
      </c>
      <c r="C6" s="136">
        <f>C8+C10</f>
        <v>69049</v>
      </c>
      <c r="D6" s="136">
        <f>D10+D8</f>
        <v>1083</v>
      </c>
      <c r="E6" s="136">
        <f>E10</f>
        <v>11083.333333333334</v>
      </c>
      <c r="F6" s="136">
        <f>E6-D6</f>
        <v>10000.333333333334</v>
      </c>
      <c r="G6" s="10"/>
    </row>
    <row r="7" spans="1:14" ht="56.25" customHeight="1">
      <c r="A7" s="7" t="s">
        <v>1</v>
      </c>
      <c r="B7" s="13" t="s">
        <v>224</v>
      </c>
      <c r="C7" s="108"/>
      <c r="D7" s="108"/>
      <c r="E7" s="108"/>
      <c r="F7" s="108"/>
      <c r="G7" s="107"/>
    </row>
    <row r="8" spans="1:14" ht="56.25" customHeight="1">
      <c r="A8" s="7" t="s">
        <v>2</v>
      </c>
      <c r="B8" s="12">
        <v>4020</v>
      </c>
      <c r="C8" s="136">
        <v>61795</v>
      </c>
      <c r="D8" s="136">
        <v>1083</v>
      </c>
      <c r="E8" s="136"/>
      <c r="F8" s="136"/>
      <c r="G8" s="10"/>
      <c r="N8" s="3"/>
    </row>
    <row r="9" spans="1:14" ht="56.25" customHeight="1">
      <c r="A9" s="7" t="s">
        <v>30</v>
      </c>
      <c r="B9" s="13">
        <v>4030</v>
      </c>
      <c r="C9" s="108"/>
      <c r="D9" s="108"/>
      <c r="E9" s="108"/>
      <c r="F9" s="108"/>
      <c r="G9" s="107"/>
      <c r="M9" s="3"/>
    </row>
    <row r="10" spans="1:14" ht="56.25" customHeight="1">
      <c r="A10" s="7" t="s">
        <v>3</v>
      </c>
      <c r="B10" s="12">
        <v>4040</v>
      </c>
      <c r="C10" s="136">
        <v>7254</v>
      </c>
      <c r="D10" s="136"/>
      <c r="E10" s="136">
        <f>'3. Рух грошових коштів'!E51/1.2</f>
        <v>11083.333333333334</v>
      </c>
      <c r="F10" s="136">
        <f>E10-D10</f>
        <v>11083.333333333334</v>
      </c>
      <c r="G10" s="10"/>
    </row>
    <row r="11" spans="1:14" ht="72.75" customHeight="1">
      <c r="A11" s="7" t="s">
        <v>70</v>
      </c>
      <c r="B11" s="13">
        <v>4050</v>
      </c>
      <c r="C11" s="108"/>
      <c r="D11" s="108"/>
      <c r="E11" s="108"/>
      <c r="F11" s="108"/>
      <c r="G11" s="107"/>
    </row>
    <row r="12" spans="1:14">
      <c r="B12" s="2"/>
      <c r="C12" s="2"/>
      <c r="D12" s="2"/>
      <c r="E12" s="2"/>
      <c r="F12" s="2"/>
      <c r="G12" s="2"/>
    </row>
    <row r="13" spans="1:14" ht="99" customHeight="1">
      <c r="B13" s="2"/>
      <c r="C13" s="2"/>
      <c r="D13" s="2"/>
      <c r="E13" s="2"/>
      <c r="F13" s="2"/>
      <c r="G13" s="2"/>
    </row>
    <row r="14" spans="1:14" ht="19.5" customHeight="1">
      <c r="A14" s="4"/>
      <c r="B14" s="2"/>
      <c r="C14" s="2"/>
      <c r="D14" s="2"/>
      <c r="E14" s="2"/>
      <c r="F14" s="2"/>
      <c r="G14" s="2"/>
    </row>
    <row r="15" spans="1:14" ht="22.5" customHeight="1">
      <c r="A15" s="63" t="s">
        <v>627</v>
      </c>
      <c r="B15" s="60"/>
      <c r="C15" s="2"/>
      <c r="D15" s="2"/>
      <c r="E15" s="2"/>
      <c r="F15" s="250" t="s">
        <v>626</v>
      </c>
      <c r="G15" s="250"/>
    </row>
    <row r="16" spans="1:14" ht="19.5" customHeight="1">
      <c r="A16" s="6" t="s">
        <v>387</v>
      </c>
      <c r="B16" s="2"/>
      <c r="C16" s="250" t="s">
        <v>78</v>
      </c>
      <c r="D16" s="250"/>
      <c r="E16" s="2"/>
      <c r="F16" s="250" t="s">
        <v>361</v>
      </c>
      <c r="G16" s="250"/>
    </row>
    <row r="17" spans="1:8">
      <c r="A17" s="9"/>
    </row>
    <row r="18" spans="1:8" ht="35.25" customHeight="1">
      <c r="A18" s="9"/>
    </row>
    <row r="19" spans="1:8" s="55" customFormat="1" ht="102" customHeight="1">
      <c r="A19" s="276"/>
      <c r="B19" s="276"/>
      <c r="C19" s="276"/>
      <c r="D19" s="276"/>
      <c r="E19" s="276"/>
      <c r="F19" s="276"/>
      <c r="G19" s="276"/>
      <c r="H19" s="276"/>
    </row>
    <row r="20" spans="1:8">
      <c r="A20" s="9"/>
    </row>
    <row r="21" spans="1:8">
      <c r="A21" s="9"/>
    </row>
    <row r="22" spans="1:8">
      <c r="A22" s="9"/>
    </row>
    <row r="23" spans="1:8">
      <c r="A23" s="9"/>
    </row>
    <row r="24" spans="1:8">
      <c r="A24" s="9"/>
    </row>
    <row r="25" spans="1:8">
      <c r="A25" s="9"/>
    </row>
    <row r="26" spans="1:8">
      <c r="A26" s="9"/>
    </row>
    <row r="27" spans="1:8">
      <c r="A27" s="9"/>
    </row>
    <row r="28" spans="1:8">
      <c r="A28" s="9"/>
    </row>
    <row r="29" spans="1:8">
      <c r="A29" s="9"/>
    </row>
    <row r="30" spans="1:8">
      <c r="A30" s="9"/>
    </row>
    <row r="31" spans="1:8">
      <c r="A31" s="9"/>
    </row>
    <row r="32" spans="1:8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59055118110236227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I28"/>
  <sheetViews>
    <sheetView view="pageBreakPreview" zoomScale="75" zoomScaleNormal="75" zoomScaleSheetLayoutView="70" workbookViewId="0">
      <selection activeCell="G15" sqref="G15"/>
    </sheetView>
  </sheetViews>
  <sheetFormatPr defaultColWidth="9.1796875" defaultRowHeight="20.5"/>
  <cols>
    <col min="1" max="1" width="87.26953125" style="14" customWidth="1"/>
    <col min="2" max="2" width="16.54296875" style="14" customWidth="1"/>
    <col min="3" max="3" width="19.7265625" style="14" customWidth="1"/>
    <col min="4" max="4" width="20" style="82" customWidth="1"/>
    <col min="5" max="5" width="19.7265625" style="82" customWidth="1"/>
    <col min="6" max="6" width="39" style="14" customWidth="1"/>
    <col min="7" max="7" width="9.54296875" style="14" customWidth="1"/>
    <col min="8" max="8" width="9.1796875" style="14"/>
    <col min="9" max="9" width="27.1796875" style="14" customWidth="1"/>
    <col min="10" max="16384" width="9.1796875" style="14"/>
  </cols>
  <sheetData>
    <row r="1" spans="1:6" ht="19.5" customHeight="1">
      <c r="A1" s="282" t="s">
        <v>377</v>
      </c>
      <c r="B1" s="282"/>
      <c r="C1" s="282"/>
      <c r="D1" s="282"/>
      <c r="E1" s="282"/>
      <c r="F1" s="282"/>
    </row>
    <row r="2" spans="1:6" ht="24" customHeight="1"/>
    <row r="3" spans="1:6" ht="36" customHeight="1">
      <c r="A3" s="283" t="s">
        <v>287</v>
      </c>
      <c r="B3" s="283" t="s">
        <v>0</v>
      </c>
      <c r="C3" s="283" t="s">
        <v>100</v>
      </c>
      <c r="D3" s="280" t="s">
        <v>355</v>
      </c>
      <c r="E3" s="285" t="s">
        <v>353</v>
      </c>
      <c r="F3" s="283" t="s">
        <v>322</v>
      </c>
    </row>
    <row r="4" spans="1:6" ht="36" customHeight="1">
      <c r="A4" s="284"/>
      <c r="B4" s="284"/>
      <c r="C4" s="284"/>
      <c r="D4" s="280"/>
      <c r="E4" s="286"/>
      <c r="F4" s="284"/>
    </row>
    <row r="5" spans="1:6" ht="20.2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</row>
    <row r="6" spans="1:6">
      <c r="A6" s="287" t="s">
        <v>190</v>
      </c>
      <c r="B6" s="288"/>
      <c r="C6" s="288"/>
      <c r="D6" s="288"/>
      <c r="E6" s="288"/>
      <c r="F6" s="289"/>
    </row>
    <row r="7" spans="1:6" ht="63.75" customHeight="1">
      <c r="A7" s="7" t="s">
        <v>349</v>
      </c>
      <c r="B7" s="106">
        <v>5000</v>
      </c>
      <c r="C7" s="128" t="s">
        <v>340</v>
      </c>
      <c r="D7" s="129">
        <f>'1. Фін результат'!C60/'1. Фін результат'!C9</f>
        <v>8.158545951019712E-2</v>
      </c>
      <c r="E7" s="129">
        <f>'1. Фін результат'!E60/'1. Фін результат'!E9</f>
        <v>-1.684544915604971E-2</v>
      </c>
      <c r="F7" s="130"/>
    </row>
    <row r="8" spans="1:6" ht="63.75" customHeight="1">
      <c r="A8" s="7" t="s">
        <v>350</v>
      </c>
      <c r="B8" s="106">
        <v>5010</v>
      </c>
      <c r="C8" s="128" t="s">
        <v>340</v>
      </c>
      <c r="D8" s="129">
        <f>'1. Фін результат'!C177/'1. Фін результат'!C9</f>
        <v>4.4773444833176891E-2</v>
      </c>
      <c r="E8" s="129">
        <f>'1. Фін результат'!E177/'1. Фін результат'!E9</f>
        <v>-5.5564255433384412E-2</v>
      </c>
      <c r="F8" s="130"/>
    </row>
    <row r="9" spans="1:6" ht="60.75" customHeight="1">
      <c r="A9" s="131" t="s">
        <v>497</v>
      </c>
      <c r="B9" s="106">
        <v>5020</v>
      </c>
      <c r="C9" s="128" t="s">
        <v>340</v>
      </c>
      <c r="D9" s="132">
        <f>'1. Фін результат'!C161/'фінплан - зведені показники'!C70</f>
        <v>1.1033859613684591E-3</v>
      </c>
      <c r="E9" s="132">
        <f>'1. Фін результат'!E161/'фінплан - зведені показники'!E70</f>
        <v>-2.8529073892624251E-2</v>
      </c>
      <c r="F9" s="130" t="s">
        <v>341</v>
      </c>
    </row>
    <row r="10" spans="1:6" ht="63.75" customHeight="1">
      <c r="A10" s="131" t="s">
        <v>498</v>
      </c>
      <c r="B10" s="106">
        <v>5030</v>
      </c>
      <c r="C10" s="128" t="s">
        <v>340</v>
      </c>
      <c r="D10" s="132">
        <f>'1. Фін результат'!C161/'фінплан - зведені показники'!C76</f>
        <v>1.3458557973798201E-3</v>
      </c>
      <c r="E10" s="132">
        <f>'1. Фін результат'!E161/'фінплан - зведені показники'!E76</f>
        <v>-2.9341053367705729E-2</v>
      </c>
      <c r="F10" s="130"/>
    </row>
    <row r="11" spans="1:6" ht="68.25" customHeight="1">
      <c r="A11" s="131" t="s">
        <v>499</v>
      </c>
      <c r="B11" s="106">
        <v>5040</v>
      </c>
      <c r="C11" s="128" t="s">
        <v>101</v>
      </c>
      <c r="D11" s="132">
        <f>'1. Фін результат'!C161/'1. Фін результат'!C9</f>
        <v>4.33484085672839E-3</v>
      </c>
      <c r="E11" s="132">
        <f>'1. Фін результат'!E161/'1. Фін результат'!E9</f>
        <v>-7.555843894363598E-2</v>
      </c>
      <c r="F11" s="130" t="s">
        <v>342</v>
      </c>
    </row>
    <row r="12" spans="1:6" ht="42.75" customHeight="1">
      <c r="A12" s="287" t="s">
        <v>192</v>
      </c>
      <c r="B12" s="288"/>
      <c r="C12" s="288"/>
      <c r="D12" s="288"/>
      <c r="E12" s="288"/>
      <c r="F12" s="289"/>
    </row>
    <row r="13" spans="1:6" ht="82.5" customHeight="1">
      <c r="A13" s="130" t="s">
        <v>333</v>
      </c>
      <c r="B13" s="106">
        <v>5100</v>
      </c>
      <c r="C13" s="128"/>
      <c r="D13" s="133">
        <f>'фінплан - зведені показники'!C71+'фінплан - зведені показники'!C72/'фінплан - зведені показники'!C38</f>
        <v>7683.781780064799</v>
      </c>
      <c r="E13" s="133">
        <f>'фінплан - зведені показники'!E71+'фінплан - зведені показники'!E72/'фінплан - зведені показники'!E38</f>
        <v>8917.5785606441877</v>
      </c>
      <c r="F13" s="130"/>
    </row>
    <row r="14" spans="1:6" ht="128.25" customHeight="1">
      <c r="A14" s="130" t="s">
        <v>329</v>
      </c>
      <c r="B14" s="106">
        <v>5110</v>
      </c>
      <c r="C14" s="128" t="s">
        <v>177</v>
      </c>
      <c r="D14" s="133">
        <f>'фінплан - зведені показники'!C76/'фінплан - зведені показники'!C72</f>
        <v>19.022073275210403</v>
      </c>
      <c r="E14" s="133">
        <f>'фінплан - зведені показники'!E76/'фінплан - зведені показники'!E72</f>
        <v>109.9706233580129</v>
      </c>
      <c r="F14" s="130" t="s">
        <v>343</v>
      </c>
    </row>
    <row r="15" spans="1:6" ht="171.75" customHeight="1">
      <c r="A15" s="130" t="s">
        <v>330</v>
      </c>
      <c r="B15" s="106">
        <v>5120</v>
      </c>
      <c r="C15" s="128" t="s">
        <v>177</v>
      </c>
      <c r="D15" s="133">
        <f>'фінплан - зведені показники'!C68/'фінплан - зведені показники'!C72</f>
        <v>2.7930756438038604</v>
      </c>
      <c r="E15" s="133">
        <f>'фінплан - зведені показники'!E68/'фінплан - зведені показники'!E72</f>
        <v>9.6665870551707673</v>
      </c>
      <c r="F15" s="130" t="s">
        <v>345</v>
      </c>
    </row>
    <row r="16" spans="1:6" ht="36.75" customHeight="1">
      <c r="A16" s="287" t="s">
        <v>191</v>
      </c>
      <c r="B16" s="288"/>
      <c r="C16" s="288"/>
      <c r="D16" s="288"/>
      <c r="E16" s="288"/>
      <c r="F16" s="289"/>
    </row>
    <row r="17" spans="1:9" ht="48" customHeight="1">
      <c r="A17" s="130" t="s">
        <v>331</v>
      </c>
      <c r="B17" s="106">
        <v>5200</v>
      </c>
      <c r="C17" s="128"/>
      <c r="D17" s="133">
        <f>'4. Кап. інвестиції'!C6/'1. Фін результат'!C184</f>
        <v>20.936628259551242</v>
      </c>
      <c r="E17" s="133">
        <f>'4. Кап. інвестиції'!E6/'1. Фін результат'!E184</f>
        <v>3.4356271957015916</v>
      </c>
      <c r="F17" s="130"/>
    </row>
    <row r="18" spans="1:9" ht="81" customHeight="1">
      <c r="A18" s="130" t="s">
        <v>362</v>
      </c>
      <c r="B18" s="106">
        <v>5210</v>
      </c>
      <c r="C18" s="128"/>
      <c r="D18" s="133">
        <f>'4. Кап. інвестиції'!C6/'фінплан - зведені показники'!C31</f>
        <v>0.58920556361464294</v>
      </c>
      <c r="E18" s="133">
        <f>'4. Кап. інвестиції'!E6/'фінплан - зведені показники'!E31</f>
        <v>6.1986629530616739E-2</v>
      </c>
      <c r="F18" s="130"/>
    </row>
    <row r="19" spans="1:9" ht="65.25" customHeight="1">
      <c r="A19" s="130" t="s">
        <v>351</v>
      </c>
      <c r="B19" s="106">
        <v>5220</v>
      </c>
      <c r="C19" s="128" t="s">
        <v>340</v>
      </c>
      <c r="D19" s="133">
        <v>0.33</v>
      </c>
      <c r="E19" s="133">
        <f>216565/649222</f>
        <v>0.33357618811438922</v>
      </c>
      <c r="F19" s="130" t="s">
        <v>344</v>
      </c>
    </row>
    <row r="20" spans="1:9" ht="35.25" customHeight="1">
      <c r="A20" s="287" t="s">
        <v>332</v>
      </c>
      <c r="B20" s="288"/>
      <c r="C20" s="288"/>
      <c r="D20" s="288"/>
      <c r="E20" s="288"/>
      <c r="F20" s="289"/>
    </row>
    <row r="21" spans="1:9" ht="110.25" customHeight="1">
      <c r="A21" s="131" t="s">
        <v>352</v>
      </c>
      <c r="B21" s="106">
        <v>5300</v>
      </c>
      <c r="C21" s="128"/>
      <c r="D21" s="134"/>
      <c r="E21" s="134"/>
      <c r="F21" s="135"/>
    </row>
    <row r="22" spans="1:9" ht="124.5" customHeight="1"/>
    <row r="23" spans="1:9" s="2" customFormat="1" ht="25.5" customHeight="1">
      <c r="A23" s="63" t="s">
        <v>627</v>
      </c>
      <c r="B23" s="60"/>
      <c r="D23" s="70"/>
      <c r="E23" s="250" t="s">
        <v>626</v>
      </c>
      <c r="F23" s="250"/>
    </row>
    <row r="24" spans="1:9" s="2" customFormat="1" ht="20.149999999999999" customHeight="1">
      <c r="A24" s="6" t="s">
        <v>388</v>
      </c>
      <c r="B24" s="250" t="s">
        <v>78</v>
      </c>
      <c r="C24" s="250"/>
      <c r="D24" s="250"/>
      <c r="E24" s="250" t="s">
        <v>326</v>
      </c>
      <c r="F24" s="250"/>
    </row>
    <row r="26" spans="1:9">
      <c r="I26" s="1"/>
    </row>
    <row r="27" spans="1:9" s="55" customFormat="1" ht="24">
      <c r="A27" s="276"/>
      <c r="B27" s="276"/>
      <c r="C27" s="276"/>
      <c r="D27" s="276"/>
      <c r="E27" s="276"/>
      <c r="F27" s="276"/>
      <c r="G27" s="276"/>
      <c r="H27" s="276"/>
    </row>
    <row r="28" spans="1:9" s="2" customFormat="1">
      <c r="A28" s="6"/>
      <c r="C28" s="250"/>
      <c r="D28" s="250"/>
      <c r="E28" s="70"/>
      <c r="F28" s="4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ageMargins left="0.39370078740157483" right="0.39370078740157483" top="0.59055118110236227" bottom="0.39370078740157483" header="0.11811023622047245" footer="0.31496062992125984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T92"/>
  <sheetViews>
    <sheetView view="pageBreakPreview" topLeftCell="A21" zoomScale="55" zoomScaleNormal="75" zoomScaleSheetLayoutView="55" workbookViewId="0">
      <selection activeCell="J20" sqref="J20:K20"/>
    </sheetView>
  </sheetViews>
  <sheetFormatPr defaultColWidth="9.1796875" defaultRowHeight="20.5" outlineLevelRow="1"/>
  <cols>
    <col min="1" max="1" width="44.81640625" style="70" customWidth="1"/>
    <col min="2" max="2" width="13.54296875" style="71" customWidth="1"/>
    <col min="3" max="3" width="18.54296875" style="70" customWidth="1"/>
    <col min="4" max="4" width="16.1796875" style="70" customWidth="1"/>
    <col min="5" max="5" width="15.453125" style="70" customWidth="1"/>
    <col min="6" max="6" width="16.54296875" style="70" customWidth="1"/>
    <col min="7" max="7" width="15.26953125" style="70" customWidth="1"/>
    <col min="8" max="8" width="16.54296875" style="70" customWidth="1"/>
    <col min="9" max="9" width="16.1796875" style="70" customWidth="1"/>
    <col min="10" max="10" width="16.453125" style="70" customWidth="1"/>
    <col min="11" max="11" width="16.54296875" style="70" customWidth="1"/>
    <col min="12" max="12" width="16.81640625" style="70" customWidth="1"/>
    <col min="13" max="13" width="14.81640625" style="70" customWidth="1"/>
    <col min="14" max="14" width="16.7265625" style="70" customWidth="1"/>
    <col min="15" max="15" width="14.26953125" style="70" customWidth="1"/>
    <col min="16" max="20" width="9.1796875" style="2" hidden="1" customWidth="1"/>
    <col min="21" max="16384" width="9.1796875" style="2"/>
  </cols>
  <sheetData>
    <row r="1" spans="1:15" ht="18.75" hidden="1" customHeight="1" outlineLevel="1">
      <c r="N1" s="347" t="s">
        <v>241</v>
      </c>
      <c r="O1" s="347"/>
    </row>
    <row r="2" spans="1:15" hidden="1" outlineLevel="1">
      <c r="N2" s="347" t="s">
        <v>261</v>
      </c>
      <c r="O2" s="347"/>
    </row>
    <row r="3" spans="1:15" collapsed="1">
      <c r="A3" s="312" t="s">
        <v>613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1:15" ht="3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</row>
    <row r="5" spans="1:15">
      <c r="A5" s="312" t="s">
        <v>534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15" ht="17.25" customHeight="1">
      <c r="A6" s="348" t="s">
        <v>134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ht="25" customHeight="1">
      <c r="A7" s="312" t="s">
        <v>378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84.75" customHeight="1">
      <c r="A8" s="258" t="s">
        <v>628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</row>
    <row r="9" spans="1:15" ht="42.75" customHeight="1">
      <c r="B9" s="70"/>
    </row>
    <row r="10" spans="1:15" ht="40.5" customHeight="1">
      <c r="A10" s="106" t="s">
        <v>287</v>
      </c>
      <c r="B10" s="280" t="s">
        <v>136</v>
      </c>
      <c r="C10" s="280"/>
      <c r="D10" s="280" t="s">
        <v>31</v>
      </c>
      <c r="E10" s="280"/>
      <c r="F10" s="280" t="s">
        <v>323</v>
      </c>
      <c r="G10" s="280"/>
      <c r="H10" s="280" t="s">
        <v>324</v>
      </c>
      <c r="I10" s="280"/>
      <c r="J10" s="280" t="s">
        <v>325</v>
      </c>
      <c r="K10" s="280"/>
      <c r="L10" s="280" t="s">
        <v>292</v>
      </c>
      <c r="M10" s="280"/>
      <c r="N10" s="280" t="s">
        <v>293</v>
      </c>
      <c r="O10" s="280"/>
    </row>
    <row r="11" spans="1:15" ht="17.25" customHeight="1">
      <c r="A11" s="106">
        <v>1</v>
      </c>
      <c r="B11" s="290">
        <v>2</v>
      </c>
      <c r="C11" s="291"/>
      <c r="D11" s="290">
        <v>3</v>
      </c>
      <c r="E11" s="291"/>
      <c r="F11" s="290">
        <v>4</v>
      </c>
      <c r="G11" s="291"/>
      <c r="H11" s="290">
        <v>5</v>
      </c>
      <c r="I11" s="291"/>
      <c r="J11" s="290">
        <v>6</v>
      </c>
      <c r="K11" s="291"/>
      <c r="L11" s="290">
        <v>7</v>
      </c>
      <c r="M11" s="291"/>
      <c r="N11" s="280">
        <v>8</v>
      </c>
      <c r="O11" s="280"/>
    </row>
    <row r="12" spans="1:15">
      <c r="A12" s="292" t="s">
        <v>135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4"/>
    </row>
    <row r="13" spans="1:15" ht="20.149999999999999" customHeight="1">
      <c r="A13" s="7" t="s">
        <v>294</v>
      </c>
      <c r="B13" s="322">
        <v>18</v>
      </c>
      <c r="C13" s="322"/>
      <c r="D13" s="322">
        <v>16</v>
      </c>
      <c r="E13" s="322"/>
      <c r="F13" s="322">
        <v>18</v>
      </c>
      <c r="G13" s="322"/>
      <c r="H13" s="322">
        <v>18</v>
      </c>
      <c r="I13" s="322"/>
      <c r="J13" s="322">
        <v>16</v>
      </c>
      <c r="K13" s="322"/>
      <c r="L13" s="322">
        <f t="shared" ref="L13:L18" si="0">J13-H13</f>
        <v>-2</v>
      </c>
      <c r="M13" s="322"/>
      <c r="N13" s="320">
        <f t="shared" ref="N13:N18" si="1">J13/H13*100</f>
        <v>88.888888888888886</v>
      </c>
      <c r="O13" s="320"/>
    </row>
    <row r="14" spans="1:15" ht="20.149999999999999" customHeight="1">
      <c r="A14" s="7" t="s">
        <v>295</v>
      </c>
      <c r="B14" s="322">
        <v>17</v>
      </c>
      <c r="C14" s="322"/>
      <c r="D14" s="322">
        <v>17</v>
      </c>
      <c r="E14" s="322"/>
      <c r="F14" s="322">
        <v>18</v>
      </c>
      <c r="G14" s="322"/>
      <c r="H14" s="322">
        <v>18</v>
      </c>
      <c r="I14" s="322"/>
      <c r="J14" s="322">
        <v>17</v>
      </c>
      <c r="K14" s="322"/>
      <c r="L14" s="322">
        <f t="shared" si="0"/>
        <v>-1</v>
      </c>
      <c r="M14" s="322"/>
      <c r="N14" s="320">
        <f t="shared" si="1"/>
        <v>94.444444444444443</v>
      </c>
      <c r="O14" s="320"/>
    </row>
    <row r="15" spans="1:15" ht="20.149999999999999" customHeight="1">
      <c r="A15" s="7" t="s">
        <v>296</v>
      </c>
      <c r="B15" s="322">
        <v>2</v>
      </c>
      <c r="C15" s="322"/>
      <c r="D15" s="322">
        <v>2</v>
      </c>
      <c r="E15" s="322"/>
      <c r="F15" s="322">
        <v>5</v>
      </c>
      <c r="G15" s="322"/>
      <c r="H15" s="322">
        <v>5</v>
      </c>
      <c r="I15" s="322"/>
      <c r="J15" s="322">
        <v>2</v>
      </c>
      <c r="K15" s="322"/>
      <c r="L15" s="322">
        <f t="shared" si="0"/>
        <v>-3</v>
      </c>
      <c r="M15" s="322"/>
      <c r="N15" s="320">
        <f t="shared" si="1"/>
        <v>40</v>
      </c>
      <c r="O15" s="320"/>
    </row>
    <row r="16" spans="1:15" ht="20.149999999999999" customHeight="1">
      <c r="A16" s="7" t="s">
        <v>297</v>
      </c>
      <c r="B16" s="322">
        <v>3</v>
      </c>
      <c r="C16" s="322"/>
      <c r="D16" s="322">
        <v>2</v>
      </c>
      <c r="E16" s="322"/>
      <c r="F16" s="322">
        <v>3</v>
      </c>
      <c r="G16" s="322"/>
      <c r="H16" s="322">
        <v>3</v>
      </c>
      <c r="I16" s="322"/>
      <c r="J16" s="322">
        <v>2</v>
      </c>
      <c r="K16" s="322"/>
      <c r="L16" s="322">
        <f t="shared" si="0"/>
        <v>-1</v>
      </c>
      <c r="M16" s="322"/>
      <c r="N16" s="320">
        <f t="shared" si="1"/>
        <v>66.666666666666657</v>
      </c>
      <c r="O16" s="320"/>
    </row>
    <row r="17" spans="1:15" ht="20.149999999999999" customHeight="1">
      <c r="A17" s="7" t="s">
        <v>298</v>
      </c>
      <c r="B17" s="322">
        <v>101</v>
      </c>
      <c r="C17" s="322"/>
      <c r="D17" s="322">
        <v>69</v>
      </c>
      <c r="E17" s="322"/>
      <c r="F17" s="322">
        <v>97</v>
      </c>
      <c r="G17" s="322"/>
      <c r="H17" s="322">
        <v>97</v>
      </c>
      <c r="I17" s="322"/>
      <c r="J17" s="322">
        <v>80</v>
      </c>
      <c r="K17" s="322"/>
      <c r="L17" s="322">
        <f t="shared" si="0"/>
        <v>-17</v>
      </c>
      <c r="M17" s="322"/>
      <c r="N17" s="320">
        <f t="shared" si="1"/>
        <v>82.474226804123703</v>
      </c>
      <c r="O17" s="320"/>
    </row>
    <row r="18" spans="1:15" ht="20.149999999999999" customHeight="1">
      <c r="A18" s="7" t="s">
        <v>299</v>
      </c>
      <c r="B18" s="322">
        <v>17</v>
      </c>
      <c r="C18" s="322"/>
      <c r="D18" s="322">
        <v>18</v>
      </c>
      <c r="E18" s="322"/>
      <c r="F18" s="322">
        <v>17</v>
      </c>
      <c r="G18" s="322"/>
      <c r="H18" s="322">
        <v>17</v>
      </c>
      <c r="I18" s="322"/>
      <c r="J18" s="322">
        <v>18</v>
      </c>
      <c r="K18" s="322"/>
      <c r="L18" s="322">
        <f t="shared" si="0"/>
        <v>1</v>
      </c>
      <c r="M18" s="322"/>
      <c r="N18" s="320">
        <f t="shared" si="1"/>
        <v>105.88235294117648</v>
      </c>
      <c r="O18" s="320"/>
    </row>
    <row r="19" spans="1:15">
      <c r="A19" s="292" t="s">
        <v>364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4"/>
    </row>
    <row r="20" spans="1:15" ht="20.149999999999999" customHeight="1">
      <c r="A20" s="7" t="s">
        <v>587</v>
      </c>
      <c r="B20" s="290">
        <v>404</v>
      </c>
      <c r="C20" s="291"/>
      <c r="D20" s="323">
        <v>490</v>
      </c>
      <c r="E20" s="324"/>
      <c r="F20" s="322">
        <v>536</v>
      </c>
      <c r="G20" s="322"/>
      <c r="H20" s="322">
        <f>F20</f>
        <v>536</v>
      </c>
      <c r="I20" s="322"/>
      <c r="J20" s="322">
        <v>594</v>
      </c>
      <c r="K20" s="322"/>
      <c r="L20" s="322">
        <f>J20-H20</f>
        <v>58</v>
      </c>
      <c r="M20" s="322"/>
      <c r="N20" s="320">
        <f>J20/H20*100</f>
        <v>110.82089552238806</v>
      </c>
      <c r="O20" s="320"/>
    </row>
    <row r="21" spans="1:15" ht="40.5" customHeight="1">
      <c r="A21" s="7" t="s">
        <v>300</v>
      </c>
      <c r="B21" s="290">
        <v>4642</v>
      </c>
      <c r="C21" s="291"/>
      <c r="D21" s="323">
        <v>5403</v>
      </c>
      <c r="E21" s="324"/>
      <c r="F21" s="322">
        <v>6984</v>
      </c>
      <c r="G21" s="322"/>
      <c r="H21" s="322">
        <f>F21</f>
        <v>6984</v>
      </c>
      <c r="I21" s="322"/>
      <c r="J21" s="322">
        <f>'1. Фін результат'!E80-'6.1. Інша інфо_1'!J20:K20+488</f>
        <v>7393</v>
      </c>
      <c r="K21" s="322"/>
      <c r="L21" s="322">
        <f>J21-H21</f>
        <v>409</v>
      </c>
      <c r="M21" s="322"/>
      <c r="N21" s="320">
        <f>J21/H21*100</f>
        <v>105.85624284077892</v>
      </c>
      <c r="O21" s="320"/>
    </row>
    <row r="22" spans="1:15" ht="20.149999999999999" customHeight="1">
      <c r="A22" s="7" t="s">
        <v>301</v>
      </c>
      <c r="B22" s="290">
        <v>19800</v>
      </c>
      <c r="C22" s="291"/>
      <c r="D22" s="323">
        <v>19116</v>
      </c>
      <c r="E22" s="324"/>
      <c r="F22" s="322">
        <v>29901</v>
      </c>
      <c r="G22" s="322"/>
      <c r="H22" s="322">
        <f>F22</f>
        <v>29901</v>
      </c>
      <c r="I22" s="322"/>
      <c r="J22" s="322">
        <f>'1. Фін результат'!E17</f>
        <v>24173</v>
      </c>
      <c r="K22" s="322"/>
      <c r="L22" s="322">
        <f>J22-H22</f>
        <v>-5728</v>
      </c>
      <c r="M22" s="322"/>
      <c r="N22" s="320">
        <f>J22/H22*100</f>
        <v>80.843450051837735</v>
      </c>
      <c r="O22" s="320"/>
    </row>
    <row r="23" spans="1:15">
      <c r="A23" s="292" t="s">
        <v>334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4"/>
    </row>
    <row r="24" spans="1:15" ht="20.149999999999999" customHeight="1">
      <c r="A24" s="7" t="s">
        <v>587</v>
      </c>
      <c r="B24" s="321">
        <v>492</v>
      </c>
      <c r="C24" s="321"/>
      <c r="D24" s="322">
        <f>D20*1.22</f>
        <v>597.79999999999995</v>
      </c>
      <c r="E24" s="322"/>
      <c r="F24" s="322">
        <v>654</v>
      </c>
      <c r="G24" s="322"/>
      <c r="H24" s="322">
        <f>H20*1.22</f>
        <v>653.91999999999996</v>
      </c>
      <c r="I24" s="322"/>
      <c r="J24" s="322">
        <v>747</v>
      </c>
      <c r="K24" s="322"/>
      <c r="L24" s="322">
        <f>J24-H24</f>
        <v>93.080000000000041</v>
      </c>
      <c r="M24" s="322"/>
      <c r="N24" s="320">
        <f>J24/H24*100</f>
        <v>114.23415708343529</v>
      </c>
      <c r="O24" s="320"/>
    </row>
    <row r="25" spans="1:15" ht="42.75" customHeight="1">
      <c r="A25" s="7" t="s">
        <v>300</v>
      </c>
      <c r="B25" s="321">
        <v>5598</v>
      </c>
      <c r="C25" s="321"/>
      <c r="D25" s="322">
        <v>6474</v>
      </c>
      <c r="E25" s="322"/>
      <c r="F25" s="322">
        <v>8419</v>
      </c>
      <c r="G25" s="322"/>
      <c r="H25" s="322">
        <v>8419</v>
      </c>
      <c r="I25" s="322"/>
      <c r="J25" s="322">
        <f>'1. Фін результат'!E80-'6.1. Інша інфо_1'!J24:K24+'1. Фін результат'!E81+488+107</f>
        <v>8976</v>
      </c>
      <c r="K25" s="322"/>
      <c r="L25" s="322">
        <f>J25-H25</f>
        <v>557</v>
      </c>
      <c r="M25" s="322"/>
      <c r="N25" s="320">
        <f>J25/H25*100</f>
        <v>106.61598764698897</v>
      </c>
      <c r="O25" s="320"/>
    </row>
    <row r="26" spans="1:15" ht="20.149999999999999" customHeight="1">
      <c r="A26" s="7" t="s">
        <v>301</v>
      </c>
      <c r="B26" s="321">
        <v>24025</v>
      </c>
      <c r="C26" s="321"/>
      <c r="D26" s="322">
        <v>23582</v>
      </c>
      <c r="E26" s="322"/>
      <c r="F26" s="322">
        <v>36246</v>
      </c>
      <c r="G26" s="322"/>
      <c r="H26" s="322">
        <v>36246</v>
      </c>
      <c r="I26" s="322"/>
      <c r="J26" s="322">
        <f>'1. Фін результат'!E17+'1. Фін результат'!E18</f>
        <v>29621</v>
      </c>
      <c r="K26" s="322"/>
      <c r="L26" s="322">
        <f>J26-H26</f>
        <v>-6625</v>
      </c>
      <c r="M26" s="322"/>
      <c r="N26" s="320">
        <f>J26/H26*100</f>
        <v>81.722121061634397</v>
      </c>
      <c r="O26" s="320"/>
    </row>
    <row r="27" spans="1:15">
      <c r="A27" s="292" t="s">
        <v>302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4"/>
    </row>
    <row r="28" spans="1:15" ht="20.149999999999999" customHeight="1">
      <c r="A28" s="7" t="s">
        <v>587</v>
      </c>
      <c r="B28" s="280">
        <v>33640</v>
      </c>
      <c r="C28" s="280"/>
      <c r="D28" s="322">
        <v>40833</v>
      </c>
      <c r="E28" s="322"/>
      <c r="F28" s="322">
        <v>44658</v>
      </c>
      <c r="G28" s="322"/>
      <c r="H28" s="322">
        <v>44658</v>
      </c>
      <c r="I28" s="322"/>
      <c r="J28" s="322">
        <f>J20/12*1000</f>
        <v>49500</v>
      </c>
      <c r="K28" s="322"/>
      <c r="L28" s="322">
        <f>J28-H28</f>
        <v>4842</v>
      </c>
      <c r="M28" s="322"/>
      <c r="N28" s="320">
        <f>J28/H28*100</f>
        <v>110.84240225715438</v>
      </c>
      <c r="O28" s="320"/>
    </row>
    <row r="29" spans="1:15" ht="45" customHeight="1">
      <c r="A29" s="7" t="s">
        <v>300</v>
      </c>
      <c r="B29" s="280">
        <v>18175</v>
      </c>
      <c r="C29" s="280"/>
      <c r="D29" s="322">
        <v>21440</v>
      </c>
      <c r="E29" s="322"/>
      <c r="F29" s="322">
        <v>26048</v>
      </c>
      <c r="G29" s="322"/>
      <c r="H29" s="322">
        <v>26048</v>
      </c>
      <c r="I29" s="322"/>
      <c r="J29" s="322">
        <f>J21/21/12*1000</f>
        <v>29337.301587301587</v>
      </c>
      <c r="K29" s="322"/>
      <c r="L29" s="322">
        <f>J29-H29</f>
        <v>3289.3015873015866</v>
      </c>
      <c r="M29" s="322"/>
      <c r="N29" s="320">
        <f>J29/H29*100</f>
        <v>112.62784700284701</v>
      </c>
      <c r="O29" s="320"/>
    </row>
    <row r="30" spans="1:15" ht="20.149999999999999" customHeight="1">
      <c r="A30" s="7" t="s">
        <v>301</v>
      </c>
      <c r="B30" s="280">
        <v>10748</v>
      </c>
      <c r="C30" s="280"/>
      <c r="D30" s="322">
        <v>15618</v>
      </c>
      <c r="E30" s="322"/>
      <c r="F30" s="322">
        <v>16320</v>
      </c>
      <c r="G30" s="322"/>
      <c r="H30" s="322">
        <v>16320</v>
      </c>
      <c r="I30" s="322"/>
      <c r="J30" s="322">
        <f>J22/113/12*1000</f>
        <v>17826.696165191741</v>
      </c>
      <c r="K30" s="322"/>
      <c r="L30" s="322">
        <f>J30-H30</f>
        <v>1506.6961651917409</v>
      </c>
      <c r="M30" s="322"/>
      <c r="N30" s="320">
        <f>J30/H30*100</f>
        <v>109.23220689455724</v>
      </c>
      <c r="O30" s="320"/>
    </row>
    <row r="31" spans="1:15" ht="42.75" customHeight="1">
      <c r="A31" s="292" t="s">
        <v>303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4"/>
    </row>
    <row r="32" spans="1:15" ht="20.149999999999999" customHeight="1">
      <c r="A32" s="7" t="s">
        <v>587</v>
      </c>
      <c r="B32" s="321">
        <v>33640</v>
      </c>
      <c r="C32" s="321"/>
      <c r="D32" s="322">
        <f>D28</f>
        <v>40833</v>
      </c>
      <c r="E32" s="322"/>
      <c r="F32" s="322">
        <v>44658</v>
      </c>
      <c r="G32" s="322"/>
      <c r="H32" s="322">
        <f>H28</f>
        <v>44658</v>
      </c>
      <c r="I32" s="322"/>
      <c r="J32" s="322">
        <f>J28</f>
        <v>49500</v>
      </c>
      <c r="K32" s="322"/>
      <c r="L32" s="322">
        <f>J32-H32</f>
        <v>4842</v>
      </c>
      <c r="M32" s="322"/>
      <c r="N32" s="320">
        <f>J32/H32*100</f>
        <v>110.84240225715438</v>
      </c>
      <c r="O32" s="320"/>
    </row>
    <row r="33" spans="1:15" ht="35.25" customHeight="1">
      <c r="A33" s="7" t="s">
        <v>300</v>
      </c>
      <c r="B33" s="321">
        <v>18421</v>
      </c>
      <c r="C33" s="321"/>
      <c r="D33" s="322">
        <f>D29</f>
        <v>21440</v>
      </c>
      <c r="E33" s="322"/>
      <c r="F33" s="322">
        <v>26455</v>
      </c>
      <c r="G33" s="322"/>
      <c r="H33" s="322">
        <v>26455</v>
      </c>
      <c r="I33" s="322"/>
      <c r="J33" s="322">
        <f>J29</f>
        <v>29337.301587301587</v>
      </c>
      <c r="K33" s="322"/>
      <c r="L33" s="322">
        <f>J33-H33</f>
        <v>2882.3015873015866</v>
      </c>
      <c r="M33" s="322"/>
      <c r="N33" s="320">
        <f>J33/H33*100</f>
        <v>110.89511089511089</v>
      </c>
      <c r="O33" s="320"/>
    </row>
    <row r="34" spans="1:15" ht="20.149999999999999" customHeight="1">
      <c r="A34" s="7" t="s">
        <v>301</v>
      </c>
      <c r="B34" s="321">
        <v>12222</v>
      </c>
      <c r="C34" s="321"/>
      <c r="D34" s="322">
        <f>D30</f>
        <v>15618</v>
      </c>
      <c r="E34" s="322"/>
      <c r="F34" s="322">
        <v>18457</v>
      </c>
      <c r="G34" s="322"/>
      <c r="H34" s="322">
        <v>18457</v>
      </c>
      <c r="I34" s="322"/>
      <c r="J34" s="322">
        <f>J30</f>
        <v>17826.696165191741</v>
      </c>
      <c r="K34" s="322"/>
      <c r="L34" s="322">
        <f>J34-H34</f>
        <v>-630.30383480825913</v>
      </c>
      <c r="M34" s="322"/>
      <c r="N34" s="320">
        <f>J34/H34*100</f>
        <v>96.585014710905028</v>
      </c>
      <c r="O34" s="320"/>
    </row>
    <row r="35" spans="1:15" ht="7.5" customHeight="1">
      <c r="A35" s="5"/>
      <c r="B35" s="5"/>
      <c r="C35" s="5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6"/>
      <c r="O35" s="116"/>
    </row>
    <row r="36" spans="1:15" ht="22.5" customHeight="1">
      <c r="A36" s="346" t="s">
        <v>347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</row>
    <row r="37" spans="1:15" ht="11.25" customHeight="1">
      <c r="A37" s="15"/>
      <c r="B37" s="15"/>
      <c r="C37" s="15"/>
      <c r="D37" s="15"/>
      <c r="E37" s="15"/>
      <c r="F37" s="15"/>
      <c r="G37" s="15"/>
      <c r="H37" s="15"/>
      <c r="I37" s="15"/>
      <c r="J37" s="2"/>
      <c r="K37" s="2"/>
      <c r="L37" s="2"/>
      <c r="M37" s="2"/>
      <c r="N37" s="2"/>
      <c r="O37" s="2"/>
    </row>
    <row r="38" spans="1:15" ht="30.75" customHeight="1">
      <c r="A38" s="335" t="s">
        <v>370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</row>
    <row r="39" spans="1:15" ht="30.75" customHeight="1">
      <c r="A39" s="117" t="s">
        <v>137</v>
      </c>
      <c r="B39" s="295" t="s">
        <v>371</v>
      </c>
      <c r="C39" s="296"/>
      <c r="D39" s="296"/>
      <c r="E39" s="297"/>
      <c r="F39" s="303" t="s">
        <v>85</v>
      </c>
      <c r="G39" s="303"/>
      <c r="H39" s="303"/>
      <c r="I39" s="303"/>
      <c r="J39" s="303"/>
      <c r="K39" s="303"/>
      <c r="L39" s="303"/>
      <c r="M39" s="303"/>
      <c r="N39" s="303"/>
      <c r="O39" s="303"/>
    </row>
    <row r="40" spans="1:15" ht="17.25" customHeight="1">
      <c r="A40" s="117">
        <v>1</v>
      </c>
      <c r="B40" s="301">
        <v>2</v>
      </c>
      <c r="C40" s="302"/>
      <c r="D40" s="302"/>
      <c r="E40" s="302"/>
      <c r="F40" s="303">
        <v>3</v>
      </c>
      <c r="G40" s="303"/>
      <c r="H40" s="303"/>
      <c r="I40" s="303"/>
      <c r="J40" s="303"/>
      <c r="K40" s="303"/>
      <c r="L40" s="303"/>
      <c r="M40" s="303"/>
      <c r="N40" s="303"/>
      <c r="O40" s="303"/>
    </row>
    <row r="41" spans="1:15" ht="20.149999999999999" customHeight="1">
      <c r="A41" s="117"/>
      <c r="B41" s="315"/>
      <c r="C41" s="316"/>
      <c r="D41" s="316"/>
      <c r="E41" s="316"/>
      <c r="F41" s="314"/>
      <c r="G41" s="314"/>
      <c r="H41" s="314"/>
      <c r="I41" s="314"/>
      <c r="J41" s="314"/>
      <c r="K41" s="314"/>
      <c r="L41" s="314"/>
      <c r="M41" s="314"/>
      <c r="N41" s="314"/>
      <c r="O41" s="314"/>
    </row>
    <row r="42" spans="1:15" ht="20.149999999999999" hidden="1" customHeight="1" outlineLevel="1">
      <c r="A42" s="4"/>
      <c r="B42" s="118"/>
      <c r="C42" s="118"/>
      <c r="D42" s="118"/>
      <c r="E42" s="118"/>
      <c r="F42" s="119"/>
      <c r="G42" s="119"/>
      <c r="H42" s="119"/>
      <c r="I42" s="119"/>
      <c r="J42" s="119"/>
      <c r="K42" s="119"/>
      <c r="L42" s="119"/>
      <c r="M42" s="318" t="s">
        <v>241</v>
      </c>
      <c r="N42" s="318"/>
      <c r="O42" s="318"/>
    </row>
    <row r="43" spans="1:15" ht="20.149999999999999" hidden="1" customHeight="1" outlineLevel="1">
      <c r="A43" s="4"/>
      <c r="B43" s="118"/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319" t="s">
        <v>291</v>
      </c>
      <c r="N43" s="319"/>
      <c r="O43" s="319"/>
    </row>
    <row r="44" spans="1:15" collapsed="1">
      <c r="A44" s="279" t="s">
        <v>251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</row>
    <row r="45" spans="1: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52.5" customHeight="1">
      <c r="A46" s="306" t="s">
        <v>287</v>
      </c>
      <c r="B46" s="307"/>
      <c r="C46" s="285"/>
      <c r="D46" s="280" t="s">
        <v>242</v>
      </c>
      <c r="E46" s="280"/>
      <c r="F46" s="280"/>
      <c r="G46" s="280" t="s">
        <v>238</v>
      </c>
      <c r="H46" s="280"/>
      <c r="I46" s="280"/>
      <c r="J46" s="280" t="s">
        <v>292</v>
      </c>
      <c r="K46" s="280"/>
      <c r="L46" s="280"/>
      <c r="M46" s="290" t="s">
        <v>293</v>
      </c>
      <c r="N46" s="291"/>
      <c r="O46" s="265" t="s">
        <v>316</v>
      </c>
    </row>
    <row r="47" spans="1:15" ht="189.75" customHeight="1">
      <c r="A47" s="308"/>
      <c r="B47" s="309"/>
      <c r="C47" s="286"/>
      <c r="D47" s="106" t="s">
        <v>319</v>
      </c>
      <c r="E47" s="106" t="s">
        <v>318</v>
      </c>
      <c r="F47" s="106" t="s">
        <v>317</v>
      </c>
      <c r="G47" s="106" t="s">
        <v>319</v>
      </c>
      <c r="H47" s="106" t="s">
        <v>318</v>
      </c>
      <c r="I47" s="106" t="s">
        <v>317</v>
      </c>
      <c r="J47" s="106" t="s">
        <v>319</v>
      </c>
      <c r="K47" s="106" t="s">
        <v>318</v>
      </c>
      <c r="L47" s="106" t="s">
        <v>317</v>
      </c>
      <c r="M47" s="106" t="s">
        <v>243</v>
      </c>
      <c r="N47" s="106" t="s">
        <v>244</v>
      </c>
      <c r="O47" s="317"/>
    </row>
    <row r="48" spans="1:15">
      <c r="A48" s="290">
        <v>1</v>
      </c>
      <c r="B48" s="345"/>
      <c r="C48" s="291"/>
      <c r="D48" s="106">
        <v>4</v>
      </c>
      <c r="E48" s="106">
        <v>5</v>
      </c>
      <c r="F48" s="106">
        <v>6</v>
      </c>
      <c r="G48" s="106">
        <v>7</v>
      </c>
      <c r="H48" s="13">
        <v>8</v>
      </c>
      <c r="I48" s="13">
        <v>9</v>
      </c>
      <c r="J48" s="13">
        <v>10</v>
      </c>
      <c r="K48" s="13">
        <v>11</v>
      </c>
      <c r="L48" s="13">
        <v>12</v>
      </c>
      <c r="M48" s="13">
        <v>13</v>
      </c>
      <c r="N48" s="13">
        <v>14</v>
      </c>
      <c r="O48" s="13">
        <v>15</v>
      </c>
    </row>
    <row r="49" spans="1:15" ht="45.75" customHeight="1">
      <c r="A49" s="298" t="s">
        <v>614</v>
      </c>
      <c r="B49" s="299"/>
      <c r="C49" s="300"/>
      <c r="D49" s="108">
        <f>'1. Фін результат'!D10</f>
        <v>64560</v>
      </c>
      <c r="E49" s="125">
        <v>7500</v>
      </c>
      <c r="F49" s="125">
        <f>D49/E49*1000</f>
        <v>8608</v>
      </c>
      <c r="G49" s="108">
        <f>'1. Фін результат'!E10</f>
        <v>56822</v>
      </c>
      <c r="H49" s="13">
        <v>7400</v>
      </c>
      <c r="I49" s="125">
        <f>G49/H49*1000</f>
        <v>7678.6486486486483</v>
      </c>
      <c r="J49" s="126">
        <f>G49-D49</f>
        <v>-7738</v>
      </c>
      <c r="K49" s="13">
        <f t="shared" ref="J49:L50" si="2">H49-E49</f>
        <v>-100</v>
      </c>
      <c r="L49" s="120">
        <f t="shared" si="2"/>
        <v>-929.3513513513517</v>
      </c>
      <c r="M49" s="120">
        <f>G49/D49*100</f>
        <v>88.014250309789347</v>
      </c>
      <c r="N49" s="120">
        <f>H49/E49*100</f>
        <v>98.666666666666671</v>
      </c>
      <c r="O49" s="13"/>
    </row>
    <row r="50" spans="1:15" ht="45.75" customHeight="1">
      <c r="A50" s="298" t="s">
        <v>571</v>
      </c>
      <c r="B50" s="299"/>
      <c r="C50" s="300"/>
      <c r="D50" s="108">
        <f>'1. Фін результат'!D11</f>
        <v>203701</v>
      </c>
      <c r="E50" s="125">
        <v>32500</v>
      </c>
      <c r="F50" s="125">
        <f>D50/E50*1000</f>
        <v>6267.7230769230773</v>
      </c>
      <c r="G50" s="108">
        <f>'1. Фін результат'!E11</f>
        <v>119435</v>
      </c>
      <c r="H50" s="13">
        <v>32000</v>
      </c>
      <c r="I50" s="125">
        <f>G50/H50*1000</f>
        <v>3732.34375</v>
      </c>
      <c r="J50" s="126">
        <f t="shared" si="2"/>
        <v>-84266</v>
      </c>
      <c r="K50" s="13">
        <f t="shared" si="2"/>
        <v>-500</v>
      </c>
      <c r="L50" s="120">
        <f t="shared" si="2"/>
        <v>-2535.3793269230773</v>
      </c>
      <c r="M50" s="120">
        <f>G50/D50*100</f>
        <v>58.632505485981902</v>
      </c>
      <c r="N50" s="120">
        <f>H50/E50*100</f>
        <v>98.461538461538467</v>
      </c>
      <c r="O50" s="13"/>
    </row>
    <row r="51" spans="1:15" ht="48.75" customHeight="1">
      <c r="A51" s="298" t="s">
        <v>397</v>
      </c>
      <c r="B51" s="299"/>
      <c r="C51" s="300"/>
      <c r="D51" s="108">
        <f>'1. Фін результат'!D12</f>
        <v>3000</v>
      </c>
      <c r="E51" s="106"/>
      <c r="F51" s="106"/>
      <c r="G51" s="108">
        <f>'1. Фін результат'!E12</f>
        <v>2545</v>
      </c>
      <c r="H51" s="13"/>
      <c r="I51" s="125"/>
      <c r="J51" s="126">
        <f>G51-D51</f>
        <v>-455</v>
      </c>
      <c r="K51" s="13"/>
      <c r="L51" s="120"/>
      <c r="M51" s="120">
        <f>G51/D51*100</f>
        <v>84.833333333333343</v>
      </c>
      <c r="N51" s="13"/>
      <c r="O51" s="13"/>
    </row>
    <row r="52" spans="1:15" ht="25" customHeight="1">
      <c r="A52" s="342" t="s">
        <v>58</v>
      </c>
      <c r="B52" s="343"/>
      <c r="C52" s="344"/>
      <c r="D52" s="108">
        <f>SUM(D49:D51)</f>
        <v>271261</v>
      </c>
      <c r="E52" s="108"/>
      <c r="F52" s="16">
        <f>SUM(F49:F51)</f>
        <v>14875.723076923077</v>
      </c>
      <c r="G52" s="16">
        <f>SUM(G49:G51)</f>
        <v>178802</v>
      </c>
      <c r="H52" s="16"/>
      <c r="I52" s="16">
        <f>SUM(I49:I51)</f>
        <v>11410.992398648648</v>
      </c>
      <c r="J52" s="16"/>
      <c r="K52" s="16"/>
      <c r="L52" s="16"/>
      <c r="M52" s="17"/>
      <c r="N52" s="17"/>
      <c r="O52" s="16"/>
    </row>
    <row r="53" spans="1:15">
      <c r="A53" s="83"/>
      <c r="B53" s="84"/>
      <c r="C53" s="84"/>
      <c r="D53" s="84"/>
      <c r="E53" s="84"/>
      <c r="F53" s="85"/>
      <c r="G53" s="85"/>
      <c r="H53" s="85"/>
      <c r="I53" s="86"/>
      <c r="J53" s="86"/>
      <c r="K53" s="86"/>
      <c r="L53" s="86"/>
      <c r="M53" s="86"/>
      <c r="N53" s="86"/>
      <c r="O53" s="86"/>
    </row>
    <row r="54" spans="1:15">
      <c r="A54" s="312" t="s">
        <v>74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</row>
    <row r="56" spans="1:15" ht="56.25" customHeight="1">
      <c r="A56" s="80" t="s">
        <v>126</v>
      </c>
      <c r="B56" s="305" t="s">
        <v>73</v>
      </c>
      <c r="C56" s="305"/>
      <c r="D56" s="305" t="s">
        <v>68</v>
      </c>
      <c r="E56" s="305"/>
      <c r="F56" s="305" t="s">
        <v>69</v>
      </c>
      <c r="G56" s="305"/>
      <c r="H56" s="305" t="s">
        <v>89</v>
      </c>
      <c r="I56" s="305"/>
      <c r="J56" s="305"/>
      <c r="K56" s="310" t="s">
        <v>86</v>
      </c>
      <c r="L56" s="311"/>
      <c r="M56" s="310" t="s">
        <v>36</v>
      </c>
      <c r="N56" s="313"/>
      <c r="O56" s="311"/>
    </row>
    <row r="57" spans="1:15">
      <c r="A57" s="81">
        <v>1</v>
      </c>
      <c r="B57" s="304">
        <v>2</v>
      </c>
      <c r="C57" s="304"/>
      <c r="D57" s="304">
        <v>3</v>
      </c>
      <c r="E57" s="304"/>
      <c r="F57" s="304">
        <v>4</v>
      </c>
      <c r="G57" s="304"/>
      <c r="H57" s="304">
        <v>5</v>
      </c>
      <c r="I57" s="304"/>
      <c r="J57" s="304"/>
      <c r="K57" s="304">
        <v>6</v>
      </c>
      <c r="L57" s="304"/>
      <c r="M57" s="325">
        <v>7</v>
      </c>
      <c r="N57" s="326"/>
      <c r="O57" s="327"/>
    </row>
    <row r="58" spans="1:15">
      <c r="A58" s="87"/>
      <c r="B58" s="331"/>
      <c r="C58" s="331"/>
      <c r="D58" s="330"/>
      <c r="E58" s="330"/>
      <c r="F58" s="339" t="s">
        <v>259</v>
      </c>
      <c r="G58" s="339"/>
      <c r="H58" s="305"/>
      <c r="I58" s="305"/>
      <c r="J58" s="305"/>
      <c r="K58" s="328"/>
      <c r="L58" s="329"/>
      <c r="M58" s="330"/>
      <c r="N58" s="330"/>
      <c r="O58" s="330"/>
    </row>
    <row r="59" spans="1:15">
      <c r="A59" s="87"/>
      <c r="B59" s="332"/>
      <c r="C59" s="333"/>
      <c r="D59" s="328"/>
      <c r="E59" s="329"/>
      <c r="F59" s="337"/>
      <c r="G59" s="338"/>
      <c r="H59" s="310"/>
      <c r="I59" s="313"/>
      <c r="J59" s="311"/>
      <c r="K59" s="328"/>
      <c r="L59" s="329"/>
      <c r="M59" s="328"/>
      <c r="N59" s="334"/>
      <c r="O59" s="329"/>
    </row>
    <row r="60" spans="1:15">
      <c r="A60" s="87"/>
      <c r="B60" s="340"/>
      <c r="C60" s="341"/>
      <c r="D60" s="328"/>
      <c r="E60" s="329"/>
      <c r="F60" s="337"/>
      <c r="G60" s="338"/>
      <c r="H60" s="310"/>
      <c r="I60" s="313"/>
      <c r="J60" s="311"/>
      <c r="K60" s="328"/>
      <c r="L60" s="329"/>
      <c r="M60" s="328"/>
      <c r="N60" s="334"/>
      <c r="O60" s="329"/>
    </row>
    <row r="61" spans="1:15">
      <c r="A61" s="87"/>
      <c r="B61" s="331"/>
      <c r="C61" s="331"/>
      <c r="D61" s="330"/>
      <c r="E61" s="330"/>
      <c r="F61" s="339"/>
      <c r="G61" s="339"/>
      <c r="H61" s="305"/>
      <c r="I61" s="305"/>
      <c r="J61" s="305"/>
      <c r="K61" s="328"/>
      <c r="L61" s="329"/>
      <c r="M61" s="330"/>
      <c r="N61" s="330"/>
      <c r="O61" s="330"/>
    </row>
    <row r="62" spans="1:15">
      <c r="A62" s="88" t="s">
        <v>58</v>
      </c>
      <c r="B62" s="304" t="s">
        <v>37</v>
      </c>
      <c r="C62" s="304"/>
      <c r="D62" s="304" t="s">
        <v>37</v>
      </c>
      <c r="E62" s="304"/>
      <c r="F62" s="304" t="s">
        <v>37</v>
      </c>
      <c r="G62" s="304"/>
      <c r="H62" s="305"/>
      <c r="I62" s="305"/>
      <c r="J62" s="305"/>
      <c r="K62" s="328"/>
      <c r="L62" s="329"/>
      <c r="M62" s="330"/>
      <c r="N62" s="330"/>
      <c r="O62" s="330"/>
    </row>
    <row r="63" spans="1:15">
      <c r="A63" s="85"/>
      <c r="C63" s="71"/>
      <c r="D63" s="71"/>
      <c r="E63" s="71"/>
      <c r="F63" s="71"/>
      <c r="G63" s="71"/>
      <c r="H63" s="71"/>
      <c r="I63" s="71"/>
      <c r="J63" s="71"/>
    </row>
    <row r="64" spans="1:15">
      <c r="A64" s="312" t="s">
        <v>75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</row>
    <row r="65" spans="1:15" ht="2.5" customHeight="1">
      <c r="A65" s="86"/>
      <c r="B65" s="86"/>
      <c r="C65" s="86"/>
      <c r="D65" s="86"/>
      <c r="E65" s="86"/>
      <c r="F65" s="86"/>
      <c r="G65" s="86"/>
      <c r="H65" s="86"/>
      <c r="I65" s="89"/>
    </row>
    <row r="66" spans="1:15" ht="42.75" customHeight="1">
      <c r="A66" s="305" t="s">
        <v>67</v>
      </c>
      <c r="B66" s="305"/>
      <c r="C66" s="305"/>
      <c r="D66" s="305" t="s">
        <v>245</v>
      </c>
      <c r="E66" s="305"/>
      <c r="F66" s="305" t="s">
        <v>246</v>
      </c>
      <c r="G66" s="305"/>
      <c r="H66" s="305"/>
      <c r="I66" s="305"/>
      <c r="J66" s="305" t="s">
        <v>249</v>
      </c>
      <c r="K66" s="305"/>
      <c r="L66" s="305"/>
      <c r="M66" s="305"/>
      <c r="N66" s="305" t="s">
        <v>250</v>
      </c>
      <c r="O66" s="305"/>
    </row>
    <row r="67" spans="1:15" ht="42.75" customHeight="1">
      <c r="A67" s="305"/>
      <c r="B67" s="305"/>
      <c r="C67" s="305"/>
      <c r="D67" s="305"/>
      <c r="E67" s="305"/>
      <c r="F67" s="304" t="s">
        <v>247</v>
      </c>
      <c r="G67" s="304"/>
      <c r="H67" s="305" t="s">
        <v>248</v>
      </c>
      <c r="I67" s="305"/>
      <c r="J67" s="304" t="s">
        <v>247</v>
      </c>
      <c r="K67" s="304"/>
      <c r="L67" s="305" t="s">
        <v>248</v>
      </c>
      <c r="M67" s="305"/>
      <c r="N67" s="305"/>
      <c r="O67" s="305"/>
    </row>
    <row r="68" spans="1:15">
      <c r="A68" s="305">
        <v>1</v>
      </c>
      <c r="B68" s="305"/>
      <c r="C68" s="305"/>
      <c r="D68" s="310">
        <v>2</v>
      </c>
      <c r="E68" s="311"/>
      <c r="F68" s="310">
        <v>3</v>
      </c>
      <c r="G68" s="311"/>
      <c r="H68" s="325">
        <v>4</v>
      </c>
      <c r="I68" s="327"/>
      <c r="J68" s="325">
        <v>5</v>
      </c>
      <c r="K68" s="327"/>
      <c r="L68" s="325">
        <v>6</v>
      </c>
      <c r="M68" s="327"/>
      <c r="N68" s="325">
        <v>7</v>
      </c>
      <c r="O68" s="327"/>
    </row>
    <row r="69" spans="1:15" ht="20.149999999999999" customHeight="1">
      <c r="A69" s="336" t="s">
        <v>313</v>
      </c>
      <c r="B69" s="336"/>
      <c r="C69" s="336"/>
      <c r="D69" s="328"/>
      <c r="E69" s="329"/>
      <c r="F69" s="328"/>
      <c r="G69" s="329"/>
      <c r="H69" s="328"/>
      <c r="I69" s="329"/>
      <c r="J69" s="328"/>
      <c r="K69" s="329"/>
      <c r="L69" s="328"/>
      <c r="M69" s="329"/>
      <c r="N69" s="328"/>
      <c r="O69" s="329"/>
    </row>
    <row r="70" spans="1:15" ht="20.149999999999999" customHeight="1">
      <c r="A70" s="336" t="s">
        <v>103</v>
      </c>
      <c r="B70" s="336"/>
      <c r="C70" s="336"/>
      <c r="D70" s="328"/>
      <c r="E70" s="329"/>
      <c r="F70" s="328"/>
      <c r="G70" s="329"/>
      <c r="H70" s="328"/>
      <c r="I70" s="329"/>
      <c r="J70" s="328"/>
      <c r="K70" s="329"/>
      <c r="L70" s="328"/>
      <c r="M70" s="329"/>
      <c r="N70" s="328"/>
      <c r="O70" s="329"/>
    </row>
    <row r="71" spans="1:15" ht="20.149999999999999" customHeight="1">
      <c r="A71" s="336"/>
      <c r="B71" s="336"/>
      <c r="C71" s="336"/>
      <c r="D71" s="328"/>
      <c r="E71" s="329"/>
      <c r="F71" s="328"/>
      <c r="G71" s="329"/>
      <c r="H71" s="328"/>
      <c r="I71" s="329"/>
      <c r="J71" s="328"/>
      <c r="K71" s="329"/>
      <c r="L71" s="328"/>
      <c r="M71" s="329"/>
      <c r="N71" s="328"/>
      <c r="O71" s="329"/>
    </row>
    <row r="72" spans="1:15" ht="20.149999999999999" customHeight="1">
      <c r="A72" s="336" t="s">
        <v>314</v>
      </c>
      <c r="B72" s="336"/>
      <c r="C72" s="336"/>
      <c r="D72" s="328"/>
      <c r="E72" s="329"/>
      <c r="F72" s="328"/>
      <c r="G72" s="329"/>
      <c r="H72" s="328"/>
      <c r="I72" s="329"/>
      <c r="J72" s="328"/>
      <c r="K72" s="329"/>
      <c r="L72" s="328"/>
      <c r="M72" s="329"/>
      <c r="N72" s="328"/>
      <c r="O72" s="329"/>
    </row>
    <row r="73" spans="1:15" ht="20.149999999999999" customHeight="1">
      <c r="A73" s="336" t="s">
        <v>363</v>
      </c>
      <c r="B73" s="336"/>
      <c r="C73" s="336"/>
      <c r="D73" s="328"/>
      <c r="E73" s="329"/>
      <c r="F73" s="328"/>
      <c r="G73" s="329"/>
      <c r="H73" s="328"/>
      <c r="I73" s="329"/>
      <c r="J73" s="328"/>
      <c r="K73" s="329"/>
      <c r="L73" s="328"/>
      <c r="M73" s="329"/>
      <c r="N73" s="328"/>
      <c r="O73" s="329"/>
    </row>
    <row r="74" spans="1:15" ht="20.149999999999999" customHeight="1">
      <c r="A74" s="336"/>
      <c r="B74" s="336"/>
      <c r="C74" s="336"/>
      <c r="D74" s="328"/>
      <c r="E74" s="329"/>
      <c r="F74" s="328"/>
      <c r="G74" s="329"/>
      <c r="H74" s="328"/>
      <c r="I74" s="329"/>
      <c r="J74" s="328"/>
      <c r="K74" s="329"/>
      <c r="L74" s="328"/>
      <c r="M74" s="329"/>
      <c r="N74" s="328"/>
      <c r="O74" s="329"/>
    </row>
    <row r="75" spans="1:15" ht="20.149999999999999" customHeight="1">
      <c r="A75" s="336" t="s">
        <v>315</v>
      </c>
      <c r="B75" s="336"/>
      <c r="C75" s="336"/>
      <c r="D75" s="328"/>
      <c r="E75" s="329"/>
      <c r="F75" s="328"/>
      <c r="G75" s="329"/>
      <c r="H75" s="328"/>
      <c r="I75" s="329"/>
      <c r="J75" s="328"/>
      <c r="K75" s="329"/>
      <c r="L75" s="328"/>
      <c r="M75" s="329"/>
      <c r="N75" s="328"/>
      <c r="O75" s="329"/>
    </row>
    <row r="76" spans="1:15" ht="20.149999999999999" customHeight="1">
      <c r="A76" s="336" t="s">
        <v>103</v>
      </c>
      <c r="B76" s="336"/>
      <c r="C76" s="336"/>
      <c r="D76" s="328"/>
      <c r="E76" s="329"/>
      <c r="F76" s="328"/>
      <c r="G76" s="329"/>
      <c r="H76" s="328"/>
      <c r="I76" s="329"/>
      <c r="J76" s="328"/>
      <c r="K76" s="329"/>
      <c r="L76" s="328"/>
      <c r="M76" s="329"/>
      <c r="N76" s="328"/>
      <c r="O76" s="329"/>
    </row>
    <row r="77" spans="1:15" ht="20.149999999999999" customHeight="1">
      <c r="A77" s="336"/>
      <c r="B77" s="336"/>
      <c r="C77" s="336"/>
      <c r="D77" s="328"/>
      <c r="E77" s="329"/>
      <c r="F77" s="328"/>
      <c r="G77" s="329"/>
      <c r="H77" s="328"/>
      <c r="I77" s="329"/>
      <c r="J77" s="328"/>
      <c r="K77" s="329"/>
      <c r="L77" s="328"/>
      <c r="M77" s="329"/>
      <c r="N77" s="328"/>
      <c r="O77" s="329"/>
    </row>
    <row r="78" spans="1:15" ht="25" customHeight="1">
      <c r="A78" s="336" t="s">
        <v>58</v>
      </c>
      <c r="B78" s="336"/>
      <c r="C78" s="336"/>
      <c r="D78" s="328"/>
      <c r="E78" s="329"/>
      <c r="F78" s="328"/>
      <c r="G78" s="329"/>
      <c r="H78" s="328"/>
      <c r="I78" s="329"/>
      <c r="J78" s="328"/>
      <c r="K78" s="329"/>
      <c r="L78" s="328"/>
      <c r="M78" s="329"/>
      <c r="N78" s="328"/>
      <c r="O78" s="329"/>
    </row>
    <row r="79" spans="1:15">
      <c r="C79" s="90"/>
      <c r="D79" s="90"/>
      <c r="E79" s="90"/>
    </row>
    <row r="80" spans="1:15">
      <c r="C80" s="90"/>
      <c r="D80" s="90"/>
      <c r="E80" s="90"/>
    </row>
    <row r="81" spans="3:5">
      <c r="C81" s="90"/>
      <c r="D81" s="90"/>
      <c r="E81" s="90"/>
    </row>
    <row r="82" spans="3:5">
      <c r="C82" s="90"/>
      <c r="D82" s="90"/>
      <c r="E82" s="90"/>
    </row>
    <row r="83" spans="3:5">
      <c r="C83" s="90"/>
      <c r="D83" s="90"/>
      <c r="E83" s="90"/>
    </row>
    <row r="84" spans="3:5">
      <c r="C84" s="90"/>
      <c r="D84" s="90"/>
      <c r="E84" s="90"/>
    </row>
    <row r="85" spans="3:5">
      <c r="C85" s="90"/>
      <c r="D85" s="90"/>
      <c r="E85" s="90"/>
    </row>
    <row r="86" spans="3:5">
      <c r="C86" s="90"/>
      <c r="D86" s="90"/>
      <c r="E86" s="90"/>
    </row>
    <row r="87" spans="3:5">
      <c r="C87" s="90"/>
      <c r="D87" s="90"/>
      <c r="E87" s="90"/>
    </row>
    <row r="88" spans="3:5">
      <c r="C88" s="90"/>
      <c r="D88" s="90"/>
      <c r="E88" s="90"/>
    </row>
    <row r="89" spans="3:5">
      <c r="C89" s="90"/>
      <c r="D89" s="90"/>
      <c r="E89" s="90"/>
    </row>
    <row r="90" spans="3:5">
      <c r="C90" s="90"/>
      <c r="D90" s="90"/>
      <c r="E90" s="90"/>
    </row>
    <row r="91" spans="3:5">
      <c r="C91" s="90"/>
      <c r="D91" s="90"/>
      <c r="E91" s="90"/>
    </row>
    <row r="92" spans="3:5">
      <c r="C92" s="90"/>
      <c r="D92" s="90"/>
      <c r="E92" s="90"/>
    </row>
  </sheetData>
  <mergeCells count="305"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8:C68"/>
    <mergeCell ref="A66:C67"/>
    <mergeCell ref="D66:E67"/>
    <mergeCell ref="F68:G68"/>
    <mergeCell ref="D68:E68"/>
    <mergeCell ref="J67:K67"/>
    <mergeCell ref="B61:C61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A69:C69"/>
    <mergeCell ref="F69:G69"/>
    <mergeCell ref="D70:E70"/>
    <mergeCell ref="F70:G70"/>
    <mergeCell ref="D69:E69"/>
    <mergeCell ref="A70:C70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M61:O61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</mergeCells>
  <phoneticPr fontId="3" type="noConversion"/>
  <pageMargins left="0.59055118110236227" right="0.59055118110236227" top="0.39370078740157483" bottom="0.39370078740157483" header="0" footer="0"/>
  <pageSetup paperSize="9" scale="50" orientation="landscape" horizontalDpi="1200" verticalDpi="1200" r:id="rId1"/>
  <headerFooter alignWithMargins="0"/>
  <rowBreaks count="1" manualBreakCount="1">
    <brk id="4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  <pageSetUpPr fitToPage="1"/>
  </sheetPr>
  <dimension ref="A1:AF71"/>
  <sheetViews>
    <sheetView view="pageBreakPreview" topLeftCell="A9" zoomScale="55" zoomScaleNormal="50" zoomScaleSheetLayoutView="55" workbookViewId="0">
      <selection activeCell="V32" sqref="V32"/>
    </sheetView>
  </sheetViews>
  <sheetFormatPr defaultColWidth="9.1796875" defaultRowHeight="20.5" outlineLevelRow="1"/>
  <cols>
    <col min="1" max="2" width="4.453125" style="2" customWidth="1"/>
    <col min="3" max="3" width="28.7265625" style="2" customWidth="1"/>
    <col min="4" max="6" width="8.453125" style="2" customWidth="1"/>
    <col min="7" max="7" width="11.26953125" style="2" customWidth="1"/>
    <col min="8" max="8" width="6.54296875" style="2" customWidth="1"/>
    <col min="9" max="9" width="6.81640625" style="2" customWidth="1"/>
    <col min="10" max="10" width="8.7265625" style="2" customWidth="1"/>
    <col min="11" max="11" width="7" style="2" customWidth="1"/>
    <col min="12" max="12" width="6" style="2" customWidth="1"/>
    <col min="13" max="13" width="12.26953125" style="2" customWidth="1"/>
    <col min="14" max="14" width="12.54296875" style="70" customWidth="1"/>
    <col min="15" max="15" width="14.54296875" style="70" customWidth="1"/>
    <col min="16" max="16" width="14" style="70" customWidth="1"/>
    <col min="17" max="17" width="12.54296875" style="70" customWidth="1"/>
    <col min="18" max="18" width="12.26953125" style="70" customWidth="1"/>
    <col min="19" max="19" width="14.54296875" style="70" customWidth="1"/>
    <col min="20" max="20" width="14" style="70" customWidth="1"/>
    <col min="21" max="21" width="12.54296875" style="70" customWidth="1"/>
    <col min="22" max="22" width="12.26953125" style="70" customWidth="1"/>
    <col min="23" max="23" width="14.81640625" style="70" customWidth="1"/>
    <col min="24" max="24" width="14" style="70" customWidth="1"/>
    <col min="25" max="25" width="12.54296875" style="70" customWidth="1"/>
    <col min="26" max="26" width="12.26953125" style="70" customWidth="1"/>
    <col min="27" max="27" width="14.54296875" style="70" customWidth="1"/>
    <col min="28" max="28" width="13.7265625" style="70" customWidth="1"/>
    <col min="29" max="29" width="12.26953125" style="70" customWidth="1"/>
    <col min="30" max="30" width="12" style="70" customWidth="1"/>
    <col min="31" max="31" width="14.54296875" style="70" customWidth="1"/>
    <col min="32" max="32" width="14" style="70" customWidth="1"/>
    <col min="33" max="16384" width="9.1796875" style="2"/>
  </cols>
  <sheetData>
    <row r="1" spans="1:32" ht="18.75" hidden="1" customHeight="1" outlineLevel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1"/>
      <c r="O1" s="71"/>
      <c r="P1" s="71"/>
      <c r="R1" s="83"/>
      <c r="S1" s="83"/>
      <c r="T1" s="83"/>
      <c r="U1" s="83"/>
      <c r="V1" s="83"/>
      <c r="AD1" s="347" t="s">
        <v>241</v>
      </c>
      <c r="AE1" s="347"/>
      <c r="AF1" s="347"/>
    </row>
    <row r="2" spans="1:32" ht="18.75" hidden="1" customHeight="1" outlineLevel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1"/>
      <c r="O2" s="71"/>
      <c r="P2" s="71"/>
      <c r="R2" s="83"/>
      <c r="S2" s="83"/>
      <c r="T2" s="83"/>
      <c r="U2" s="83"/>
      <c r="V2" s="83"/>
      <c r="AD2" s="347"/>
      <c r="AE2" s="347"/>
      <c r="AF2" s="347"/>
    </row>
    <row r="3" spans="1:32" s="11" customFormat="1" ht="18.75" customHeight="1" collapsed="1">
      <c r="A3" s="240" t="s">
        <v>252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</row>
    <row r="4" spans="1:3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1:32" ht="27.75" customHeight="1">
      <c r="A5" s="369" t="s">
        <v>53</v>
      </c>
      <c r="B5" s="372" t="s">
        <v>196</v>
      </c>
      <c r="C5" s="374"/>
      <c r="D5" s="357" t="s">
        <v>197</v>
      </c>
      <c r="E5" s="358"/>
      <c r="F5" s="358"/>
      <c r="G5" s="239" t="s">
        <v>346</v>
      </c>
      <c r="H5" s="239"/>
      <c r="I5" s="239"/>
      <c r="J5" s="239"/>
      <c r="K5" s="239"/>
      <c r="L5" s="239"/>
      <c r="M5" s="239"/>
      <c r="N5" s="357" t="s">
        <v>198</v>
      </c>
      <c r="O5" s="358"/>
      <c r="P5" s="358"/>
      <c r="Q5" s="359"/>
      <c r="R5" s="354" t="s">
        <v>304</v>
      </c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6"/>
    </row>
    <row r="6" spans="1:32" ht="48.75" customHeight="1">
      <c r="A6" s="371"/>
      <c r="B6" s="378"/>
      <c r="C6" s="380"/>
      <c r="D6" s="360"/>
      <c r="E6" s="361"/>
      <c r="F6" s="361"/>
      <c r="G6" s="239"/>
      <c r="H6" s="239"/>
      <c r="I6" s="239"/>
      <c r="J6" s="239"/>
      <c r="K6" s="239"/>
      <c r="L6" s="239"/>
      <c r="M6" s="239"/>
      <c r="N6" s="360"/>
      <c r="O6" s="361"/>
      <c r="P6" s="361"/>
      <c r="Q6" s="362"/>
      <c r="R6" s="389" t="s">
        <v>199</v>
      </c>
      <c r="S6" s="390"/>
      <c r="T6" s="391"/>
      <c r="U6" s="389" t="s">
        <v>200</v>
      </c>
      <c r="V6" s="390"/>
      <c r="W6" s="391"/>
      <c r="X6" s="389" t="s">
        <v>41</v>
      </c>
      <c r="Y6" s="390"/>
      <c r="Z6" s="391"/>
      <c r="AA6" s="354" t="s">
        <v>201</v>
      </c>
      <c r="AB6" s="355"/>
      <c r="AC6" s="356"/>
      <c r="AD6" s="354" t="s">
        <v>202</v>
      </c>
      <c r="AE6" s="355"/>
      <c r="AF6" s="356"/>
    </row>
    <row r="7" spans="1:32" ht="18.75" customHeight="1">
      <c r="A7" s="21">
        <v>1</v>
      </c>
      <c r="B7" s="394">
        <v>2</v>
      </c>
      <c r="C7" s="395"/>
      <c r="D7" s="290">
        <v>3</v>
      </c>
      <c r="E7" s="345"/>
      <c r="F7" s="345"/>
      <c r="G7" s="280">
        <v>4</v>
      </c>
      <c r="H7" s="280"/>
      <c r="I7" s="280"/>
      <c r="J7" s="280"/>
      <c r="K7" s="280"/>
      <c r="L7" s="280"/>
      <c r="M7" s="280"/>
      <c r="N7" s="290">
        <v>5</v>
      </c>
      <c r="O7" s="345"/>
      <c r="P7" s="345"/>
      <c r="Q7" s="291"/>
      <c r="R7" s="290">
        <v>6</v>
      </c>
      <c r="S7" s="345"/>
      <c r="T7" s="291"/>
      <c r="U7" s="290">
        <v>7</v>
      </c>
      <c r="V7" s="345"/>
      <c r="W7" s="291"/>
      <c r="X7" s="301">
        <v>8</v>
      </c>
      <c r="Y7" s="302"/>
      <c r="Z7" s="388"/>
      <c r="AA7" s="301">
        <v>9</v>
      </c>
      <c r="AB7" s="302"/>
      <c r="AC7" s="388"/>
      <c r="AD7" s="301">
        <v>10</v>
      </c>
      <c r="AE7" s="302"/>
      <c r="AF7" s="388"/>
    </row>
    <row r="8" spans="1:32" ht="20.149999999999999" customHeight="1">
      <c r="A8" s="21">
        <v>1</v>
      </c>
      <c r="B8" s="394" t="s">
        <v>492</v>
      </c>
      <c r="C8" s="395"/>
      <c r="D8" s="368">
        <v>38687</v>
      </c>
      <c r="E8" s="345"/>
      <c r="F8" s="345"/>
      <c r="G8" s="280" t="s">
        <v>493</v>
      </c>
      <c r="H8" s="280"/>
      <c r="I8" s="280"/>
      <c r="J8" s="280"/>
      <c r="K8" s="280"/>
      <c r="L8" s="280"/>
      <c r="M8" s="280"/>
      <c r="N8" s="323">
        <f>R8+U8+X8+AA8</f>
        <v>409</v>
      </c>
      <c r="O8" s="393"/>
      <c r="P8" s="393"/>
      <c r="Q8" s="324"/>
      <c r="R8" s="323">
        <v>180</v>
      </c>
      <c r="S8" s="393"/>
      <c r="T8" s="324"/>
      <c r="U8" s="323">
        <v>188</v>
      </c>
      <c r="V8" s="393"/>
      <c r="W8" s="324"/>
      <c r="X8" s="323">
        <v>41</v>
      </c>
      <c r="Y8" s="393"/>
      <c r="Z8" s="324"/>
      <c r="AA8" s="323">
        <v>0</v>
      </c>
      <c r="AB8" s="393"/>
      <c r="AC8" s="324"/>
      <c r="AD8" s="323"/>
      <c r="AE8" s="393"/>
      <c r="AF8" s="324"/>
    </row>
    <row r="9" spans="1:32" ht="20.149999999999999" customHeight="1">
      <c r="A9" s="21">
        <v>2</v>
      </c>
      <c r="B9" s="394" t="s">
        <v>556</v>
      </c>
      <c r="C9" s="395"/>
      <c r="D9" s="368">
        <v>43061</v>
      </c>
      <c r="E9" s="345"/>
      <c r="F9" s="345"/>
      <c r="G9" s="280" t="s">
        <v>493</v>
      </c>
      <c r="H9" s="280"/>
      <c r="I9" s="280"/>
      <c r="J9" s="280"/>
      <c r="K9" s="280"/>
      <c r="L9" s="280"/>
      <c r="M9" s="280"/>
      <c r="N9" s="323">
        <f>R9+U9+X9+AA9</f>
        <v>527</v>
      </c>
      <c r="O9" s="393"/>
      <c r="P9" s="393"/>
      <c r="Q9" s="324"/>
      <c r="R9" s="323">
        <v>121</v>
      </c>
      <c r="S9" s="393"/>
      <c r="T9" s="324"/>
      <c r="U9" s="323">
        <v>300</v>
      </c>
      <c r="V9" s="393"/>
      <c r="W9" s="324"/>
      <c r="X9" s="323">
        <v>66</v>
      </c>
      <c r="Y9" s="393"/>
      <c r="Z9" s="324"/>
      <c r="AA9" s="323">
        <v>40</v>
      </c>
      <c r="AB9" s="393"/>
      <c r="AC9" s="324"/>
      <c r="AD9" s="323"/>
      <c r="AE9" s="393"/>
      <c r="AF9" s="324"/>
    </row>
    <row r="10" spans="1:32" ht="25" customHeight="1">
      <c r="A10" s="383" t="s">
        <v>58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5"/>
      <c r="N10" s="323"/>
      <c r="O10" s="393"/>
      <c r="P10" s="393"/>
      <c r="Q10" s="324"/>
      <c r="R10" s="323"/>
      <c r="S10" s="393"/>
      <c r="T10" s="324"/>
      <c r="U10" s="323"/>
      <c r="V10" s="393"/>
      <c r="W10" s="324"/>
      <c r="X10" s="323"/>
      <c r="Y10" s="393"/>
      <c r="Z10" s="324"/>
      <c r="AA10" s="323"/>
      <c r="AB10" s="393"/>
      <c r="AC10" s="324"/>
      <c r="AD10" s="323"/>
      <c r="AE10" s="393"/>
      <c r="AF10" s="324"/>
    </row>
    <row r="11" spans="1:32" ht="11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1"/>
      <c r="AF11" s="111"/>
    </row>
    <row r="12" spans="1:32" ht="10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12"/>
      <c r="O12" s="112"/>
      <c r="P12" s="112"/>
      <c r="Q12" s="112"/>
      <c r="R12" s="113"/>
      <c r="S12" s="113"/>
      <c r="T12" s="113"/>
      <c r="U12" s="113"/>
      <c r="V12" s="113"/>
      <c r="W12" s="113"/>
      <c r="X12" s="114"/>
      <c r="Y12" s="114"/>
      <c r="Z12" s="114"/>
      <c r="AA12" s="114"/>
      <c r="AB12" s="114"/>
      <c r="AC12" s="114"/>
      <c r="AD12" s="114"/>
      <c r="AE12" s="115"/>
      <c r="AF12" s="115"/>
    </row>
    <row r="13" spans="1:32" s="35" customFormat="1" ht="18.75" customHeight="1">
      <c r="A13" s="240" t="s">
        <v>253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</row>
    <row r="14" spans="1:32" s="19" customFormat="1" ht="18.75" customHeight="1"/>
    <row r="15" spans="1:32" ht="29.25" customHeight="1">
      <c r="A15" s="392" t="s">
        <v>53</v>
      </c>
      <c r="B15" s="372" t="s">
        <v>203</v>
      </c>
      <c r="C15" s="374"/>
      <c r="D15" s="239" t="s">
        <v>196</v>
      </c>
      <c r="E15" s="239"/>
      <c r="F15" s="239"/>
      <c r="G15" s="239"/>
      <c r="H15" s="239" t="s">
        <v>346</v>
      </c>
      <c r="I15" s="239"/>
      <c r="J15" s="239"/>
      <c r="K15" s="239"/>
      <c r="L15" s="239"/>
      <c r="M15" s="239"/>
      <c r="N15" s="239"/>
      <c r="O15" s="239"/>
      <c r="P15" s="239"/>
      <c r="Q15" s="239"/>
      <c r="R15" s="239" t="s">
        <v>204</v>
      </c>
      <c r="S15" s="239"/>
      <c r="T15" s="239"/>
      <c r="U15" s="239"/>
      <c r="V15" s="239"/>
      <c r="W15" s="242" t="s">
        <v>205</v>
      </c>
      <c r="X15" s="242"/>
      <c r="Y15" s="242"/>
      <c r="Z15" s="242"/>
      <c r="AA15" s="242"/>
      <c r="AB15" s="242"/>
      <c r="AC15" s="242"/>
      <c r="AD15" s="242"/>
      <c r="AE15" s="242"/>
      <c r="AF15" s="242"/>
    </row>
    <row r="16" spans="1:32" ht="25" customHeight="1">
      <c r="A16" s="392"/>
      <c r="B16" s="375"/>
      <c r="C16" s="377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42" t="s">
        <v>309</v>
      </c>
      <c r="X16" s="242"/>
      <c r="Y16" s="357" t="s">
        <v>247</v>
      </c>
      <c r="Z16" s="359"/>
      <c r="AA16" s="357" t="s">
        <v>248</v>
      </c>
      <c r="AB16" s="359"/>
      <c r="AC16" s="357" t="s">
        <v>275</v>
      </c>
      <c r="AD16" s="359"/>
      <c r="AE16" s="357" t="s">
        <v>276</v>
      </c>
      <c r="AF16" s="359"/>
    </row>
    <row r="17" spans="1:32" ht="25" customHeight="1">
      <c r="A17" s="392"/>
      <c r="B17" s="378"/>
      <c r="C17" s="380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42"/>
      <c r="X17" s="242"/>
      <c r="Y17" s="360"/>
      <c r="Z17" s="362"/>
      <c r="AA17" s="360"/>
      <c r="AB17" s="362"/>
      <c r="AC17" s="360"/>
      <c r="AD17" s="362"/>
      <c r="AE17" s="360"/>
      <c r="AF17" s="362"/>
    </row>
    <row r="18" spans="1:32" ht="18.75" customHeight="1">
      <c r="A18" s="21">
        <v>1</v>
      </c>
      <c r="B18" s="394">
        <v>2</v>
      </c>
      <c r="C18" s="395"/>
      <c r="D18" s="280">
        <v>3</v>
      </c>
      <c r="E18" s="280"/>
      <c r="F18" s="280"/>
      <c r="G18" s="280"/>
      <c r="H18" s="280">
        <v>4</v>
      </c>
      <c r="I18" s="280"/>
      <c r="J18" s="280"/>
      <c r="K18" s="280"/>
      <c r="L18" s="280"/>
      <c r="M18" s="280"/>
      <c r="N18" s="280"/>
      <c r="O18" s="280"/>
      <c r="P18" s="280"/>
      <c r="Q18" s="280"/>
      <c r="R18" s="280">
        <v>5</v>
      </c>
      <c r="S18" s="280"/>
      <c r="T18" s="280"/>
      <c r="U18" s="280"/>
      <c r="V18" s="280"/>
      <c r="W18" s="280">
        <v>6</v>
      </c>
      <c r="X18" s="280"/>
      <c r="Y18" s="303">
        <v>7</v>
      </c>
      <c r="Z18" s="303"/>
      <c r="AA18" s="303">
        <v>8</v>
      </c>
      <c r="AB18" s="303"/>
      <c r="AC18" s="303">
        <v>9</v>
      </c>
      <c r="AD18" s="303"/>
      <c r="AE18" s="303">
        <v>10</v>
      </c>
      <c r="AF18" s="303"/>
    </row>
    <row r="19" spans="1:32" ht="20.149999999999999" customHeight="1">
      <c r="A19" s="109"/>
      <c r="B19" s="363"/>
      <c r="C19" s="364"/>
      <c r="D19" s="280"/>
      <c r="E19" s="280"/>
      <c r="F19" s="280"/>
      <c r="G19" s="280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82"/>
      <c r="S19" s="382"/>
      <c r="T19" s="382"/>
      <c r="U19" s="382"/>
      <c r="V19" s="382"/>
      <c r="W19" s="322"/>
      <c r="X19" s="322"/>
      <c r="Y19" s="322"/>
      <c r="Z19" s="322"/>
      <c r="AA19" s="322"/>
      <c r="AB19" s="322"/>
      <c r="AC19" s="322"/>
      <c r="AD19" s="322"/>
      <c r="AE19" s="320"/>
      <c r="AF19" s="320"/>
    </row>
    <row r="20" spans="1:32" ht="20.149999999999999" customHeight="1">
      <c r="A20" s="109"/>
      <c r="B20" s="363"/>
      <c r="C20" s="364"/>
      <c r="D20" s="280"/>
      <c r="E20" s="280"/>
      <c r="F20" s="280"/>
      <c r="G20" s="280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82"/>
      <c r="S20" s="382"/>
      <c r="T20" s="382"/>
      <c r="U20" s="382"/>
      <c r="V20" s="382"/>
      <c r="W20" s="322"/>
      <c r="X20" s="322"/>
      <c r="Y20" s="322"/>
      <c r="Z20" s="322"/>
      <c r="AA20" s="322"/>
      <c r="AB20" s="322"/>
      <c r="AC20" s="322"/>
      <c r="AD20" s="322"/>
      <c r="AE20" s="320"/>
      <c r="AF20" s="320"/>
    </row>
    <row r="21" spans="1:32" ht="20.149999999999999" customHeight="1">
      <c r="A21" s="109"/>
      <c r="B21" s="363"/>
      <c r="C21" s="364"/>
      <c r="D21" s="280"/>
      <c r="E21" s="280"/>
      <c r="F21" s="280"/>
      <c r="G21" s="280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82"/>
      <c r="S21" s="382"/>
      <c r="T21" s="382"/>
      <c r="U21" s="382"/>
      <c r="V21" s="382"/>
      <c r="W21" s="322"/>
      <c r="X21" s="322"/>
      <c r="Y21" s="322"/>
      <c r="Z21" s="322"/>
      <c r="AA21" s="322"/>
      <c r="AB21" s="322"/>
      <c r="AC21" s="322"/>
      <c r="AD21" s="322"/>
      <c r="AE21" s="320"/>
      <c r="AF21" s="320"/>
    </row>
    <row r="22" spans="1:32" ht="20.149999999999999" customHeight="1">
      <c r="A22" s="109"/>
      <c r="B22" s="363"/>
      <c r="C22" s="364"/>
      <c r="D22" s="280"/>
      <c r="E22" s="280"/>
      <c r="F22" s="280"/>
      <c r="G22" s="280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82"/>
      <c r="S22" s="382"/>
      <c r="T22" s="382"/>
      <c r="U22" s="382"/>
      <c r="V22" s="382"/>
      <c r="W22" s="322"/>
      <c r="X22" s="322"/>
      <c r="Y22" s="322"/>
      <c r="Z22" s="322"/>
      <c r="AA22" s="322"/>
      <c r="AB22" s="322"/>
      <c r="AC22" s="322"/>
      <c r="AD22" s="322"/>
      <c r="AE22" s="320"/>
      <c r="AF22" s="320"/>
    </row>
    <row r="23" spans="1:32" ht="25" customHeight="1">
      <c r="A23" s="353" t="s">
        <v>58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22"/>
      <c r="X23" s="322"/>
      <c r="Y23" s="322"/>
      <c r="Z23" s="322"/>
      <c r="AA23" s="322"/>
      <c r="AB23" s="322"/>
      <c r="AC23" s="322"/>
      <c r="AD23" s="322"/>
      <c r="AE23" s="320"/>
      <c r="AF23" s="320"/>
    </row>
    <row r="24" spans="1:3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3"/>
    </row>
    <row r="25" spans="1:32" ht="5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3"/>
      <c r="S25" s="3"/>
      <c r="T25" s="3"/>
      <c r="U25" s="3"/>
      <c r="V25" s="3"/>
      <c r="W25" s="2"/>
      <c r="X25" s="2"/>
      <c r="Y25" s="2"/>
      <c r="Z25" s="2"/>
      <c r="AA25" s="2"/>
      <c r="AB25" s="2"/>
      <c r="AC25" s="2"/>
      <c r="AD25" s="2"/>
      <c r="AE25" s="2"/>
      <c r="AF25" s="3"/>
    </row>
    <row r="26" spans="1:32" s="35" customFormat="1" ht="18.75" customHeight="1">
      <c r="A26" s="240" t="s">
        <v>217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</row>
    <row r="27" spans="1:32">
      <c r="A27" s="23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3"/>
      <c r="X27" s="2"/>
      <c r="Y27" s="2"/>
      <c r="Z27" s="399"/>
      <c r="AA27" s="399"/>
      <c r="AB27" s="399"/>
      <c r="AC27" s="2"/>
      <c r="AD27" s="399" t="s">
        <v>237</v>
      </c>
      <c r="AE27" s="399"/>
      <c r="AF27" s="399"/>
    </row>
    <row r="28" spans="1:32" ht="25" customHeight="1">
      <c r="A28" s="369" t="s">
        <v>53</v>
      </c>
      <c r="B28" s="372" t="s">
        <v>254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4"/>
      <c r="M28" s="365" t="s">
        <v>57</v>
      </c>
      <c r="N28" s="366"/>
      <c r="O28" s="366"/>
      <c r="P28" s="367"/>
      <c r="Q28" s="365" t="s">
        <v>87</v>
      </c>
      <c r="R28" s="366"/>
      <c r="S28" s="366"/>
      <c r="T28" s="367"/>
      <c r="U28" s="365" t="s">
        <v>312</v>
      </c>
      <c r="V28" s="366"/>
      <c r="W28" s="366"/>
      <c r="X28" s="367"/>
      <c r="Y28" s="365" t="s">
        <v>127</v>
      </c>
      <c r="Z28" s="366"/>
      <c r="AA28" s="366"/>
      <c r="AB28" s="367"/>
      <c r="AC28" s="365" t="s">
        <v>58</v>
      </c>
      <c r="AD28" s="366"/>
      <c r="AE28" s="366"/>
      <c r="AF28" s="367"/>
    </row>
    <row r="29" spans="1:32" ht="25" customHeight="1">
      <c r="A29" s="370"/>
      <c r="B29" s="375"/>
      <c r="C29" s="376"/>
      <c r="D29" s="376"/>
      <c r="E29" s="376"/>
      <c r="F29" s="376"/>
      <c r="G29" s="376"/>
      <c r="H29" s="376"/>
      <c r="I29" s="376"/>
      <c r="J29" s="376"/>
      <c r="K29" s="376"/>
      <c r="L29" s="377"/>
      <c r="M29" s="350" t="s">
        <v>247</v>
      </c>
      <c r="N29" s="350" t="s">
        <v>248</v>
      </c>
      <c r="O29" s="350" t="s">
        <v>366</v>
      </c>
      <c r="P29" s="350" t="s">
        <v>367</v>
      </c>
      <c r="Q29" s="350" t="s">
        <v>247</v>
      </c>
      <c r="R29" s="350" t="s">
        <v>248</v>
      </c>
      <c r="S29" s="350" t="s">
        <v>366</v>
      </c>
      <c r="T29" s="350" t="s">
        <v>367</v>
      </c>
      <c r="U29" s="350" t="s">
        <v>247</v>
      </c>
      <c r="V29" s="350" t="s">
        <v>248</v>
      </c>
      <c r="W29" s="350" t="s">
        <v>366</v>
      </c>
      <c r="X29" s="350" t="s">
        <v>367</v>
      </c>
      <c r="Y29" s="350" t="s">
        <v>247</v>
      </c>
      <c r="Z29" s="350" t="s">
        <v>248</v>
      </c>
      <c r="AA29" s="350" t="s">
        <v>366</v>
      </c>
      <c r="AB29" s="350" t="s">
        <v>367</v>
      </c>
      <c r="AC29" s="350" t="s">
        <v>247</v>
      </c>
      <c r="AD29" s="350" t="s">
        <v>248</v>
      </c>
      <c r="AE29" s="350" t="s">
        <v>366</v>
      </c>
      <c r="AF29" s="350" t="s">
        <v>367</v>
      </c>
    </row>
    <row r="30" spans="1:32" ht="36.75" customHeight="1">
      <c r="A30" s="371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80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</row>
    <row r="31" spans="1:32" ht="18.75" customHeight="1">
      <c r="A31" s="109">
        <v>1</v>
      </c>
      <c r="B31" s="352">
        <v>2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108">
        <v>3</v>
      </c>
      <c r="N31" s="108">
        <v>4</v>
      </c>
      <c r="O31" s="108">
        <v>5</v>
      </c>
      <c r="P31" s="108">
        <v>6</v>
      </c>
      <c r="Q31" s="108">
        <v>7</v>
      </c>
      <c r="R31" s="108">
        <v>8</v>
      </c>
      <c r="S31" s="108">
        <v>9</v>
      </c>
      <c r="T31" s="108">
        <v>10</v>
      </c>
      <c r="U31" s="108">
        <v>11</v>
      </c>
      <c r="V31" s="108">
        <v>12</v>
      </c>
      <c r="W31" s="108">
        <v>13</v>
      </c>
      <c r="X31" s="108">
        <v>14</v>
      </c>
      <c r="Y31" s="108">
        <v>15</v>
      </c>
      <c r="Z31" s="108">
        <v>16</v>
      </c>
      <c r="AA31" s="108">
        <v>17</v>
      </c>
      <c r="AB31" s="108">
        <v>18</v>
      </c>
      <c r="AC31" s="108">
        <v>19</v>
      </c>
      <c r="AD31" s="108">
        <v>20</v>
      </c>
      <c r="AE31" s="108">
        <v>21</v>
      </c>
      <c r="AF31" s="108">
        <v>22</v>
      </c>
    </row>
    <row r="32" spans="1:32" ht="54.75" customHeight="1">
      <c r="A32" s="21">
        <v>1</v>
      </c>
      <c r="B32" s="353" t="s">
        <v>535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108"/>
      <c r="N32" s="108"/>
      <c r="O32" s="108"/>
      <c r="P32" s="107"/>
      <c r="Q32" s="108"/>
      <c r="R32" s="108"/>
      <c r="S32" s="108"/>
      <c r="T32" s="107"/>
      <c r="U32" s="108"/>
      <c r="V32" s="108"/>
      <c r="W32" s="108"/>
      <c r="X32" s="107"/>
      <c r="Y32" s="108"/>
      <c r="Z32" s="108"/>
      <c r="AA32" s="108"/>
      <c r="AB32" s="107"/>
      <c r="AC32" s="108">
        <f>U32</f>
        <v>0</v>
      </c>
      <c r="AD32" s="108"/>
      <c r="AE32" s="108"/>
      <c r="AF32" s="107"/>
    </row>
    <row r="33" spans="1:32" ht="54.75" customHeight="1">
      <c r="A33" s="21">
        <v>2</v>
      </c>
      <c r="B33" s="353" t="s">
        <v>536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108"/>
      <c r="N33" s="108"/>
      <c r="O33" s="108"/>
      <c r="P33" s="107"/>
      <c r="Q33" s="108">
        <v>1083</v>
      </c>
      <c r="R33" s="108"/>
      <c r="S33" s="108"/>
      <c r="T33" s="107"/>
      <c r="U33" s="108"/>
      <c r="V33" s="108">
        <f>'4. Кап. інвестиції'!E8</f>
        <v>0</v>
      </c>
      <c r="W33" s="108"/>
      <c r="X33" s="107"/>
      <c r="Y33" s="108"/>
      <c r="Z33" s="108"/>
      <c r="AA33" s="108"/>
      <c r="AB33" s="107"/>
      <c r="AC33" s="108">
        <f>U33</f>
        <v>0</v>
      </c>
      <c r="AD33" s="108">
        <f>V33</f>
        <v>0</v>
      </c>
      <c r="AE33" s="108"/>
      <c r="AF33" s="107"/>
    </row>
    <row r="34" spans="1:32" ht="39" customHeight="1">
      <c r="A34" s="21">
        <v>3</v>
      </c>
      <c r="B34" s="353" t="s">
        <v>572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108"/>
      <c r="N34" s="108"/>
      <c r="O34" s="108"/>
      <c r="P34" s="107"/>
      <c r="Q34" s="108"/>
      <c r="R34" s="108"/>
      <c r="S34" s="108"/>
      <c r="T34" s="107"/>
      <c r="U34" s="108"/>
      <c r="V34" s="108">
        <f>'4. Кап. інвестиції'!E10</f>
        <v>11083.333333333334</v>
      </c>
      <c r="W34" s="108">
        <f>V34-U34</f>
        <v>11083.333333333334</v>
      </c>
      <c r="X34" s="107"/>
      <c r="Y34" s="108"/>
      <c r="Z34" s="108"/>
      <c r="AA34" s="108"/>
      <c r="AB34" s="107"/>
      <c r="AC34" s="108"/>
      <c r="AD34" s="108"/>
      <c r="AE34" s="108"/>
      <c r="AF34" s="107"/>
    </row>
    <row r="35" spans="1:32" ht="38.25" customHeight="1">
      <c r="A35" s="21">
        <v>4</v>
      </c>
      <c r="B35" s="383" t="s">
        <v>574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5"/>
      <c r="M35" s="108"/>
      <c r="N35" s="108"/>
      <c r="O35" s="108"/>
      <c r="P35" s="107"/>
      <c r="Q35" s="108"/>
      <c r="R35" s="108"/>
      <c r="S35" s="108"/>
      <c r="T35" s="107"/>
      <c r="U35" s="108"/>
      <c r="V35" s="108">
        <f>'4. Кап. інвестиції'!E9</f>
        <v>0</v>
      </c>
      <c r="W35" s="108"/>
      <c r="X35" s="107"/>
      <c r="Y35" s="108"/>
      <c r="Z35" s="108"/>
      <c r="AA35" s="108"/>
      <c r="AB35" s="107"/>
      <c r="AC35" s="108"/>
      <c r="AD35" s="108"/>
      <c r="AE35" s="108"/>
      <c r="AF35" s="107"/>
    </row>
    <row r="36" spans="1:32" ht="25" customHeight="1">
      <c r="A36" s="383" t="s">
        <v>58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5"/>
      <c r="M36" s="108"/>
      <c r="N36" s="108"/>
      <c r="O36" s="108"/>
      <c r="P36" s="107"/>
      <c r="Q36" s="108">
        <f>Q33</f>
        <v>1083</v>
      </c>
      <c r="R36" s="108"/>
      <c r="S36" s="108"/>
      <c r="T36" s="107"/>
      <c r="U36" s="108">
        <f>U34</f>
        <v>0</v>
      </c>
      <c r="V36" s="108">
        <f>V33+V34</f>
        <v>11083.333333333334</v>
      </c>
      <c r="W36" s="108">
        <f>V36-U36</f>
        <v>11083.333333333334</v>
      </c>
      <c r="X36" s="107"/>
      <c r="Y36" s="108"/>
      <c r="Z36" s="108"/>
      <c r="AA36" s="108"/>
      <c r="AB36" s="107"/>
      <c r="AC36" s="108">
        <f>SUM(AC32:AC33)</f>
        <v>0</v>
      </c>
      <c r="AD36" s="108">
        <f>AD33</f>
        <v>0</v>
      </c>
      <c r="AE36" s="108"/>
      <c r="AF36" s="107"/>
    </row>
    <row r="37" spans="1:32" ht="25" customHeight="1">
      <c r="A37" s="383" t="s">
        <v>59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5"/>
      <c r="M37" s="25" t="e">
        <f>M36/AC36*100</f>
        <v>#DIV/0!</v>
      </c>
      <c r="N37" s="92"/>
      <c r="O37" s="92"/>
      <c r="P37" s="92"/>
      <c r="Q37" s="97">
        <v>100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 ht="15" customHeight="1">
      <c r="A38" s="18"/>
      <c r="B38" s="18"/>
      <c r="C38" s="1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93"/>
      <c r="O38" s="93"/>
      <c r="P38" s="93"/>
      <c r="Q38" s="93"/>
      <c r="R38" s="93"/>
      <c r="S38" s="93"/>
      <c r="T38" s="93"/>
      <c r="U38" s="93"/>
      <c r="V38" s="93"/>
    </row>
    <row r="39" spans="1:32" ht="5.25" customHeight="1">
      <c r="A39" s="18"/>
      <c r="B39" s="18"/>
      <c r="C39" s="1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93"/>
      <c r="O39" s="93"/>
      <c r="P39" s="93"/>
      <c r="Q39" s="93"/>
      <c r="R39" s="93"/>
      <c r="S39" s="93"/>
      <c r="T39" s="93"/>
      <c r="U39" s="93"/>
      <c r="V39" s="93"/>
    </row>
    <row r="40" spans="1:32" s="35" customFormat="1" ht="31.5" customHeight="1">
      <c r="A40" s="240" t="s">
        <v>255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</row>
    <row r="41" spans="1:32" s="27" customFormat="1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400" t="s">
        <v>237</v>
      </c>
      <c r="AE41" s="400"/>
      <c r="AF41" s="400"/>
    </row>
    <row r="42" spans="1:32" s="28" customFormat="1" ht="34.5" customHeight="1">
      <c r="A42" s="303" t="s">
        <v>210</v>
      </c>
      <c r="B42" s="357" t="s">
        <v>335</v>
      </c>
      <c r="C42" s="359"/>
      <c r="D42" s="280" t="s">
        <v>368</v>
      </c>
      <c r="E42" s="280"/>
      <c r="F42" s="239" t="s">
        <v>211</v>
      </c>
      <c r="G42" s="239"/>
      <c r="H42" s="280" t="s">
        <v>212</v>
      </c>
      <c r="I42" s="280"/>
      <c r="J42" s="280" t="s">
        <v>369</v>
      </c>
      <c r="K42" s="280"/>
      <c r="L42" s="238" t="s">
        <v>365</v>
      </c>
      <c r="M42" s="238"/>
      <c r="N42" s="238"/>
      <c r="O42" s="238"/>
      <c r="P42" s="238"/>
      <c r="Q42" s="238"/>
      <c r="R42" s="238"/>
      <c r="S42" s="238"/>
      <c r="T42" s="238"/>
      <c r="U42" s="238"/>
      <c r="V42" s="381" t="s">
        <v>336</v>
      </c>
      <c r="W42" s="381"/>
      <c r="X42" s="381"/>
      <c r="Y42" s="381"/>
      <c r="Z42" s="381"/>
      <c r="AA42" s="381" t="s">
        <v>337</v>
      </c>
      <c r="AB42" s="381"/>
      <c r="AC42" s="381"/>
      <c r="AD42" s="381"/>
      <c r="AE42" s="381"/>
      <c r="AF42" s="381"/>
    </row>
    <row r="43" spans="1:32" s="28" customFormat="1" ht="52.5" customHeight="1">
      <c r="A43" s="303"/>
      <c r="B43" s="386"/>
      <c r="C43" s="387"/>
      <c r="D43" s="280"/>
      <c r="E43" s="280"/>
      <c r="F43" s="239"/>
      <c r="G43" s="239"/>
      <c r="H43" s="280"/>
      <c r="I43" s="280"/>
      <c r="J43" s="280"/>
      <c r="K43" s="280"/>
      <c r="L43" s="239" t="s">
        <v>305</v>
      </c>
      <c r="M43" s="239"/>
      <c r="N43" s="305" t="s">
        <v>310</v>
      </c>
      <c r="O43" s="305"/>
      <c r="P43" s="381" t="s">
        <v>311</v>
      </c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</row>
    <row r="44" spans="1:32" s="29" customFormat="1" ht="82.5" customHeight="1">
      <c r="A44" s="303"/>
      <c r="B44" s="360"/>
      <c r="C44" s="362"/>
      <c r="D44" s="280"/>
      <c r="E44" s="280"/>
      <c r="F44" s="239"/>
      <c r="G44" s="239"/>
      <c r="H44" s="280"/>
      <c r="I44" s="280"/>
      <c r="J44" s="280"/>
      <c r="K44" s="280"/>
      <c r="L44" s="239"/>
      <c r="M44" s="239"/>
      <c r="N44" s="305"/>
      <c r="O44" s="305"/>
      <c r="P44" s="381" t="s">
        <v>306</v>
      </c>
      <c r="Q44" s="381"/>
      <c r="R44" s="381" t="s">
        <v>307</v>
      </c>
      <c r="S44" s="381"/>
      <c r="T44" s="381" t="s">
        <v>308</v>
      </c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</row>
    <row r="45" spans="1:32" s="28" customFormat="1" ht="18.75" customHeight="1">
      <c r="A45" s="13">
        <v>1</v>
      </c>
      <c r="B45" s="290">
        <v>2</v>
      </c>
      <c r="C45" s="291"/>
      <c r="D45" s="280">
        <v>3</v>
      </c>
      <c r="E45" s="280"/>
      <c r="F45" s="280">
        <v>4</v>
      </c>
      <c r="G45" s="280"/>
      <c r="H45" s="280">
        <v>5</v>
      </c>
      <c r="I45" s="280"/>
      <c r="J45" s="280">
        <v>6</v>
      </c>
      <c r="K45" s="280"/>
      <c r="L45" s="290">
        <v>7</v>
      </c>
      <c r="M45" s="291"/>
      <c r="N45" s="310">
        <v>8</v>
      </c>
      <c r="O45" s="311"/>
      <c r="P45" s="305">
        <v>9</v>
      </c>
      <c r="Q45" s="305"/>
      <c r="R45" s="304">
        <v>10</v>
      </c>
      <c r="S45" s="304"/>
      <c r="T45" s="305">
        <v>11</v>
      </c>
      <c r="U45" s="305"/>
      <c r="V45" s="305">
        <v>12</v>
      </c>
      <c r="W45" s="305"/>
      <c r="X45" s="305"/>
      <c r="Y45" s="305"/>
      <c r="Z45" s="305"/>
      <c r="AA45" s="305">
        <v>13</v>
      </c>
      <c r="AB45" s="305"/>
      <c r="AC45" s="305"/>
      <c r="AD45" s="305"/>
      <c r="AE45" s="305"/>
      <c r="AF45" s="305"/>
    </row>
    <row r="46" spans="1:32" s="28" customFormat="1" ht="20.149999999999999" customHeight="1">
      <c r="A46" s="30"/>
      <c r="B46" s="397"/>
      <c r="C46" s="398"/>
      <c r="D46" s="280"/>
      <c r="E46" s="280"/>
      <c r="F46" s="322"/>
      <c r="G46" s="322"/>
      <c r="H46" s="322"/>
      <c r="I46" s="322"/>
      <c r="J46" s="322"/>
      <c r="K46" s="322"/>
      <c r="L46" s="323"/>
      <c r="M46" s="324"/>
      <c r="N46" s="328"/>
      <c r="O46" s="329"/>
      <c r="P46" s="330"/>
      <c r="Q46" s="330"/>
      <c r="R46" s="330"/>
      <c r="S46" s="330"/>
      <c r="T46" s="330"/>
      <c r="U46" s="330"/>
      <c r="V46" s="396"/>
      <c r="W46" s="396"/>
      <c r="X46" s="396"/>
      <c r="Y46" s="396"/>
      <c r="Z46" s="396"/>
      <c r="AA46" s="330"/>
      <c r="AB46" s="330"/>
      <c r="AC46" s="330"/>
      <c r="AD46" s="330"/>
      <c r="AE46" s="330"/>
      <c r="AF46" s="330"/>
    </row>
    <row r="47" spans="1:32" s="28" customFormat="1" ht="20.149999999999999" customHeight="1">
      <c r="A47" s="30"/>
      <c r="B47" s="397"/>
      <c r="C47" s="398"/>
      <c r="D47" s="280"/>
      <c r="E47" s="280"/>
      <c r="F47" s="322"/>
      <c r="G47" s="322"/>
      <c r="H47" s="322"/>
      <c r="I47" s="322"/>
      <c r="J47" s="322"/>
      <c r="K47" s="322"/>
      <c r="L47" s="323"/>
      <c r="M47" s="324"/>
      <c r="N47" s="328"/>
      <c r="O47" s="329"/>
      <c r="P47" s="330"/>
      <c r="Q47" s="330"/>
      <c r="R47" s="330"/>
      <c r="S47" s="330"/>
      <c r="T47" s="330"/>
      <c r="U47" s="330"/>
      <c r="V47" s="396"/>
      <c r="W47" s="396"/>
      <c r="X47" s="396"/>
      <c r="Y47" s="396"/>
      <c r="Z47" s="396"/>
      <c r="AA47" s="330"/>
      <c r="AB47" s="330"/>
      <c r="AC47" s="330"/>
      <c r="AD47" s="330"/>
      <c r="AE47" s="330"/>
      <c r="AF47" s="330"/>
    </row>
    <row r="48" spans="1:32" s="28" customFormat="1" ht="20.149999999999999" customHeight="1">
      <c r="A48" s="30"/>
      <c r="B48" s="397"/>
      <c r="C48" s="398"/>
      <c r="D48" s="280"/>
      <c r="E48" s="280"/>
      <c r="F48" s="322"/>
      <c r="G48" s="322"/>
      <c r="H48" s="322"/>
      <c r="I48" s="322"/>
      <c r="J48" s="322"/>
      <c r="K48" s="322"/>
      <c r="L48" s="323"/>
      <c r="M48" s="324"/>
      <c r="N48" s="328"/>
      <c r="O48" s="329"/>
      <c r="P48" s="330"/>
      <c r="Q48" s="330"/>
      <c r="R48" s="330"/>
      <c r="S48" s="330"/>
      <c r="T48" s="330"/>
      <c r="U48" s="330"/>
      <c r="V48" s="396"/>
      <c r="W48" s="396"/>
      <c r="X48" s="396"/>
      <c r="Y48" s="396"/>
      <c r="Z48" s="396"/>
      <c r="AA48" s="330"/>
      <c r="AB48" s="330"/>
      <c r="AC48" s="330"/>
      <c r="AD48" s="330"/>
      <c r="AE48" s="330"/>
      <c r="AF48" s="330"/>
    </row>
    <row r="49" spans="1:32" s="28" customFormat="1" ht="20.149999999999999" customHeight="1">
      <c r="A49" s="30"/>
      <c r="B49" s="397"/>
      <c r="C49" s="398"/>
      <c r="D49" s="280"/>
      <c r="E49" s="280"/>
      <c r="F49" s="322"/>
      <c r="G49" s="322"/>
      <c r="H49" s="322"/>
      <c r="I49" s="322"/>
      <c r="J49" s="322"/>
      <c r="K49" s="322"/>
      <c r="L49" s="323"/>
      <c r="M49" s="324"/>
      <c r="N49" s="328"/>
      <c r="O49" s="329"/>
      <c r="P49" s="330"/>
      <c r="Q49" s="330"/>
      <c r="R49" s="330"/>
      <c r="S49" s="330"/>
      <c r="T49" s="330"/>
      <c r="U49" s="330"/>
      <c r="V49" s="396"/>
      <c r="W49" s="396"/>
      <c r="X49" s="396"/>
      <c r="Y49" s="396"/>
      <c r="Z49" s="396"/>
      <c r="AA49" s="330"/>
      <c r="AB49" s="330"/>
      <c r="AC49" s="330"/>
      <c r="AD49" s="330"/>
      <c r="AE49" s="330"/>
      <c r="AF49" s="330"/>
    </row>
    <row r="50" spans="1:32" s="28" customFormat="1" ht="20.149999999999999" customHeight="1">
      <c r="A50" s="30"/>
      <c r="B50" s="397"/>
      <c r="C50" s="398"/>
      <c r="D50" s="280"/>
      <c r="E50" s="280"/>
      <c r="F50" s="322"/>
      <c r="G50" s="322"/>
      <c r="H50" s="322"/>
      <c r="I50" s="322"/>
      <c r="J50" s="322"/>
      <c r="K50" s="322"/>
      <c r="L50" s="323"/>
      <c r="M50" s="324"/>
      <c r="N50" s="328"/>
      <c r="O50" s="329"/>
      <c r="P50" s="330"/>
      <c r="Q50" s="330"/>
      <c r="R50" s="330"/>
      <c r="S50" s="330"/>
      <c r="T50" s="330"/>
      <c r="U50" s="330"/>
      <c r="V50" s="396"/>
      <c r="W50" s="396"/>
      <c r="X50" s="396"/>
      <c r="Y50" s="396"/>
      <c r="Z50" s="396"/>
      <c r="AA50" s="330"/>
      <c r="AB50" s="330"/>
      <c r="AC50" s="330"/>
      <c r="AD50" s="330"/>
      <c r="AE50" s="330"/>
      <c r="AF50" s="330"/>
    </row>
    <row r="51" spans="1:32" s="28" customFormat="1" ht="20.149999999999999" customHeight="1">
      <c r="A51" s="30"/>
      <c r="B51" s="397"/>
      <c r="C51" s="398"/>
      <c r="D51" s="280"/>
      <c r="E51" s="280"/>
      <c r="F51" s="322"/>
      <c r="G51" s="322"/>
      <c r="H51" s="322"/>
      <c r="I51" s="322"/>
      <c r="J51" s="322"/>
      <c r="K51" s="322"/>
      <c r="L51" s="323"/>
      <c r="M51" s="324"/>
      <c r="N51" s="328"/>
      <c r="O51" s="329"/>
      <c r="P51" s="330"/>
      <c r="Q51" s="330"/>
      <c r="R51" s="330"/>
      <c r="S51" s="330"/>
      <c r="T51" s="330"/>
      <c r="U51" s="330"/>
      <c r="V51" s="396"/>
      <c r="W51" s="396"/>
      <c r="X51" s="396"/>
      <c r="Y51" s="396"/>
      <c r="Z51" s="396"/>
      <c r="AA51" s="330"/>
      <c r="AB51" s="330"/>
      <c r="AC51" s="330"/>
      <c r="AD51" s="330"/>
      <c r="AE51" s="330"/>
      <c r="AF51" s="330"/>
    </row>
    <row r="52" spans="1:32" s="28" customFormat="1" ht="20.149999999999999" customHeight="1">
      <c r="A52" s="30"/>
      <c r="B52" s="397"/>
      <c r="C52" s="398"/>
      <c r="D52" s="280"/>
      <c r="E52" s="280"/>
      <c r="F52" s="322"/>
      <c r="G52" s="322"/>
      <c r="H52" s="322"/>
      <c r="I52" s="322"/>
      <c r="J52" s="322"/>
      <c r="K52" s="322"/>
      <c r="L52" s="323"/>
      <c r="M52" s="324"/>
      <c r="N52" s="328"/>
      <c r="O52" s="329"/>
      <c r="P52" s="330"/>
      <c r="Q52" s="330"/>
      <c r="R52" s="330"/>
      <c r="S52" s="330"/>
      <c r="T52" s="330"/>
      <c r="U52" s="330"/>
      <c r="V52" s="396"/>
      <c r="W52" s="396"/>
      <c r="X52" s="396"/>
      <c r="Y52" s="396"/>
      <c r="Z52" s="396"/>
      <c r="AA52" s="330"/>
      <c r="AB52" s="330"/>
      <c r="AC52" s="330"/>
      <c r="AD52" s="330"/>
      <c r="AE52" s="330"/>
      <c r="AF52" s="330"/>
    </row>
    <row r="53" spans="1:32" s="28" customFormat="1" ht="25" customHeight="1">
      <c r="A53" s="403" t="s">
        <v>58</v>
      </c>
      <c r="B53" s="404"/>
      <c r="C53" s="404"/>
      <c r="D53" s="404"/>
      <c r="E53" s="405"/>
      <c r="F53" s="322"/>
      <c r="G53" s="322"/>
      <c r="H53" s="322"/>
      <c r="I53" s="322"/>
      <c r="J53" s="322"/>
      <c r="K53" s="322"/>
      <c r="L53" s="323"/>
      <c r="M53" s="324"/>
      <c r="N53" s="328"/>
      <c r="O53" s="329"/>
      <c r="P53" s="330"/>
      <c r="Q53" s="330"/>
      <c r="R53" s="330"/>
      <c r="S53" s="330"/>
      <c r="T53" s="330"/>
      <c r="U53" s="330"/>
      <c r="V53" s="396"/>
      <c r="W53" s="396"/>
      <c r="X53" s="396"/>
      <c r="Y53" s="396"/>
      <c r="Z53" s="396"/>
      <c r="AA53" s="330"/>
      <c r="AB53" s="330"/>
      <c r="AC53" s="330"/>
      <c r="AD53" s="330"/>
      <c r="AE53" s="330"/>
      <c r="AF53" s="330"/>
    </row>
    <row r="54" spans="1:32" ht="15" customHeight="1">
      <c r="A54" s="18"/>
      <c r="B54" s="18"/>
      <c r="C54" s="1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93"/>
      <c r="O54" s="93"/>
      <c r="P54" s="93"/>
      <c r="Q54" s="93"/>
      <c r="R54" s="93"/>
      <c r="S54" s="93"/>
      <c r="T54" s="93"/>
      <c r="U54" s="93"/>
      <c r="V54" s="93"/>
    </row>
    <row r="55" spans="1:32" ht="15" customHeight="1">
      <c r="A55" s="18"/>
      <c r="B55" s="18"/>
      <c r="C55" s="1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93"/>
      <c r="O55" s="93"/>
      <c r="P55" s="93"/>
      <c r="Q55" s="93"/>
      <c r="R55" s="93"/>
      <c r="S55" s="93"/>
      <c r="T55" s="93"/>
      <c r="U55" s="93"/>
      <c r="V55" s="93"/>
    </row>
    <row r="56" spans="1:32">
      <c r="A56" s="18"/>
      <c r="B56" s="18"/>
      <c r="C56" s="1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93"/>
      <c r="O56" s="93"/>
      <c r="P56" s="93"/>
      <c r="Q56" s="93"/>
      <c r="R56" s="93"/>
      <c r="S56" s="93"/>
      <c r="T56" s="93"/>
      <c r="U56" s="93"/>
      <c r="V56" s="93"/>
    </row>
    <row r="57" spans="1:32" ht="15" customHeight="1">
      <c r="A57" s="18"/>
      <c r="B57" s="18"/>
      <c r="C57" s="1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93"/>
      <c r="O57" s="93"/>
      <c r="P57" s="93"/>
      <c r="Q57" s="93"/>
      <c r="R57" s="93"/>
      <c r="S57" s="93"/>
      <c r="T57" s="93"/>
      <c r="U57" s="93"/>
      <c r="V57" s="93"/>
    </row>
    <row r="58" spans="1:32" s="11" customFormat="1" ht="27" customHeight="1">
      <c r="A58" s="240" t="s">
        <v>627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36"/>
      <c r="L58" s="36"/>
      <c r="M58" s="401"/>
      <c r="N58" s="401"/>
      <c r="O58" s="401"/>
      <c r="P58" s="401"/>
      <c r="Q58" s="401"/>
      <c r="R58" s="95"/>
      <c r="S58" s="95"/>
      <c r="T58" s="95"/>
      <c r="U58" s="95"/>
      <c r="V58" s="95"/>
      <c r="W58" s="226"/>
      <c r="X58" s="226"/>
      <c r="Y58" s="226"/>
      <c r="Z58" s="226"/>
      <c r="AA58" s="226"/>
      <c r="AB58" s="226" t="s">
        <v>626</v>
      </c>
      <c r="AC58" s="226"/>
      <c r="AD58" s="226"/>
      <c r="AE58" s="226"/>
      <c r="AF58" s="226"/>
    </row>
    <row r="59" spans="1:32" s="4" customFormat="1">
      <c r="B59" s="402" t="s">
        <v>77</v>
      </c>
      <c r="C59" s="402"/>
      <c r="D59" s="402"/>
      <c r="E59" s="402"/>
      <c r="F59" s="402"/>
      <c r="G59" s="402"/>
      <c r="H59" s="18"/>
      <c r="I59" s="18"/>
      <c r="J59" s="19"/>
      <c r="K59" s="19"/>
      <c r="L59" s="19"/>
      <c r="N59" s="70"/>
      <c r="O59" s="70"/>
      <c r="P59" s="70"/>
      <c r="Q59" s="70"/>
      <c r="R59" s="70" t="s">
        <v>78</v>
      </c>
      <c r="S59" s="71"/>
      <c r="T59" s="71"/>
      <c r="U59" s="71"/>
      <c r="V59" s="70"/>
      <c r="W59" s="71"/>
      <c r="X59" s="71"/>
      <c r="Y59" s="71"/>
      <c r="Z59" s="71"/>
      <c r="AA59" s="71"/>
      <c r="AB59" s="348" t="s">
        <v>128</v>
      </c>
      <c r="AC59" s="348"/>
      <c r="AD59" s="348"/>
      <c r="AE59" s="348"/>
      <c r="AF59" s="348"/>
    </row>
    <row r="60" spans="1:32" s="14" customFormat="1" ht="16.5" customHeight="1">
      <c r="C60" s="31"/>
      <c r="F60" s="32"/>
      <c r="G60" s="32"/>
      <c r="H60" s="32"/>
      <c r="I60" s="32"/>
      <c r="J60" s="32"/>
      <c r="K60" s="32"/>
      <c r="L60" s="32"/>
      <c r="M60" s="3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</row>
    <row r="61" spans="1:32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96"/>
      <c r="O61" s="96"/>
      <c r="P61" s="96"/>
      <c r="Q61" s="96"/>
      <c r="R61" s="96"/>
      <c r="S61" s="96"/>
      <c r="T61" s="96"/>
      <c r="U61" s="96"/>
      <c r="V61" s="96"/>
    </row>
    <row r="62" spans="1:32">
      <c r="C62" s="18"/>
    </row>
    <row r="65" spans="3:3">
      <c r="C65" s="34"/>
    </row>
    <row r="66" spans="3:3">
      <c r="C66" s="34"/>
    </row>
    <row r="67" spans="3:3">
      <c r="C67" s="34"/>
    </row>
    <row r="68" spans="3:3">
      <c r="C68" s="34"/>
    </row>
    <row r="69" spans="3:3">
      <c r="C69" s="34"/>
    </row>
    <row r="70" spans="3:3">
      <c r="C70" s="34"/>
    </row>
    <row r="71" spans="3:3">
      <c r="C71" s="34"/>
    </row>
  </sheetData>
  <mergeCells count="278"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</mergeCells>
  <phoneticPr fontId="3" type="noConversion"/>
  <pageMargins left="0.39370078740157483" right="0.39370078740157483" top="0.78740157480314965" bottom="0.39370078740157483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Юрий</cp:lastModifiedBy>
  <cp:lastPrinted>2023-02-14T09:11:02Z</cp:lastPrinted>
  <dcterms:created xsi:type="dcterms:W3CDTF">2003-03-13T16:00:22Z</dcterms:created>
  <dcterms:modified xsi:type="dcterms:W3CDTF">2023-02-15T08:55:55Z</dcterms:modified>
</cp:coreProperties>
</file>