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75"/>
  </bookViews>
  <sheets>
    <sheet name="Sheet" sheetId="1" r:id="rId1"/>
  </sheets>
  <definedNames>
    <definedName name="_xlnm._FilterDatabase" localSheetId="0" hidden="1">Sheet!$A$5:$AH$233</definedName>
  </definedNames>
  <calcPr calcId="162913"/>
</workbook>
</file>

<file path=xl/calcChain.xml><?xml version="1.0" encoding="utf-8"?>
<calcChain xmlns="http://schemas.openxmlformats.org/spreadsheetml/2006/main">
  <c r="B232" i="1" l="1"/>
  <c r="B231" i="1"/>
  <c r="B230" i="1"/>
  <c r="B229" i="1"/>
  <c r="B228" i="1"/>
  <c r="X227" i="1"/>
  <c r="B227" i="1"/>
  <c r="B226" i="1"/>
  <c r="B225" i="1"/>
  <c r="B224" i="1"/>
  <c r="X223" i="1"/>
  <c r="B223" i="1"/>
  <c r="X222" i="1"/>
  <c r="B222" i="1"/>
  <c r="B221" i="1"/>
  <c r="B220" i="1"/>
  <c r="B219" i="1"/>
  <c r="B218" i="1"/>
  <c r="X217" i="1"/>
  <c r="B217" i="1"/>
  <c r="B216" i="1"/>
  <c r="X215" i="1"/>
  <c r="B215" i="1"/>
  <c r="B214" i="1"/>
  <c r="B213" i="1"/>
  <c r="X212" i="1"/>
  <c r="B212" i="1"/>
  <c r="B211" i="1"/>
  <c r="B210" i="1"/>
  <c r="B209" i="1"/>
  <c r="X208" i="1"/>
  <c r="B208" i="1"/>
  <c r="B207" i="1"/>
  <c r="X206" i="1"/>
  <c r="B206" i="1"/>
  <c r="X205" i="1"/>
  <c r="B205" i="1"/>
  <c r="X204" i="1"/>
  <c r="B204" i="1"/>
  <c r="X203" i="1"/>
  <c r="B203" i="1"/>
  <c r="X202" i="1"/>
  <c r="B202" i="1"/>
  <c r="B201" i="1"/>
  <c r="B200" i="1"/>
  <c r="B199" i="1"/>
  <c r="B198" i="1"/>
  <c r="B197" i="1"/>
  <c r="B196" i="1"/>
  <c r="B195" i="1"/>
  <c r="B194" i="1"/>
  <c r="X193" i="1"/>
  <c r="B193" i="1"/>
  <c r="B192" i="1"/>
  <c r="B191" i="1"/>
  <c r="B190" i="1"/>
  <c r="B189" i="1"/>
  <c r="B188" i="1"/>
  <c r="B187" i="1"/>
  <c r="X186" i="1"/>
  <c r="B186" i="1"/>
  <c r="B185" i="1"/>
  <c r="B184" i="1"/>
  <c r="X183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X165" i="1"/>
  <c r="B165" i="1"/>
  <c r="X164" i="1"/>
  <c r="B164" i="1"/>
  <c r="X163" i="1"/>
  <c r="B163" i="1"/>
  <c r="X162" i="1"/>
  <c r="B162" i="1"/>
  <c r="X161" i="1"/>
  <c r="B161" i="1"/>
  <c r="B160" i="1"/>
  <c r="B159" i="1"/>
  <c r="B158" i="1"/>
  <c r="B157" i="1"/>
  <c r="X156" i="1"/>
  <c r="B156" i="1"/>
  <c r="B155" i="1"/>
  <c r="B154" i="1"/>
  <c r="B153" i="1"/>
  <c r="X152" i="1"/>
  <c r="B152" i="1"/>
  <c r="B151" i="1"/>
  <c r="B150" i="1"/>
  <c r="B149" i="1"/>
  <c r="X148" i="1"/>
  <c r="B148" i="1"/>
  <c r="B147" i="1"/>
  <c r="B146" i="1"/>
  <c r="B145" i="1"/>
  <c r="X144" i="1"/>
  <c r="B144" i="1"/>
  <c r="X143" i="1"/>
  <c r="B143" i="1"/>
  <c r="B142" i="1"/>
  <c r="B141" i="1"/>
  <c r="X140" i="1"/>
  <c r="B140" i="1"/>
  <c r="B139" i="1"/>
  <c r="X138" i="1"/>
  <c r="B138" i="1"/>
  <c r="B137" i="1"/>
  <c r="B136" i="1"/>
  <c r="X135" i="1"/>
  <c r="B135" i="1"/>
  <c r="B134" i="1"/>
  <c r="B133" i="1"/>
  <c r="B132" i="1"/>
  <c r="X131" i="1"/>
  <c r="B131" i="1"/>
  <c r="X130" i="1"/>
  <c r="B130" i="1"/>
  <c r="X129" i="1"/>
  <c r="B129" i="1"/>
  <c r="X128" i="1"/>
  <c r="B128" i="1"/>
  <c r="X127" i="1"/>
  <c r="B127" i="1"/>
  <c r="B126" i="1"/>
  <c r="B125" i="1"/>
  <c r="B124" i="1"/>
  <c r="B123" i="1"/>
  <c r="B122" i="1"/>
  <c r="B121" i="1"/>
  <c r="X120" i="1"/>
  <c r="B120" i="1"/>
  <c r="B119" i="1"/>
  <c r="B118" i="1"/>
  <c r="B117" i="1"/>
  <c r="B116" i="1"/>
  <c r="X115" i="1"/>
  <c r="B115" i="1"/>
  <c r="B114" i="1"/>
  <c r="X113" i="1"/>
  <c r="B113" i="1"/>
  <c r="B112" i="1"/>
  <c r="B111" i="1"/>
  <c r="B110" i="1"/>
  <c r="B109" i="1"/>
  <c r="B108" i="1"/>
  <c r="B107" i="1"/>
  <c r="B106" i="1"/>
  <c r="B105" i="1"/>
  <c r="B104" i="1"/>
  <c r="X103" i="1"/>
  <c r="B103" i="1"/>
  <c r="B102" i="1"/>
  <c r="X101" i="1"/>
  <c r="B101" i="1"/>
  <c r="X100" i="1"/>
  <c r="B100" i="1"/>
  <c r="X99" i="1"/>
  <c r="B99" i="1"/>
  <c r="B98" i="1"/>
  <c r="B97" i="1"/>
  <c r="X96" i="1"/>
  <c r="B96" i="1"/>
  <c r="B95" i="1"/>
  <c r="B94" i="1"/>
  <c r="B93" i="1"/>
  <c r="B92" i="1"/>
  <c r="B91" i="1"/>
  <c r="B90" i="1"/>
  <c r="B89" i="1"/>
  <c r="B88" i="1"/>
  <c r="B87" i="1"/>
  <c r="B86" i="1"/>
  <c r="X85" i="1"/>
  <c r="B85" i="1"/>
  <c r="B84" i="1"/>
  <c r="B83" i="1"/>
  <c r="B82" i="1"/>
  <c r="B81" i="1"/>
  <c r="X80" i="1"/>
  <c r="B80" i="1"/>
  <c r="B79" i="1"/>
  <c r="B78" i="1"/>
  <c r="B77" i="1"/>
  <c r="B76" i="1"/>
  <c r="B75" i="1"/>
  <c r="B74" i="1"/>
  <c r="B73" i="1"/>
  <c r="X72" i="1"/>
  <c r="B72" i="1"/>
  <c r="X71" i="1"/>
  <c r="B71" i="1"/>
  <c r="X70" i="1"/>
  <c r="B70" i="1"/>
  <c r="B69" i="1"/>
  <c r="B68" i="1"/>
  <c r="B67" i="1"/>
  <c r="B66" i="1"/>
  <c r="B65" i="1"/>
  <c r="B64" i="1"/>
  <c r="B63" i="1"/>
  <c r="B62" i="1"/>
  <c r="B61" i="1"/>
  <c r="X60" i="1"/>
  <c r="B60" i="1"/>
  <c r="X59" i="1"/>
  <c r="B59" i="1"/>
  <c r="X58" i="1"/>
  <c r="B58" i="1"/>
  <c r="B57" i="1"/>
  <c r="B56" i="1"/>
  <c r="B55" i="1"/>
  <c r="B54" i="1"/>
  <c r="B53" i="1"/>
  <c r="B52" i="1"/>
  <c r="X51" i="1"/>
  <c r="B51" i="1"/>
  <c r="B50" i="1"/>
  <c r="B49" i="1"/>
  <c r="B48" i="1"/>
  <c r="B47" i="1"/>
  <c r="X46" i="1"/>
  <c r="B46" i="1"/>
  <c r="B45" i="1"/>
  <c r="X44" i="1"/>
  <c r="B44" i="1"/>
  <c r="B43" i="1"/>
  <c r="B42" i="1"/>
  <c r="B41" i="1"/>
  <c r="X40" i="1"/>
  <c r="B40" i="1"/>
  <c r="B39" i="1"/>
  <c r="X38" i="1"/>
  <c r="B38" i="1"/>
  <c r="X37" i="1"/>
  <c r="B37" i="1"/>
  <c r="B36" i="1"/>
  <c r="B35" i="1"/>
  <c r="B34" i="1"/>
  <c r="B33" i="1"/>
  <c r="B32" i="1"/>
  <c r="X31" i="1"/>
  <c r="B31" i="1"/>
  <c r="X30" i="1"/>
  <c r="B30" i="1"/>
  <c r="X29" i="1"/>
  <c r="B29" i="1"/>
  <c r="X28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X14" i="1"/>
  <c r="B14" i="1"/>
  <c r="X13" i="1"/>
  <c r="B13" i="1"/>
  <c r="B12" i="1"/>
  <c r="X11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<sst xmlns="http://schemas.openxmlformats.org/spreadsheetml/2006/main" count="3551" uniqueCount="873">
  <si>
    <t xml:space="preserve"> Електромеханічні ручні інструменти різні</t>
  </si>
  <si>
    <t xml:space="preserve"> Послуги зі збирання (відкачуванню), вивезенню та знешкодженню рідких побутових відходів</t>
  </si>
  <si>
    <t xml:space="preserve"> Приобретение ПО "1С для бюджетных организаций" </t>
  </si>
  <si>
    <t xml:space="preserve"> Технічний супровід комп"ютерної програми "Єдина інформаційна система управління місцевим бюджетом" (ЄІСУБ для місцевого бюджету)</t>
  </si>
  <si>
    <t xml:space="preserve"> Услуги сопровождения ПО "1С: Бюджет міста"</t>
  </si>
  <si>
    <t>"Придніпровська теплова електрична станція" ПАТ "ДТЕК ДНІПРОЕНЕРГО"</t>
  </si>
  <si>
    <t>% зниження</t>
  </si>
  <si>
    <t>,,</t>
  </si>
  <si>
    <t>000098934</t>
  </si>
  <si>
    <t>001-Д/24</t>
  </si>
  <si>
    <t>00130872</t>
  </si>
  <si>
    <t>003/2021</t>
  </si>
  <si>
    <t>0059</t>
  </si>
  <si>
    <t>01</t>
  </si>
  <si>
    <t>01-08/19</t>
  </si>
  <si>
    <t>01-09/19</t>
  </si>
  <si>
    <t>02128158</t>
  </si>
  <si>
    <t>02128158,ТДВ "Дніпрокомунтранс",Україна</t>
  </si>
  <si>
    <t>02272-00</t>
  </si>
  <si>
    <t>03110000-5 Сільськогосподарські культури, продукція товарного садівництва та рослинництва</t>
  </si>
  <si>
    <t>03111000-2 Насіння</t>
  </si>
  <si>
    <t>03143000-5 Продукція багатогалузевого господарства</t>
  </si>
  <si>
    <t>03341305</t>
  </si>
  <si>
    <t>03410000-7 Деревина</t>
  </si>
  <si>
    <t>050521-1</t>
  </si>
  <si>
    <t>06-01/21</t>
  </si>
  <si>
    <t>065430</t>
  </si>
  <si>
    <t>0752</t>
  </si>
  <si>
    <t>08680187</t>
  </si>
  <si>
    <t>08680187,Державне підприємство «Підприємство бучанської виправної колонії управління державної пенітенціарної служби України в м. Києві та Київській області (№85)»,Україна;32490244,ТОВ "Епіцентр К",Украина;40657996,ТОВ СЕРВІССТАР-7,Україна;00236010,ПАО "ЗАВОД ФРУНЗЕ",Украина;39997507,ТОВ Ліреко,Україна;40499278,ПІДПРИЄМСТВО ОБ'ЄДНАННЯ ГРОМАДЯН "КОРСЕТ" ХАРКІВСЬКОЇ ОБЛАСНОЇ РАДИ (РЕГІОНАЛЬНОГО ОСЕРЕДКУ) ВСЕУКРАЇНСЬКОЇ ОРГАНІЗАЦІЇ ІНВАЛІДІВ "СОЮЗ ОРГАНІЗАЦІЙ ІНВАЛІДІВ УКРАЇНИ",Україна</t>
  </si>
  <si>
    <t>09-01/20</t>
  </si>
  <si>
    <t>09000000-3 Нафтопродукти, паливо, електроенергія та інші джерела енергії</t>
  </si>
  <si>
    <t>09130000-9 Нафта і дистиляти</t>
  </si>
  <si>
    <t>09132000-3 Бензин</t>
  </si>
  <si>
    <t>09210000-4 Мастильні засоби</t>
  </si>
  <si>
    <t>09310000-5 Електрична енергія</t>
  </si>
  <si>
    <t>1</t>
  </si>
  <si>
    <t>1-ГТ-ДП2/19</t>
  </si>
  <si>
    <t>1-ГТ-ДП2_18</t>
  </si>
  <si>
    <t>1-Л</t>
  </si>
  <si>
    <t>1-Л-ДП2_18</t>
  </si>
  <si>
    <t>1-вс</t>
  </si>
  <si>
    <t>1-ген</t>
  </si>
  <si>
    <t>1-к</t>
  </si>
  <si>
    <t>1-л</t>
  </si>
  <si>
    <t>1-м</t>
  </si>
  <si>
    <t>1-мо-19</t>
  </si>
  <si>
    <t>1-мфу</t>
  </si>
  <si>
    <t>1-мш</t>
  </si>
  <si>
    <t>1-н</t>
  </si>
  <si>
    <t>1-п</t>
  </si>
  <si>
    <t>1-рс</t>
  </si>
  <si>
    <t>1-тр</t>
  </si>
  <si>
    <t>1-у</t>
  </si>
  <si>
    <t>1-х</t>
  </si>
  <si>
    <t>1-хол</t>
  </si>
  <si>
    <t>1-ч</t>
  </si>
  <si>
    <t>10</t>
  </si>
  <si>
    <t>10-Дп2/21</t>
  </si>
  <si>
    <t>1030</t>
  </si>
  <si>
    <t>104.2021</t>
  </si>
  <si>
    <t>1044</t>
  </si>
  <si>
    <t>1051</t>
  </si>
  <si>
    <t>11</t>
  </si>
  <si>
    <t>11-ДП2/21</t>
  </si>
  <si>
    <t>12</t>
  </si>
  <si>
    <t>12-ДП2/21</t>
  </si>
  <si>
    <t>1289</t>
  </si>
  <si>
    <t>1290</t>
  </si>
  <si>
    <t>1291</t>
  </si>
  <si>
    <t>1292</t>
  </si>
  <si>
    <t>13</t>
  </si>
  <si>
    <t>13-13-ДЭ-ПрТЭС/С</t>
  </si>
  <si>
    <t>13/1</t>
  </si>
  <si>
    <t>1306-ДЭ-ПрТЭС/В</t>
  </si>
  <si>
    <t>131</t>
  </si>
  <si>
    <t>13612779</t>
  </si>
  <si>
    <t>13612779,ТОВ "ФІРМА "ДНІПРОКОР",Україна</t>
  </si>
  <si>
    <t>13612779,ТОВ "ФІРМА "ДНІПРОКОР",Україна;3001003991,ФОП ГОНЧАРЕНКО СЕРГІЙ ВАСИЛЬОВИЧ,Україна</t>
  </si>
  <si>
    <t>13612779,ТОВ "ФІРМА "ДНІПРОКОР",Україна;39093333,ТОВ "ЦЕНТР ПОСТАЧАННЯ УКРАЇНИ",Україна;39986689,ТОВ ""А.С.Г.-ГРУП",Україна;3656104831,ФОП "ОНИЩЕНКО ВЛАДИСЛАВ ВЯЧЕСЛАВОВИЧ",Україна;2604312359,ФОП Лук'ян Михайло Федорович,Україна;33885934,ТОВАРИСТВО З ОБМЕЖЕНОЮ ВІДПОВІДАЛЬНІСТЮ "ГРАНД ТЕХНОЛОДЖІС",Україна</t>
  </si>
  <si>
    <t>14</t>
  </si>
  <si>
    <t>14210000-6 Гравій, пісок, щебінь і наповнювачі</t>
  </si>
  <si>
    <t>14810000-2 Абразивні вироби</t>
  </si>
  <si>
    <t>15</t>
  </si>
  <si>
    <t>15-07-18-ОМ</t>
  </si>
  <si>
    <t>15077</t>
  </si>
  <si>
    <t>16</t>
  </si>
  <si>
    <t>16/03/2021</t>
  </si>
  <si>
    <t>16/2019-2</t>
  </si>
  <si>
    <t>16160000-4 Садова техніка різна</t>
  </si>
  <si>
    <t>16311000-8 Газонокосарки</t>
  </si>
  <si>
    <t>16810000-6 Частини для сільськогосподарської техніки</t>
  </si>
  <si>
    <t>17</t>
  </si>
  <si>
    <t>17.19</t>
  </si>
  <si>
    <t>17/2304/21т</t>
  </si>
  <si>
    <t>176</t>
  </si>
  <si>
    <t>18</t>
  </si>
  <si>
    <t>18130000-9 Спеціальний робочий одяг</t>
  </si>
  <si>
    <t>18140000-2 Аксесуари до робочого одягу</t>
  </si>
  <si>
    <t>18220000-7 Штормовий одяг</t>
  </si>
  <si>
    <t>1837300195</t>
  </si>
  <si>
    <t>18400000-3 Спеціальний одяг та аксесуари</t>
  </si>
  <si>
    <t>18410000-6 Спеціальний одяг</t>
  </si>
  <si>
    <t>18ДН</t>
  </si>
  <si>
    <t>18ДП/21</t>
  </si>
  <si>
    <t>19</t>
  </si>
  <si>
    <t>19-ДНП/10</t>
  </si>
  <si>
    <t>1901600666</t>
  </si>
  <si>
    <t>1901600666,ФОП "МАЛИХІНА ЛІДІЯ ФЕДОРІВНА",Україна</t>
  </si>
  <si>
    <t>19097605</t>
  </si>
  <si>
    <t>19097605,ТОВ АЛЮР,Україна</t>
  </si>
  <si>
    <t>19097605,ТОВ АЛЮР,Україна;2635608017,ТЕРНОВСЬКИЙ МИХАЙЛО МИХАЙЛОВИЧ,Україна;32490244,ТОВ "Епіцентр К",Україна;3222000374,ФОП САВЧЕНКО ДМИТРО ВОЛОДИМИРОВИЧ,Україна;2974300628,ФОП Кутенкова О.О.,Україна;3212502058,ФОП "ПОДУШКІН ЛЕОНІД ВІКТОРОВИЧ",Україна</t>
  </si>
  <si>
    <t>1923400586</t>
  </si>
  <si>
    <t>1923400586,ФОП ПОЛЯКОВА ОЛЕНА ОЛЕКСАНДРІВНА,Україна</t>
  </si>
  <si>
    <t>19640000-4 Поліетиленові мішки та пакети для сміття</t>
  </si>
  <si>
    <t>19ДН</t>
  </si>
  <si>
    <t>19ДП/21</t>
  </si>
  <si>
    <t>2</t>
  </si>
  <si>
    <t>2 ДП2/21</t>
  </si>
  <si>
    <t>20</t>
  </si>
  <si>
    <t>20-ДН/бух-18</t>
  </si>
  <si>
    <t>20148124,ТОВ "Ніколь",Україна;3135805878,ФОП СКАЛІЙ ВІТАЛІЙ ВОЛОДИМИРОВИЧ,УКРАЇНА;14311749,ПрАТ "УХЛ-МАШ",Україна</t>
  </si>
  <si>
    <t>20701750000012947</t>
  </si>
  <si>
    <t>20ДН-19</t>
  </si>
  <si>
    <t>20ДП/21</t>
  </si>
  <si>
    <t>21</t>
  </si>
  <si>
    <t>21-1102</t>
  </si>
  <si>
    <t>21-7</t>
  </si>
  <si>
    <t>21/БУХ-8</t>
  </si>
  <si>
    <t>216</t>
  </si>
  <si>
    <t>22</t>
  </si>
  <si>
    <t>22.20</t>
  </si>
  <si>
    <t>221</t>
  </si>
  <si>
    <t>222</t>
  </si>
  <si>
    <t>22210000-5 Газети</t>
  </si>
  <si>
    <t>2269823153</t>
  </si>
  <si>
    <t>2269823153,ФОП "ЗУБКОВ ВОЛОДИМИР ПРОКОПОВИЧ",Україна;2715809096,ФОП "ОНИЩЕНКО ВЯЧЕСЛАВ ВІКТОРОВИЧ",Україна;32490244,ТОВ "Епіцентр К",Україна;38010544,АТ "Дніпропетровська філія  "Альцест",Україна</t>
  </si>
  <si>
    <t>23</t>
  </si>
  <si>
    <t>23.19</t>
  </si>
  <si>
    <t>23.20</t>
  </si>
  <si>
    <t>2333-ДЭ-ПрТЭС/В</t>
  </si>
  <si>
    <t>2335-ДЭ-ПрТЭС/С</t>
  </si>
  <si>
    <t>23359034</t>
  </si>
  <si>
    <t>24</t>
  </si>
  <si>
    <t>24.20</t>
  </si>
  <si>
    <t>24400000-8 Добрива та сполуки азоту</t>
  </si>
  <si>
    <t>24738845</t>
  </si>
  <si>
    <t>24950000-8 Спеціалізована хімічна продукція</t>
  </si>
  <si>
    <t>2499011639</t>
  </si>
  <si>
    <t>2499011639,ФІЗИЧНА ОСОБА-ПІДПРИЄМЕЦЬ ГУР'ЄВ КОСТЯНТИН ОЛЕКСІЙОВИЧ,Україна;1841513578,ФОП ГЕРАСІМОВ ВОЛОДИМИР ОЛЕКСІЙОВИЧ,Україна;2805501897,ФОП ПОЛЯКОВ ВАСИЛЬ СЕРГІЙОВИЧ,УКРАЇНА;38010544,АТ "Дніпропетровська філія  "Альцест",Україна;38168622,ТОВ "Форест Бел",Україна;40278390,ТОВ ВАКУЛА ІНСТРУМЕНТ,Україна;41317697,ТОВ Буд Логістик,Україна</t>
  </si>
  <si>
    <t>25</t>
  </si>
  <si>
    <t>25.19</t>
  </si>
  <si>
    <t>25.20</t>
  </si>
  <si>
    <t>25839873</t>
  </si>
  <si>
    <t>26</t>
  </si>
  <si>
    <t>26.19</t>
  </si>
  <si>
    <t>2607-с</t>
  </si>
  <si>
    <t>2635608017</t>
  </si>
  <si>
    <t>2635608017,ТЕРНОВСЬКИЙ МИХАЙЛО МИХАЙЛОВИЧ,Україна;2307200094,ФОП Горбань Юрій Васильович,Україна;2691803464,ФІЗИЧНА ОСОБА-ПІДПРИЄМЕЦЬ БАТОГ ЖАННА ВОЛОДИМИРІВНА,Україна</t>
  </si>
  <si>
    <t>2647512672</t>
  </si>
  <si>
    <t>2676305397</t>
  </si>
  <si>
    <t>2683104164,ФОП "КРИВЧУН НАТАЛІЯ МИХАЙЛІВНА",Україна;3153403953,ФОП Бердник В.А.,Україна;31939411,ТОВАРИСТВО З ОБМЕЖЕНОЮ ВІДПОВІДАЛЬНІСТЮ "ДМД-СЕРВІС",Україна;39417349,ТОВ "АВЕРС КАНЦЕЛЯРІЯ",Україна;19143995,ТОВАРИСТВО З ОБМЕЖЕНОЮ ВІДПОВІДАЛЬНІСТЮ ТОРГОВЕЛЬНО-ВИРОБНИЧА ГРУПА "КУНІЦА",Україна</t>
  </si>
  <si>
    <t>27</t>
  </si>
  <si>
    <t>27/07/2020-1</t>
  </si>
  <si>
    <t>2700600136,КОСТЕНКО ЄВГЕНІЙ ВІКТОРОВИЧ,Україна;2744015045,КАНІБОЛОЦЬКА ІРИНА ВАЛЕРІЇВНА,Україна;3656104831,ФОП "ОНИЩЕНКО ВЛАДИСЛАВ ВЯЧЕСЛАВОВИЧ",Україна</t>
  </si>
  <si>
    <t>2700600136,ФОП Костенко Е.В.,Україна;38229737,ПРИВАТНЕ ПІДПРИЄМСТВО "СТРОБІЛ",УКРАЇНА;3656104831,ФОП "ОНИЩЕНКО ВЛАДИСЛАВ ВЯЧЕСЛАВОВИЧ",Україна;30982230,ТОВ "АДАМАС",Україна;32490244,ТОВ "Епіцентр К",Україна</t>
  </si>
  <si>
    <t>273-ТГЗ</t>
  </si>
  <si>
    <t>2744015045</t>
  </si>
  <si>
    <t>2744015045,КАНІБОЛОЦЬКА ІРИНА ВАЛЕРІЇВНА,Україна;3147521189,ФОП Забуга Оксана Ігорівна,Україна;2806911850,ФОП БЕГДЖАНЯН МАНУЕЛЬ СУРИКОВИЧ,Україна</t>
  </si>
  <si>
    <t>2744015045,КАНІБОЛОЦЬКА ІРИНА ВАЛЕРІЇВНА,Україна;41301708,ТОВ "АНБАР",Україна;39733222,ТОВАРИСТВО З ОБМЕЖЕНОЮ ВІДПОВІДАЛЬНІСТЮ "ПАПІР ІНВЕСТ",Україна</t>
  </si>
  <si>
    <t>2745212236</t>
  </si>
  <si>
    <t>2755803590</t>
  </si>
  <si>
    <t>28</t>
  </si>
  <si>
    <t>2805501897</t>
  </si>
  <si>
    <t>2805501897,ФЛП Поляков Василий Сергеевич,Украина;40657996,ТОВ СЕРВІССТАР-7,Україна;34630002,ООО "Индастриал-сервис",Украина;30728887,ПрАТ Новая лінія,Украина</t>
  </si>
  <si>
    <t>29</t>
  </si>
  <si>
    <t>2906311395</t>
  </si>
  <si>
    <t>2906311395,Фізична особа - підприємець Апіченок Олександр Миколайович,Україна;38945311,Товариство з обмеженою відповідальністю "Компанія Комп’ютерні та інформаційні технології-2005",Україна</t>
  </si>
  <si>
    <t>2918003834</t>
  </si>
  <si>
    <t>2918003834,ФОП Шарбаталі Октай Сурхай Огли,Україна</t>
  </si>
  <si>
    <t>2927007202</t>
  </si>
  <si>
    <t>2936014724</t>
  </si>
  <si>
    <t>2936014724,ФОП Кучугурна Оксана Анатоліївна,Україна</t>
  </si>
  <si>
    <t>2960204252</t>
  </si>
  <si>
    <t>2969913153</t>
  </si>
  <si>
    <t>2969913153,ФОП Гусарук О.В.,Україна;21905231,Товариство з Обмеженою Відповідальністю фірма "ВІСТ",Украина;38076982,ООО "ТФ "Долина Мрій"",Украина</t>
  </si>
  <si>
    <t>2974300628</t>
  </si>
  <si>
    <t>2974300628,ФОП Кутенкова О.О.,Україна</t>
  </si>
  <si>
    <t>2978900762</t>
  </si>
  <si>
    <t>2978900762,ФОП "Міщенко О. А.",Украина;25405152,ТОВ * Каскад-Техно*,Україна;32014627,ТОВ "ЕВЕРЕСТ",Украина</t>
  </si>
  <si>
    <t>3</t>
  </si>
  <si>
    <t>30</t>
  </si>
  <si>
    <t>30000000-9 Офісна та комп’ютерна техніка, устаткування та приладдя, крім меблів та пакетів програмного забезпечення</t>
  </si>
  <si>
    <t>3001003991,ФОП ГОНЧАРЕНКО СЕРГІЙ ВАСИЛЬОВИЧ,Україна;1923400586,ФОП ПОЛЯКОВА ОЛЕНА ОЛЕКСАНДРІВНА,Україна</t>
  </si>
  <si>
    <t>30120000-6 устаткування фотокопіювальне та друкувальне</t>
  </si>
  <si>
    <t>30190000-7 Офісне устаткування та приладдя різне</t>
  </si>
  <si>
    <t>30192700-8 Канцелярські товари;30197220-4 Канцелярські скріпки;30192125-3 Маркери;30192160-0 Коректори;30192930-9 Ручки-коректори;30196200-1 Ділові щоденники або змінні блоки до них;30192100-2 Гумки;30197110-0 Скоби;30197320-5 Степлери;30197210-1 Теки-реєстратори;30197630-1 Папір для друку;30193700-5 Коробки для паперів;30192131-8 Механічні олівці чи олівці з висувним стрижнем;30199230-1 Конверти;30199410-7 Самоклейний папір;30199792-8 Календарі;30192153-8 Штампи</t>
  </si>
  <si>
    <t>30194866</t>
  </si>
  <si>
    <t>30194866,ТОВ "ПАПІРТОРГ",Україна;39417349,ТОВ "АВЕРС КАНЦЕЛЯРІЯ",Україна;37167117,ТОВ "СВІКОМ",Україна</t>
  </si>
  <si>
    <t>30210000-4 Машини для обробки даних (апаратна частина)</t>
  </si>
  <si>
    <t>30230000-0 Комп’ютерне обладнання</t>
  </si>
  <si>
    <t>30256061</t>
  </si>
  <si>
    <t>30256061,ТОВ "ДІАВЕСТЕНД КОМПЛЕКСНІ РІШЕННЯ",Україна;2978900762,ФОП "МІЩЕНКО ОЛЕНА АНАТОЛІЇВНА",Україна;40484701,ТОВ "КомпаКом",Україна</t>
  </si>
  <si>
    <t>3058118937</t>
  </si>
  <si>
    <t>3058118937,ФОП Шакун Ігор Олександрович,Украина;19143995,ТОВАРИСТВО З ОБМЕЖЕНОЮ ВІДПОВІДАЛЬНІСТЮ ТОРГОВЕЛЬНО-ВИРОБНИЧА ГРУПА "КУНІЦА",Украина;19271888,ТОВАРИСТВО З ОБМЕЖЕНОЮ ВІДПОВІДАЛЬНІСТЮ "БІНОМ",Украина</t>
  </si>
  <si>
    <t>3069308711</t>
  </si>
  <si>
    <t>3079306638</t>
  </si>
  <si>
    <t>3091107614,ФОП "Старий Олексiй Дмитрович",Україна;2755803590,ФОП "ДРИГА ОЛЕКСАНДР ВІКТОРОВИЧ",Україна;2652612694,ФОП "ХОТЮН ОЛЕКСАНДР ГРИГОРОВИЧ",Україна;42792039,ТОВАРИСТВО З ОБМЕЖЕНОЮ ВІДПОВІДАЛЬНІСТЮ "ГАРДЕН ЕЛЕКТРОНІКС",УКРАЇНА;2595419638,ФОП "СУХАРЕВСЬКИЙ ВІТАЛІЙ МИКОЛАЙОВИЧ",Україна;3233707280,Фізична особа – підприємець  Рубець Ганна Вікторівна,Україна;20028213,ТОВ "Ворлдвайд Мануфакчурінг, І.Д.",Україна;30256061,ТОВ "ДІАВЕСТЕНД КОМПЛЕКСНІ РІШЕННЯ",Україна;38529397,ТОВАРИСТВО З ОБМЕЖЕНОЮ ВІДПОВІДАЛЬНІСТЮ "КIБСТОР",Україна;42668690,ТОВ "КОМПАКОМ-2000",Україна;2960909955,ШВАЧКО РОДІОН ЮРІЙОВИЧ,Україна;42668381,ПП "ЛОГІК-РЕСУРС",Україна;24083083,ТОВ "КОМЕЛ",Україна;3211014757,ФОП "ПІДГОРНИЙ РОСТИСЛАВ СЕРГІЙОВИЧ",Україна</t>
  </si>
  <si>
    <t>31</t>
  </si>
  <si>
    <t>31/08/2020-1</t>
  </si>
  <si>
    <t>3109404516</t>
  </si>
  <si>
    <t>31120000-3 Генератори</t>
  </si>
  <si>
    <t>31130000-6 Генератори змінного струму</t>
  </si>
  <si>
    <t>3115812159</t>
  </si>
  <si>
    <t>3115812159,ФОП "СОЛОД АНДРІЙ ГРИГОРОВИЧ",Україна;3021211918,ФОП "ТУНІК ДМИТРО ЮРІЙОВИЧ
",Україна;36989671,ТОВ Арт-Пром,Україна;37494238,ТОВАРИСТВО З ОБМЕЖЕНОЮ ВІДПОВІДАЛЬНІСТЮ "МП ОЛІМП",Україна</t>
  </si>
  <si>
    <t>3135805878</t>
  </si>
  <si>
    <t>31500000-1 Освітлювальне обладнання та електричні лампи</t>
  </si>
  <si>
    <t>31520000-7 Світильники та освітлювальна арматура</t>
  </si>
  <si>
    <t>31521100-5 Настільні світильники</t>
  </si>
  <si>
    <t>3153403953</t>
  </si>
  <si>
    <t>3163005473</t>
  </si>
  <si>
    <t>31657990,ТОВАРИСТВО З ОБМЕЖЕНОЮ ВІДПОВІДАЛЬНІСТЮ «ТОІ-ТОІ   СИСТЕМИ САНІТАРНІ»,Україна;3462603156,ФОП "КОБЗАР ДМИТРО ЄВГЕНОВИЧ",Україна</t>
  </si>
  <si>
    <t>3174112411</t>
  </si>
  <si>
    <t>32</t>
  </si>
  <si>
    <t>3210-ДЭ-ПрТЭС/В</t>
  </si>
  <si>
    <t>32140051</t>
  </si>
  <si>
    <t>32140051,Товариство з обмеженою відповідальністю "Торгівельний дім "Н`ю-лайн",Україна;2605622581,Фізична особа-підприємець "БРИСКІНА ОКСАНА ВАСИЛІВНА",Україна</t>
  </si>
  <si>
    <t>32140051,Товариство з обмеженою відповідальністю "Торгівельний дім "Н`ю-лайн",Україна;2898007837,ФІЗИЧНА ОСОБА-ПІДПРИЄМЕЦЬ "СУХОРУКОВ ДМИТРО БОРИСОВИЧ",Україна</t>
  </si>
  <si>
    <t>3215-ДЭ-ПрТЭС/С</t>
  </si>
  <si>
    <t>32316677</t>
  </si>
  <si>
    <t>32316677,ТОВ "КОМПАНІЯ ТСО",Україна;3181010709,ФОП СИРОТА ЮЛІЯ АНДРІЇВНА,Украина;2975217451,ФОП Гусаров Дмитро Володимирович,Україна</t>
  </si>
  <si>
    <t>32318370</t>
  </si>
  <si>
    <t>32340000-8 Мікрофони та гучномовці</t>
  </si>
  <si>
    <t>32350310</t>
  </si>
  <si>
    <t>32490244</t>
  </si>
  <si>
    <t>32490244,ТОВ "Епіцентр К",Украина;40657996,ТОВ СЕРВІССТАР-7,Україна;14311749,ПрАТ "УХЛ-МАШ",Україна;00236010,ПАО "ЗАВОД ФРУНЗЕ",Украина</t>
  </si>
  <si>
    <t>32490244,ТОВ "Епіцентр К",Україна;30982230,ТОВ "АДАМАС",Україна;3212502058,ПОДУШКІН ЛЕОНІД ВІКТОРОВИЧ,Україна;2937810731,ШВИРДЮК ПАВЛО МИКОЛАЙОВИЧ,Україна</t>
  </si>
  <si>
    <t>3284711526</t>
  </si>
  <si>
    <t>33</t>
  </si>
  <si>
    <t>33190000-8 Медичне обладнання та вироби медичного призначення різні</t>
  </si>
  <si>
    <t>3326,00</t>
  </si>
  <si>
    <t>33338361</t>
  </si>
  <si>
    <t>33613060,ТОВ "АВТОМАТИЧНІ СИСТЕМИ ПОЛИВУ ТА ОБЛАДНАННЯ",Україна;20272290,ПП "Нова",Україна</t>
  </si>
  <si>
    <t>33703603</t>
  </si>
  <si>
    <t>33703603,ТОВ "Абразив груп",Україна;3003415938,ФОП ДЕМИДЕНКО ОЛЕКСАНДР ОЛЕКСАНДРОВИЧ,Україна</t>
  </si>
  <si>
    <t>34</t>
  </si>
  <si>
    <t>3400210916,ФОП "ЛАЗУРО ІГОР ЄВГЕНОВИЧ",Україна;39803574,ТОВ "ЛАУНЧ УКРАЇНА",Україна;38352380,ТОВАРИСТВО З ОБМЕЖЕНОЮ ВІДПОВІДАЛЬНІСТЮ "ОВІ-ДИСТРИБУШН",Україна</t>
  </si>
  <si>
    <t>34366803</t>
  </si>
  <si>
    <t>34522450-1 Надувні човни</t>
  </si>
  <si>
    <t>3462603156</t>
  </si>
  <si>
    <t>34633789</t>
  </si>
  <si>
    <t>34633789,ТОВАРИСТВО З ОБМЕЖЕНОЮ ВІДПОВІДАЛЬНІСТЮ "ЕНЕРГОІНВЕСТПРОЕКТ",Україна;42082379,ТОВ "ДНІПРОВСЬКІ ЕНЕРГЕТИЧНІ ПОСЛУГИ",Україна;42949165,ТОВАРИСТВО З ОБМЕЖЕНОЮ ВІДПОВІДАЛЬНІСТЮ "ЕНЕРГОНОСІЇ УКРАЇНИ",Україна</t>
  </si>
  <si>
    <t>34910000-9 Гужові чи ручні вози, інші транспортні засоби з немеханічним приводом, багажні вози та різні запасні частини</t>
  </si>
  <si>
    <t>3491713016</t>
  </si>
  <si>
    <t>34928480-6 Контейнери та урни для відходів і сміття</t>
  </si>
  <si>
    <t>35</t>
  </si>
  <si>
    <t>35/11/9/20т</t>
  </si>
  <si>
    <t>35110000-8 Протипожежне, рятувальне та захисне обладнання</t>
  </si>
  <si>
    <t>35120000-1 Системи та пристрої нагляду та охорони</t>
  </si>
  <si>
    <t>35165938</t>
  </si>
  <si>
    <t>35391928</t>
  </si>
  <si>
    <t>3546905476</t>
  </si>
  <si>
    <t>35542970</t>
  </si>
  <si>
    <t>35986452</t>
  </si>
  <si>
    <t>35986452,ТОВ "УКРПРОМТЕХГРУП",Україна;41210474,ТОВ "ДНІПРОТЕХБУД",Україна</t>
  </si>
  <si>
    <t>36</t>
  </si>
  <si>
    <t>36216548</t>
  </si>
  <si>
    <t>36216548,ТОВ "ЦІАТ",Украина</t>
  </si>
  <si>
    <t>36297386</t>
  </si>
  <si>
    <t>36297386,ТОВ БЮРО ОЦІНКИ,Україна</t>
  </si>
  <si>
    <t>36297386,ТОВАРИСТВО З ОБМЕЖЕНОЮ ВІДПОВІДАЛЬНІСТЮ "БЮРО ОЦІНКИ",Україна;40055668,ТОВ Геометрікс,Україна</t>
  </si>
  <si>
    <t>3656104831</t>
  </si>
  <si>
    <t>3656104831,ФОП "ОНИЩЕНКО ВЛАДИСЛАВ ВЯЧЕСЛАВОВИЧ",Україна</t>
  </si>
  <si>
    <t>3656104831,ФОП "ОНИЩЕНКО ВЛАДИСЛАВ ВЯЧЕСЛАВОВИЧ",Україна;32318370,ТОВ "ВП "ПОЛІСАН",Україна;2930405436,ФОП Кутенков М.В.,Україна</t>
  </si>
  <si>
    <t>3656104831,ФОП "ОНИЩЕНКО ВЛАДИСЛАВ ВЯЧЕСЛАВОВИЧ",Україна;32318370,ТОВ "ВП "ПОЛІСАН",Україна;32490244,ТОВ "Епіцентр К",Україна;39733222,ТОВАРИСТВО З ОБМЕЖЕНОЮ ВІДПОВІДАЛЬНІСТЮ "ПАПІР ІНВЕСТ",Україна;2806911850,ФОП БЕГДЖАНЯН МАНУЕЛЬ СУРИКОВИЧ,Україна</t>
  </si>
  <si>
    <t>3656104831,ФОП "ОНИЩЕНКО ВЛАДИСЛАВ ВЯЧЕСЛАВОВИЧ",Україна;36726115,ПП РОЯЛ КАРД ДНІПРО,Україна;2700600136,ФОП Костенко Е.В.,Україна;32490244,ТОВ "Епіцентр К",Україна;3212502058,ФОП "ПОДУШКІН ЛЕОНІД ВІКТОРОВИЧ",Україна</t>
  </si>
  <si>
    <t>3656104831,ФОП "ОНИЩЕНКО ВЛАДИСЛАВ ВЯЧЕСЛАВОВИЧ",Україна;43184672,ТОВ ВІКІР ГРУП,Україна;2806911850,ФОП БЕГДЖАНЯН МАНУЕЛЬ СУРИКОВИЧ,Україна</t>
  </si>
  <si>
    <t>36723439</t>
  </si>
  <si>
    <t>36723439,ТОВ "АКТИВ ІІ",Україна</t>
  </si>
  <si>
    <t>36726115</t>
  </si>
  <si>
    <t>36865753</t>
  </si>
  <si>
    <t>36989671</t>
  </si>
  <si>
    <t>36989671,ТОВ "АРТ - ПРОМ",Україна</t>
  </si>
  <si>
    <t>37</t>
  </si>
  <si>
    <t>37410000-5 Інвентар для спортивних ігор на відкритому повітрі</t>
  </si>
  <si>
    <t>37454195</t>
  </si>
  <si>
    <t>37530000-2 Вироби для парків розваг, настільних або кімнатних ігор</t>
  </si>
  <si>
    <t>37734085</t>
  </si>
  <si>
    <t>37734085,ТОВ "СОДЕЛЬ",Україна;40494919,ПП Пром БТІ,Україна</t>
  </si>
  <si>
    <t>3780412775,ФОП "ГАЙДАЙ ЯРОСЛАВ ВАДИМОВИЧ",Україна;43248919,ТОВ "АЛІКА СЕРВІС БУД",Україна;32448135,ТОВ НВП "Укрспецмонтаж",Україна;42449356,ТОВ "УКР БУД ТЕХНОЛОГІЇ",Україна;42153947,Товариство з обмеженою відповідальністю "АГРА ГРУП",Україна</t>
  </si>
  <si>
    <t>37989080</t>
  </si>
  <si>
    <t>38</t>
  </si>
  <si>
    <t>38024604</t>
  </si>
  <si>
    <t>38076982</t>
  </si>
  <si>
    <t>38076982,ООО "ТФ "Долина Мрій"",Украина</t>
  </si>
  <si>
    <t>38229721,ПРИВАТНЕ ПІДПРИЄМСТВО "ВЕРП-ПІВДЕННИЙ",Україна;3069308711,ФОП "ПЕРВИЧКО ДМИТРО СЕРГІЙОВИЧ",Україна;40886177,ПП "ФАВОРИТ-КОМПЛЕКТ 2016",Україна;30982230,ТОВ "АДАМАС",Україна;1993503050,ФІЗИЧНА ОСОБА-ПІДПРИЄМЕЦЬ КОШМАК ЮРІЙ БОРИСОВИЧ,Україна;2806911850,ФОП БЕГДЖАНЯН МАНУЕЛЬ СУРИКОВИЧ,Україна;2974300628,ФОП Кутенкова О.О.,Україна</t>
  </si>
  <si>
    <t>38229721,ПРИВАТНЕ ПІДПРИЄМСТВО "ВЕРП-ПІВДЕННИЙ",Україна;36726115,ПП РОЯЛ КАРД ДНІПРО,Україна;3656104831,ФОП "ОНИЩЕНКО ВЛАДИСЛАВ ВЯЧЕСЛАВОВИЧ",Україна;2744015045,КАНІБОЛОЦЬКА ІРИНА ВАЛЕРІЇВНА,Україна;30982230,ТОВ "АДАМАС",Україна;2937810731,ФОП ШВИРДЮК ПАВЛО МИКОЛАЙОВИЧ,Україна</t>
  </si>
  <si>
    <t>38229737</t>
  </si>
  <si>
    <t>38299343,ТОВ "БАНТОН 32",Україна;32140051,Товариство з обмеженою відповідальністю "Торгівельний дім "Н`ю-лайн",Україна;40709939,Товариство з обмеженою відповідальністю "Будівельна група "Кітоврас",Україна;2605622581,Фізична особа-підприємець "БРИСКІНА ОКСАНА ВАСИЛІВНА",Україна;38897076,ТОВ "МБК СІНЕРГІЯ",Україна</t>
  </si>
  <si>
    <t>38360040</t>
  </si>
  <si>
    <t>38360040,Югхолодторг, Товариство З Обмеженою Відповідальністю,Украина;2755803590,ФОП "ДРИГА ОЛЕКСАНДР ВІКТОРОВИЧ",Україна</t>
  </si>
  <si>
    <t>38431598</t>
  </si>
  <si>
    <t>38529250</t>
  </si>
  <si>
    <t>38529250,Відокремлений структурний підрозділ «Дніпровський міський відділ лабораторних досліджень» Державної установи «Дніпропетровський обласний лабораторний центр Міністерства охорони здоров’я України»,,Україна</t>
  </si>
  <si>
    <t>38530067</t>
  </si>
  <si>
    <t>38530067,ТОВ "АП "Самміт - Дніпропетровськ",Україна</t>
  </si>
  <si>
    <t>38570157</t>
  </si>
  <si>
    <t>38587380</t>
  </si>
  <si>
    <t>38587380,ТОВ "ДОНСАНТЕХБУД",Україна</t>
  </si>
  <si>
    <t>38945311</t>
  </si>
  <si>
    <t>38945311,Товариство з обмеженою відповідальністю "Компанія Комп’ютерні та інформаційні технології-2005",Україна;39477371,ТОВАРИСТВО З ОБМЕЖЕНОЮ ВІДПОВІДАЛЬНІСТЮ  «ПЕРШИЙ БІТ»,Україна</t>
  </si>
  <si>
    <t>38965825</t>
  </si>
  <si>
    <t>39</t>
  </si>
  <si>
    <t>39100000-3 Меблі</t>
  </si>
  <si>
    <t>39130000-2 Офісні меблі</t>
  </si>
  <si>
    <t>39143121-0 Гардеробні шафи</t>
  </si>
  <si>
    <t>39160000-1 Шкільні меблі</t>
  </si>
  <si>
    <t>39200703</t>
  </si>
  <si>
    <t>39200703,ТОВ "СЕРВІС ПРО",Україна</t>
  </si>
  <si>
    <t>39200703,ТОВ "СЕРВІС ПРО",Україна;34410050,ТОВ "УКРПЛАСТЕКОЛОГІЯ",Україна;19143995,ТОВАРИСТВО З ОБМЕЖЕНОЮ ВІДПОВІДАЛЬНІСТЮ ТОРГОВЕЛЬНО-ВИРОБНИЧА ГРУПА "КУНІЦА",Україна</t>
  </si>
  <si>
    <t>39220000-0 Кухонне приладдя, товари для дому та господарства і приладдя для закладів громадського харчування</t>
  </si>
  <si>
    <t>39224100-9 Мітли</t>
  </si>
  <si>
    <t>39224210-3 Пензлі для фарбування</t>
  </si>
  <si>
    <t>39417349</t>
  </si>
  <si>
    <t>39417349,ТОВ "АВЕРС КАНЦЕЛЯРІЯ",Україна;3344006040,ФОП "СУРЖА ТЕТЯНА ВАСИЛІВНА",Україна;41136522,ТОВАРИСТВО З ОБМЕЖЕНОЮ ВІДПОВІДАЛЬНІСТЮ "ДИРЕКТ ОФІС СЕРВІС",Україна;19143995,ТОВАРИСТВО З ОБМЕЖЕНОЮ ВІДПОВІДАЛЬНІСТЮ ТОРГОВЕЛЬНО-ВИРОБНИЧА ГРУПА "КУНІЦА",УКРАЇНА;25394112,Товариство з обмеженою відповідальністю "Український папір",Україна</t>
  </si>
  <si>
    <t>39510000-0 Вироби домашнього текстилю</t>
  </si>
  <si>
    <t>39525000-8 Готові текстильні вироби різні</t>
  </si>
  <si>
    <t>39710000-2 Електричні побутові прилади</t>
  </si>
  <si>
    <t>39711130-9 Холодильники</t>
  </si>
  <si>
    <t>39803574</t>
  </si>
  <si>
    <t>3ДП/21</t>
  </si>
  <si>
    <t>4</t>
  </si>
  <si>
    <t>40100448</t>
  </si>
  <si>
    <t>40100448,ООО "ТОРГОВИЙ ДІМ "НЄФТЕК",Украина;37149148,ТОВАРИСТВО З ОБМЕЖЕНОЮ ВІДПОВІДАЛЬНІСТЮ "ТОРГОВИЙ ДІМ" АВІАС",Україна</t>
  </si>
  <si>
    <t>40278390</t>
  </si>
  <si>
    <t>40278390,ТОВ ВАКУЛА ІНСТРУМЕНТ,Україна</t>
  </si>
  <si>
    <t>40282213</t>
  </si>
  <si>
    <t>40282213,ТОВ "ГК"Аквасфера",Україна</t>
  </si>
  <si>
    <t>40366193,ТОВ "ІНОВАЦІЯ ГРУП",Україна;3323603353,ФОП Осташевський Я.I.,Україна;2972002641,ФОП "СУМАРОКОВА ВІРА ВАЛЕРІЇВНА",Україна;36494745,ТОВ "ДНІПРО-СПЕЦ-ЗІЗ",Україна;19097605,ТОВ АЛЮР,Україна;42908951,ТОВАРИСТВО З ОБМЕЖЕНОЮ ВІДПОВІДАЛЬНІСТЮ "РТ УКРАЇНА",Україна;37267441,ТОВ "ВІК СЕРВІС",Україна;3368807347,МІНЯЙЛО ЮЛІЯ ВАСИЛІВНА,Україна;40979287,ТОВ "СІМАНТЕКС",Україна</t>
  </si>
  <si>
    <t>40367642</t>
  </si>
  <si>
    <t>40367642,ФЛП Поляков Василий Сергеевич,Украина;36379987,ТОВ Засоби малої механізації,Україна</t>
  </si>
  <si>
    <t>40484701,ТОВ "КомпаКом",Україна;42792039,ТОВАРИСТВО З ОБМЕЖЕНОЮ ВІДПОВІДАЛЬНІСТЮ "ГАРДЕН ЕЛЕКТРОНІКС",УКРАЇНА;3447101710,ВИНИЧУК  АРТЕМ ЮРІЙОВИЧ,Україна;30256061,ТОВ "ДІАВЕСТЕНД КОМПЛЕКСНІ РІШЕННЯ",Україна;40750285,ТОВ "ВИРОБНИЧО-КОМЕРЦІЙНЕ ПІДПРИЄМСТВО "ВСЕСВІТ",Україна;24083083,ТОВ "КОМЕЛ",Україна</t>
  </si>
  <si>
    <t>40709939</t>
  </si>
  <si>
    <t>40750285</t>
  </si>
  <si>
    <t>40750285,ТОВ "ВИРОБНИЧО-КОМЕРЦІЙНЕ ПІДПРИЄМСТВО "ВСЕСВІТ",Україна;3364008690,РУДЧЕНКО ОЛЕКСАНДР ВОЛОДИМИРОВИЧ,Україна;30256061,ТОВ "ДІАВЕСТЕНД КОМПЛЕКСНІ РІШЕННЯ",Україна;40484701,ТОВ "КомпаКом",Україна</t>
  </si>
  <si>
    <t>40878412</t>
  </si>
  <si>
    <t>40878412,ТОВ "ДНІПРО ОІЛ ТРЕЙД",Україна;41449359,ТОВ "ЛІВАЙН ТОРГ",Україна</t>
  </si>
  <si>
    <t>40878412,ТОВ "ДНІПРО ОІЛ ТРЕЙД",Україна;41449359,ТОВАРИСТВО З ОБМЕЖЕНОЮ ВІДПОВІДАЛЬНІСТЮ "ЛІВАЙН ТОРГ",Україна</t>
  </si>
  <si>
    <t>41</t>
  </si>
  <si>
    <t>41/28/9/20т</t>
  </si>
  <si>
    <t>41068903</t>
  </si>
  <si>
    <t>41203195</t>
  </si>
  <si>
    <t>41203195,ТОВ "ФЕСТ-17",Україна</t>
  </si>
  <si>
    <t>41301708</t>
  </si>
  <si>
    <t>41317084</t>
  </si>
  <si>
    <t>41317084,ТОВ "МЕТИЗ-МАРКЕТ",Україна;38591219,ТОВ "СИСТЕМИ КРІПЛЕННЯ",Україна;2744015045,КАНІБОЛОЦЬКА ІРИНА ВАЛЕРІЇВНА,Україна;2930213390,ФОП "ШВЕЦОВ ДЕНИС СЕРГІЙОВИЧ",Україна</t>
  </si>
  <si>
    <t>41352679</t>
  </si>
  <si>
    <t>41384716</t>
  </si>
  <si>
    <t>41449359</t>
  </si>
  <si>
    <t>41449359,ТОВАРИСТВО З ОБМЕЖЕНОЮ ВІДПОВІДАЛЬНІСТЮ "ЛІВАЙН ТОРГ",Україна</t>
  </si>
  <si>
    <t>4186-ДЭ-ПрТЭС/В</t>
  </si>
  <si>
    <t>4188-ДЭ-ПрТЭС/С</t>
  </si>
  <si>
    <t>42</t>
  </si>
  <si>
    <t>42065400</t>
  </si>
  <si>
    <t>42065400,ТОВ "КОМПАНІЯ ЛІДЕР-ДНІПРО",Україна;13612779,ТОВ "ФІРМА "ДНІПРОКОР",Україна</t>
  </si>
  <si>
    <t>42082379</t>
  </si>
  <si>
    <t>42120000-6 Насоси та компресори</t>
  </si>
  <si>
    <t>42583717</t>
  </si>
  <si>
    <t>42583717,ТОВ "ТП ТЕХПРОМ",Україна;37425845,ТОВ "ЧИСТИЙ ВИД",Україна</t>
  </si>
  <si>
    <t>42650000-7 Ручні інструменти пневматичні чи моторизовані</t>
  </si>
  <si>
    <t>42670000-3 Частини та приладдя до верстатів</t>
  </si>
  <si>
    <t>42792039</t>
  </si>
  <si>
    <t>42956371</t>
  </si>
  <si>
    <t>43</t>
  </si>
  <si>
    <t>43111599</t>
  </si>
  <si>
    <t>43111599,ТОВ "ЛА СТРАДА",Україна;39126101,ТОВ "ІНКОМЕКО",Україна</t>
  </si>
  <si>
    <t>43127829</t>
  </si>
  <si>
    <t>43127829,ТОВ "НЄФТЕК СІТІ ОІЛ",Україна;36248687,ПП "ОККО КОНТРАКТ",Україна;41449359,ТОВ "ЛІВАЙН ТОРГ",Україна</t>
  </si>
  <si>
    <t>43127829,ТОВ "НЄФТЕК СІТІ ОІЛ",Україна;41449359,ТОВАРИСТВО З ОБМЕЖЕНОЮ ВІДПОВІДАЛЬНІСТЮ "ЛІВАЙН ТОРГ",Україна;33694992,ТОВАРИСТВО З ОБМЕЖЕНОЮ ВІДПОВІДАЛЬНІСТЮ "ПАРАДІС СЕРВІС",Україна</t>
  </si>
  <si>
    <t>43184672</t>
  </si>
  <si>
    <t>43320000-2 Будівельне обладнання</t>
  </si>
  <si>
    <t>43336905</t>
  </si>
  <si>
    <t>43410000-0 Машини для обробки мінералів</t>
  </si>
  <si>
    <t>43536159</t>
  </si>
  <si>
    <t>44</t>
  </si>
  <si>
    <t>44110000-4 Конструкційні матеріали</t>
  </si>
  <si>
    <t>44111000-1 Будівельні матеріали</t>
  </si>
  <si>
    <t>44111200-3 Цемент</t>
  </si>
  <si>
    <t>44160000-9 Магістралі, трубопроводи, труби, обсадні труби, тюбінги та супутні вироби</t>
  </si>
  <si>
    <t>44330000-2 Будівельні прути, стрижні, дроти та профілі</t>
  </si>
  <si>
    <t>44400000-4 Готова продукція різних видів та супутні вироби</t>
  </si>
  <si>
    <t>44421300-0 Сейфи</t>
  </si>
  <si>
    <t>44510000-8 Знаряддя</t>
  </si>
  <si>
    <t>44530000-4 Кріпильні деталі</t>
  </si>
  <si>
    <t>44810000-1 Фарби</t>
  </si>
  <si>
    <t>44812100-6 Емалі та глазурі</t>
  </si>
  <si>
    <t>44812100-6 Емалі та глазурі;44810000-1 Фарби</t>
  </si>
  <si>
    <t>44830000-7 Мастики, шпаклівки, замазки та розчинники</t>
  </si>
  <si>
    <t>44912400-0 Бордюрний камінь</t>
  </si>
  <si>
    <t>45</t>
  </si>
  <si>
    <t>45000000-7 Будівельні роботи та поточний ремонт</t>
  </si>
  <si>
    <t>45310000-3 Електромонтажні роботи</t>
  </si>
  <si>
    <t>45330000-9 Водопровідні та санітарно-технічні роботи</t>
  </si>
  <si>
    <t>47</t>
  </si>
  <si>
    <t>48</t>
  </si>
  <si>
    <t>48000000-8 Пакети програмного забезпечення та інформаційні системи</t>
  </si>
  <si>
    <t>48440000-4 Пакети програмного забезпечення для фінансового аналізу та бухгалтерського обліку</t>
  </si>
  <si>
    <t>4ДП/21</t>
  </si>
  <si>
    <t>5 ДП/19</t>
  </si>
  <si>
    <t>50245610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</si>
  <si>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</si>
  <si>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</si>
  <si>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50510000-3 Послуги з ремонту і технічного обслуговування насосів, клапанів, кранів і металевих контейнерів</t>
  </si>
  <si>
    <t>50760000-0 Ремонт і технічне обслуговування громадських вбиралень</t>
  </si>
  <si>
    <t>50ДП/20</t>
  </si>
  <si>
    <t>51ДП/20</t>
  </si>
  <si>
    <t>52</t>
  </si>
  <si>
    <t>53</t>
  </si>
  <si>
    <t>54</t>
  </si>
  <si>
    <t>546</t>
  </si>
  <si>
    <t>6</t>
  </si>
  <si>
    <t>60100000-9 Послуги з автомобільних перевезень</t>
  </si>
  <si>
    <t>60170000-0 Прокат пасажирських транспортних засобів із водієм</t>
  </si>
  <si>
    <t>60171000-7 Прокат легкових автомобілів із водієм</t>
  </si>
  <si>
    <t>60180000-3 Прокат вантажних транспортних засобів із водієм для перевезення товарів</t>
  </si>
  <si>
    <t>60184000-1 Прокат вантажних та промислових транспортних засобів без водія для перевезення товарів</t>
  </si>
  <si>
    <t>63</t>
  </si>
  <si>
    <t>64</t>
  </si>
  <si>
    <t>65</t>
  </si>
  <si>
    <t>65100000-4 Послуги з розподілу води та супутні послуги</t>
  </si>
  <si>
    <t>65110000-7 Розподіл води</t>
  </si>
  <si>
    <t>683</t>
  </si>
  <si>
    <t>7</t>
  </si>
  <si>
    <t>7003</t>
  </si>
  <si>
    <t>70220000-9 Послуги з надання в оренду чи лізингу нежитлової нерухомості</t>
  </si>
  <si>
    <t>71240000-2 Архітектурні, інженерні та планувальні послуги</t>
  </si>
  <si>
    <t>71250000-5 Архітектурні, інженерні та геодезичні послуги</t>
  </si>
  <si>
    <t>71320000-7 Послуги з інженерного проектування</t>
  </si>
  <si>
    <t>71350000-6 Науково-технічні послуги в галузі інженерії</t>
  </si>
  <si>
    <t>71900000-7 Лабораторні послуги</t>
  </si>
  <si>
    <t>72220000-3 Консультаційні послуги з питань систем та з технічних питань</t>
  </si>
  <si>
    <t>72250000-2 Послуги, пов’язані із системами та підтримкою</t>
  </si>
  <si>
    <t>72253200-5 Послуги з підтримки систем</t>
  </si>
  <si>
    <t>72260000-5 Послуги, пов'язані з програмним забезпеченням</t>
  </si>
  <si>
    <t>72310000-1 Послуги з обробки даних</t>
  </si>
  <si>
    <t>72410000-7 Послуги провайдерів</t>
  </si>
  <si>
    <t>75250000-3 Послуги пожежних і рятувальних служб</t>
  </si>
  <si>
    <t>75252000-7 Рятувальні послуги</t>
  </si>
  <si>
    <t>755</t>
  </si>
  <si>
    <t>77310000-6 Послуги з озеленення територій та утримання зелених насаджень</t>
  </si>
  <si>
    <t>79410000-1 Консультаційні послуги з питань підприємницької діяльності та управління</t>
  </si>
  <si>
    <t>79419000-4 Консультаційні послуги з питань оцінювання</t>
  </si>
  <si>
    <t>79710000-4 Охоронні послуги</t>
  </si>
  <si>
    <t>79950000-8 Послуги з організації виставок, ярмарок і конгресів</t>
  </si>
  <si>
    <t>79991000-7 Послуги з інвентаризації</t>
  </si>
  <si>
    <t>8</t>
  </si>
  <si>
    <t>808</t>
  </si>
  <si>
    <t>83/19-ПР</t>
  </si>
  <si>
    <t>83/3</t>
  </si>
  <si>
    <t>84/19-ВО</t>
  </si>
  <si>
    <t>85/19</t>
  </si>
  <si>
    <t>85140000-2 Послуги у сфері охорони здоров’я різні</t>
  </si>
  <si>
    <t>86</t>
  </si>
  <si>
    <t>86/19</t>
  </si>
  <si>
    <t>87/19</t>
  </si>
  <si>
    <t>9</t>
  </si>
  <si>
    <t>90400000-1 Послуги у сфері водовідведення</t>
  </si>
  <si>
    <t>90430000-0 Послуги з відведення стічних вод</t>
  </si>
  <si>
    <t>90460000-9 Послуги зі спорожнення вигрібних ям і септиків</t>
  </si>
  <si>
    <t>90510000-5 Утилізація сміття та поводження зі сміттям</t>
  </si>
  <si>
    <t>90510000-5 Утилізація/видалення сміття та поводження зі сміттям</t>
  </si>
  <si>
    <t>90511200-4 Послуги зі збирання побутових відходів</t>
  </si>
  <si>
    <t>90730000-3 Відстеження, моніторинг забруднень і відновлення</t>
  </si>
  <si>
    <t>90910000-9 Послуги з прибирання</t>
  </si>
  <si>
    <t>90920000-2 Послуги із санітарно-гігієнічної обробки приміщень</t>
  </si>
  <si>
    <t>90923000-3 Послуги з дератизації</t>
  </si>
  <si>
    <t>9350</t>
  </si>
  <si>
    <t>96</t>
  </si>
  <si>
    <t>9802</t>
  </si>
  <si>
    <t>B02/03/21-2</t>
  </si>
  <si>
    <t>UAH</t>
  </si>
  <si>
    <t>report.zakupki@prom.ua</t>
  </si>
  <si>
    <t>ЄДРПОУ організатора</t>
  </si>
  <si>
    <t>ЄДРПОУ переможця</t>
  </si>
  <si>
    <t>Ідентифікатор закупівлі</t>
  </si>
  <si>
    <t xml:space="preserve">Інвентар для спортивних ігор на відкритому повітрі </t>
  </si>
  <si>
    <t>Інвентаризація нерухомого майна та зелених насаджень</t>
  </si>
  <si>
    <t>АВАРІЙНО-РЯТУВАЛЬНИЙ ЗАГІН СПЕЦІАЛЬНОГО ПРИЗНАЧЕННЯ ГОЛОВНОГО УПРАВЛІННЯ ДЕРЖАВНОЇ СЛУЖБИ УКРАЇНИ З НАДЗВИЧАЙНИХ СИТУАЦІЙ У ДНІПРОПЕТРОВСЬКІЙ ОБЛАСТІ</t>
  </si>
  <si>
    <t>АКЦІОНЕРНЕ ТОВАРИСТВО "ДТЕК ДНІПРОВСЬКІ ЕЛЕКТРОМЕРЕЖІ"</t>
  </si>
  <si>
    <t>АКЦІОНЕРНЕ ТОВАРИСТВО "ДТЕК ДНІПРОЕНЕРГО"</t>
  </si>
  <si>
    <t>Абразивні вироби</t>
  </si>
  <si>
    <t>Аварійно-рятувальне обслуговування</t>
  </si>
  <si>
    <t>Альона Байдуж</t>
  </si>
  <si>
    <t>Аптечка медична "Виробнича"</t>
  </si>
  <si>
    <t>Бензин А-92</t>
  </si>
  <si>
    <t>Бензин А-92 у талонах,
Бензин А-95 у талонах</t>
  </si>
  <si>
    <t>Бензин А-92; Бензин А-95</t>
  </si>
  <si>
    <t>Бензин А92</t>
  </si>
  <si>
    <t>Бензиновий генератор</t>
  </si>
  <si>
    <t>Бензопила Stihl MS 180</t>
  </si>
  <si>
    <t>Бордюр тротуарний, пресований сірий</t>
  </si>
  <si>
    <t xml:space="preserve">Брус 40х50х3000 мм сосна ; Брус  40х70х2000 мм сосна </t>
  </si>
  <si>
    <t>Будівельні матеріали</t>
  </si>
  <si>
    <t>Бітономішалка</t>
  </si>
  <si>
    <t>В02/03/21-1</t>
  </si>
  <si>
    <t>В14/04/21-3</t>
  </si>
  <si>
    <t>ВІдсів гранітний фр.0-5</t>
  </si>
  <si>
    <t>Валики та пензлі</t>
  </si>
  <si>
    <t>Валюта</t>
  </si>
  <si>
    <t>Виконання проектно-вишукувальних робіт по об"єкту пр. Петра Калнишевського - вул. Гулі Корольової у м.Дніпро</t>
  </si>
  <si>
    <t>Вироби медичного призначення</t>
  </si>
  <si>
    <t>Водовідведення</t>
  </si>
  <si>
    <t>Водопостачання</t>
  </si>
  <si>
    <t>Всі учасники закупки</t>
  </si>
  <si>
    <t>Вязовий Володимир Михайлович</t>
  </si>
  <si>
    <t>Відкриті торги</t>
  </si>
  <si>
    <t>Відокремлений структурний підрозділ "Дніпровський міський ВЛД ДУ Дніпропетровський ОЛЦ МОЗ України"</t>
  </si>
  <si>
    <t>Відокремлений структурний підрозділ «Дніпровський міський відділ лабораторних досліджень» Державної установи «Дніпропетровський обласний лабораторний центр Міністерства охорони здоров’я України»,</t>
  </si>
  <si>
    <t>Відро будівельне</t>
  </si>
  <si>
    <t>Відцентровий поверхневий насос</t>
  </si>
  <si>
    <t>Візки садові 2-х колісні, та додаткові поліуретанові колеса</t>
  </si>
  <si>
    <t>Візок для прибирання на 120 л посилений</t>
  </si>
  <si>
    <t>Газон FF gruneOASE універсальний 10кг</t>
  </si>
  <si>
    <t>Генератор бензиновий</t>
  </si>
  <si>
    <t>Горбаченко Микита Сергійович</t>
  </si>
  <si>
    <t>Господарчі товари</t>
  </si>
  <si>
    <t>Готові текстильні вироби</t>
  </si>
  <si>
    <t>Граблі та лопати</t>
  </si>
  <si>
    <t>Гучномовець</t>
  </si>
  <si>
    <t>ДЕРЖАВНА УСТАНОВА "ДНІПРОПЕТРОВСЬКИЙ ОБЛАСНИЙ ЛАБОРАТОРНИЙ ЦЕНТР МІНІСТЕРСТВА ОХОРОНИ ЗДОРОВ'Я УКРАЇНИ"</t>
  </si>
  <si>
    <t>ДНІПРОПЕТРОВСЬКА ФІЛІЯ СПІЛЬНОГО УКРАЇНСЬКО-НІМЕЦЬКОГО ПІДПРИЄМСТВА В ФОРМІ ТОВАРИСТВА З ОБМЕЖЕНОЮ ВІДПОВІДАЛЬНІСТЮ "ІНФОКОМ"</t>
  </si>
  <si>
    <t>ДРОНОВ ОЛЕКСАНДР ПАВЛОВИЧ</t>
  </si>
  <si>
    <t>ДТЕК ПРИДНІПРОВСЬКА ТЕС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</si>
  <si>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</si>
  <si>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</si>
  <si>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</si>
  <si>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</si>
  <si>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Дератизація</t>
  </si>
  <si>
    <t>Дератизація в будинках і спорудах</t>
  </si>
  <si>
    <t>Деревина</t>
  </si>
  <si>
    <t>Державне підприємство «Підприємство бучанської виправної колонії управління державної пенітенціарної служби України в м. Києві та Київській області (№85)»</t>
  </si>
  <si>
    <t>Добрива та сполуки азоту</t>
  </si>
  <si>
    <t>Договір діє до:</t>
  </si>
  <si>
    <t>Допорогова закупівля</t>
  </si>
  <si>
    <t>Дошка для офісів і навчальних закладів Фліпчарт</t>
  </si>
  <si>
    <t>Електрична енергія</t>
  </si>
  <si>
    <t>Емаль</t>
  </si>
  <si>
    <t>Емаль  алкідна ПФ-116  2,8 кг; Фарба біла порошкова для садів 14 кг ; Фарба акрилова водоемульсійна 20 кг</t>
  </si>
  <si>
    <t>Емаль ЛФ-115, сіра 2,8 кг.</t>
  </si>
  <si>
    <t>З ПДВ</t>
  </si>
  <si>
    <t>Завантаження та вивіз опалого листя</t>
  </si>
  <si>
    <t xml:space="preserve">Зажим для сталевих канатів 4 мм нерд А4, Замок навісник, ABUS  838/40 Blister,4 кл, Шпатель 60 мм нержавіюча сталь Montero MS 100-60 </t>
  </si>
  <si>
    <t>Закупівля без використання електронної системи</t>
  </si>
  <si>
    <t>Засіб КЗІ "Secure Token-337М"</t>
  </si>
  <si>
    <t>Засіб КЗІ "SecureToken-337M"</t>
  </si>
  <si>
    <t>Звіт створено 12 травня о 15:40 з використанням http://zakupki.prom.ua</t>
  </si>
  <si>
    <t>Знаряддя різне</t>
  </si>
  <si>
    <t xml:space="preserve">Знаряддя різне </t>
  </si>
  <si>
    <t>КАНІБОЛОЦЬКА ІРИНА ВАЛЕРІЇВНА</t>
  </si>
  <si>
    <t>КОБЗАР ДМИТРО ЄВГЕНОВИЧ</t>
  </si>
  <si>
    <t>КОМУНАЛЬНЕ ПІДПРИЄМСТВО  "ПАРК КУЛЬТУРИ ТА ВІДПОЧИНКУ ПРИДНІПРОВСЬКИЙ" ДНІПРОВСЬКОЇ МІСЬКОЇ РАДИ</t>
  </si>
  <si>
    <t>КОМУНАЛЬНЕ ПІДПРИЄМСТВО "ДНІПРОВОДОКАНАЛ" ДНІПРОВСЬКОЇ МІСЬКОЇ РАДИ</t>
  </si>
  <si>
    <t>КОМУНАЛЬНЕ ПІДПРИЄМСТВО "ЖИЛСЕРВІС-2" ДНІПРОВСЬКОЇ МІСЬКОЇ РАДИ</t>
  </si>
  <si>
    <t>КОМУНАЛЬНЕ ПІДПРИЄМСТВО "МІСЬКЗЕЛЕНБУД" ДНІПРОВСЬКОЇ МІСЬКОЇ РАДИ</t>
  </si>
  <si>
    <t>КРАСИЛЬНИКОВ ВОЛОДИМИР ВАЛЕРІЙОВИЧ</t>
  </si>
  <si>
    <t>Канцтовари</t>
  </si>
  <si>
    <t>Класифікатор</t>
  </si>
  <si>
    <t>Кобзар Дмитро Євгенович</t>
  </si>
  <si>
    <t>Комп`ютерне обладнання</t>
  </si>
  <si>
    <t xml:space="preserve">Комп`ютерне обладнання </t>
  </si>
  <si>
    <t>Комплект  спортивно-ігрової конструкції (Баскетбольне поле)</t>
  </si>
  <si>
    <t>Комплект обладнання для дитячих ігрових майданчиків</t>
  </si>
  <si>
    <t>Кондиціонери</t>
  </si>
  <si>
    <t>Консервація на зимовий період системи автоматичного поливу</t>
  </si>
  <si>
    <t xml:space="preserve">Конструкційні матеріали  </t>
  </si>
  <si>
    <t>Консультаційні послуги з питань підприємницької діяльності та управління</t>
  </si>
  <si>
    <t>Крипильні деталі</t>
  </si>
  <si>
    <t>Крипільні деталі</t>
  </si>
  <si>
    <t>Кріпильні деталі</t>
  </si>
  <si>
    <t>Кулери для води</t>
  </si>
  <si>
    <t xml:space="preserve">Кухонне приладдя, товари для дому та господарства і приладдя для закладів громадського харчування </t>
  </si>
  <si>
    <t>Кількість одиниць</t>
  </si>
  <si>
    <t>Кількість учасників аукціону</t>
  </si>
  <si>
    <t>ЛЕ0209/2020</t>
  </si>
  <si>
    <t xml:space="preserve">ЛЕВЧЕНКО ОЛЕКСАНДР ВІКТОРОВИЧ </t>
  </si>
  <si>
    <t>ЛИТВИНОВ ПАВЛО СЕРГІЙОВИЧ</t>
  </si>
  <si>
    <t>Лопати та граблі</t>
  </si>
  <si>
    <t>М-04-4</t>
  </si>
  <si>
    <t>М/137/01/2020</t>
  </si>
  <si>
    <t>М/137/04/2019</t>
  </si>
  <si>
    <t>МАРКІН ОЛЕКСІЙ ПАВЛОВИЧ</t>
  </si>
  <si>
    <t>МАТУХНО СЕРГІЙ ЮРІЙОВИЧ</t>
  </si>
  <si>
    <t>МФУ Camon i- sensys mf 3010 18 ppm A4 pr\sc\cop</t>
  </si>
  <si>
    <t>Магістралі, трубопроводи, труби, обсадні труби, тюбінги та супутні вироби</t>
  </si>
  <si>
    <t>Максимов Євген Анатолійович</t>
  </si>
  <si>
    <t>Малихіна  Лідія Федорівна</t>
  </si>
  <si>
    <t>Масло 4T 10W-30 Master Synt; Масло 2Т Master Synt; Масло для смазки цепей бензопил</t>
  </si>
  <si>
    <t>Мастильні засоби</t>
  </si>
  <si>
    <t>Меблі офісні</t>
  </si>
  <si>
    <t>Мобільні туалетні кабінки</t>
  </si>
  <si>
    <t>Мотокоса</t>
  </si>
  <si>
    <t>Мікробіологічний і хімічний аналіз води</t>
  </si>
  <si>
    <t>Мікробіологічний і хімічний аналіз води та піску</t>
  </si>
  <si>
    <t>Мітла</t>
  </si>
  <si>
    <t>Мішки для сміття 120л; Мішки для сміття 240л</t>
  </si>
  <si>
    <t>Надання послуг автотранспорту з водієм</t>
  </si>
  <si>
    <t>Надання послуг автотранспорту із водієм</t>
  </si>
  <si>
    <t>Надання послуг щодо впровадження та налаштування комп"ютерної програми  "Єдина інформаційна система управління бюджетом"</t>
  </si>
  <si>
    <t>Надання топографо-геодезичних послуг з подеревною зйомкою об’єктів благоустрою</t>
  </si>
  <si>
    <t>Насіння</t>
  </si>
  <si>
    <t>Никіфоров Євген Олександрович</t>
  </si>
  <si>
    <t>Номер договору</t>
  </si>
  <si>
    <t>Ноутбуки</t>
  </si>
  <si>
    <t>Ні</t>
  </si>
  <si>
    <t>ООО "ТОРГОВИЙ ДІМ "НЄФТЕК"</t>
  </si>
  <si>
    <t>ООО "ТФ "Долина Мрій""</t>
  </si>
  <si>
    <t>Обладнання для систем охоронної сигналізації та виконання необхідних монтажних і пусконалагоджувальних робіт</t>
  </si>
  <si>
    <t>Обстеження та очищення дна річки  (акваторії пляжів) від небезпечних предметів пляж КЗК "Парк культури та відпочинку Сагайдак"</t>
  </si>
  <si>
    <t>Обстеження та очищення дна річки (акваторії пляжів) від небезпечних предметів пляж гідропарку Придніпровський</t>
  </si>
  <si>
    <t>Одиниця виміру</t>
  </si>
  <si>
    <t>Організатор</t>
  </si>
  <si>
    <t>Оренда колісного трактора</t>
  </si>
  <si>
    <t>Оренда нерухомого майна</t>
  </si>
  <si>
    <t>Оренда транспортного засобу з водієм</t>
  </si>
  <si>
    <t>Освітлювальне обладнання</t>
  </si>
  <si>
    <t>Основний контакт</t>
  </si>
  <si>
    <t xml:space="preserve">Офісне устаткування та приладдя різне (Канцтовари)
</t>
  </si>
  <si>
    <t>Офісні меблі</t>
  </si>
  <si>
    <t>Оцінка нерухомого майна</t>
  </si>
  <si>
    <t>Очікувана вартість закупівлі</t>
  </si>
  <si>
    <t>Очікувана вартість, одиниця</t>
  </si>
  <si>
    <t>ПАТ “ДТЕК ДНІПРООБЛЕНЕРГО”</t>
  </si>
  <si>
    <t>ПП РОЯЛ КАРД ДНІПРО</t>
  </si>
  <si>
    <t>ПРИВАТНЕ ПІДПРИЄМСТВО "КУЛЕРОВА ФАНКІ КОМПАНІ"</t>
  </si>
  <si>
    <t>ПРИВАТНЕ ПІДПРИЄМСТВО "ЛЄОН"</t>
  </si>
  <si>
    <t>ПРИВАТНЕ ПІДПРИЄМСТВО "МЕГАПОЛИС - ДНЕПР"</t>
  </si>
  <si>
    <t>ПРИВАТНЕ ПІДПРИЄМСТВО "СТРОБІЛ"</t>
  </si>
  <si>
    <t>Павлова Алла Валеріївна</t>
  </si>
  <si>
    <t>Пакети для сміття</t>
  </si>
  <si>
    <t>Папка-швидкозшивач з перфорацією А4 130/160 з прозорим верхом різнокольорові;  Біндери чорні 19мм 12 шт/уп; Біндери чорні 25 мм 12 шт/уп; Точилка з контейнером 1 отвір металева, корпус пластиковий, для офісного олівця металева; Лінійка пластикова 30 см,  не прозорі; Лінійка дерев’яна; Скріпки закруглені 50 мм 100 шт/уп Нікельовані; Скріпки закруглені 28 мм 100 шт/уп Нікельовані; Клейка стрічка (скотч ) пакувальна 48 мм х 50 м Прозора  ; Клейка стрічка (скотч) пакувальна 18 мм х 20 м прозора ; Маркер по диску, чорний  10шт, червоний 10 шт; Маркер текстовий флуоресцентний 2-4 мм
рожевий 10 шт
помаранчевий 10 шт
зелений 10 шт
жовтий 10 шт;  Металева підставка-органайзер  сіра 15.5 x 10.3 x 10 см;  Коректор стрічковий 5 мм х 6 м;  Коректор-ручка з металевим стрижнем, 7 мл ;  Щоденник недатований А5, папір білого кольору, лінія, щільність паперу, г/м2 70, на 320 стор Синій, червоний ;  Ластик для олівця і ручки ;  Закладки з клейким шаром розмір: 12*45 мм 100 шт/уп
 5 неонових кольорові неонові кольорові 100шт/уп
 ; Ножиці канцелярські ручки з гумовими вставками 19,5см загальна довжина, 7 см довжина леза
 ; Ручка  Cello Writo-meter синя;   Ручка  Cello Writo-meter червона ;  Скоби для степлера №24/6 1000 шт в упаковці; Степлер, 24/6, до 25 л., металл. Корпус, до 25 аркушів ;  Папка-реєстратор A4 50 мм Арочний
зелена 5 шт
синя 5 шт
червона 5 шт;  Папка пластикова на гумці А4 550 мм ; Папка пластикова з швидкозшивачем А4 ПВХ   ;  Папка - конверт на блискавці А4;  Папка пластикова  з файлами на 100 файлів ; Зошит загальний на пружині А4 96 аркушів ;  Зошит загальний на пружині А5 48 аркушів;  Зошит загальний на пружині А6 80 аркушів ; Нитка прошивочна поліефірна 762 м  
Щільність нитки / шпагату 210 текс
;  Бумага А4 80 г/м²  пачка; Ручка шарикова, сині чорнила,  Piano Classic  ;  Ручка пиши-стирай;  Клей олівець 36 гр ;  Клей ПВА 200 грам, з дозатором і євро-ковпачком;  Книга канцелярська, А4, 96 л, клітина, бумвініл, офсет, тверда обкладинка;  Ніж універсальний(канцелярський), 18 мм, пласт. корпус; Бокс архівний з картону 150 мм Axent (або еквівалент)   ;  Олівець механічний 0,5 мм;  Стрижні для механічних олівців 0,5 мм ;  Конверти паперові DL ;  Конверти паперові В4;  Папір для нотаток клейкий, (75*75мм/100л);  Блок паперу для нотаток 100*100мм у пеналі ;  Календарі настільні ;  Календарі настінні;  Датери, штампи</t>
  </si>
  <si>
    <t>Пензель  30 мм; Пензель  50 мм; Пензель  100 мм</t>
  </si>
  <si>
    <t>Переговорна процедура, скорочена</t>
  </si>
  <si>
    <t>Періодичні видання</t>
  </si>
  <si>
    <t>Плащ від дощу МА305 (жовтого кольору, розмір XXL)</t>
  </si>
  <si>
    <t>Позачергова технічна перевірка правильності роботи лічильника електроенергії</t>
  </si>
  <si>
    <t>Посилання на редукціон</t>
  </si>
  <si>
    <t>Послуги КЕП</t>
  </si>
  <si>
    <t>Послуги автомобілем з краном маніпулятором</t>
  </si>
  <si>
    <t>Послуги автотранспортом та механізмами</t>
  </si>
  <si>
    <t>Послуги з вивозу твердих побутових відходів та сміття</t>
  </si>
  <si>
    <t>Послуги з вивозу твердих побутових відходів та сміття.</t>
  </si>
  <si>
    <t>Послуги з виїзду фахівця в офіс Абонента для допомоги у генерації ключів ЕЦП</t>
  </si>
  <si>
    <t>Послуги з встановлення систем кондиціонування</t>
  </si>
  <si>
    <t>Послуги з дератизації та дезинсекції</t>
  </si>
  <si>
    <t>Послуги з надання оренди нерухомого майна</t>
  </si>
  <si>
    <t>Послуги з обов'язкового аварійно-рятувального обслуговування   пляжів на  території парку Сагайдак і парку Придніпровський,  м. Дніпро</t>
  </si>
  <si>
    <t>Послуги з обслуговування біотуалетів</t>
  </si>
  <si>
    <t>Послуги з обслуговування громадських вбиралень на території гідропарку Придніпровський</t>
  </si>
  <si>
    <t>Послуги з організації «Лицарського турніру»</t>
  </si>
  <si>
    <t>Послуги з оренди нежитлового приміщення</t>
  </si>
  <si>
    <t>Послуги з оренди приміщення</t>
  </si>
  <si>
    <t>Послуги з оренди та обслуговування біотуалетів</t>
  </si>
  <si>
    <t>Послуги з оренди та обслуговування біотуалетів на території гідропарку Придніпровський</t>
  </si>
  <si>
    <t>Послуги з оренди та обслуговування біотуалетів на території пляжу о. Монастирсьий</t>
  </si>
  <si>
    <t>Послуги з оренди та обслуговування біотуалетів на території пляжу о. Монастирський</t>
  </si>
  <si>
    <t xml:space="preserve">Послуги з очищення ділянки від сміття ,навантаження та перевезення сміття (вивіз гілок та стовбурів дерев) </t>
  </si>
  <si>
    <t>Послуги з очищення територій від сміття, навантаження та перевезення сміття (вивіз гілок та стовбурів дерев)</t>
  </si>
  <si>
    <t>Послуги з перевезення вантажів</t>
  </si>
  <si>
    <t>Послуги з питань організації та проведення публічних закупівель</t>
  </si>
  <si>
    <t>Послуги з поводження з великогабаритними відходами</t>
  </si>
  <si>
    <t>Послуги з підтримки користувачів програмного забезпечення</t>
  </si>
  <si>
    <t>Послуги з підтримки програми "М.Е.DOC"</t>
  </si>
  <si>
    <t>Послуги з підтримки програмного забезпечення</t>
  </si>
  <si>
    <t>Послуги з технічного обслуговування і ремонту офісної техніки</t>
  </si>
  <si>
    <t>Послуги з технічного супроводу модуля "Фактичне використання бюджету"</t>
  </si>
  <si>
    <t>Послуги з утримання зелених насаджень</t>
  </si>
  <si>
    <t>Послуги з утримання парків та зелених зон, послуги з навантаження, вивезення та утилізації або захоронення сміття</t>
  </si>
  <si>
    <t>Послуги з утримання системи поливу зелених насаджень</t>
  </si>
  <si>
    <t>Послуги з централізованого водовідведення</t>
  </si>
  <si>
    <t>Послуги з централізованого водопостачання</t>
  </si>
  <si>
    <t>Послуги з централізованого спостереження за системою тривожної сигналізації "тривожної кнопки"</t>
  </si>
  <si>
    <t>Послуги зі збирання побутових відходів</t>
  </si>
  <si>
    <t>Послуги користування мережею Інтернет</t>
  </si>
  <si>
    <t>Послуги оренди та обслуговування мобільних туалетних кабінок</t>
  </si>
  <si>
    <t>Послуги по здійсненню підводно-пошукових заходів, не  пов"язаних з надзвичайними ситуаціями</t>
  </si>
  <si>
    <t>Послуги по опломбуванню/розпломбуванню приладу обліку</t>
  </si>
  <si>
    <t>Послуги, пов"язані із системами та підтримкою</t>
  </si>
  <si>
    <t xml:space="preserve">Постачання примірника та пакетів оновлень (компонентів) комп’ютерної програми M.E.Doc </t>
  </si>
  <si>
    <t xml:space="preserve">Поточний ремонт центрального входу парку Придніпровський </t>
  </si>
  <si>
    <t>Предмет закупівлі</t>
  </si>
  <si>
    <t>Придбання обладнання для дитячих ігрових майданчиків (1 комплект) по вул. Електричній, 28, м. Дніпро</t>
  </si>
  <si>
    <t xml:space="preserve">Приобретение лицензии  для ПО "М.Е.Дос.Отчётность"    </t>
  </si>
  <si>
    <t>Пристрої для зрошення, для садівництва</t>
  </si>
  <si>
    <t>Проведення навчання працівників Замовника роботі  з додатковим модулем "Фактичне виконання бюджету"</t>
  </si>
  <si>
    <t>Проектно-вишукувальні роботи з дотриманням вимог існуючого законодавства з розроблення проектно-кошторисної документації по об"єкту: "Влаштування електропостачання в парку Сагайдак, пр. Мануйлівський, м. Дніпра</t>
  </si>
  <si>
    <t>Прожектор світлодіодний</t>
  </si>
  <si>
    <t>Прожектори, лампи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</si>
  <si>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</si>
  <si>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</si>
  <si>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Підключення електроустановки споживача-юридичної особи до електричних мереж</t>
  </si>
  <si>
    <t>Розробка проекту землеустрою щодо організації і встановлення меж земель водного фонду та водоохоронних зон</t>
  </si>
  <si>
    <t>Розроблення проекту землеустрою</t>
  </si>
  <si>
    <t xml:space="preserve">Розчинник Уайт-спірит 5 л ; Ґрунтовка фунгіцидна  5 л ; Шпаклівка для дерева сосна 1,5 кг </t>
  </si>
  <si>
    <t xml:space="preserve">Розчинник універсальний 2 л </t>
  </si>
  <si>
    <t>Рукавиці робочі</t>
  </si>
  <si>
    <t>Рукавички робочі</t>
  </si>
  <si>
    <t>Ручні інструменти пневматичні чи моторизовані</t>
  </si>
  <si>
    <t>Рятувальне спорядження</t>
  </si>
  <si>
    <t xml:space="preserve">Рятувальне та захисне обладнання </t>
  </si>
  <si>
    <t>Садова техніка</t>
  </si>
  <si>
    <t>Садова техніка різна</t>
  </si>
  <si>
    <t>Саморіз по дереву для гіпсокартону 3.8x64 мм 250 шт.; (Саморіз з посиленим свердлом по металу шестикутна посилена 5,5x25 мм 200 шт. сталь цинк; Гайка шестигранна М8 1 кг (217 шт.) EXPERT FIX; Болт метричний DIN603 8x80 мм; Заклепка витяжна 4,8х6 мм 50 шт. / Уп. Зеніт 62504806</t>
  </si>
  <si>
    <t>Світильник світлодіодний, настільний</t>
  </si>
  <si>
    <t>Світильники та освітлювальна апаратура</t>
  </si>
  <si>
    <t>Світлана  Мазка</t>
  </si>
  <si>
    <t>Світлана Володимирівна -</t>
  </si>
  <si>
    <t>Сейф</t>
  </si>
  <si>
    <t>Сергей Ермоленко</t>
  </si>
  <si>
    <t>Сергей Николаевич Трунов</t>
  </si>
  <si>
    <t>Ситдиков Генадій Ахметович</t>
  </si>
  <si>
    <t>Сканер</t>
  </si>
  <si>
    <t>Снігоприбиральна техніка</t>
  </si>
  <si>
    <t>Спецодяг</t>
  </si>
  <si>
    <t xml:space="preserve">Спеціальний одяг </t>
  </si>
  <si>
    <t>Список державних закупівель</t>
  </si>
  <si>
    <t>Спрощена закупівля</t>
  </si>
  <si>
    <t>Статус</t>
  </si>
  <si>
    <t>Статус договору</t>
  </si>
  <si>
    <t>Сума зниження, грн</t>
  </si>
  <si>
    <t>Сума укладеного договору</t>
  </si>
  <si>
    <t>ТДВ "Дніпрокомунтранс"</t>
  </si>
  <si>
    <t>ТЕРНОВСЬКИЙ МИХАЙЛО МИХАЙЛОВИЧ</t>
  </si>
  <si>
    <t>ТОВ "АВЕРС КАНЦЕЛЯРІЯ"</t>
  </si>
  <si>
    <t>ТОВ "АКТИВ ІІ"</t>
  </si>
  <si>
    <t>ТОВ "АНБАР"</t>
  </si>
  <si>
    <t>ТОВ "АП "Самміт - Дніпропетровськ"</t>
  </si>
  <si>
    <t>ТОВ "АРТ - ПРОМ"</t>
  </si>
  <si>
    <t>ТОВ "Абразив груп"</t>
  </si>
  <si>
    <t>ТОВ "ВИРОБНИЧО-КОМЕРЦІЙНЕ ПІДПРИЄМСТВО "ВСЕСВІТ"</t>
  </si>
  <si>
    <t>ТОВ "ВП "ПОЛІСАН"</t>
  </si>
  <si>
    <t>ТОВ "ГК"Аквасфера"</t>
  </si>
  <si>
    <t>ТОВ "ДІАВЕСТЕНД КОМПЛЕКСНІ РІШЕННЯ"</t>
  </si>
  <si>
    <t>ТОВ "ДНІПРО ОІЛ ТРЕЙД"</t>
  </si>
  <si>
    <t>ТОВ "ДОНСАНТЕХБУД"</t>
  </si>
  <si>
    <t>ТОВ "Епіцентр К"</t>
  </si>
  <si>
    <t>ТОВ "КОМПАНІЯ ЛІДЕР-ДНІПРО"</t>
  </si>
  <si>
    <t>ТОВ "КОМПАНІЯ ТСО"</t>
  </si>
  <si>
    <t>ТОВ "ЛА СТРАДА"</t>
  </si>
  <si>
    <t>ТОВ "ЛАУНЧ УКРАЇНА"</t>
  </si>
  <si>
    <t>ТОВ "МЕТИЗ-МАРКЕТ"</t>
  </si>
  <si>
    <t>ТОВ "НЄФТЕК СІТІ ОІЛ"</t>
  </si>
  <si>
    <t>ТОВ "ПАПІРТОРГ"</t>
  </si>
  <si>
    <t>ТОВ "СЕРВІС ПРО"</t>
  </si>
  <si>
    <t>ТОВ "СОДЕЛЬ"</t>
  </si>
  <si>
    <t>ТОВ "ТП ТЕХПРОМ"</t>
  </si>
  <si>
    <t>ТОВ "УКРПРОМТЕХГРУП"</t>
  </si>
  <si>
    <t>ТОВ "ФІРМА "ДНІПРОКОР"</t>
  </si>
  <si>
    <t>ТОВ "ФЕСТ-17"</t>
  </si>
  <si>
    <t>ТОВ "ЦІАТ"</t>
  </si>
  <si>
    <t>ТОВ АЛЮР</t>
  </si>
  <si>
    <t>ТОВ БЮРО ОЦІНКИ</t>
  </si>
  <si>
    <t>ТОВ ВІКІР ГРУП</t>
  </si>
  <si>
    <t>ТОВ ВАКУЛА ІНСТРУМЕНТ</t>
  </si>
  <si>
    <t>ТОВАРИСТВО З ОБМЕЖЕНОЮ ВІДПОВІДАЛЬНІСТЮ " ТОРГОВЕЛЬНО-БУДІВЕЛЬНИЙ ДІМ " ОЛДІ"</t>
  </si>
  <si>
    <t>ТОВАРИСТВО З ОБМЕЖЕНОЮ ВІДПОВІДАЛЬНІСТЮ "АВМ ЕНЕРГО"</t>
  </si>
  <si>
    <t>ТОВАРИСТВО З ОБМЕЖЕНОЮ ВІДПОВІДАЛЬНІСТЮ "АЙТІ УНІВЕРСАЛ"</t>
  </si>
  <si>
    <t>ТОВАРИСТВО З ОБМЕЖЕНОЮ ВІДПОВІДАЛЬНІСТЮ "АТРІК ГРУП"</t>
  </si>
  <si>
    <t>ТОВАРИСТВО З ОБМЕЖЕНОЮ ВІДПОВІДАЛЬНІСТЮ "БЮРО ОЦІНКИ"</t>
  </si>
  <si>
    <t>ТОВАРИСТВО З ОБМЕЖЕНОЮ ВІДПОВІДАЛЬНІСТЮ "ВІОЛА ТОРГ"</t>
  </si>
  <si>
    <t>ТОВАРИСТВО З ОБМЕЖЕНОЮ ВІДПОВІДАЛЬНІСТЮ "ВИРОБНИЧЕ ПІДПРИЄМСТВО "ПОЛІСАН"</t>
  </si>
  <si>
    <t>ТОВАРИСТВО З ОБМЕЖЕНОЮ ВІДПОВІДАЛЬНІСТЮ "ГАРДЕН ЕЛЕКТРОНІКС"</t>
  </si>
  <si>
    <t>ТОВАРИСТВО З ОБМЕЖЕНОЮ ВІДПОВІДАЛЬНІСТЮ "ГК "АКВАСФЕРА"</t>
  </si>
  <si>
    <t>ТОВАРИСТВО З ОБМЕЖЕНОЮ ВІДПОВІДАЛЬНІСТЮ "ДНІПРО ЛАНДШАФТ ПАРК"</t>
  </si>
  <si>
    <t>ТОВАРИСТВО З ОБМЕЖЕНОЮ ВІДПОВІДАЛЬНІСТЮ "ДНІПРОВСЬКІ ЕНЕРГЕТИЧНІ ПОСЛУГИ"</t>
  </si>
  <si>
    <t>ТОВАРИСТВО З ОБМЕЖЕНОЮ ВІДПОВІДАЛЬНІСТЮ "ЕНЕРГОІНВЕСТПРОЕКТ"</t>
  </si>
  <si>
    <t>ТОВАРИСТВО З ОБМЕЖЕНОЮ ВІДПОВІДАЛЬНІСТЮ "ЕПІЦЕНТР К"</t>
  </si>
  <si>
    <t>ТОВАРИСТВО З ОБМЕЖЕНОЮ ВІДПОВІДАЛЬНІСТЮ "КОМПАНІЯ "ДАН-ГРУП"</t>
  </si>
  <si>
    <t>ТОВАРИСТВО З ОБМЕЖЕНОЮ ВІДПОВІДАЛЬНІСТЮ "ЛІВАЙН ТОРГ"</t>
  </si>
  <si>
    <t>ТОВАРИСТВО З ОБМЕЖЕНОЮ ВІДПОВІДАЛЬНІСТЮ "ЛА СТРАДА"</t>
  </si>
  <si>
    <t>ТОВАРИСТВО З ОБМЕЖЕНОЮ ВІДПОВІДАЛЬНІСТЮ "СКАЙНЕТ ПРОФІ"</t>
  </si>
  <si>
    <t>ТОВАРИСТВО З ОБМЕЖЕНОЮ ВІДПОВІДАЛЬНІСТЮ "СОДЕЛЬ"</t>
  </si>
  <si>
    <t>ТОВАРИСТВО З ОБМЕЖЕНОЮ ВІДПОВІДАЛЬНІСТЮ "УКР КОНСАЛТІНГ ГРУП"</t>
  </si>
  <si>
    <t>ТОВАРИСТВО З ОБМЕЖЕНОЮ ВІДПОВІДАЛЬНІСТЮ "УКРПРОМТЕХГРУП"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</si>
  <si>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</si>
  <si>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"ЦЕНТР ІНФОРМАЦІЙНИХ ТА АНАЛІТИЧНИХ ТЕХНОЛОГІЙ"</t>
  </si>
  <si>
    <t>ТОВАРИСТВО З ОБМЕЖЕНОЮ ВІДПОВІДАЛЬНІСТЮ "ЦЕНТР СЕРТИФІКАЦІЇ КЛЮЧІВ "УКРАЇНА"</t>
  </si>
  <si>
    <t>ТОВАРИСТВО З ОБМЕЖЕНОЮ ВІДПОВІДАЛЬНІСТЮ "ЮГХОЛОДТОРГ"</t>
  </si>
  <si>
    <t>ТОВАРИСТВО З ОБМЕЖЕНОЮ ВІДПОВІДАЛЬНІСТЮ ФІРМА "ДНІПРОКОР"</t>
  </si>
  <si>
    <t>Так</t>
  </si>
  <si>
    <t>Технічне обслуговування і ремонт офісної техніки</t>
  </si>
  <si>
    <t>Технічний супровід додаткового модуля "Фактичне виконання бюджету"</t>
  </si>
  <si>
    <t>Тип процедури</t>
  </si>
  <si>
    <t>Товариство з обмеженою відповідальністю "Будівельна група "Кітоврас"</t>
  </si>
  <si>
    <t>Товариство з обмеженою відповідальністю "Компанія Комп’ютерні та інформаційні технології-2005"</t>
  </si>
  <si>
    <t>Товариство з обмеженою відповідальністю "Торгівельний дім "Н`ю-лайн"</t>
  </si>
  <si>
    <t>Топографо-геодезична зйомка</t>
  </si>
  <si>
    <t xml:space="preserve">Трос оцинкований ; Коуш 6 мм нерж А4  </t>
  </si>
  <si>
    <t>Труба профільна прямокутна 60x40x2 мм міра; Труба профільна прямокутна 40x20x2 мм міра</t>
  </si>
  <si>
    <t>Укладення договору до:</t>
  </si>
  <si>
    <t>Укладення договору з:</t>
  </si>
  <si>
    <t>Урна для сміття металева, двоопорна, стаціонарна</t>
  </si>
  <si>
    <t>ФІЗИЧНА ОСОБА-ПІДПРИЄМЕЦЬ ГУР'ЄВ КОСТЯНТИН ОЛЕКСІЙОВИЧ</t>
  </si>
  <si>
    <t>ФЛП Поляков Василий Сергеевич</t>
  </si>
  <si>
    <t>ФОП "ДРИГА ОЛЕКСАНДР ВІКТОРОВИЧ"</t>
  </si>
  <si>
    <t>ФОП "ЗУБКОВ ВОЛОДИМИР ПРОКОПОВИЧ"</t>
  </si>
  <si>
    <t>ФОП "МАЛИХІНА ЛІДІЯ ФЕДОРІВНА"</t>
  </si>
  <si>
    <t>ФОП "Міщенко О. А."</t>
  </si>
  <si>
    <t>ФОП "ОНИЩЕНКО ВЛАДИСЛАВ ВЯЧЕСЛАВОВИЧ"</t>
  </si>
  <si>
    <t>ФОП "ПЕРВИЧКО ДМИТРО СЕРГІЙОВИЧ"</t>
  </si>
  <si>
    <t>ФОП "СОЛОД АНДРІЙ ГРИГОРОВИЧ"</t>
  </si>
  <si>
    <t>ФОП Бердник В.А.</t>
  </si>
  <si>
    <t>ФОП Боярко Богдан Валерійович</t>
  </si>
  <si>
    <t>ФОП Гусарук О.В.</t>
  </si>
  <si>
    <t>ФОП Кутенкова О.О.</t>
  </si>
  <si>
    <t>ФОП Кучугурна Оксана Анатоліївна</t>
  </si>
  <si>
    <t>ФОП ЛИТВИНОВ ПАВЛО СЕРГІЙОВИЧ</t>
  </si>
  <si>
    <t>ФОП ПОЛЯКОВА ОЛЕНА ОЛЕКСАНДРІВНА</t>
  </si>
  <si>
    <t>ФОП Пєрєвєрзєва О.В.</t>
  </si>
  <si>
    <t>ФОП СКАЛІЙ ВІТАЛІЙ ВОЛОДИМИРОВИЧ</t>
  </si>
  <si>
    <t>ФОП Шакун Ігор Олександрович</t>
  </si>
  <si>
    <t>ФОП Шарбаталі Октай Сурхай Огли</t>
  </si>
  <si>
    <t>Фактичний переможець</t>
  </si>
  <si>
    <t>Фарба різна</t>
  </si>
  <si>
    <t>Фарби</t>
  </si>
  <si>
    <t>Фарби різні</t>
  </si>
  <si>
    <t>Фізична особа - підприємець Апіченок Олександр Миколайович</t>
  </si>
  <si>
    <t>Фізична особа-підприємець Дронов Олександр Павлович</t>
  </si>
  <si>
    <t>Холодильник</t>
  </si>
  <si>
    <t>Цемент  ПЦ 11/Б-Ш 400 25кг BAU GUT</t>
  </si>
  <si>
    <t>Частини для сільськогосподарської техніки</t>
  </si>
  <si>
    <t>Частини та приладдя до верстатів</t>
  </si>
  <si>
    <t>Черевики робочі</t>
  </si>
  <si>
    <t>Човен ПВХ</t>
  </si>
  <si>
    <t>ШАРБАТАЛІ ОКТАЙ СУРХАЙ ОГЛИ</t>
  </si>
  <si>
    <t>Шафа металева для одягу</t>
  </si>
  <si>
    <t>Шланг поливальний</t>
  </si>
  <si>
    <t>Штори-жалюзі вертикальні</t>
  </si>
  <si>
    <t>Югхолодторг, Товариство З Обмеженою Відповідальністю</t>
  </si>
  <si>
    <t>Якщо ви маєте пропозицію чи побажання щодо покращення цього звіту, напишіть нам, будь ласка:</t>
  </si>
  <si>
    <t>активна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</si>
  <si>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</si>
  <si>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</si>
  <si>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</si>
  <si>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</si>
  <si>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завершено</t>
  </si>
  <si>
    <t>кваліфікація</t>
  </si>
  <si>
    <t>комплект</t>
  </si>
  <si>
    <t>кіловат-година</t>
  </si>
  <si>
    <t>кілограми</t>
  </si>
  <si>
    <t>кілька позицій</t>
  </si>
  <si>
    <t>лот</t>
  </si>
  <si>
    <t>літр</t>
  </si>
  <si>
    <t>метр</t>
  </si>
  <si>
    <t>метр квадратний</t>
  </si>
  <si>
    <t>метр кубічний</t>
  </si>
  <si>
    <t>метри кубічні</t>
  </si>
  <si>
    <t>місяць</t>
  </si>
  <si>
    <t>найменувань</t>
  </si>
  <si>
    <t>ноутбук asus x553ma-sx371 b</t>
  </si>
  <si>
    <t>одиниця</t>
  </si>
  <si>
    <t>очікує підпису</t>
  </si>
  <si>
    <t>пара</t>
  </si>
  <si>
    <t>період уточнень</t>
  </si>
  <si>
    <t>послуга</t>
  </si>
  <si>
    <t>прибирання опалого листя, навантаження, вивезення та утилізації утворених відходів</t>
  </si>
  <si>
    <t>прийом пропозицій</t>
  </si>
  <si>
    <t>пропозиції розглянуті</t>
  </si>
  <si>
    <t>підписано</t>
  </si>
  <si>
    <t>роботи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</si>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</sst>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ki.prom.ua/remote/dispatcher/state_purchase_view/2232579" TargetMode="External"/><Relationship Id="rId21" Type="http://schemas.openxmlformats.org/officeDocument/2006/relationships/hyperlink" Target="https://my.zakupki.prom.ua/remote/dispatcher/state_purchase_view/20415847" TargetMode="External"/><Relationship Id="rId63" Type="http://schemas.openxmlformats.org/officeDocument/2006/relationships/hyperlink" Target="https://my.zakupki.prom.ua/remote/dispatcher/state_purchase_view/11458917" TargetMode="External"/><Relationship Id="rId159" Type="http://schemas.openxmlformats.org/officeDocument/2006/relationships/hyperlink" Target="https://auction.openprocurement.org/tenders/32f03230f7d548438e3e4cf1c8bc280f" TargetMode="External"/><Relationship Id="rId170" Type="http://schemas.openxmlformats.org/officeDocument/2006/relationships/hyperlink" Target="https://auction.openprocurement.org/tenders/273fbb68c2464152844ca24b29126e5b" TargetMode="External"/><Relationship Id="rId226" Type="http://schemas.openxmlformats.org/officeDocument/2006/relationships/hyperlink" Target="https://my.zakupki.prom.ua/remote/dispatcher/state_purchase_view/12708826" TargetMode="External"/><Relationship Id="rId268" Type="http://schemas.openxmlformats.org/officeDocument/2006/relationships/hyperlink" Target="https://my.zakupki.prom.ua/remote/dispatcher/state_purchase_view/25360508" TargetMode="External"/><Relationship Id="rId32" Type="http://schemas.openxmlformats.org/officeDocument/2006/relationships/hyperlink" Target="https://auction.openprocurement.org/tenders/7cb4c01db2c74d32919e2742b399ad15" TargetMode="External"/><Relationship Id="rId74" Type="http://schemas.openxmlformats.org/officeDocument/2006/relationships/hyperlink" Target="https://my.zakupki.prom.ua/remote/dispatcher/state_purchase_view/18136545" TargetMode="External"/><Relationship Id="rId128" Type="http://schemas.openxmlformats.org/officeDocument/2006/relationships/hyperlink" Target="https://my.zakupki.prom.ua/remote/dispatcher/state_purchase_view/26240874" TargetMode="External"/><Relationship Id="rId5" Type="http://schemas.openxmlformats.org/officeDocument/2006/relationships/hyperlink" Target="https://my.zakupki.prom.ua/remote/dispatcher/state_purchase_view/11225723" TargetMode="External"/><Relationship Id="rId181" Type="http://schemas.openxmlformats.org/officeDocument/2006/relationships/hyperlink" Target="https://my.zakupki.prom.ua/remote/dispatcher/state_purchase_view/19657831" TargetMode="External"/><Relationship Id="rId237" Type="http://schemas.openxmlformats.org/officeDocument/2006/relationships/hyperlink" Target="https://my.zakupki.prom.ua/remote/dispatcher/state_purchase_view/26083795" TargetMode="External"/><Relationship Id="rId279" Type="http://schemas.openxmlformats.org/officeDocument/2006/relationships/hyperlink" Target="https://my.zakupki.prom.ua/remote/dispatcher/state_purchase_view/19301905" TargetMode="External"/><Relationship Id="rId43" Type="http://schemas.openxmlformats.org/officeDocument/2006/relationships/hyperlink" Target="https://auction.openprocurement.org/tenders/d9d15f5eda00418babe2fecc225f6523" TargetMode="External"/><Relationship Id="rId139" Type="http://schemas.openxmlformats.org/officeDocument/2006/relationships/hyperlink" Target="https://auction.openprocurement.org/tenders/75206d6be60143eba6bafd835361d963" TargetMode="External"/><Relationship Id="rId290" Type="http://schemas.openxmlformats.org/officeDocument/2006/relationships/hyperlink" Target="https://my.zakupki.prom.ua/remote/dispatcher/state_purchase_view/26298295" TargetMode="External"/><Relationship Id="rId85" Type="http://schemas.openxmlformats.org/officeDocument/2006/relationships/hyperlink" Target="https://auction.openprocurement.org/tenders/3fc46df5e0b04e1f988741c504ab636c" TargetMode="External"/><Relationship Id="rId150" Type="http://schemas.openxmlformats.org/officeDocument/2006/relationships/hyperlink" Target="https://my.zakupki.prom.ua/remote/dispatcher/state_purchase_view/11860286" TargetMode="External"/><Relationship Id="rId192" Type="http://schemas.openxmlformats.org/officeDocument/2006/relationships/hyperlink" Target="https://my.zakupki.prom.ua/remote/dispatcher/state_purchase_view/26435918" TargetMode="External"/><Relationship Id="rId206" Type="http://schemas.openxmlformats.org/officeDocument/2006/relationships/hyperlink" Target="https://auction.openprocurement.org/tenders/9d02e25acf284442abd9b575c876cc9d" TargetMode="External"/><Relationship Id="rId248" Type="http://schemas.openxmlformats.org/officeDocument/2006/relationships/hyperlink" Target="https://my.zakupki.prom.ua/remote/dispatcher/state_purchase_view/13006935" TargetMode="External"/><Relationship Id="rId269" Type="http://schemas.openxmlformats.org/officeDocument/2006/relationships/hyperlink" Target="https://auction.openprocurement.org/tenders/fa4f97ac8ace467fa606b1a86f04d267" TargetMode="External"/><Relationship Id="rId12" Type="http://schemas.openxmlformats.org/officeDocument/2006/relationships/hyperlink" Target="https://my.zakupki.prom.ua/remote/dispatcher/state_purchase_view/13165246" TargetMode="External"/><Relationship Id="rId33" Type="http://schemas.openxmlformats.org/officeDocument/2006/relationships/hyperlink" Target="https://my.zakupki.prom.ua/remote/dispatcher/state_purchase_view/59620" TargetMode="External"/><Relationship Id="rId108" Type="http://schemas.openxmlformats.org/officeDocument/2006/relationships/hyperlink" Target="https://my.zakupki.prom.ua/remote/dispatcher/state_purchase_view/12697457" TargetMode="External"/><Relationship Id="rId129" Type="http://schemas.openxmlformats.org/officeDocument/2006/relationships/hyperlink" Target="https://my.zakupki.prom.ua/remote/dispatcher/state_purchase_view/26399557" TargetMode="External"/><Relationship Id="rId280" Type="http://schemas.openxmlformats.org/officeDocument/2006/relationships/hyperlink" Target="https://auction.openprocurement.org/tenders/a7a1364a22294dd692086b9634933252" TargetMode="External"/><Relationship Id="rId54" Type="http://schemas.openxmlformats.org/officeDocument/2006/relationships/hyperlink" Target="https://auction.openprocurement.org/tenders/0a3f1c006d0e4998aff462a77aa52c28" TargetMode="External"/><Relationship Id="rId75" Type="http://schemas.openxmlformats.org/officeDocument/2006/relationships/hyperlink" Target="https://my.zakupki.prom.ua/remote/dispatcher/state_purchase_view/21693943" TargetMode="External"/><Relationship Id="rId96" Type="http://schemas.openxmlformats.org/officeDocument/2006/relationships/hyperlink" Target="https://auction.openprocurement.org/tenders/5aea376a55c04ef28ed129abd0e27bd8" TargetMode="External"/><Relationship Id="rId140" Type="http://schemas.openxmlformats.org/officeDocument/2006/relationships/hyperlink" Target="https://my.zakupki.prom.ua/remote/dispatcher/state_purchase_view/15955385" TargetMode="External"/><Relationship Id="rId161" Type="http://schemas.openxmlformats.org/officeDocument/2006/relationships/hyperlink" Target="https://auction.openprocurement.org/tenders/8c537508aa5f41af90aada57aac1ee96" TargetMode="External"/><Relationship Id="rId182" Type="http://schemas.openxmlformats.org/officeDocument/2006/relationships/hyperlink" Target="https://my.zakupki.prom.ua/remote/dispatcher/state_purchase_view/15302227" TargetMode="External"/><Relationship Id="rId217" Type="http://schemas.openxmlformats.org/officeDocument/2006/relationships/hyperlink" Target="https://my.zakupki.prom.ua/remote/dispatcher/state_purchase_view/24414607" TargetMode="External"/><Relationship Id="rId6" Type="http://schemas.openxmlformats.org/officeDocument/2006/relationships/hyperlink" Target="https://my.zakupki.prom.ua/remote/dispatcher/state_purchase_view/20007360" TargetMode="External"/><Relationship Id="rId238" Type="http://schemas.openxmlformats.org/officeDocument/2006/relationships/hyperlink" Target="https://my.zakupki.prom.ua/remote/dispatcher/state_purchase_view/25360266" TargetMode="External"/><Relationship Id="rId259" Type="http://schemas.openxmlformats.org/officeDocument/2006/relationships/hyperlink" Target="https://my.zakupki.prom.ua/remote/dispatcher/state_purchase_view/23090264" TargetMode="External"/><Relationship Id="rId23" Type="http://schemas.openxmlformats.org/officeDocument/2006/relationships/hyperlink" Target="https://my.zakupki.prom.ua/remote/dispatcher/state_purchase_view/24611951" TargetMode="External"/><Relationship Id="rId119" Type="http://schemas.openxmlformats.org/officeDocument/2006/relationships/hyperlink" Target="https://my.zakupki.prom.ua/remote/dispatcher/state_purchase_view/15673757" TargetMode="External"/><Relationship Id="rId270" Type="http://schemas.openxmlformats.org/officeDocument/2006/relationships/hyperlink" Target="https://my.zakupki.prom.ua/remote/dispatcher/state_purchase_view/26298319" TargetMode="External"/><Relationship Id="rId44" Type="http://schemas.openxmlformats.org/officeDocument/2006/relationships/hyperlink" Target="https://my.zakupki.prom.ua/remote/dispatcher/state_purchase_view/15488259" TargetMode="External"/><Relationship Id="rId65" Type="http://schemas.openxmlformats.org/officeDocument/2006/relationships/hyperlink" Target="https://my.zakupki.prom.ua/remote/dispatcher/state_purchase_view/12263698" TargetMode="External"/><Relationship Id="rId86" Type="http://schemas.openxmlformats.org/officeDocument/2006/relationships/hyperlink" Target="https://my.zakupki.prom.ua/remote/dispatcher/state_purchase_view/8728310" TargetMode="External"/><Relationship Id="rId130" Type="http://schemas.openxmlformats.org/officeDocument/2006/relationships/hyperlink" Target="https://my.zakupki.prom.ua/remote/dispatcher/state_purchase_view/6507484" TargetMode="External"/><Relationship Id="rId151" Type="http://schemas.openxmlformats.org/officeDocument/2006/relationships/hyperlink" Target="https://my.zakupki.prom.ua/remote/dispatcher/state_purchase_view/11250436" TargetMode="External"/><Relationship Id="rId172" Type="http://schemas.openxmlformats.org/officeDocument/2006/relationships/hyperlink" Target="https://my.zakupki.prom.ua/remote/dispatcher/state_purchase_view/25268037" TargetMode="External"/><Relationship Id="rId193" Type="http://schemas.openxmlformats.org/officeDocument/2006/relationships/hyperlink" Target="https://my.zakupki.prom.ua/remote/dispatcher/state_purchase_view/26125052" TargetMode="External"/><Relationship Id="rId207" Type="http://schemas.openxmlformats.org/officeDocument/2006/relationships/hyperlink" Target="https://my.zakupki.prom.ua/remote/dispatcher/state_purchase_view/282577" TargetMode="External"/><Relationship Id="rId228" Type="http://schemas.openxmlformats.org/officeDocument/2006/relationships/hyperlink" Target="https://my.zakupki.prom.ua/remote/dispatcher/state_purchase_view/12659070" TargetMode="External"/><Relationship Id="rId249" Type="http://schemas.openxmlformats.org/officeDocument/2006/relationships/hyperlink" Target="https://auction.openprocurement.org/tenders/2041fef4bd8949e38bbf85c6ffa2a0eb" TargetMode="External"/><Relationship Id="rId13" Type="http://schemas.openxmlformats.org/officeDocument/2006/relationships/hyperlink" Target="https://auction.openprocurement.org/tenders/553b05cc8493455ca4f880effcd688a8" TargetMode="External"/><Relationship Id="rId109" Type="http://schemas.openxmlformats.org/officeDocument/2006/relationships/hyperlink" Target="https://my.zakupki.prom.ua/remote/dispatcher/state_purchase_view/11405220" TargetMode="External"/><Relationship Id="rId260" Type="http://schemas.openxmlformats.org/officeDocument/2006/relationships/hyperlink" Target="https://auction.openprocurement.org/tenders/6c0423b5b49945f2be41de62860ae4b8" TargetMode="External"/><Relationship Id="rId281" Type="http://schemas.openxmlformats.org/officeDocument/2006/relationships/hyperlink" Target="https://my.zakupki.prom.ua/remote/dispatcher/state_purchase_view/18074384" TargetMode="External"/><Relationship Id="rId34" Type="http://schemas.openxmlformats.org/officeDocument/2006/relationships/hyperlink" Target="https://auction.openprocurement.org/tenders/3e440e4b7f3641d0a74cd82eb4d31ca5" TargetMode="External"/><Relationship Id="rId55" Type="http://schemas.openxmlformats.org/officeDocument/2006/relationships/hyperlink" Target="https://my.zakupki.prom.ua/remote/dispatcher/state_purchase_view/25706082" TargetMode="External"/><Relationship Id="rId76" Type="http://schemas.openxmlformats.org/officeDocument/2006/relationships/hyperlink" Target="https://my.zakupki.prom.ua/remote/dispatcher/state_purchase_view/24234440" TargetMode="External"/><Relationship Id="rId97" Type="http://schemas.openxmlformats.org/officeDocument/2006/relationships/hyperlink" Target="https://my.zakupki.prom.ua/remote/dispatcher/state_purchase_view/17548526" TargetMode="External"/><Relationship Id="rId120" Type="http://schemas.openxmlformats.org/officeDocument/2006/relationships/hyperlink" Target="https://auction.openprocurement.org/tenders/b56920142472458bb42bdce97bcc1241" TargetMode="External"/><Relationship Id="rId141" Type="http://schemas.openxmlformats.org/officeDocument/2006/relationships/hyperlink" Target="https://my.zakupki.prom.ua/remote/dispatcher/state_purchase_view/16496687" TargetMode="External"/><Relationship Id="rId7" Type="http://schemas.openxmlformats.org/officeDocument/2006/relationships/hyperlink" Target="https://my.zakupki.prom.ua/remote/dispatcher/state_purchase_view/12439665" TargetMode="External"/><Relationship Id="rId162" Type="http://schemas.openxmlformats.org/officeDocument/2006/relationships/hyperlink" Target="https://my.zakupki.prom.ua/remote/dispatcher/state_purchase_view/15399486" TargetMode="External"/><Relationship Id="rId183" Type="http://schemas.openxmlformats.org/officeDocument/2006/relationships/hyperlink" Target="https://my.zakupki.prom.ua/remote/dispatcher/state_purchase_view/16946932" TargetMode="External"/><Relationship Id="rId218" Type="http://schemas.openxmlformats.org/officeDocument/2006/relationships/hyperlink" Target="https://my.zakupki.prom.ua/remote/dispatcher/state_purchase_view/24127982" TargetMode="External"/><Relationship Id="rId239" Type="http://schemas.openxmlformats.org/officeDocument/2006/relationships/hyperlink" Target="https://auction.openprocurement.org/tenders/88015c8e7beb4425a4c92fb763ae4567" TargetMode="External"/><Relationship Id="rId250" Type="http://schemas.openxmlformats.org/officeDocument/2006/relationships/hyperlink" Target="https://my.zakupki.prom.ua/remote/dispatcher/state_purchase_view/13064324" TargetMode="External"/><Relationship Id="rId271" Type="http://schemas.openxmlformats.org/officeDocument/2006/relationships/hyperlink" Target="https://my.zakupki.prom.ua/remote/dispatcher/state_purchase_view/26125064" TargetMode="External"/><Relationship Id="rId24" Type="http://schemas.openxmlformats.org/officeDocument/2006/relationships/hyperlink" Target="https://my.zakupki.prom.ua/remote/dispatcher/state_purchase_view/23926086" TargetMode="External"/><Relationship Id="rId45" Type="http://schemas.openxmlformats.org/officeDocument/2006/relationships/hyperlink" Target="https://my.zakupki.prom.ua/remote/dispatcher/state_purchase_view/15907432" TargetMode="External"/><Relationship Id="rId66" Type="http://schemas.openxmlformats.org/officeDocument/2006/relationships/hyperlink" Target="https://my.zakupki.prom.ua/remote/dispatcher/state_purchase_view/380287" TargetMode="External"/><Relationship Id="rId87" Type="http://schemas.openxmlformats.org/officeDocument/2006/relationships/hyperlink" Target="https://auction.openprocurement.org/tenders/20292053c2934bdc9a25d54e85916fcc" TargetMode="External"/><Relationship Id="rId110" Type="http://schemas.openxmlformats.org/officeDocument/2006/relationships/hyperlink" Target="https://my.zakupki.prom.ua/remote/dispatcher/state_purchase_view/11225842" TargetMode="External"/><Relationship Id="rId131" Type="http://schemas.openxmlformats.org/officeDocument/2006/relationships/hyperlink" Target="https://my.zakupki.prom.ua/remote/dispatcher/state_purchase_view/11859893" TargetMode="External"/><Relationship Id="rId152" Type="http://schemas.openxmlformats.org/officeDocument/2006/relationships/hyperlink" Target="https://my.zakupki.prom.ua/remote/dispatcher/state_purchase_view/13622933" TargetMode="External"/><Relationship Id="rId173" Type="http://schemas.openxmlformats.org/officeDocument/2006/relationships/hyperlink" Target="https://auction.openprocurement.org/tenders/fdfc8e0d511c4695b66b9e70b559f23a" TargetMode="External"/><Relationship Id="rId194" Type="http://schemas.openxmlformats.org/officeDocument/2006/relationships/hyperlink" Target="https://auction.openprocurement.org/tenders/59129afa715b4871a44595b771d2f73f" TargetMode="External"/><Relationship Id="rId208" Type="http://schemas.openxmlformats.org/officeDocument/2006/relationships/hyperlink" Target="https://auction.openprocurement.org/tenders/04b69ba069f641c68d39305b9a701a63" TargetMode="External"/><Relationship Id="rId229" Type="http://schemas.openxmlformats.org/officeDocument/2006/relationships/hyperlink" Target="https://my.zakupki.prom.ua/remote/dispatcher/state_purchase_view/23589433" TargetMode="External"/><Relationship Id="rId240" Type="http://schemas.openxmlformats.org/officeDocument/2006/relationships/hyperlink" Target="https://my.zakupki.prom.ua/remote/dispatcher/state_purchase_view/26435905" TargetMode="External"/><Relationship Id="rId261" Type="http://schemas.openxmlformats.org/officeDocument/2006/relationships/hyperlink" Target="https://my.zakupki.prom.ua/remote/dispatcher/state_purchase_view/24413293" TargetMode="External"/><Relationship Id="rId14" Type="http://schemas.openxmlformats.org/officeDocument/2006/relationships/hyperlink" Target="https://my.zakupki.prom.ua/remote/dispatcher/state_purchase_view/14408629" TargetMode="External"/><Relationship Id="rId35" Type="http://schemas.openxmlformats.org/officeDocument/2006/relationships/hyperlink" Target="https://my.zakupki.prom.ua/remote/dispatcher/state_purchase_view/13218995" TargetMode="External"/><Relationship Id="rId56" Type="http://schemas.openxmlformats.org/officeDocument/2006/relationships/hyperlink" Target="https://my.zakupki.prom.ua/remote/dispatcher/state_purchase_view/26435892" TargetMode="External"/><Relationship Id="rId77" Type="http://schemas.openxmlformats.org/officeDocument/2006/relationships/hyperlink" Target="https://my.zakupki.prom.ua/remote/dispatcher/state_purchase_view/26165006" TargetMode="External"/><Relationship Id="rId100" Type="http://schemas.openxmlformats.org/officeDocument/2006/relationships/hyperlink" Target="https://my.zakupki.prom.ua/remote/dispatcher/state_purchase_view/23659832" TargetMode="External"/><Relationship Id="rId282" Type="http://schemas.openxmlformats.org/officeDocument/2006/relationships/hyperlink" Target="https://my.zakupki.prom.ua/remote/dispatcher/state_purchase_view/22892778" TargetMode="External"/><Relationship Id="rId8" Type="http://schemas.openxmlformats.org/officeDocument/2006/relationships/hyperlink" Target="https://auction.openprocurement.org/tenders/6f3c4846d7624beead0ced640a7e2e1e" TargetMode="External"/><Relationship Id="rId98" Type="http://schemas.openxmlformats.org/officeDocument/2006/relationships/hyperlink" Target="https://my.zakupki.prom.ua/remote/dispatcher/state_purchase_view/15911973" TargetMode="External"/><Relationship Id="rId121" Type="http://schemas.openxmlformats.org/officeDocument/2006/relationships/hyperlink" Target="https://my.zakupki.prom.ua/remote/dispatcher/state_purchase_view/16183581" TargetMode="External"/><Relationship Id="rId142" Type="http://schemas.openxmlformats.org/officeDocument/2006/relationships/hyperlink" Target="https://my.zakupki.prom.ua/remote/dispatcher/state_purchase_view/17945472" TargetMode="External"/><Relationship Id="rId163" Type="http://schemas.openxmlformats.org/officeDocument/2006/relationships/hyperlink" Target="https://my.zakupki.prom.ua/remote/dispatcher/state_purchase_view/17859628" TargetMode="External"/><Relationship Id="rId184" Type="http://schemas.openxmlformats.org/officeDocument/2006/relationships/hyperlink" Target="https://auction.openprocurement.org/tenders/e62ffd5c958d45e29aaeff2d0a186f76" TargetMode="External"/><Relationship Id="rId219" Type="http://schemas.openxmlformats.org/officeDocument/2006/relationships/hyperlink" Target="https://my.zakupki.prom.ua/remote/dispatcher/state_purchase_view/25706107" TargetMode="External"/><Relationship Id="rId230" Type="http://schemas.openxmlformats.org/officeDocument/2006/relationships/hyperlink" Target="https://my.zakupki.prom.ua/remote/dispatcher/state_purchase_view/15650773" TargetMode="External"/><Relationship Id="rId251" Type="http://schemas.openxmlformats.org/officeDocument/2006/relationships/hyperlink" Target="https://auction.openprocurement.org/tenders/f58723265448403694eb8dd57bf7a417" TargetMode="External"/><Relationship Id="rId25" Type="http://schemas.openxmlformats.org/officeDocument/2006/relationships/hyperlink" Target="https://my.zakupki.prom.ua/remote/dispatcher/state_purchase_view/23948828" TargetMode="External"/><Relationship Id="rId46" Type="http://schemas.openxmlformats.org/officeDocument/2006/relationships/hyperlink" Target="https://auction.openprocurement.org/tenders/1267552d2f13493b90df307cd9219312" TargetMode="External"/><Relationship Id="rId67" Type="http://schemas.openxmlformats.org/officeDocument/2006/relationships/hyperlink" Target="https://my.zakupki.prom.ua/remote/dispatcher/state_purchase_view/12576678" TargetMode="External"/><Relationship Id="rId272" Type="http://schemas.openxmlformats.org/officeDocument/2006/relationships/hyperlink" Target="https://auction.openprocurement.org/tenders/bbef3f013d0c4d7f8545746c48fac1dd" TargetMode="External"/><Relationship Id="rId88" Type="http://schemas.openxmlformats.org/officeDocument/2006/relationships/hyperlink" Target="https://my.zakupki.prom.ua/remote/dispatcher/state_purchase_view/13604293" TargetMode="External"/><Relationship Id="rId111" Type="http://schemas.openxmlformats.org/officeDocument/2006/relationships/hyperlink" Target="https://my.zakupki.prom.ua/remote/dispatcher/state_purchase_view/4452007" TargetMode="External"/><Relationship Id="rId132" Type="http://schemas.openxmlformats.org/officeDocument/2006/relationships/hyperlink" Target="https://my.zakupki.prom.ua/remote/dispatcher/state_purchase_view/12712703" TargetMode="External"/><Relationship Id="rId153" Type="http://schemas.openxmlformats.org/officeDocument/2006/relationships/hyperlink" Target="https://auction.openprocurement.org/tenders/1a45c006a1ca4e4ba6802e0102b64923" TargetMode="External"/><Relationship Id="rId174" Type="http://schemas.openxmlformats.org/officeDocument/2006/relationships/hyperlink" Target="https://my.zakupki.prom.ua/remote/dispatcher/state_purchase_view/7803501" TargetMode="External"/><Relationship Id="rId195" Type="http://schemas.openxmlformats.org/officeDocument/2006/relationships/hyperlink" Target="https://my.zakupki.prom.ua/remote/dispatcher/state_purchase_view/7801167" TargetMode="External"/><Relationship Id="rId209" Type="http://schemas.openxmlformats.org/officeDocument/2006/relationships/hyperlink" Target="https://my.zakupki.prom.ua/remote/dispatcher/state_purchase_view/5348131" TargetMode="External"/><Relationship Id="rId220" Type="http://schemas.openxmlformats.org/officeDocument/2006/relationships/hyperlink" Target="https://my.zakupki.prom.ua/remote/dispatcher/state_purchase_view/26123718" TargetMode="External"/><Relationship Id="rId241" Type="http://schemas.openxmlformats.org/officeDocument/2006/relationships/hyperlink" Target="https://my.zakupki.prom.ua/remote/dispatcher/state_purchase_view/26435401" TargetMode="External"/><Relationship Id="rId15" Type="http://schemas.openxmlformats.org/officeDocument/2006/relationships/hyperlink" Target="https://my.zakupki.prom.ua/remote/dispatcher/state_purchase_view/14700908" TargetMode="External"/><Relationship Id="rId36" Type="http://schemas.openxmlformats.org/officeDocument/2006/relationships/hyperlink" Target="https://my.zakupki.prom.ua/remote/dispatcher/state_purchase_view/12261117" TargetMode="External"/><Relationship Id="rId57" Type="http://schemas.openxmlformats.org/officeDocument/2006/relationships/hyperlink" Target="https://my.zakupki.prom.ua/remote/dispatcher/state_purchase_view/26435944" TargetMode="External"/><Relationship Id="rId262" Type="http://schemas.openxmlformats.org/officeDocument/2006/relationships/hyperlink" Target="https://my.zakupki.prom.ua/remote/dispatcher/state_purchase_view/25041105" TargetMode="External"/><Relationship Id="rId283" Type="http://schemas.openxmlformats.org/officeDocument/2006/relationships/hyperlink" Target="https://my.zakupki.prom.ua/remote/dispatcher/state_purchase_view/15954132" TargetMode="External"/><Relationship Id="rId78" Type="http://schemas.openxmlformats.org/officeDocument/2006/relationships/hyperlink" Target="https://my.zakupki.prom.ua/remote/dispatcher/state_purchase_view/26298300" TargetMode="External"/><Relationship Id="rId99" Type="http://schemas.openxmlformats.org/officeDocument/2006/relationships/hyperlink" Target="https://my.zakupki.prom.ua/remote/dispatcher/state_purchase_view/19224694" TargetMode="External"/><Relationship Id="rId101" Type="http://schemas.openxmlformats.org/officeDocument/2006/relationships/hyperlink" Target="https://my.zakupki.prom.ua/remote/dispatcher/state_purchase_view/76189" TargetMode="External"/><Relationship Id="rId122" Type="http://schemas.openxmlformats.org/officeDocument/2006/relationships/hyperlink" Target="https://auction.openprocurement.org/tenders/c49153626b7b4bc3b12bd989cc4dd662" TargetMode="External"/><Relationship Id="rId143" Type="http://schemas.openxmlformats.org/officeDocument/2006/relationships/hyperlink" Target="https://my.zakupki.prom.ua/remote/dispatcher/state_purchase_view/24128211" TargetMode="External"/><Relationship Id="rId164" Type="http://schemas.openxmlformats.org/officeDocument/2006/relationships/hyperlink" Target="https://my.zakupki.prom.ua/remote/dispatcher/state_purchase_view/17555049" TargetMode="External"/><Relationship Id="rId185" Type="http://schemas.openxmlformats.org/officeDocument/2006/relationships/hyperlink" Target="https://my.zakupki.prom.ua/remote/dispatcher/state_purchase_view/24612579" TargetMode="External"/><Relationship Id="rId9" Type="http://schemas.openxmlformats.org/officeDocument/2006/relationships/hyperlink" Target="https://my.zakupki.prom.ua/remote/dispatcher/state_purchase_view/13976443" TargetMode="External"/><Relationship Id="rId210" Type="http://schemas.openxmlformats.org/officeDocument/2006/relationships/hyperlink" Target="https://my.zakupki.prom.ua/remote/dispatcher/state_purchase_view/8106454" TargetMode="External"/><Relationship Id="rId26" Type="http://schemas.openxmlformats.org/officeDocument/2006/relationships/hyperlink" Target="https://my.zakupki.prom.ua/remote/dispatcher/state_purchase_view/26297271" TargetMode="External"/><Relationship Id="rId231" Type="http://schemas.openxmlformats.org/officeDocument/2006/relationships/hyperlink" Target="https://auction.openprocurement.org/tenders/26013d7157b94f42bfc44d9e538092d5" TargetMode="External"/><Relationship Id="rId252" Type="http://schemas.openxmlformats.org/officeDocument/2006/relationships/hyperlink" Target="https://my.zakupki.prom.ua/remote/dispatcher/state_purchase_view/12016157" TargetMode="External"/><Relationship Id="rId273" Type="http://schemas.openxmlformats.org/officeDocument/2006/relationships/hyperlink" Target="https://my.zakupki.prom.ua/remote/dispatcher/state_purchase_view/12695941" TargetMode="External"/><Relationship Id="rId47" Type="http://schemas.openxmlformats.org/officeDocument/2006/relationships/hyperlink" Target="https://my.zakupki.prom.ua/remote/dispatcher/state_purchase_view/18073337" TargetMode="External"/><Relationship Id="rId68" Type="http://schemas.openxmlformats.org/officeDocument/2006/relationships/hyperlink" Target="https://auction.openprocurement.org/tenders/fb473d053e1b48919be3268188572538" TargetMode="External"/><Relationship Id="rId89" Type="http://schemas.openxmlformats.org/officeDocument/2006/relationships/hyperlink" Target="https://my.zakupki.prom.ua/remote/dispatcher/state_purchase_view/15182025" TargetMode="External"/><Relationship Id="rId112" Type="http://schemas.openxmlformats.org/officeDocument/2006/relationships/hyperlink" Target="https://my.zakupki.prom.ua/remote/dispatcher/state_purchase_view/13666410" TargetMode="External"/><Relationship Id="rId133" Type="http://schemas.openxmlformats.org/officeDocument/2006/relationships/hyperlink" Target="https://my.zakupki.prom.ua/remote/dispatcher/state_purchase_view/12713259" TargetMode="External"/><Relationship Id="rId154" Type="http://schemas.openxmlformats.org/officeDocument/2006/relationships/hyperlink" Target="https://my.zakupki.prom.ua/remote/dispatcher/state_purchase_view/12876634" TargetMode="External"/><Relationship Id="rId175" Type="http://schemas.openxmlformats.org/officeDocument/2006/relationships/hyperlink" Target="https://my.zakupki.prom.ua/remote/dispatcher/state_purchase_view/6507669" TargetMode="External"/><Relationship Id="rId196" Type="http://schemas.openxmlformats.org/officeDocument/2006/relationships/hyperlink" Target="https://my.zakupki.prom.ua/remote/dispatcher/state_purchase_view/13488403" TargetMode="External"/><Relationship Id="rId200" Type="http://schemas.openxmlformats.org/officeDocument/2006/relationships/hyperlink" Target="https://auction.openprocurement.org/tenders/9b91230dd3de4b7c8871cf116c9d9fa5" TargetMode="External"/><Relationship Id="rId16" Type="http://schemas.openxmlformats.org/officeDocument/2006/relationships/hyperlink" Target="https://my.zakupki.prom.ua/remote/dispatcher/state_purchase_view/18922315" TargetMode="External"/><Relationship Id="rId221" Type="http://schemas.openxmlformats.org/officeDocument/2006/relationships/hyperlink" Target="https://my.zakupki.prom.ua/remote/dispatcher/state_purchase_view/26435942" TargetMode="External"/><Relationship Id="rId242" Type="http://schemas.openxmlformats.org/officeDocument/2006/relationships/hyperlink" Target="https://my.zakupki.prom.ua/remote/dispatcher/state_purchase_view/2473134" TargetMode="External"/><Relationship Id="rId263" Type="http://schemas.openxmlformats.org/officeDocument/2006/relationships/hyperlink" Target="https://my.zakupki.prom.ua/remote/dispatcher/state_purchase_view/24595341" TargetMode="External"/><Relationship Id="rId284" Type="http://schemas.openxmlformats.org/officeDocument/2006/relationships/hyperlink" Target="https://my.zakupki.prom.ua/remote/dispatcher/state_purchase_view/20901888" TargetMode="External"/><Relationship Id="rId37" Type="http://schemas.openxmlformats.org/officeDocument/2006/relationships/hyperlink" Target="https://my.zakupki.prom.ua/remote/dispatcher/state_purchase_view/1381640" TargetMode="External"/><Relationship Id="rId58" Type="http://schemas.openxmlformats.org/officeDocument/2006/relationships/hyperlink" Target="https://my.zakupki.prom.ua/remote/dispatcher/state_purchase_view/26298320" TargetMode="External"/><Relationship Id="rId79" Type="http://schemas.openxmlformats.org/officeDocument/2006/relationships/hyperlink" Target="https://my.zakupki.prom.ua/remote/dispatcher/state_purchase_view/26298292" TargetMode="External"/><Relationship Id="rId102" Type="http://schemas.openxmlformats.org/officeDocument/2006/relationships/hyperlink" Target="https://auction.openprocurement.org/tenders/35f88040f5674eadb6928a5bd6458563" TargetMode="External"/><Relationship Id="rId123" Type="http://schemas.openxmlformats.org/officeDocument/2006/relationships/hyperlink" Target="https://my.zakupki.prom.ua/remote/dispatcher/state_purchase_view/16182462" TargetMode="External"/><Relationship Id="rId144" Type="http://schemas.openxmlformats.org/officeDocument/2006/relationships/hyperlink" Target="https://my.zakupki.prom.ua/remote/dispatcher/state_purchase_view/2253794" TargetMode="External"/><Relationship Id="rId90" Type="http://schemas.openxmlformats.org/officeDocument/2006/relationships/hyperlink" Target="https://my.zakupki.prom.ua/remote/dispatcher/state_purchase_view/12261578" TargetMode="External"/><Relationship Id="rId165" Type="http://schemas.openxmlformats.org/officeDocument/2006/relationships/hyperlink" Target="https://my.zakupki.prom.ua/remote/dispatcher/state_purchase_view/16616768" TargetMode="External"/><Relationship Id="rId186" Type="http://schemas.openxmlformats.org/officeDocument/2006/relationships/hyperlink" Target="https://my.zakupki.prom.ua/remote/dispatcher/state_purchase_view/23271217" TargetMode="External"/><Relationship Id="rId211" Type="http://schemas.openxmlformats.org/officeDocument/2006/relationships/hyperlink" Target="https://my.zakupki.prom.ua/remote/dispatcher/state_purchase_view/16497401" TargetMode="External"/><Relationship Id="rId232" Type="http://schemas.openxmlformats.org/officeDocument/2006/relationships/hyperlink" Target="https://my.zakupki.prom.ua/remote/dispatcher/state_purchase_view/17277535" TargetMode="External"/><Relationship Id="rId253" Type="http://schemas.openxmlformats.org/officeDocument/2006/relationships/hyperlink" Target="https://auction.openprocurement.org/tenders/2d40902ef4a2477aa2050efc00fca0c2" TargetMode="External"/><Relationship Id="rId274" Type="http://schemas.openxmlformats.org/officeDocument/2006/relationships/hyperlink" Target="https://my.zakupki.prom.ua/remote/dispatcher/state_purchase_view/12426960" TargetMode="External"/><Relationship Id="rId27" Type="http://schemas.openxmlformats.org/officeDocument/2006/relationships/hyperlink" Target="https://my.zakupki.prom.ua/remote/dispatcher/state_purchase_view/25360613" TargetMode="External"/><Relationship Id="rId48" Type="http://schemas.openxmlformats.org/officeDocument/2006/relationships/hyperlink" Target="https://my.zakupki.prom.ua/remote/dispatcher/state_purchase_view/17307451" TargetMode="External"/><Relationship Id="rId69" Type="http://schemas.openxmlformats.org/officeDocument/2006/relationships/hyperlink" Target="https://my.zakupki.prom.ua/remote/dispatcher/state_purchase_view/15598404" TargetMode="External"/><Relationship Id="rId113" Type="http://schemas.openxmlformats.org/officeDocument/2006/relationships/hyperlink" Target="https://my.zakupki.prom.ua/remote/dispatcher/state_purchase_view/7341939" TargetMode="External"/><Relationship Id="rId134" Type="http://schemas.openxmlformats.org/officeDocument/2006/relationships/hyperlink" Target="https://my.zakupki.prom.ua/remote/dispatcher/state_purchase_view/23782934" TargetMode="External"/><Relationship Id="rId80" Type="http://schemas.openxmlformats.org/officeDocument/2006/relationships/hyperlink" Target="https://my.zakupki.prom.ua/remote/dispatcher/state_purchase_view/26298315" TargetMode="External"/><Relationship Id="rId155" Type="http://schemas.openxmlformats.org/officeDocument/2006/relationships/hyperlink" Target="https://auction.openprocurement.org/tenders/06d8346d5a1a4873ab856c17b0c0288c" TargetMode="External"/><Relationship Id="rId176" Type="http://schemas.openxmlformats.org/officeDocument/2006/relationships/hyperlink" Target="https://my.zakupki.prom.ua/remote/dispatcher/state_purchase_view/282618" TargetMode="External"/><Relationship Id="rId197" Type="http://schemas.openxmlformats.org/officeDocument/2006/relationships/hyperlink" Target="https://my.zakupki.prom.ua/remote/dispatcher/state_purchase_view/12858276" TargetMode="External"/><Relationship Id="rId201" Type="http://schemas.openxmlformats.org/officeDocument/2006/relationships/hyperlink" Target="https://my.zakupki.prom.ua/remote/dispatcher/state_purchase_view/12577848" TargetMode="External"/><Relationship Id="rId222" Type="http://schemas.openxmlformats.org/officeDocument/2006/relationships/hyperlink" Target="https://my.zakupki.prom.ua/remote/dispatcher/state_purchase_view/7801570" TargetMode="External"/><Relationship Id="rId243" Type="http://schemas.openxmlformats.org/officeDocument/2006/relationships/hyperlink" Target="https://my.zakupki.prom.ua/remote/dispatcher/state_purchase_view/11892749" TargetMode="External"/><Relationship Id="rId264" Type="http://schemas.openxmlformats.org/officeDocument/2006/relationships/hyperlink" Target="https://my.zakupki.prom.ua/remote/dispatcher/state_purchase_view/25361065" TargetMode="External"/><Relationship Id="rId285" Type="http://schemas.openxmlformats.org/officeDocument/2006/relationships/hyperlink" Target="https://auction.openprocurement.org/tenders/db23f08325ae44e9bdefdbe8d7465ecc" TargetMode="External"/><Relationship Id="rId17" Type="http://schemas.openxmlformats.org/officeDocument/2006/relationships/hyperlink" Target="https://my.zakupki.prom.ua/remote/dispatcher/state_purchase_view/15770720" TargetMode="External"/><Relationship Id="rId38" Type="http://schemas.openxmlformats.org/officeDocument/2006/relationships/hyperlink" Target="https://my.zakupki.prom.ua/remote/dispatcher/state_purchase_view/8762484" TargetMode="External"/><Relationship Id="rId59" Type="http://schemas.openxmlformats.org/officeDocument/2006/relationships/hyperlink" Target="https://my.zakupki.prom.ua/remote/dispatcher/state_purchase_view/3782435" TargetMode="External"/><Relationship Id="rId103" Type="http://schemas.openxmlformats.org/officeDocument/2006/relationships/hyperlink" Target="https://my.zakupki.prom.ua/remote/dispatcher/state_purchase_view/26083553" TargetMode="External"/><Relationship Id="rId124" Type="http://schemas.openxmlformats.org/officeDocument/2006/relationships/hyperlink" Target="https://my.zakupki.prom.ua/remote/dispatcher/state_purchase_view/16668551" TargetMode="External"/><Relationship Id="rId70" Type="http://schemas.openxmlformats.org/officeDocument/2006/relationships/hyperlink" Target="https://auction.openprocurement.org/tenders/a47b0da633da465686e41eb6edff48b5" TargetMode="External"/><Relationship Id="rId91" Type="http://schemas.openxmlformats.org/officeDocument/2006/relationships/hyperlink" Target="https://my.zakupki.prom.ua/remote/dispatcher/state_purchase_view/12604947" TargetMode="External"/><Relationship Id="rId145" Type="http://schemas.openxmlformats.org/officeDocument/2006/relationships/hyperlink" Target="https://auction.openprocurement.org/tenders/e2ad556bcb82454ab1a6a12858f3ecef" TargetMode="External"/><Relationship Id="rId166" Type="http://schemas.openxmlformats.org/officeDocument/2006/relationships/hyperlink" Target="https://auction.openprocurement.org/tenders/269879958e31452b998403f295bee6fc" TargetMode="External"/><Relationship Id="rId187" Type="http://schemas.openxmlformats.org/officeDocument/2006/relationships/hyperlink" Target="https://my.zakupki.prom.ua/remote/dispatcher/state_purchase_view/24415016" TargetMode="External"/><Relationship Id="rId1" Type="http://schemas.openxmlformats.org/officeDocument/2006/relationships/hyperlink" Target="mailto:report.zakupki@prom.ua" TargetMode="External"/><Relationship Id="rId212" Type="http://schemas.openxmlformats.org/officeDocument/2006/relationships/hyperlink" Target="https://my.zakupki.prom.ua/remote/dispatcher/state_purchase_view/16921398" TargetMode="External"/><Relationship Id="rId233" Type="http://schemas.openxmlformats.org/officeDocument/2006/relationships/hyperlink" Target="https://my.zakupki.prom.ua/remote/dispatcher/state_purchase_view/19084359" TargetMode="External"/><Relationship Id="rId254" Type="http://schemas.openxmlformats.org/officeDocument/2006/relationships/hyperlink" Target="https://my.zakupki.prom.ua/remote/dispatcher/state_purchase_view/16688879" TargetMode="External"/><Relationship Id="rId28" Type="http://schemas.openxmlformats.org/officeDocument/2006/relationships/hyperlink" Target="https://auction.openprocurement.org/tenders/25e41efe2c654266a7f277549cf525da" TargetMode="External"/><Relationship Id="rId49" Type="http://schemas.openxmlformats.org/officeDocument/2006/relationships/hyperlink" Target="https://my.zakupki.prom.ua/remote/dispatcher/state_purchase_view/24235491" TargetMode="External"/><Relationship Id="rId114" Type="http://schemas.openxmlformats.org/officeDocument/2006/relationships/hyperlink" Target="https://auction.openprocurement.org/tenders/1d50d65f90a24c09b327c37ec2d1ebe4" TargetMode="External"/><Relationship Id="rId275" Type="http://schemas.openxmlformats.org/officeDocument/2006/relationships/hyperlink" Target="https://my.zakupki.prom.ua/remote/dispatcher/state_purchase_view/13489074" TargetMode="External"/><Relationship Id="rId60" Type="http://schemas.openxmlformats.org/officeDocument/2006/relationships/hyperlink" Target="https://auction.openprocurement.org/tenders/67ebbe4d76454104837415723fab0971" TargetMode="External"/><Relationship Id="rId81" Type="http://schemas.openxmlformats.org/officeDocument/2006/relationships/hyperlink" Target="https://my.zakupki.prom.ua/remote/dispatcher/state_purchase_view/7804155" TargetMode="External"/><Relationship Id="rId135" Type="http://schemas.openxmlformats.org/officeDocument/2006/relationships/hyperlink" Target="https://my.zakupki.prom.ua/remote/dispatcher/state_purchase_view/12466097" TargetMode="External"/><Relationship Id="rId156" Type="http://schemas.openxmlformats.org/officeDocument/2006/relationships/hyperlink" Target="https://my.zakupki.prom.ua/remote/dispatcher/state_purchase_view/16022859" TargetMode="External"/><Relationship Id="rId177" Type="http://schemas.openxmlformats.org/officeDocument/2006/relationships/hyperlink" Target="https://auction.openprocurement.org/tenders/3f7dadd30c024f59ac8097ea040a104c" TargetMode="External"/><Relationship Id="rId198" Type="http://schemas.openxmlformats.org/officeDocument/2006/relationships/hyperlink" Target="https://my.zakupki.prom.ua/remote/dispatcher/state_purchase_view/12713953" TargetMode="External"/><Relationship Id="rId202" Type="http://schemas.openxmlformats.org/officeDocument/2006/relationships/hyperlink" Target="https://auction.openprocurement.org/tenders/1c1bba9cf71f424b9d19e48c118acffa" TargetMode="External"/><Relationship Id="rId223" Type="http://schemas.openxmlformats.org/officeDocument/2006/relationships/hyperlink" Target="https://my.zakupki.prom.ua/remote/dispatcher/state_purchase_view/11359942" TargetMode="External"/><Relationship Id="rId244" Type="http://schemas.openxmlformats.org/officeDocument/2006/relationships/hyperlink" Target="https://my.zakupki.prom.ua/remote/dispatcher/state_purchase_view/12261997" TargetMode="External"/><Relationship Id="rId18" Type="http://schemas.openxmlformats.org/officeDocument/2006/relationships/hyperlink" Target="https://my.zakupki.prom.ua/remote/dispatcher/state_purchase_view/15552874" TargetMode="External"/><Relationship Id="rId39" Type="http://schemas.openxmlformats.org/officeDocument/2006/relationships/hyperlink" Target="https://my.zakupki.prom.ua/remote/dispatcher/state_purchase_view/7834832" TargetMode="External"/><Relationship Id="rId265" Type="http://schemas.openxmlformats.org/officeDocument/2006/relationships/hyperlink" Target="https://auction.openprocurement.org/tenders/2c8c19512bc34bbdbc93af41c83cbd97" TargetMode="External"/><Relationship Id="rId286" Type="http://schemas.openxmlformats.org/officeDocument/2006/relationships/hyperlink" Target="https://my.zakupki.prom.ua/remote/dispatcher/state_purchase_view/26123691" TargetMode="External"/><Relationship Id="rId50" Type="http://schemas.openxmlformats.org/officeDocument/2006/relationships/hyperlink" Target="https://my.zakupki.prom.ua/remote/dispatcher/state_purchase_view/12876258" TargetMode="External"/><Relationship Id="rId104" Type="http://schemas.openxmlformats.org/officeDocument/2006/relationships/hyperlink" Target="https://my.zakupki.prom.ua/remote/dispatcher/state_purchase_view/1346827" TargetMode="External"/><Relationship Id="rId125" Type="http://schemas.openxmlformats.org/officeDocument/2006/relationships/hyperlink" Target="https://auction.openprocurement.org/tenders/fc6688a9cdd04e1f90f5b013a17f9f28" TargetMode="External"/><Relationship Id="rId146" Type="http://schemas.openxmlformats.org/officeDocument/2006/relationships/hyperlink" Target="https://my.zakupki.prom.ua/remote/dispatcher/state_purchase_view/7802972" TargetMode="External"/><Relationship Id="rId167" Type="http://schemas.openxmlformats.org/officeDocument/2006/relationships/hyperlink" Target="https://my.zakupki.prom.ua/remote/dispatcher/state_purchase_view/18486161" TargetMode="External"/><Relationship Id="rId188" Type="http://schemas.openxmlformats.org/officeDocument/2006/relationships/hyperlink" Target="https://my.zakupki.prom.ua/remote/dispatcher/state_purchase_view/25382854" TargetMode="External"/><Relationship Id="rId71" Type="http://schemas.openxmlformats.org/officeDocument/2006/relationships/hyperlink" Target="https://my.zakupki.prom.ua/remote/dispatcher/state_purchase_view/16098725" TargetMode="External"/><Relationship Id="rId92" Type="http://schemas.openxmlformats.org/officeDocument/2006/relationships/hyperlink" Target="https://my.zakupki.prom.ua/remote/dispatcher/state_purchase_view/13197887" TargetMode="External"/><Relationship Id="rId213" Type="http://schemas.openxmlformats.org/officeDocument/2006/relationships/hyperlink" Target="https://my.zakupki.prom.ua/remote/dispatcher/state_purchase_view/15388741" TargetMode="External"/><Relationship Id="rId234" Type="http://schemas.openxmlformats.org/officeDocument/2006/relationships/hyperlink" Target="https://my.zakupki.prom.ua/remote/dispatcher/state_purchase_view/18458706" TargetMode="External"/><Relationship Id="rId2" Type="http://schemas.openxmlformats.org/officeDocument/2006/relationships/hyperlink" Target="https://my.zakupki.prom.ua/remote/dispatcher/state_purchase_view/2367533" TargetMode="External"/><Relationship Id="rId29" Type="http://schemas.openxmlformats.org/officeDocument/2006/relationships/hyperlink" Target="https://my.zakupki.prom.ua/remote/dispatcher/state_purchase_view/2237149" TargetMode="External"/><Relationship Id="rId255" Type="http://schemas.openxmlformats.org/officeDocument/2006/relationships/hyperlink" Target="https://auction.openprocurement.org/tenders/d8a2c8117ac6404693b9432aad1d8bd2" TargetMode="External"/><Relationship Id="rId276" Type="http://schemas.openxmlformats.org/officeDocument/2006/relationships/hyperlink" Target="https://my.zakupki.prom.ua/remote/dispatcher/state_purchase_view/12823993" TargetMode="External"/><Relationship Id="rId40" Type="http://schemas.openxmlformats.org/officeDocument/2006/relationships/hyperlink" Target="https://my.zakupki.prom.ua/remote/dispatcher/state_purchase_view/16961429" TargetMode="External"/><Relationship Id="rId115" Type="http://schemas.openxmlformats.org/officeDocument/2006/relationships/hyperlink" Target="https://my.zakupki.prom.ua/remote/dispatcher/state_purchase_view/12466149" TargetMode="External"/><Relationship Id="rId136" Type="http://schemas.openxmlformats.org/officeDocument/2006/relationships/hyperlink" Target="https://auction.openprocurement.org/tenders/a6f1fb760f964ac686e0079c768ce327" TargetMode="External"/><Relationship Id="rId157" Type="http://schemas.openxmlformats.org/officeDocument/2006/relationships/hyperlink" Target="https://auction.openprocurement.org/tenders/5f55a0b14e654250aa85621715af3e31" TargetMode="External"/><Relationship Id="rId178" Type="http://schemas.openxmlformats.org/officeDocument/2006/relationships/hyperlink" Target="https://my.zakupki.prom.ua/remote/dispatcher/state_purchase_view/840487" TargetMode="External"/><Relationship Id="rId61" Type="http://schemas.openxmlformats.org/officeDocument/2006/relationships/hyperlink" Target="https://my.zakupki.prom.ua/remote/dispatcher/state_purchase_view/9684200" TargetMode="External"/><Relationship Id="rId82" Type="http://schemas.openxmlformats.org/officeDocument/2006/relationships/hyperlink" Target="https://my.zakupki.prom.ua/remote/dispatcher/state_purchase_view/7836951" TargetMode="External"/><Relationship Id="rId199" Type="http://schemas.openxmlformats.org/officeDocument/2006/relationships/hyperlink" Target="https://my.zakupki.prom.ua/remote/dispatcher/state_purchase_view/13018694" TargetMode="External"/><Relationship Id="rId203" Type="http://schemas.openxmlformats.org/officeDocument/2006/relationships/hyperlink" Target="https://my.zakupki.prom.ua/remote/dispatcher/state_purchase_view/12521868" TargetMode="External"/><Relationship Id="rId19" Type="http://schemas.openxmlformats.org/officeDocument/2006/relationships/hyperlink" Target="https://my.zakupki.prom.ua/remote/dispatcher/state_purchase_view/17947743" TargetMode="External"/><Relationship Id="rId224" Type="http://schemas.openxmlformats.org/officeDocument/2006/relationships/hyperlink" Target="https://my.zakupki.prom.ua/remote/dispatcher/state_purchase_view/12263151" TargetMode="External"/><Relationship Id="rId245" Type="http://schemas.openxmlformats.org/officeDocument/2006/relationships/hyperlink" Target="https://my.zakupki.prom.ua/remote/dispatcher/state_purchase_view/12262560" TargetMode="External"/><Relationship Id="rId266" Type="http://schemas.openxmlformats.org/officeDocument/2006/relationships/hyperlink" Target="https://my.zakupki.prom.ua/remote/dispatcher/state_purchase_view/26187335" TargetMode="External"/><Relationship Id="rId287" Type="http://schemas.openxmlformats.org/officeDocument/2006/relationships/hyperlink" Target="https://my.zakupki.prom.ua/remote/dispatcher/state_purchase_view/25705928" TargetMode="External"/><Relationship Id="rId30" Type="http://schemas.openxmlformats.org/officeDocument/2006/relationships/hyperlink" Target="https://auction.openprocurement.org/tenders/1eea076f4c054c248ec3b322c2c11f8a" TargetMode="External"/><Relationship Id="rId105" Type="http://schemas.openxmlformats.org/officeDocument/2006/relationships/hyperlink" Target="https://my.zakupki.prom.ua/remote/dispatcher/state_purchase_view/2472923" TargetMode="External"/><Relationship Id="rId126" Type="http://schemas.openxmlformats.org/officeDocument/2006/relationships/hyperlink" Target="https://my.zakupki.prom.ua/remote/dispatcher/state_purchase_view/23841279" TargetMode="External"/><Relationship Id="rId147" Type="http://schemas.openxmlformats.org/officeDocument/2006/relationships/hyperlink" Target="https://my.zakupki.prom.ua/remote/dispatcher/state_purchase_view/7802341" TargetMode="External"/><Relationship Id="rId168" Type="http://schemas.openxmlformats.org/officeDocument/2006/relationships/hyperlink" Target="https://my.zakupki.prom.ua/remote/dispatcher/state_purchase_view/19195219" TargetMode="External"/><Relationship Id="rId51" Type="http://schemas.openxmlformats.org/officeDocument/2006/relationships/hyperlink" Target="https://auction.openprocurement.org/tenders/60488ee23c6f448b87a0ec6ff0dd4471" TargetMode="External"/><Relationship Id="rId72" Type="http://schemas.openxmlformats.org/officeDocument/2006/relationships/hyperlink" Target="https://auction.openprocurement.org/tenders/0693bf03b5644293bed485c37fdac072" TargetMode="External"/><Relationship Id="rId93" Type="http://schemas.openxmlformats.org/officeDocument/2006/relationships/hyperlink" Target="https://my.zakupki.prom.ua/remote/dispatcher/state_purchase_view/10406630" TargetMode="External"/><Relationship Id="rId189" Type="http://schemas.openxmlformats.org/officeDocument/2006/relationships/hyperlink" Target="https://auction.openprocurement.org/tenders/445493a2a9c048cf8c1e553893243219" TargetMode="External"/><Relationship Id="rId3" Type="http://schemas.openxmlformats.org/officeDocument/2006/relationships/hyperlink" Target="https://my.zakupki.prom.ua/remote/dispatcher/state_purchase_view/11860976" TargetMode="External"/><Relationship Id="rId214" Type="http://schemas.openxmlformats.org/officeDocument/2006/relationships/hyperlink" Target="https://my.zakupki.prom.ua/remote/dispatcher/state_purchase_view/18724293" TargetMode="External"/><Relationship Id="rId235" Type="http://schemas.openxmlformats.org/officeDocument/2006/relationships/hyperlink" Target="https://my.zakupki.prom.ua/remote/dispatcher/state_purchase_view/25040241" TargetMode="External"/><Relationship Id="rId256" Type="http://schemas.openxmlformats.org/officeDocument/2006/relationships/hyperlink" Target="https://my.zakupki.prom.ua/remote/dispatcher/state_purchase_view/14327900" TargetMode="External"/><Relationship Id="rId277" Type="http://schemas.openxmlformats.org/officeDocument/2006/relationships/hyperlink" Target="https://my.zakupki.prom.ua/remote/dispatcher/state_purchase_view/13264279" TargetMode="External"/><Relationship Id="rId116" Type="http://schemas.openxmlformats.org/officeDocument/2006/relationships/hyperlink" Target="https://my.zakupki.prom.ua/remote/dispatcher/state_purchase_view/11314686" TargetMode="External"/><Relationship Id="rId137" Type="http://schemas.openxmlformats.org/officeDocument/2006/relationships/hyperlink" Target="https://my.zakupki.prom.ua/remote/dispatcher/state_purchase_view/12623954" TargetMode="External"/><Relationship Id="rId158" Type="http://schemas.openxmlformats.org/officeDocument/2006/relationships/hyperlink" Target="https://my.zakupki.prom.ua/remote/dispatcher/state_purchase_view/15672250" TargetMode="External"/><Relationship Id="rId20" Type="http://schemas.openxmlformats.org/officeDocument/2006/relationships/hyperlink" Target="https://my.zakupki.prom.ua/remote/dispatcher/state_purchase_view/20615081" TargetMode="External"/><Relationship Id="rId41" Type="http://schemas.openxmlformats.org/officeDocument/2006/relationships/hyperlink" Target="https://auction.openprocurement.org/tenders/a9db74d7121140638ce0638104e96c65" TargetMode="External"/><Relationship Id="rId62" Type="http://schemas.openxmlformats.org/officeDocument/2006/relationships/hyperlink" Target="https://my.zakupki.prom.ua/remote/dispatcher/state_purchase_view/12780419" TargetMode="External"/><Relationship Id="rId83" Type="http://schemas.openxmlformats.org/officeDocument/2006/relationships/hyperlink" Target="https://auction.openprocurement.org/tenders/29c9e1b69efc4897afa203607c263a31" TargetMode="External"/><Relationship Id="rId179" Type="http://schemas.openxmlformats.org/officeDocument/2006/relationships/hyperlink" Target="https://auction.openprocurement.org/tenders/ed3c7088fb5048fc9c7226a3326ab169" TargetMode="External"/><Relationship Id="rId190" Type="http://schemas.openxmlformats.org/officeDocument/2006/relationships/hyperlink" Target="https://my.zakupki.prom.ua/remote/dispatcher/state_purchase_view/24564117" TargetMode="External"/><Relationship Id="rId204" Type="http://schemas.openxmlformats.org/officeDocument/2006/relationships/hyperlink" Target="https://auction.openprocurement.org/tenders/be173204edde42b880e6c86fdf592728" TargetMode="External"/><Relationship Id="rId225" Type="http://schemas.openxmlformats.org/officeDocument/2006/relationships/hyperlink" Target="https://my.zakupki.prom.ua/remote/dispatcher/state_purchase_view/13197503" TargetMode="External"/><Relationship Id="rId246" Type="http://schemas.openxmlformats.org/officeDocument/2006/relationships/hyperlink" Target="https://my.zakupki.prom.ua/remote/dispatcher/state_purchase_view/12868645" TargetMode="External"/><Relationship Id="rId267" Type="http://schemas.openxmlformats.org/officeDocument/2006/relationships/hyperlink" Target="https://my.zakupki.prom.ua/remote/dispatcher/state_purchase_view/25705812" TargetMode="External"/><Relationship Id="rId288" Type="http://schemas.openxmlformats.org/officeDocument/2006/relationships/hyperlink" Target="https://my.zakupki.prom.ua/remote/dispatcher/state_purchase_view/26083693" TargetMode="External"/><Relationship Id="rId106" Type="http://schemas.openxmlformats.org/officeDocument/2006/relationships/hyperlink" Target="https://my.zakupki.prom.ua/remote/dispatcher/state_purchase_view/11860719" TargetMode="External"/><Relationship Id="rId127" Type="http://schemas.openxmlformats.org/officeDocument/2006/relationships/hyperlink" Target="https://my.zakupki.prom.ua/remote/dispatcher/state_purchase_view/25705763" TargetMode="External"/><Relationship Id="rId10" Type="http://schemas.openxmlformats.org/officeDocument/2006/relationships/hyperlink" Target="https://my.zakupki.prom.ua/remote/dispatcher/state_purchase_view/13064466" TargetMode="External"/><Relationship Id="rId31" Type="http://schemas.openxmlformats.org/officeDocument/2006/relationships/hyperlink" Target="https://my.zakupki.prom.ua/remote/dispatcher/state_purchase_view/2285938" TargetMode="External"/><Relationship Id="rId52" Type="http://schemas.openxmlformats.org/officeDocument/2006/relationships/hyperlink" Target="https://my.zakupki.prom.ua/remote/dispatcher/state_purchase_view/26165081" TargetMode="External"/><Relationship Id="rId73" Type="http://schemas.openxmlformats.org/officeDocument/2006/relationships/hyperlink" Target="https://my.zakupki.prom.ua/remote/dispatcher/state_purchase_view/18160919" TargetMode="External"/><Relationship Id="rId94" Type="http://schemas.openxmlformats.org/officeDocument/2006/relationships/hyperlink" Target="https://my.zakupki.prom.ua/remote/dispatcher/state_purchase_view/11176507" TargetMode="External"/><Relationship Id="rId148" Type="http://schemas.openxmlformats.org/officeDocument/2006/relationships/hyperlink" Target="https://my.zakupki.prom.ua/remote/dispatcher/state_purchase_view/20007309" TargetMode="External"/><Relationship Id="rId169" Type="http://schemas.openxmlformats.org/officeDocument/2006/relationships/hyperlink" Target="https://my.zakupki.prom.ua/remote/dispatcher/state_purchase_view/59636" TargetMode="External"/><Relationship Id="rId4" Type="http://schemas.openxmlformats.org/officeDocument/2006/relationships/hyperlink" Target="https://my.zakupki.prom.ua/remote/dispatcher/state_purchase_view/12265025" TargetMode="External"/><Relationship Id="rId180" Type="http://schemas.openxmlformats.org/officeDocument/2006/relationships/hyperlink" Target="https://my.zakupki.prom.ua/remote/dispatcher/state_purchase_view/19223737" TargetMode="External"/><Relationship Id="rId215" Type="http://schemas.openxmlformats.org/officeDocument/2006/relationships/hyperlink" Target="https://my.zakupki.prom.ua/remote/dispatcher/state_purchase_view/19173068" TargetMode="External"/><Relationship Id="rId236" Type="http://schemas.openxmlformats.org/officeDocument/2006/relationships/hyperlink" Target="https://my.zakupki.prom.ua/remote/dispatcher/state_purchase_view/25705990" TargetMode="External"/><Relationship Id="rId257" Type="http://schemas.openxmlformats.org/officeDocument/2006/relationships/hyperlink" Target="https://auction.openprocurement.org/tenders/15a240125820412d83c9f7d8cc6c38c0" TargetMode="External"/><Relationship Id="rId278" Type="http://schemas.openxmlformats.org/officeDocument/2006/relationships/hyperlink" Target="https://auction.openprocurement.org/tenders/fa9da7adad4b40d09faaf2559c5b346d" TargetMode="External"/><Relationship Id="rId42" Type="http://schemas.openxmlformats.org/officeDocument/2006/relationships/hyperlink" Target="https://my.zakupki.prom.ua/remote/dispatcher/state_purchase_view/16022106" TargetMode="External"/><Relationship Id="rId84" Type="http://schemas.openxmlformats.org/officeDocument/2006/relationships/hyperlink" Target="https://my.zakupki.prom.ua/remote/dispatcher/state_purchase_view/7423119" TargetMode="External"/><Relationship Id="rId138" Type="http://schemas.openxmlformats.org/officeDocument/2006/relationships/hyperlink" Target="https://my.zakupki.prom.ua/remote/dispatcher/state_purchase_view/18326101" TargetMode="External"/><Relationship Id="rId191" Type="http://schemas.openxmlformats.org/officeDocument/2006/relationships/hyperlink" Target="https://my.zakupki.prom.ua/remote/dispatcher/state_purchase_view/25705863" TargetMode="External"/><Relationship Id="rId205" Type="http://schemas.openxmlformats.org/officeDocument/2006/relationships/hyperlink" Target="https://my.zakupki.prom.ua/remote/dispatcher/state_purchase_view/7363500" TargetMode="External"/><Relationship Id="rId247" Type="http://schemas.openxmlformats.org/officeDocument/2006/relationships/hyperlink" Target="https://my.zakupki.prom.ua/remote/dispatcher/state_purchase_view/59630" TargetMode="External"/><Relationship Id="rId107" Type="http://schemas.openxmlformats.org/officeDocument/2006/relationships/hyperlink" Target="https://my.zakupki.prom.ua/remote/dispatcher/state_purchase_view/13323431" TargetMode="External"/><Relationship Id="rId289" Type="http://schemas.openxmlformats.org/officeDocument/2006/relationships/hyperlink" Target="https://my.zakupki.prom.ua/remote/dispatcher/state_purchase_view/26435934" TargetMode="External"/><Relationship Id="rId11" Type="http://schemas.openxmlformats.org/officeDocument/2006/relationships/hyperlink" Target="https://auction.openprocurement.org/tenders/c83d3580b2bb49f08b715839ae698363" TargetMode="External"/><Relationship Id="rId53" Type="http://schemas.openxmlformats.org/officeDocument/2006/relationships/hyperlink" Target="https://my.zakupki.prom.ua/remote/dispatcher/state_purchase_view/25360030" TargetMode="External"/><Relationship Id="rId149" Type="http://schemas.openxmlformats.org/officeDocument/2006/relationships/hyperlink" Target="https://my.zakupki.prom.ua/remote/dispatcher/state_purchase_view/12264827" TargetMode="External"/><Relationship Id="rId95" Type="http://schemas.openxmlformats.org/officeDocument/2006/relationships/hyperlink" Target="https://my.zakupki.prom.ua/remote/dispatcher/state_purchase_view/12016046" TargetMode="External"/><Relationship Id="rId160" Type="http://schemas.openxmlformats.org/officeDocument/2006/relationships/hyperlink" Target="https://my.zakupki.prom.ua/remote/dispatcher/state_purchase_view/15493303" TargetMode="External"/><Relationship Id="rId216" Type="http://schemas.openxmlformats.org/officeDocument/2006/relationships/hyperlink" Target="https://my.zakupki.prom.ua/remote/dispatcher/state_purchase_view/20885632" TargetMode="External"/><Relationship Id="rId258" Type="http://schemas.openxmlformats.org/officeDocument/2006/relationships/hyperlink" Target="https://my.zakupki.prom.ua/remote/dispatcher/state_purchase_view/19269426" TargetMode="External"/><Relationship Id="rId22" Type="http://schemas.openxmlformats.org/officeDocument/2006/relationships/hyperlink" Target="https://my.zakupki.prom.ua/remote/dispatcher/state_purchase_view/23592573" TargetMode="External"/><Relationship Id="rId64" Type="http://schemas.openxmlformats.org/officeDocument/2006/relationships/hyperlink" Target="https://my.zakupki.prom.ua/remote/dispatcher/state_purchase_view/12794352" TargetMode="External"/><Relationship Id="rId118" Type="http://schemas.openxmlformats.org/officeDocument/2006/relationships/hyperlink" Target="https://auction.openprocurement.org/tenders/52d6ec78b9b043f88fb969d9dbc91521" TargetMode="External"/><Relationship Id="rId171" Type="http://schemas.openxmlformats.org/officeDocument/2006/relationships/hyperlink" Target="https://my.zakupki.prom.ua/remote/dispatcher/state_purchase_view/26123710" TargetMode="External"/><Relationship Id="rId227" Type="http://schemas.openxmlformats.org/officeDocument/2006/relationships/hyperlink" Target="https://auction.openprocurement.org/tenders/a3e5fce3dbdd46bbb1fcc6feaf3d80f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233"/>
  <sheetViews>
    <sheetView tabSelected="1" workbookViewId="0">
      <pane ySplit="5" topLeftCell="A6" activePane="bottomLeft" state="frozen"/>
      <selection pane="bottomLeft" activeCell="O45" sqref="A45:XFD45"/>
    </sheetView>
  </sheetViews>
  <sheetFormatPr defaultColWidth="11.42578125" defaultRowHeight="15" x14ac:dyDescent="0.25"/>
  <cols>
    <col min="1" max="1" width="5"/>
    <col min="2" max="2" width="25"/>
    <col min="3" max="4" width="35"/>
    <col min="5" max="6" width="30"/>
    <col min="7" max="7" width="15"/>
    <col min="8" max="8" width="20"/>
    <col min="9" max="9" width="10"/>
    <col min="10" max="10" width="25"/>
    <col min="11" max="11" width="10"/>
    <col min="12" max="12" width="15"/>
    <col min="13" max="13" width="10"/>
    <col min="14" max="15" width="15"/>
    <col min="16" max="16" width="10"/>
    <col min="17" max="20" width="15"/>
    <col min="21" max="21" width="10"/>
    <col min="22" max="22" width="20"/>
    <col min="23" max="23" width="15"/>
    <col min="24" max="24" width="10"/>
    <col min="25" max="25" width="15"/>
    <col min="26" max="27" width="10"/>
    <col min="28" max="28" width="20"/>
    <col min="29" max="32" width="15"/>
    <col min="33" max="33" width="10"/>
    <col min="34" max="34" width="50"/>
  </cols>
  <sheetData>
    <row r="1" spans="1:34" x14ac:dyDescent="0.25">
      <c r="A1" s="1" t="s">
        <v>838</v>
      </c>
    </row>
    <row r="2" spans="1:34" x14ac:dyDescent="0.25">
      <c r="A2" s="2" t="s">
        <v>481</v>
      </c>
    </row>
    <row r="4" spans="1:34" ht="15.75" thickBot="1" x14ac:dyDescent="0.3">
      <c r="A4" s="1" t="s">
        <v>724</v>
      </c>
    </row>
    <row r="5" spans="1:34" ht="78" thickBot="1" x14ac:dyDescent="0.3">
      <c r="A5" s="3" t="s">
        <v>872</v>
      </c>
      <c r="B5" s="3" t="s">
        <v>484</v>
      </c>
      <c r="C5" s="3" t="s">
        <v>689</v>
      </c>
      <c r="D5" s="3" t="s">
        <v>566</v>
      </c>
      <c r="E5" s="3" t="s">
        <v>791</v>
      </c>
      <c r="F5" s="3" t="s">
        <v>620</v>
      </c>
      <c r="G5" s="3" t="s">
        <v>482</v>
      </c>
      <c r="H5" s="3" t="s">
        <v>625</v>
      </c>
      <c r="I5" s="3" t="s">
        <v>535</v>
      </c>
      <c r="J5" s="3" t="s">
        <v>533</v>
      </c>
      <c r="K5" s="3" t="s">
        <v>582</v>
      </c>
      <c r="L5" s="3" t="s">
        <v>629</v>
      </c>
      <c r="M5" s="3" t="s">
        <v>581</v>
      </c>
      <c r="N5" s="3" t="s">
        <v>630</v>
      </c>
      <c r="O5" s="3" t="s">
        <v>619</v>
      </c>
      <c r="P5" s="3" t="s">
        <v>508</v>
      </c>
      <c r="Q5" s="3" t="s">
        <v>549</v>
      </c>
      <c r="R5" s="3" t="s">
        <v>697</v>
      </c>
      <c r="S5" s="3" t="s">
        <v>698</v>
      </c>
      <c r="T5" s="3" t="s">
        <v>728</v>
      </c>
      <c r="U5" s="3" t="s">
        <v>6</v>
      </c>
      <c r="V5" s="3" t="s">
        <v>821</v>
      </c>
      <c r="W5" s="3" t="s">
        <v>483</v>
      </c>
      <c r="X5" s="3" t="s">
        <v>645</v>
      </c>
      <c r="Y5" s="3" t="s">
        <v>536</v>
      </c>
      <c r="Z5" s="3" t="s">
        <v>799</v>
      </c>
      <c r="AA5" s="3" t="s">
        <v>798</v>
      </c>
      <c r="AB5" s="3" t="s">
        <v>726</v>
      </c>
      <c r="AC5" s="3" t="s">
        <v>534</v>
      </c>
      <c r="AD5" s="3" t="s">
        <v>611</v>
      </c>
      <c r="AE5" s="3" t="s">
        <v>729</v>
      </c>
      <c r="AF5" s="3" t="s">
        <v>542</v>
      </c>
      <c r="AG5" s="3" t="s">
        <v>727</v>
      </c>
      <c r="AH5" s="3" t="s">
        <v>513</v>
      </c>
    </row>
    <row r="6" spans="1:34" hidden="1" x14ac:dyDescent="0.25">
      <c r="A6" s="4">
        <v>2</v>
      </c>
      <c r="B6" s="2" t="str">
        <f>HYPERLINK("https://my.zakupki.prom.ua/remote/dispatcher/state_purchase_view/2367533", "UA-2017-03-02-000145-a")</f>
        <v>UA-2017-03-02-000145-a</v>
      </c>
      <c r="C6" s="1" t="s">
        <v>601</v>
      </c>
      <c r="D6" s="1" t="s">
        <v>439</v>
      </c>
      <c r="E6" s="1" t="s">
        <v>543</v>
      </c>
      <c r="F6" s="1" t="s">
        <v>560</v>
      </c>
      <c r="G6" s="1" t="s">
        <v>290</v>
      </c>
      <c r="H6" s="1" t="s">
        <v>717</v>
      </c>
      <c r="I6" s="5">
        <v>42796</v>
      </c>
      <c r="J6" s="1" t="s">
        <v>841</v>
      </c>
      <c r="K6" s="4">
        <v>1</v>
      </c>
      <c r="L6" s="6">
        <v>7782</v>
      </c>
      <c r="M6" s="4">
        <v>1</v>
      </c>
      <c r="N6" s="6">
        <v>7782</v>
      </c>
      <c r="O6" s="1" t="s">
        <v>863</v>
      </c>
      <c r="P6" s="1" t="s">
        <v>480</v>
      </c>
      <c r="Q6" s="1" t="s">
        <v>788</v>
      </c>
      <c r="R6" s="6">
        <v>6510.59</v>
      </c>
      <c r="S6" s="6">
        <v>6510.59</v>
      </c>
      <c r="T6" s="6">
        <v>1271.4099999999999</v>
      </c>
      <c r="U6" s="6">
        <v>0.16337830891801591</v>
      </c>
      <c r="V6" s="1" t="s">
        <v>517</v>
      </c>
      <c r="W6" s="1" t="s">
        <v>302</v>
      </c>
      <c r="X6" s="2"/>
      <c r="Y6" s="7">
        <v>42804.61572091221</v>
      </c>
      <c r="Z6" s="5">
        <v>42808</v>
      </c>
      <c r="AA6" s="5">
        <v>42830</v>
      </c>
      <c r="AB6" s="1" t="s">
        <v>844</v>
      </c>
      <c r="AC6" s="7">
        <v>42825.400367609385</v>
      </c>
      <c r="AD6" s="1" t="s">
        <v>431</v>
      </c>
      <c r="AE6" s="6">
        <v>6510.59</v>
      </c>
      <c r="AF6" s="7">
        <v>43100</v>
      </c>
      <c r="AG6" s="1" t="s">
        <v>867</v>
      </c>
      <c r="AH6" s="1" t="s">
        <v>303</v>
      </c>
    </row>
    <row r="7" spans="1:34" x14ac:dyDescent="0.25">
      <c r="A7" s="4">
        <v>4</v>
      </c>
      <c r="B7" s="2" t="str">
        <f>HYPERLINK("https://my.zakupki.prom.ua/remote/dispatcher/state_purchase_view/11860976", "UA-2019-06-07-001236-b")</f>
        <v>UA-2019-06-07-001236-b</v>
      </c>
      <c r="C7" s="1" t="s">
        <v>602</v>
      </c>
      <c r="D7" s="1" t="s">
        <v>461</v>
      </c>
      <c r="E7" s="1" t="s">
        <v>552</v>
      </c>
      <c r="F7" s="1" t="s">
        <v>560</v>
      </c>
      <c r="G7" s="1" t="s">
        <v>290</v>
      </c>
      <c r="H7" s="1" t="s">
        <v>717</v>
      </c>
      <c r="I7" s="5">
        <v>43623</v>
      </c>
      <c r="J7" s="1" t="s">
        <v>840</v>
      </c>
      <c r="K7" s="4">
        <v>1</v>
      </c>
      <c r="L7" s="6">
        <v>6846.41</v>
      </c>
      <c r="M7" s="4">
        <v>1</v>
      </c>
      <c r="N7" s="6">
        <v>6846.41</v>
      </c>
      <c r="O7" s="1" t="s">
        <v>863</v>
      </c>
      <c r="P7" s="1" t="s">
        <v>480</v>
      </c>
      <c r="Q7" s="1" t="s">
        <v>788</v>
      </c>
      <c r="R7" s="6">
        <v>6846.41</v>
      </c>
      <c r="S7" s="6">
        <v>6846.41</v>
      </c>
      <c r="T7" s="1"/>
      <c r="U7" s="1"/>
      <c r="V7" s="1" t="s">
        <v>516</v>
      </c>
      <c r="W7" s="1" t="s">
        <v>302</v>
      </c>
      <c r="X7" s="2"/>
      <c r="Y7" s="1"/>
      <c r="Z7" s="1"/>
      <c r="AA7" s="1"/>
      <c r="AB7" s="1" t="s">
        <v>844</v>
      </c>
      <c r="AC7" s="7">
        <v>43623.550192687675</v>
      </c>
      <c r="AD7" s="1" t="s">
        <v>70</v>
      </c>
      <c r="AE7" s="6">
        <v>6846.41</v>
      </c>
      <c r="AF7" s="7">
        <v>43830</v>
      </c>
      <c r="AG7" s="1" t="s">
        <v>867</v>
      </c>
      <c r="AH7" s="1" t="s">
        <v>7</v>
      </c>
    </row>
    <row r="8" spans="1:34" x14ac:dyDescent="0.25">
      <c r="A8" s="4">
        <v>5</v>
      </c>
      <c r="B8" s="2" t="str">
        <f>HYPERLINK("https://my.zakupki.prom.ua/remote/dispatcher/state_purchase_view/12265025", "UA-2019-07-17-002128-b")</f>
        <v>UA-2019-07-17-002128-b</v>
      </c>
      <c r="C8" s="1" t="s">
        <v>491</v>
      </c>
      <c r="D8" s="1" t="s">
        <v>447</v>
      </c>
      <c r="E8" s="1" t="s">
        <v>552</v>
      </c>
      <c r="F8" s="1" t="s">
        <v>560</v>
      </c>
      <c r="G8" s="1" t="s">
        <v>290</v>
      </c>
      <c r="H8" s="1" t="s">
        <v>717</v>
      </c>
      <c r="I8" s="5">
        <v>43663</v>
      </c>
      <c r="J8" s="1" t="s">
        <v>840</v>
      </c>
      <c r="K8" s="4">
        <v>1</v>
      </c>
      <c r="L8" s="6">
        <v>132003.76</v>
      </c>
      <c r="M8" s="4">
        <v>1</v>
      </c>
      <c r="N8" s="6">
        <v>132003.76</v>
      </c>
      <c r="O8" s="1" t="s">
        <v>863</v>
      </c>
      <c r="P8" s="1" t="s">
        <v>480</v>
      </c>
      <c r="Q8" s="1" t="s">
        <v>788</v>
      </c>
      <c r="R8" s="6">
        <v>132003.76</v>
      </c>
      <c r="S8" s="6">
        <v>132003.76</v>
      </c>
      <c r="T8" s="1"/>
      <c r="U8" s="1"/>
      <c r="V8" s="1" t="s">
        <v>487</v>
      </c>
      <c r="W8" s="1" t="s">
        <v>259</v>
      </c>
      <c r="X8" s="2"/>
      <c r="Y8" s="1"/>
      <c r="Z8" s="1"/>
      <c r="AA8" s="1"/>
      <c r="AB8" s="1" t="s">
        <v>844</v>
      </c>
      <c r="AC8" s="7">
        <v>43663.73386554484</v>
      </c>
      <c r="AD8" s="1" t="s">
        <v>464</v>
      </c>
      <c r="AE8" s="6">
        <v>132003.76</v>
      </c>
      <c r="AF8" s="7">
        <v>43830</v>
      </c>
      <c r="AG8" s="1" t="s">
        <v>867</v>
      </c>
      <c r="AH8" s="1" t="s">
        <v>7</v>
      </c>
    </row>
    <row r="9" spans="1:34" x14ac:dyDescent="0.25">
      <c r="A9" s="4">
        <v>6</v>
      </c>
      <c r="B9" s="2" t="str">
        <f>HYPERLINK("https://my.zakupki.prom.ua/remote/dispatcher/state_purchase_view/11225723", "UA-2019-04-09-000043-a")</f>
        <v>UA-2019-04-09-000043-a</v>
      </c>
      <c r="C9" s="1" t="s">
        <v>512</v>
      </c>
      <c r="D9" s="1" t="s">
        <v>429</v>
      </c>
      <c r="E9" s="1" t="s">
        <v>552</v>
      </c>
      <c r="F9" s="1" t="s">
        <v>560</v>
      </c>
      <c r="G9" s="1" t="s">
        <v>290</v>
      </c>
      <c r="H9" s="1" t="s">
        <v>717</v>
      </c>
      <c r="I9" s="5">
        <v>43564</v>
      </c>
      <c r="J9" s="1" t="s">
        <v>840</v>
      </c>
      <c r="K9" s="4">
        <v>1</v>
      </c>
      <c r="L9" s="6">
        <v>7056</v>
      </c>
      <c r="M9" s="4">
        <v>1296</v>
      </c>
      <c r="N9" s="6">
        <v>5.44</v>
      </c>
      <c r="O9" s="1" t="s">
        <v>854</v>
      </c>
      <c r="P9" s="1" t="s">
        <v>480</v>
      </c>
      <c r="Q9" s="1" t="s">
        <v>788</v>
      </c>
      <c r="R9" s="6">
        <v>7056</v>
      </c>
      <c r="S9" s="6">
        <v>5.4444444444444446</v>
      </c>
      <c r="T9" s="1"/>
      <c r="U9" s="1"/>
      <c r="V9" s="1" t="s">
        <v>5</v>
      </c>
      <c r="W9" s="1" t="s">
        <v>292</v>
      </c>
      <c r="X9" s="2"/>
      <c r="Y9" s="1"/>
      <c r="Z9" s="1"/>
      <c r="AA9" s="1"/>
      <c r="AB9" s="1" t="s">
        <v>844</v>
      </c>
      <c r="AC9" s="7">
        <v>43564.375707887673</v>
      </c>
      <c r="AD9" s="1" t="s">
        <v>224</v>
      </c>
      <c r="AE9" s="6">
        <v>7056</v>
      </c>
      <c r="AF9" s="7">
        <v>43830</v>
      </c>
      <c r="AG9" s="1" t="s">
        <v>867</v>
      </c>
      <c r="AH9" s="1" t="s">
        <v>7</v>
      </c>
    </row>
    <row r="10" spans="1:34" hidden="1" x14ac:dyDescent="0.25">
      <c r="A10" s="4">
        <v>7</v>
      </c>
      <c r="B10" s="2" t="str">
        <f>HYPERLINK("https://my.zakupki.prom.ua/remote/dispatcher/state_purchase_view/20007360", "UA-2020-10-10-000270-b")</f>
        <v>UA-2020-10-10-000270-b</v>
      </c>
      <c r="C10" s="1" t="s">
        <v>577</v>
      </c>
      <c r="D10" s="1" t="s">
        <v>393</v>
      </c>
      <c r="E10" s="1" t="s">
        <v>552</v>
      </c>
      <c r="F10" s="1" t="s">
        <v>560</v>
      </c>
      <c r="G10" s="1" t="s">
        <v>290</v>
      </c>
      <c r="H10" s="1" t="s">
        <v>714</v>
      </c>
      <c r="I10" s="5">
        <v>44114</v>
      </c>
      <c r="J10" s="1" t="s">
        <v>840</v>
      </c>
      <c r="K10" s="4">
        <v>1</v>
      </c>
      <c r="L10" s="6">
        <v>280</v>
      </c>
      <c r="M10" s="4">
        <v>1</v>
      </c>
      <c r="N10" s="6">
        <v>280</v>
      </c>
      <c r="O10" s="1" t="s">
        <v>850</v>
      </c>
      <c r="P10" s="1" t="s">
        <v>480</v>
      </c>
      <c r="Q10" s="1" t="s">
        <v>788</v>
      </c>
      <c r="R10" s="6">
        <v>280</v>
      </c>
      <c r="S10" s="6">
        <v>280</v>
      </c>
      <c r="T10" s="1"/>
      <c r="U10" s="1"/>
      <c r="V10" s="1" t="s">
        <v>775</v>
      </c>
      <c r="W10" s="1" t="s">
        <v>234</v>
      </c>
      <c r="X10" s="2"/>
      <c r="Y10" s="1"/>
      <c r="Z10" s="1"/>
      <c r="AA10" s="1"/>
      <c r="AB10" s="1" t="s">
        <v>844</v>
      </c>
      <c r="AC10" s="7">
        <v>44114.654604021554</v>
      </c>
      <c r="AD10" s="1" t="s">
        <v>414</v>
      </c>
      <c r="AE10" s="6">
        <v>280</v>
      </c>
      <c r="AF10" s="7">
        <v>44135</v>
      </c>
      <c r="AG10" s="1" t="s">
        <v>867</v>
      </c>
      <c r="AH10" s="1" t="s">
        <v>7</v>
      </c>
    </row>
    <row r="11" spans="1:34" x14ac:dyDescent="0.25">
      <c r="A11" s="4">
        <v>8</v>
      </c>
      <c r="B11" s="2" t="str">
        <f>HYPERLINK("https://my.zakupki.prom.ua/remote/dispatcher/state_purchase_view/12439665", "UA-2019-08-05-002685-b")</f>
        <v>UA-2019-08-05-002685-b</v>
      </c>
      <c r="C11" s="1" t="s">
        <v>494</v>
      </c>
      <c r="D11" s="1" t="s">
        <v>32</v>
      </c>
      <c r="E11" s="1" t="s">
        <v>543</v>
      </c>
      <c r="F11" s="1" t="s">
        <v>560</v>
      </c>
      <c r="G11" s="1" t="s">
        <v>290</v>
      </c>
      <c r="H11" s="1" t="s">
        <v>715</v>
      </c>
      <c r="I11" s="5">
        <v>43682</v>
      </c>
      <c r="J11" s="7">
        <v>43691.52752314815</v>
      </c>
      <c r="K11" s="4">
        <v>2</v>
      </c>
      <c r="L11" s="6">
        <v>30000</v>
      </c>
      <c r="M11" s="4">
        <v>1000</v>
      </c>
      <c r="N11" s="6">
        <v>30</v>
      </c>
      <c r="O11" s="1" t="s">
        <v>851</v>
      </c>
      <c r="P11" s="1" t="s">
        <v>480</v>
      </c>
      <c r="Q11" s="1" t="s">
        <v>788</v>
      </c>
      <c r="R11" s="6">
        <v>25380</v>
      </c>
      <c r="S11" s="6">
        <v>25.38</v>
      </c>
      <c r="T11" s="6">
        <v>4620</v>
      </c>
      <c r="U11" s="6">
        <v>0.154</v>
      </c>
      <c r="V11" s="1" t="s">
        <v>742</v>
      </c>
      <c r="W11" s="1" t="s">
        <v>345</v>
      </c>
      <c r="X11" s="2" t="str">
        <f>HYPERLINK("https://auction.openprocurement.org/tenders/6f3c4846d7624beead0ced640a7e2e1e")</f>
        <v>https://auction.openprocurement.org/tenders/6f3c4846d7624beead0ced640a7e2e1e</v>
      </c>
      <c r="Y11" s="7">
        <v>43693.493520914679</v>
      </c>
      <c r="Z11" s="5">
        <v>43697</v>
      </c>
      <c r="AA11" s="5">
        <v>43715</v>
      </c>
      <c r="AB11" s="1" t="s">
        <v>844</v>
      </c>
      <c r="AC11" s="7">
        <v>43705.75973443604</v>
      </c>
      <c r="AD11" s="1" t="s">
        <v>117</v>
      </c>
      <c r="AE11" s="6">
        <v>25380</v>
      </c>
      <c r="AF11" s="7">
        <v>43830</v>
      </c>
      <c r="AG11" s="1" t="s">
        <v>867</v>
      </c>
      <c r="AH11" s="1" t="s">
        <v>346</v>
      </c>
    </row>
    <row r="12" spans="1:34" x14ac:dyDescent="0.25">
      <c r="A12" s="4">
        <v>9</v>
      </c>
      <c r="B12" s="2" t="str">
        <f>HYPERLINK("https://my.zakupki.prom.ua/remote/dispatcher/state_purchase_view/13976443", "UA-2019-12-10-004583-b")</f>
        <v>UA-2019-12-10-004583-b</v>
      </c>
      <c r="C12" s="1" t="s">
        <v>573</v>
      </c>
      <c r="D12" s="1" t="s">
        <v>412</v>
      </c>
      <c r="E12" s="1" t="s">
        <v>543</v>
      </c>
      <c r="F12" s="1" t="s">
        <v>560</v>
      </c>
      <c r="G12" s="1" t="s">
        <v>290</v>
      </c>
      <c r="H12" s="1" t="s">
        <v>715</v>
      </c>
      <c r="I12" s="5">
        <v>43809</v>
      </c>
      <c r="J12" s="1" t="s">
        <v>841</v>
      </c>
      <c r="K12" s="4">
        <v>1</v>
      </c>
      <c r="L12" s="6">
        <v>28460</v>
      </c>
      <c r="M12" s="4">
        <v>1</v>
      </c>
      <c r="N12" s="6">
        <v>28460</v>
      </c>
      <c r="O12" s="1" t="s">
        <v>863</v>
      </c>
      <c r="P12" s="1" t="s">
        <v>480</v>
      </c>
      <c r="Q12" s="1" t="s">
        <v>788</v>
      </c>
      <c r="R12" s="6">
        <v>21989</v>
      </c>
      <c r="S12" s="6">
        <v>21989</v>
      </c>
      <c r="T12" s="6">
        <v>6471</v>
      </c>
      <c r="U12" s="6">
        <v>0.22737174982431482</v>
      </c>
      <c r="V12" s="1" t="s">
        <v>740</v>
      </c>
      <c r="W12" s="1" t="s">
        <v>336</v>
      </c>
      <c r="X12" s="2"/>
      <c r="Y12" s="7">
        <v>43817.509830112896</v>
      </c>
      <c r="Z12" s="5">
        <v>43819</v>
      </c>
      <c r="AA12" s="5">
        <v>43842</v>
      </c>
      <c r="AB12" s="1" t="s">
        <v>844</v>
      </c>
      <c r="AC12" s="7">
        <v>43823.664164672497</v>
      </c>
      <c r="AD12" s="1" t="s">
        <v>150</v>
      </c>
      <c r="AE12" s="6">
        <v>21989</v>
      </c>
      <c r="AF12" s="7">
        <v>43830</v>
      </c>
      <c r="AG12" s="1" t="s">
        <v>867</v>
      </c>
      <c r="AH12" s="1" t="s">
        <v>337</v>
      </c>
    </row>
    <row r="13" spans="1:34" x14ac:dyDescent="0.25">
      <c r="A13" s="4">
        <v>11</v>
      </c>
      <c r="B13" s="2" t="str">
        <f>HYPERLINK("https://my.zakupki.prom.ua/remote/dispatcher/state_purchase_view/13064466", "UA-2019-10-03-001695-b")</f>
        <v>UA-2019-10-03-001695-b</v>
      </c>
      <c r="C13" s="1" t="s">
        <v>626</v>
      </c>
      <c r="D13" s="1" t="s">
        <v>195</v>
      </c>
      <c r="E13" s="1" t="s">
        <v>543</v>
      </c>
      <c r="F13" s="1" t="s">
        <v>560</v>
      </c>
      <c r="G13" s="1" t="s">
        <v>290</v>
      </c>
      <c r="H13" s="1" t="s">
        <v>715</v>
      </c>
      <c r="I13" s="5">
        <v>43741</v>
      </c>
      <c r="J13" s="7">
        <v>43753.571574074071</v>
      </c>
      <c r="K13" s="4">
        <v>3</v>
      </c>
      <c r="L13" s="6">
        <v>45000</v>
      </c>
      <c r="M13" s="4">
        <v>1</v>
      </c>
      <c r="N13" s="6">
        <v>45000</v>
      </c>
      <c r="O13" s="1" t="s">
        <v>850</v>
      </c>
      <c r="P13" s="1" t="s">
        <v>480</v>
      </c>
      <c r="Q13" s="1" t="s">
        <v>788</v>
      </c>
      <c r="R13" s="6">
        <v>22124</v>
      </c>
      <c r="S13" s="6">
        <v>22124</v>
      </c>
      <c r="T13" s="6">
        <v>22876</v>
      </c>
      <c r="U13" s="6">
        <v>0.50835555555555556</v>
      </c>
      <c r="V13" s="1" t="s">
        <v>751</v>
      </c>
      <c r="W13" s="1" t="s">
        <v>197</v>
      </c>
      <c r="X13" s="2" t="str">
        <f>HYPERLINK("https://auction.openprocurement.org/tenders/c83d3580b2bb49f08b715839ae698363")</f>
        <v>https://auction.openprocurement.org/tenders/c83d3580b2bb49f08b715839ae698363</v>
      </c>
      <c r="Y13" s="7">
        <v>43755.824506543286</v>
      </c>
      <c r="Z13" s="5">
        <v>43759</v>
      </c>
      <c r="AA13" s="5">
        <v>43776</v>
      </c>
      <c r="AB13" s="1" t="s">
        <v>844</v>
      </c>
      <c r="AC13" s="7">
        <v>43775.4870901428</v>
      </c>
      <c r="AD13" s="1" t="s">
        <v>96</v>
      </c>
      <c r="AE13" s="6">
        <v>22124</v>
      </c>
      <c r="AF13" s="7">
        <v>43830</v>
      </c>
      <c r="AG13" s="1" t="s">
        <v>867</v>
      </c>
      <c r="AH13" s="1" t="s">
        <v>198</v>
      </c>
    </row>
    <row r="14" spans="1:34" x14ac:dyDescent="0.25">
      <c r="A14" s="4">
        <v>12</v>
      </c>
      <c r="B14" s="2" t="str">
        <f>HYPERLINK("https://my.zakupki.prom.ua/remote/dispatcher/state_purchase_view/13165246", "UA-2019-10-11-003047-b")</f>
        <v>UA-2019-10-11-003047-b</v>
      </c>
      <c r="C14" s="1" t="s">
        <v>612</v>
      </c>
      <c r="D14" s="1" t="s">
        <v>199</v>
      </c>
      <c r="E14" s="1" t="s">
        <v>543</v>
      </c>
      <c r="F14" s="1" t="s">
        <v>560</v>
      </c>
      <c r="G14" s="1" t="s">
        <v>290</v>
      </c>
      <c r="H14" s="1" t="s">
        <v>715</v>
      </c>
      <c r="I14" s="5">
        <v>43749</v>
      </c>
      <c r="J14" s="7">
        <v>43761.577488425923</v>
      </c>
      <c r="K14" s="4">
        <v>6</v>
      </c>
      <c r="L14" s="6">
        <v>58000</v>
      </c>
      <c r="M14" s="4">
        <v>3</v>
      </c>
      <c r="N14" s="6">
        <v>19333.330000000002</v>
      </c>
      <c r="O14" s="1" t="s">
        <v>870</v>
      </c>
      <c r="P14" s="1" t="s">
        <v>480</v>
      </c>
      <c r="Q14" s="1" t="s">
        <v>788</v>
      </c>
      <c r="R14" s="6">
        <v>48171</v>
      </c>
      <c r="S14" s="6">
        <v>16057</v>
      </c>
      <c r="T14" s="6">
        <v>9829</v>
      </c>
      <c r="U14" s="6">
        <v>0.16946551724137932</v>
      </c>
      <c r="V14" s="1" t="s">
        <v>770</v>
      </c>
      <c r="W14" s="1" t="s">
        <v>371</v>
      </c>
      <c r="X14" s="2" t="str">
        <f>HYPERLINK("https://auction.openprocurement.org/tenders/553b05cc8493455ca4f880effcd688a8")</f>
        <v>https://auction.openprocurement.org/tenders/553b05cc8493455ca4f880effcd688a8</v>
      </c>
      <c r="Y14" s="7">
        <v>43763.435348387677</v>
      </c>
      <c r="Z14" s="5">
        <v>43767</v>
      </c>
      <c r="AA14" s="5">
        <v>43785</v>
      </c>
      <c r="AB14" s="1" t="s">
        <v>844</v>
      </c>
      <c r="AC14" s="7">
        <v>43776.530364864557</v>
      </c>
      <c r="AD14" s="1" t="s">
        <v>105</v>
      </c>
      <c r="AE14" s="6">
        <v>48174</v>
      </c>
      <c r="AF14" s="7">
        <v>43830</v>
      </c>
      <c r="AG14" s="1" t="s">
        <v>867</v>
      </c>
      <c r="AH14" s="1" t="s">
        <v>341</v>
      </c>
    </row>
    <row r="15" spans="1:34" hidden="1" x14ac:dyDescent="0.25">
      <c r="A15" s="4">
        <v>13</v>
      </c>
      <c r="B15" s="2" t="str">
        <f>HYPERLINK("https://my.zakupki.prom.ua/remote/dispatcher/state_purchase_view/14408629", "UA-2020-01-09-000979-c")</f>
        <v>UA-2020-01-09-000979-c</v>
      </c>
      <c r="C15" s="1" t="s">
        <v>654</v>
      </c>
      <c r="D15" s="1" t="s">
        <v>434</v>
      </c>
      <c r="E15" s="1" t="s">
        <v>552</v>
      </c>
      <c r="F15" s="1" t="s">
        <v>560</v>
      </c>
      <c r="G15" s="1" t="s">
        <v>290</v>
      </c>
      <c r="H15" s="1" t="s">
        <v>715</v>
      </c>
      <c r="I15" s="5">
        <v>43839</v>
      </c>
      <c r="J15" s="1" t="s">
        <v>840</v>
      </c>
      <c r="K15" s="4">
        <v>1</v>
      </c>
      <c r="L15" s="6">
        <v>188400</v>
      </c>
      <c r="M15" s="4">
        <v>1</v>
      </c>
      <c r="N15" s="6">
        <v>188400</v>
      </c>
      <c r="O15" s="1" t="s">
        <v>863</v>
      </c>
      <c r="P15" s="1" t="s">
        <v>480</v>
      </c>
      <c r="Q15" s="1" t="s">
        <v>613</v>
      </c>
      <c r="R15" s="6">
        <v>188400</v>
      </c>
      <c r="S15" s="6">
        <v>188400</v>
      </c>
      <c r="T15" s="1"/>
      <c r="U15" s="1"/>
      <c r="V15" s="1" t="s">
        <v>776</v>
      </c>
      <c r="W15" s="1" t="s">
        <v>356</v>
      </c>
      <c r="X15" s="2"/>
      <c r="Y15" s="1"/>
      <c r="Z15" s="1"/>
      <c r="AA15" s="1"/>
      <c r="AB15" s="1" t="s">
        <v>844</v>
      </c>
      <c r="AC15" s="7">
        <v>43839.586789385372</v>
      </c>
      <c r="AD15" s="1" t="s">
        <v>30</v>
      </c>
      <c r="AE15" s="6">
        <v>188400</v>
      </c>
      <c r="AF15" s="7">
        <v>44196</v>
      </c>
      <c r="AG15" s="1" t="s">
        <v>867</v>
      </c>
      <c r="AH15" s="1" t="s">
        <v>7</v>
      </c>
    </row>
    <row r="16" spans="1:34" hidden="1" x14ac:dyDescent="0.25">
      <c r="A16" s="4">
        <v>14</v>
      </c>
      <c r="B16" s="2" t="str">
        <f>HYPERLINK("https://my.zakupki.prom.ua/remote/dispatcher/state_purchase_view/14700908", "UA-2020-01-22-001005-a")</f>
        <v>UA-2020-01-22-001005-a</v>
      </c>
      <c r="C16" s="1" t="s">
        <v>545</v>
      </c>
      <c r="D16" s="1" t="s">
        <v>35</v>
      </c>
      <c r="E16" s="1" t="s">
        <v>552</v>
      </c>
      <c r="F16" s="1" t="s">
        <v>560</v>
      </c>
      <c r="G16" s="1" t="s">
        <v>290</v>
      </c>
      <c r="H16" s="1" t="s">
        <v>715</v>
      </c>
      <c r="I16" s="5">
        <v>43852</v>
      </c>
      <c r="J16" s="1" t="s">
        <v>840</v>
      </c>
      <c r="K16" s="4">
        <v>1</v>
      </c>
      <c r="L16" s="6">
        <v>165404.48000000001</v>
      </c>
      <c r="M16" s="4">
        <v>64624</v>
      </c>
      <c r="N16" s="6">
        <v>2.56</v>
      </c>
      <c r="O16" s="1" t="s">
        <v>847</v>
      </c>
      <c r="P16" s="1" t="s">
        <v>480</v>
      </c>
      <c r="Q16" s="1" t="s">
        <v>788</v>
      </c>
      <c r="R16" s="6">
        <v>165404.48000000001</v>
      </c>
      <c r="S16" s="6">
        <v>2.5594899727655362</v>
      </c>
      <c r="T16" s="1"/>
      <c r="U16" s="1"/>
      <c r="V16" s="1" t="s">
        <v>773</v>
      </c>
      <c r="W16" s="1" t="s">
        <v>365</v>
      </c>
      <c r="X16" s="2"/>
      <c r="Y16" s="1"/>
      <c r="Z16" s="1"/>
      <c r="AA16" s="1"/>
      <c r="AB16" s="1" t="s">
        <v>844</v>
      </c>
      <c r="AC16" s="7">
        <v>43852.471455474159</v>
      </c>
      <c r="AD16" s="1" t="s">
        <v>26</v>
      </c>
      <c r="AE16" s="6">
        <v>165404.48000000001</v>
      </c>
      <c r="AF16" s="7">
        <v>44196</v>
      </c>
      <c r="AG16" s="1" t="s">
        <v>867</v>
      </c>
      <c r="AH16" s="1" t="s">
        <v>7</v>
      </c>
    </row>
    <row r="17" spans="1:34" hidden="1" x14ac:dyDescent="0.25">
      <c r="A17" s="4">
        <v>15</v>
      </c>
      <c r="B17" s="2" t="str">
        <f>HYPERLINK("https://my.zakupki.prom.ua/remote/dispatcher/state_purchase_view/18922315", "UA-2020-09-01-008366-b")</f>
        <v>UA-2020-09-01-008366-b</v>
      </c>
      <c r="C17" s="1" t="s">
        <v>605</v>
      </c>
      <c r="D17" s="1" t="s">
        <v>424</v>
      </c>
      <c r="E17" s="1" t="s">
        <v>552</v>
      </c>
      <c r="F17" s="1" t="s">
        <v>560</v>
      </c>
      <c r="G17" s="1" t="s">
        <v>290</v>
      </c>
      <c r="H17" s="1" t="s">
        <v>714</v>
      </c>
      <c r="I17" s="5">
        <v>44075</v>
      </c>
      <c r="J17" s="1" t="s">
        <v>840</v>
      </c>
      <c r="K17" s="4">
        <v>1</v>
      </c>
      <c r="L17" s="6">
        <v>1922.78</v>
      </c>
      <c r="M17" s="4">
        <v>1</v>
      </c>
      <c r="N17" s="6">
        <v>1922.78</v>
      </c>
      <c r="O17" s="1" t="s">
        <v>863</v>
      </c>
      <c r="P17" s="1" t="s">
        <v>480</v>
      </c>
      <c r="Q17" s="1" t="s">
        <v>613</v>
      </c>
      <c r="R17" s="6">
        <v>1922.78</v>
      </c>
      <c r="S17" s="6">
        <v>1922.78</v>
      </c>
      <c r="T17" s="1"/>
      <c r="U17" s="1"/>
      <c r="V17" s="1" t="s">
        <v>563</v>
      </c>
      <c r="W17" s="1" t="s">
        <v>241</v>
      </c>
      <c r="X17" s="2"/>
      <c r="Y17" s="1"/>
      <c r="Z17" s="1"/>
      <c r="AA17" s="1"/>
      <c r="AB17" s="1" t="s">
        <v>844</v>
      </c>
      <c r="AC17" s="7">
        <v>44075.67905671124</v>
      </c>
      <c r="AD17" s="1" t="s">
        <v>209</v>
      </c>
      <c r="AE17" s="6">
        <v>1922.78</v>
      </c>
      <c r="AF17" s="7">
        <v>44196</v>
      </c>
      <c r="AG17" s="1" t="s">
        <v>867</v>
      </c>
      <c r="AH17" s="1" t="s">
        <v>7</v>
      </c>
    </row>
    <row r="18" spans="1:34" hidden="1" x14ac:dyDescent="0.25">
      <c r="A18" s="4">
        <v>16</v>
      </c>
      <c r="B18" s="2" t="str">
        <f>HYPERLINK("https://my.zakupki.prom.ua/remote/dispatcher/state_purchase_view/15770720", "UA-2020-03-16-000485-b")</f>
        <v>UA-2020-03-16-000485-b</v>
      </c>
      <c r="C18" s="1" t="s">
        <v>593</v>
      </c>
      <c r="D18" s="1" t="s">
        <v>388</v>
      </c>
      <c r="E18" s="1" t="s">
        <v>543</v>
      </c>
      <c r="F18" s="1" t="s">
        <v>560</v>
      </c>
      <c r="G18" s="1" t="s">
        <v>290</v>
      </c>
      <c r="H18" s="1" t="s">
        <v>715</v>
      </c>
      <c r="I18" s="5">
        <v>43906</v>
      </c>
      <c r="J18" s="1" t="s">
        <v>841</v>
      </c>
      <c r="K18" s="4">
        <v>1</v>
      </c>
      <c r="L18" s="6">
        <v>21160</v>
      </c>
      <c r="M18" s="4">
        <v>1</v>
      </c>
      <c r="N18" s="6">
        <v>21160</v>
      </c>
      <c r="O18" s="1" t="s">
        <v>850</v>
      </c>
      <c r="P18" s="1" t="s">
        <v>480</v>
      </c>
      <c r="Q18" s="1" t="s">
        <v>788</v>
      </c>
      <c r="R18" s="6">
        <v>17883</v>
      </c>
      <c r="S18" s="6">
        <v>17883</v>
      </c>
      <c r="T18" s="6">
        <v>3277</v>
      </c>
      <c r="U18" s="6">
        <v>0.15486767485822306</v>
      </c>
      <c r="V18" s="1" t="s">
        <v>743</v>
      </c>
      <c r="W18" s="1" t="s">
        <v>307</v>
      </c>
      <c r="X18" s="2"/>
      <c r="Y18" s="7">
        <v>43917.442635310843</v>
      </c>
      <c r="Z18" s="5">
        <v>43921</v>
      </c>
      <c r="AA18" s="5">
        <v>43939</v>
      </c>
      <c r="AB18" s="1" t="s">
        <v>844</v>
      </c>
      <c r="AC18" s="7">
        <v>43928.729143053046</v>
      </c>
      <c r="AD18" s="1" t="s">
        <v>143</v>
      </c>
      <c r="AE18" s="6">
        <v>17883</v>
      </c>
      <c r="AF18" s="7">
        <v>44196</v>
      </c>
      <c r="AG18" s="1" t="s">
        <v>867</v>
      </c>
      <c r="AH18" s="1" t="s">
        <v>308</v>
      </c>
    </row>
    <row r="19" spans="1:34" hidden="1" x14ac:dyDescent="0.25">
      <c r="A19" s="4">
        <v>17</v>
      </c>
      <c r="B19" s="2" t="str">
        <f>HYPERLINK("https://my.zakupki.prom.ua/remote/dispatcher/state_purchase_view/15552874", "UA-2020-03-02-001459-a")</f>
        <v>UA-2020-03-02-001459-a</v>
      </c>
      <c r="C19" s="1" t="s">
        <v>503</v>
      </c>
      <c r="D19" s="1" t="s">
        <v>382</v>
      </c>
      <c r="E19" s="1" t="s">
        <v>543</v>
      </c>
      <c r="F19" s="1" t="s">
        <v>560</v>
      </c>
      <c r="G19" s="1" t="s">
        <v>290</v>
      </c>
      <c r="H19" s="1" t="s">
        <v>715</v>
      </c>
      <c r="I19" s="5">
        <v>43892</v>
      </c>
      <c r="J19" s="1" t="s">
        <v>841</v>
      </c>
      <c r="K19" s="4">
        <v>1</v>
      </c>
      <c r="L19" s="6">
        <v>4720</v>
      </c>
      <c r="M19" s="4">
        <v>1</v>
      </c>
      <c r="N19" s="6">
        <v>4720</v>
      </c>
      <c r="O19" s="1" t="s">
        <v>871</v>
      </c>
      <c r="P19" s="1" t="s">
        <v>480</v>
      </c>
      <c r="Q19" s="1" t="s">
        <v>788</v>
      </c>
      <c r="R19" s="6">
        <v>4400</v>
      </c>
      <c r="S19" s="6">
        <v>4400</v>
      </c>
      <c r="T19" s="6">
        <v>320</v>
      </c>
      <c r="U19" s="6">
        <v>6.7796610169491525E-2</v>
      </c>
      <c r="V19" s="1" t="s">
        <v>816</v>
      </c>
      <c r="W19" s="1" t="s">
        <v>112</v>
      </c>
      <c r="X19" s="2"/>
      <c r="Y19" s="7">
        <v>43901.455795143753</v>
      </c>
      <c r="Z19" s="5">
        <v>43903</v>
      </c>
      <c r="AA19" s="5">
        <v>43924</v>
      </c>
      <c r="AB19" s="1" t="s">
        <v>844</v>
      </c>
      <c r="AC19" s="7">
        <v>43913.527133632939</v>
      </c>
      <c r="AD19" s="1" t="s">
        <v>92</v>
      </c>
      <c r="AE19" s="6">
        <v>4400</v>
      </c>
      <c r="AF19" s="7">
        <v>44196</v>
      </c>
      <c r="AG19" s="1" t="s">
        <v>867</v>
      </c>
      <c r="AH19" s="1" t="s">
        <v>113</v>
      </c>
    </row>
    <row r="20" spans="1:34" hidden="1" x14ac:dyDescent="0.25">
      <c r="A20" s="4">
        <v>18</v>
      </c>
      <c r="B20" s="2" t="str">
        <f>HYPERLINK("https://my.zakupki.prom.ua/remote/dispatcher/state_purchase_view/17947743", "UA-2020-07-17-002010-b")</f>
        <v>UA-2020-07-17-002010-b</v>
      </c>
      <c r="C20" s="1" t="s">
        <v>644</v>
      </c>
      <c r="D20" s="1" t="s">
        <v>411</v>
      </c>
      <c r="E20" s="1" t="s">
        <v>552</v>
      </c>
      <c r="F20" s="1" t="s">
        <v>560</v>
      </c>
      <c r="G20" s="1" t="s">
        <v>290</v>
      </c>
      <c r="H20" s="1" t="s">
        <v>714</v>
      </c>
      <c r="I20" s="5">
        <v>44029</v>
      </c>
      <c r="J20" s="1" t="s">
        <v>840</v>
      </c>
      <c r="K20" s="4">
        <v>1</v>
      </c>
      <c r="L20" s="6">
        <v>732.6</v>
      </c>
      <c r="M20" s="4">
        <v>1</v>
      </c>
      <c r="N20" s="6">
        <v>732.6</v>
      </c>
      <c r="O20" s="1" t="s">
        <v>863</v>
      </c>
      <c r="P20" s="1" t="s">
        <v>480</v>
      </c>
      <c r="Q20" s="1" t="s">
        <v>788</v>
      </c>
      <c r="R20" s="6">
        <v>732.6</v>
      </c>
      <c r="S20" s="6">
        <v>732.6</v>
      </c>
      <c r="T20" s="1"/>
      <c r="U20" s="1"/>
      <c r="V20" s="1" t="s">
        <v>488</v>
      </c>
      <c r="W20" s="1" t="s">
        <v>142</v>
      </c>
      <c r="X20" s="2"/>
      <c r="Y20" s="1"/>
      <c r="Z20" s="1"/>
      <c r="AA20" s="1"/>
      <c r="AB20" s="1" t="s">
        <v>844</v>
      </c>
      <c r="AC20" s="7">
        <v>44029.523074634664</v>
      </c>
      <c r="AD20" s="1" t="s">
        <v>409</v>
      </c>
      <c r="AE20" s="6">
        <v>732.6</v>
      </c>
      <c r="AF20" s="7">
        <v>44196</v>
      </c>
      <c r="AG20" s="1" t="s">
        <v>867</v>
      </c>
      <c r="AH20" s="1" t="s">
        <v>7</v>
      </c>
    </row>
    <row r="21" spans="1:34" hidden="1" x14ac:dyDescent="0.25">
      <c r="A21" s="4">
        <v>19</v>
      </c>
      <c r="B21" s="2" t="str">
        <f>HYPERLINK("https://my.zakupki.prom.ua/remote/dispatcher/state_purchase_view/20615081", "UA-2020-10-30-001559-c")</f>
        <v>UA-2020-10-30-001559-c</v>
      </c>
      <c r="C21" s="1" t="s">
        <v>553</v>
      </c>
      <c r="D21" s="1" t="s">
        <v>200</v>
      </c>
      <c r="E21" s="1" t="s">
        <v>552</v>
      </c>
      <c r="F21" s="1" t="s">
        <v>560</v>
      </c>
      <c r="G21" s="1" t="s">
        <v>290</v>
      </c>
      <c r="H21" s="1" t="s">
        <v>714</v>
      </c>
      <c r="I21" s="5">
        <v>44134</v>
      </c>
      <c r="J21" s="1" t="s">
        <v>840</v>
      </c>
      <c r="K21" s="4">
        <v>1</v>
      </c>
      <c r="L21" s="6">
        <v>695</v>
      </c>
      <c r="M21" s="4">
        <v>1</v>
      </c>
      <c r="N21" s="6">
        <v>695</v>
      </c>
      <c r="O21" s="1" t="s">
        <v>871</v>
      </c>
      <c r="P21" s="1" t="s">
        <v>480</v>
      </c>
      <c r="Q21" s="1" t="s">
        <v>613</v>
      </c>
      <c r="R21" s="6">
        <v>495</v>
      </c>
      <c r="S21" s="6">
        <v>495</v>
      </c>
      <c r="T21" s="6">
        <v>200</v>
      </c>
      <c r="U21" s="6">
        <v>0.28776978417266186</v>
      </c>
      <c r="V21" s="1" t="s">
        <v>765</v>
      </c>
      <c r="W21" s="1" t="s">
        <v>285</v>
      </c>
      <c r="X21" s="2"/>
      <c r="Y21" s="1"/>
      <c r="Z21" s="1"/>
      <c r="AA21" s="1"/>
      <c r="AB21" s="1" t="s">
        <v>844</v>
      </c>
      <c r="AC21" s="7">
        <v>44134.443179061571</v>
      </c>
      <c r="AD21" s="1" t="s">
        <v>456</v>
      </c>
      <c r="AE21" s="6">
        <v>495</v>
      </c>
      <c r="AF21" s="7">
        <v>44196</v>
      </c>
      <c r="AG21" s="1" t="s">
        <v>867</v>
      </c>
      <c r="AH21" s="1" t="s">
        <v>7</v>
      </c>
    </row>
    <row r="22" spans="1:34" hidden="1" x14ac:dyDescent="0.25">
      <c r="A22" s="4">
        <v>20</v>
      </c>
      <c r="B22" s="2" t="str">
        <f>HYPERLINK("https://my.zakupki.prom.ua/remote/dispatcher/state_purchase_view/20415847", "UA-2020-10-23-005030-a")</f>
        <v>UA-2020-10-23-005030-a</v>
      </c>
      <c r="C22" s="1" t="s">
        <v>656</v>
      </c>
      <c r="D22" s="1" t="s">
        <v>413</v>
      </c>
      <c r="E22" s="1" t="s">
        <v>552</v>
      </c>
      <c r="F22" s="1" t="s">
        <v>560</v>
      </c>
      <c r="G22" s="1" t="s">
        <v>290</v>
      </c>
      <c r="H22" s="1" t="s">
        <v>714</v>
      </c>
      <c r="I22" s="5">
        <v>44127</v>
      </c>
      <c r="J22" s="1" t="s">
        <v>840</v>
      </c>
      <c r="K22" s="4">
        <v>1</v>
      </c>
      <c r="L22" s="6">
        <v>1200</v>
      </c>
      <c r="M22" s="4">
        <v>2</v>
      </c>
      <c r="N22" s="6">
        <v>600</v>
      </c>
      <c r="O22" s="1" t="s">
        <v>863</v>
      </c>
      <c r="P22" s="1" t="s">
        <v>480</v>
      </c>
      <c r="Q22" s="1" t="s">
        <v>613</v>
      </c>
      <c r="R22" s="6">
        <v>1200</v>
      </c>
      <c r="S22" s="6">
        <v>600</v>
      </c>
      <c r="T22" s="1"/>
      <c r="U22" s="1"/>
      <c r="V22" s="1" t="s">
        <v>559</v>
      </c>
      <c r="W22" s="1" t="s">
        <v>249</v>
      </c>
      <c r="X22" s="2"/>
      <c r="Y22" s="1"/>
      <c r="Z22" s="1"/>
      <c r="AA22" s="1"/>
      <c r="AB22" s="1" t="s">
        <v>844</v>
      </c>
      <c r="AC22" s="7">
        <v>44127.498599741724</v>
      </c>
      <c r="AD22" s="1" t="s">
        <v>139</v>
      </c>
      <c r="AE22" s="6">
        <v>1200</v>
      </c>
      <c r="AF22" s="7">
        <v>44196</v>
      </c>
      <c r="AG22" s="1" t="s">
        <v>867</v>
      </c>
      <c r="AH22" s="1" t="s">
        <v>7</v>
      </c>
    </row>
    <row r="23" spans="1:34" hidden="1" x14ac:dyDescent="0.25">
      <c r="A23" s="4">
        <v>21</v>
      </c>
      <c r="B23" s="2" t="str">
        <f>HYPERLINK("https://my.zakupki.prom.ua/remote/dispatcher/state_purchase_view/23592573", "UA-2021-02-03-005824-a")</f>
        <v>UA-2021-02-03-005824-a</v>
      </c>
      <c r="C23" s="1" t="s">
        <v>694</v>
      </c>
      <c r="D23" s="1" t="s">
        <v>435</v>
      </c>
      <c r="E23" s="1" t="s">
        <v>552</v>
      </c>
      <c r="F23" s="1" t="s">
        <v>560</v>
      </c>
      <c r="G23" s="1" t="s">
        <v>290</v>
      </c>
      <c r="H23" s="1" t="s">
        <v>714</v>
      </c>
      <c r="I23" s="5">
        <v>44230</v>
      </c>
      <c r="J23" s="1" t="s">
        <v>840</v>
      </c>
      <c r="K23" s="4">
        <v>1</v>
      </c>
      <c r="L23" s="6">
        <v>12000</v>
      </c>
      <c r="M23" s="4">
        <v>1</v>
      </c>
      <c r="N23" s="6">
        <v>12000</v>
      </c>
      <c r="O23" s="1" t="s">
        <v>868</v>
      </c>
      <c r="P23" s="1" t="s">
        <v>480</v>
      </c>
      <c r="Q23" s="1" t="s">
        <v>788</v>
      </c>
      <c r="R23" s="6">
        <v>12000</v>
      </c>
      <c r="S23" s="6">
        <v>12000</v>
      </c>
      <c r="T23" s="1"/>
      <c r="U23" s="1"/>
      <c r="V23" s="1" t="s">
        <v>764</v>
      </c>
      <c r="W23" s="1" t="s">
        <v>311</v>
      </c>
      <c r="X23" s="2"/>
      <c r="Y23" s="1"/>
      <c r="Z23" s="1"/>
      <c r="AA23" s="1"/>
      <c r="AB23" s="1" t="s">
        <v>844</v>
      </c>
      <c r="AC23" s="7">
        <v>44230.52782644752</v>
      </c>
      <c r="AD23" s="1" t="s">
        <v>11</v>
      </c>
      <c r="AE23" s="6">
        <v>12000</v>
      </c>
      <c r="AF23" s="7">
        <v>44561</v>
      </c>
      <c r="AG23" s="1" t="s">
        <v>867</v>
      </c>
      <c r="AH23" s="1" t="s">
        <v>7</v>
      </c>
    </row>
    <row r="24" spans="1:34" hidden="1" x14ac:dyDescent="0.25">
      <c r="A24" s="4">
        <v>22</v>
      </c>
      <c r="B24" s="2" t="str">
        <f>HYPERLINK("https://my.zakupki.prom.ua/remote/dispatcher/state_purchase_view/24611951", "UA-2021-03-04-009998-c")</f>
        <v>UA-2021-03-04-009998-c</v>
      </c>
      <c r="C24" s="1" t="s">
        <v>616</v>
      </c>
      <c r="D24" s="1" t="s">
        <v>258</v>
      </c>
      <c r="E24" s="1" t="s">
        <v>552</v>
      </c>
      <c r="F24" s="1" t="s">
        <v>560</v>
      </c>
      <c r="G24" s="1" t="s">
        <v>290</v>
      </c>
      <c r="H24" s="1" t="s">
        <v>714</v>
      </c>
      <c r="I24" s="5">
        <v>44259</v>
      </c>
      <c r="J24" s="1" t="s">
        <v>840</v>
      </c>
      <c r="K24" s="4">
        <v>1</v>
      </c>
      <c r="L24" s="6">
        <v>5579.14</v>
      </c>
      <c r="M24" s="4">
        <v>1</v>
      </c>
      <c r="N24" s="6">
        <v>5579.14</v>
      </c>
      <c r="O24" s="1" t="s">
        <v>850</v>
      </c>
      <c r="P24" s="1" t="s">
        <v>480</v>
      </c>
      <c r="Q24" s="1" t="s">
        <v>788</v>
      </c>
      <c r="R24" s="6">
        <v>5579.14</v>
      </c>
      <c r="S24" s="6">
        <v>5579.14</v>
      </c>
      <c r="T24" s="1"/>
      <c r="U24" s="1"/>
      <c r="V24" s="1" t="s">
        <v>779</v>
      </c>
      <c r="W24" s="1" t="s">
        <v>350</v>
      </c>
      <c r="X24" s="2"/>
      <c r="Y24" s="1"/>
      <c r="Z24" s="1"/>
      <c r="AA24" s="1"/>
      <c r="AB24" s="1" t="s">
        <v>844</v>
      </c>
      <c r="AC24" s="7">
        <v>44259.659809784062</v>
      </c>
      <c r="AD24" s="1" t="s">
        <v>504</v>
      </c>
      <c r="AE24" s="6">
        <v>5579.14</v>
      </c>
      <c r="AF24" s="7">
        <v>44561</v>
      </c>
      <c r="AG24" s="1" t="s">
        <v>867</v>
      </c>
      <c r="AH24" s="1" t="s">
        <v>7</v>
      </c>
    </row>
    <row r="25" spans="1:34" hidden="1" x14ac:dyDescent="0.25">
      <c r="A25" s="4">
        <v>23</v>
      </c>
      <c r="B25" s="2" t="str">
        <f>HYPERLINK("https://my.zakupki.prom.ua/remote/dispatcher/state_purchase_view/23926086", "UA-2021-02-11-009164-a")</f>
        <v>UA-2021-02-11-009164-a</v>
      </c>
      <c r="C25" s="1" t="s">
        <v>646</v>
      </c>
      <c r="D25" s="1" t="s">
        <v>444</v>
      </c>
      <c r="E25" s="1" t="s">
        <v>552</v>
      </c>
      <c r="F25" s="1" t="s">
        <v>560</v>
      </c>
      <c r="G25" s="1" t="s">
        <v>290</v>
      </c>
      <c r="H25" s="1" t="s">
        <v>492</v>
      </c>
      <c r="I25" s="5">
        <v>44238</v>
      </c>
      <c r="J25" s="1" t="s">
        <v>840</v>
      </c>
      <c r="K25" s="4">
        <v>1</v>
      </c>
      <c r="L25" s="6">
        <v>993</v>
      </c>
      <c r="M25" s="4">
        <v>1</v>
      </c>
      <c r="N25" s="6">
        <v>993</v>
      </c>
      <c r="O25" s="1" t="s">
        <v>863</v>
      </c>
      <c r="P25" s="1" t="s">
        <v>480</v>
      </c>
      <c r="Q25" s="1" t="s">
        <v>788</v>
      </c>
      <c r="R25" s="6">
        <v>993</v>
      </c>
      <c r="S25" s="6">
        <v>993</v>
      </c>
      <c r="T25" s="1"/>
      <c r="U25" s="1"/>
      <c r="V25" s="1" t="s">
        <v>785</v>
      </c>
      <c r="W25" s="1" t="s">
        <v>280</v>
      </c>
      <c r="X25" s="2"/>
      <c r="Y25" s="1"/>
      <c r="Z25" s="1"/>
      <c r="AA25" s="1"/>
      <c r="AB25" s="1" t="s">
        <v>844</v>
      </c>
      <c r="AC25" s="7">
        <v>44238.631888676435</v>
      </c>
      <c r="AD25" s="1" t="s">
        <v>290</v>
      </c>
      <c r="AE25" s="6">
        <v>993</v>
      </c>
      <c r="AF25" s="7">
        <v>44561</v>
      </c>
      <c r="AG25" s="1" t="s">
        <v>867</v>
      </c>
      <c r="AH25" s="1" t="s">
        <v>7</v>
      </c>
    </row>
    <row r="26" spans="1:34" hidden="1" x14ac:dyDescent="0.25">
      <c r="A26" s="4">
        <v>24</v>
      </c>
      <c r="B26" s="2" t="str">
        <f>HYPERLINK("https://my.zakupki.prom.ua/remote/dispatcher/state_purchase_view/23948828", "UA-2021-02-12-001228-c")</f>
        <v>UA-2021-02-12-001228-c</v>
      </c>
      <c r="C26" s="1" t="s">
        <v>3</v>
      </c>
      <c r="D26" s="1" t="s">
        <v>442</v>
      </c>
      <c r="E26" s="1" t="s">
        <v>552</v>
      </c>
      <c r="F26" s="1" t="s">
        <v>560</v>
      </c>
      <c r="G26" s="1" t="s">
        <v>290</v>
      </c>
      <c r="H26" s="1" t="s">
        <v>492</v>
      </c>
      <c r="I26" s="5">
        <v>44239</v>
      </c>
      <c r="J26" s="1" t="s">
        <v>840</v>
      </c>
      <c r="K26" s="4">
        <v>1</v>
      </c>
      <c r="L26" s="6">
        <v>4800</v>
      </c>
      <c r="M26" s="4">
        <v>1</v>
      </c>
      <c r="N26" s="6">
        <v>4800</v>
      </c>
      <c r="O26" s="1" t="s">
        <v>863</v>
      </c>
      <c r="P26" s="1" t="s">
        <v>480</v>
      </c>
      <c r="Q26" s="1" t="s">
        <v>613</v>
      </c>
      <c r="R26" s="6">
        <v>4800</v>
      </c>
      <c r="S26" s="6">
        <v>4800</v>
      </c>
      <c r="T26" s="1"/>
      <c r="U26" s="1"/>
      <c r="V26" s="1" t="s">
        <v>783</v>
      </c>
      <c r="W26" s="1" t="s">
        <v>266</v>
      </c>
      <c r="X26" s="2"/>
      <c r="Y26" s="1"/>
      <c r="Z26" s="1"/>
      <c r="AA26" s="1"/>
      <c r="AB26" s="1" t="s">
        <v>844</v>
      </c>
      <c r="AC26" s="7">
        <v>44239.405337273522</v>
      </c>
      <c r="AD26" s="1" t="s">
        <v>126</v>
      </c>
      <c r="AE26" s="6">
        <v>4800</v>
      </c>
      <c r="AF26" s="7">
        <v>44561</v>
      </c>
      <c r="AG26" s="1" t="s">
        <v>867</v>
      </c>
      <c r="AH26" s="1" t="s">
        <v>7</v>
      </c>
    </row>
    <row r="27" spans="1:34" hidden="1" x14ac:dyDescent="0.25">
      <c r="A27" s="4">
        <v>25</v>
      </c>
      <c r="B27" s="2" t="str">
        <f>HYPERLINK("https://my.zakupki.prom.ua/remote/dispatcher/state_purchase_view/26297271", "UA-2021-05-03-000010-c")</f>
        <v>UA-2021-05-03-000010-c</v>
      </c>
      <c r="C27" s="1" t="s">
        <v>655</v>
      </c>
      <c r="D27" s="1" t="s">
        <v>446</v>
      </c>
      <c r="E27" s="1" t="s">
        <v>515</v>
      </c>
      <c r="F27" s="1" t="s">
        <v>560</v>
      </c>
      <c r="G27" s="1" t="s">
        <v>290</v>
      </c>
      <c r="H27" s="1" t="s">
        <v>492</v>
      </c>
      <c r="I27" s="5">
        <v>44319</v>
      </c>
      <c r="J27" s="7">
        <v>44340.548715277779</v>
      </c>
      <c r="K27" s="4">
        <v>0</v>
      </c>
      <c r="L27" s="6">
        <v>312000</v>
      </c>
      <c r="M27" s="4">
        <v>2</v>
      </c>
      <c r="N27" s="6">
        <v>156000</v>
      </c>
      <c r="O27" s="1" t="s">
        <v>863</v>
      </c>
      <c r="P27" s="1" t="s">
        <v>480</v>
      </c>
      <c r="Q27" s="1" t="s">
        <v>788</v>
      </c>
      <c r="R27" s="1"/>
      <c r="S27" s="1"/>
      <c r="T27" s="1"/>
      <c r="U27" s="1"/>
      <c r="V27" s="1"/>
      <c r="W27" s="1"/>
      <c r="X27" s="2"/>
      <c r="Y27" s="1"/>
      <c r="Z27" s="1"/>
      <c r="AA27" s="1"/>
      <c r="AB27" s="1" t="s">
        <v>865</v>
      </c>
      <c r="AC27" s="1"/>
      <c r="AD27" s="1"/>
      <c r="AE27" s="1"/>
      <c r="AF27" s="1"/>
      <c r="AG27" s="1"/>
      <c r="AH27" s="1"/>
    </row>
    <row r="28" spans="1:34" hidden="1" x14ac:dyDescent="0.25">
      <c r="A28" s="4">
        <v>26</v>
      </c>
      <c r="B28" s="2" t="str">
        <f>HYPERLINK("https://my.zakupki.prom.ua/remote/dispatcher/state_purchase_view/25360613", "UA-2021-03-29-006603-b")</f>
        <v>UA-2021-03-29-006603-b</v>
      </c>
      <c r="C28" s="1" t="s">
        <v>640</v>
      </c>
      <c r="D28" s="1" t="s">
        <v>322</v>
      </c>
      <c r="E28" s="1" t="s">
        <v>543</v>
      </c>
      <c r="F28" s="1" t="s">
        <v>560</v>
      </c>
      <c r="G28" s="1" t="s">
        <v>290</v>
      </c>
      <c r="H28" s="1" t="s">
        <v>492</v>
      </c>
      <c r="I28" s="5">
        <v>44284</v>
      </c>
      <c r="J28" s="7">
        <v>44295.569756944446</v>
      </c>
      <c r="K28" s="4">
        <v>7</v>
      </c>
      <c r="L28" s="6">
        <v>6500</v>
      </c>
      <c r="M28" s="1" t="s">
        <v>849</v>
      </c>
      <c r="N28" s="1" t="s">
        <v>849</v>
      </c>
      <c r="O28" s="1" t="s">
        <v>849</v>
      </c>
      <c r="P28" s="1" t="s">
        <v>480</v>
      </c>
      <c r="Q28" s="1" t="s">
        <v>788</v>
      </c>
      <c r="R28" s="6">
        <v>1220</v>
      </c>
      <c r="S28" s="1" t="s">
        <v>849</v>
      </c>
      <c r="T28" s="6">
        <v>5280</v>
      </c>
      <c r="U28" s="6">
        <v>0.81230769230769229</v>
      </c>
      <c r="V28" s="1" t="s">
        <v>808</v>
      </c>
      <c r="W28" s="1" t="s">
        <v>205</v>
      </c>
      <c r="X28" s="2" t="str">
        <f>HYPERLINK("https://auction.openprocurement.org/tenders/25e41efe2c654266a7f277549cf525da")</f>
        <v>https://auction.openprocurement.org/tenders/25e41efe2c654266a7f277549cf525da</v>
      </c>
      <c r="Y28" s="7">
        <v>44302.475756330394</v>
      </c>
      <c r="Z28" s="5">
        <v>44307</v>
      </c>
      <c r="AA28" s="5">
        <v>44318</v>
      </c>
      <c r="AB28" s="1" t="s">
        <v>844</v>
      </c>
      <c r="AC28" s="7">
        <v>44309.457928289885</v>
      </c>
      <c r="AD28" s="1" t="s">
        <v>150</v>
      </c>
      <c r="AE28" s="6">
        <v>1440</v>
      </c>
      <c r="AF28" s="7">
        <v>44561</v>
      </c>
      <c r="AG28" s="1" t="s">
        <v>867</v>
      </c>
      <c r="AH28" s="1" t="s">
        <v>295</v>
      </c>
    </row>
    <row r="29" spans="1:34" hidden="1" x14ac:dyDescent="0.25">
      <c r="A29" s="4">
        <v>27</v>
      </c>
      <c r="B29" s="2" t="str">
        <f>HYPERLINK("https://my.zakupki.prom.ua/remote/dispatcher/state_purchase_view/2237149", "UA-2017-02-21-001582-c")</f>
        <v>UA-2017-02-21-001582-c</v>
      </c>
      <c r="C29" s="1" t="s">
        <v>800</v>
      </c>
      <c r="D29" s="1" t="s">
        <v>254</v>
      </c>
      <c r="E29" s="1" t="s">
        <v>543</v>
      </c>
      <c r="F29" s="1" t="s">
        <v>560</v>
      </c>
      <c r="G29" s="1" t="s">
        <v>290</v>
      </c>
      <c r="H29" s="1" t="s">
        <v>718</v>
      </c>
      <c r="I29" s="5">
        <v>42787</v>
      </c>
      <c r="J29" s="7">
        <v>42800.504108796296</v>
      </c>
      <c r="K29" s="4">
        <v>6</v>
      </c>
      <c r="L29" s="6">
        <v>11600</v>
      </c>
      <c r="M29" s="4">
        <v>16</v>
      </c>
      <c r="N29" s="6">
        <v>725</v>
      </c>
      <c r="O29" s="1" t="s">
        <v>871</v>
      </c>
      <c r="P29" s="1" t="s">
        <v>480</v>
      </c>
      <c r="Q29" s="1" t="s">
        <v>788</v>
      </c>
      <c r="R29" s="6">
        <v>9129</v>
      </c>
      <c r="S29" s="6">
        <v>570.5625</v>
      </c>
      <c r="T29" s="6">
        <v>2471</v>
      </c>
      <c r="U29" s="6">
        <v>0.21301724137931036</v>
      </c>
      <c r="V29" s="1" t="s">
        <v>540</v>
      </c>
      <c r="W29" s="1" t="s">
        <v>28</v>
      </c>
      <c r="X29" s="2" t="str">
        <f>HYPERLINK("https://auction.openprocurement.org/tenders/1eea076f4c054c248ec3b322c2c11f8a")</f>
        <v>https://auction.openprocurement.org/tenders/1eea076f4c054c248ec3b322c2c11f8a</v>
      </c>
      <c r="Y29" s="7">
        <v>42803.368160308368</v>
      </c>
      <c r="Z29" s="5">
        <v>42807</v>
      </c>
      <c r="AA29" s="5">
        <v>42820</v>
      </c>
      <c r="AB29" s="1" t="s">
        <v>844</v>
      </c>
      <c r="AC29" s="7">
        <v>42851.389867598773</v>
      </c>
      <c r="AD29" s="1" t="s">
        <v>53</v>
      </c>
      <c r="AE29" s="6">
        <v>9129</v>
      </c>
      <c r="AF29" s="7">
        <v>43100</v>
      </c>
      <c r="AG29" s="1" t="s">
        <v>867</v>
      </c>
      <c r="AH29" s="1" t="s">
        <v>29</v>
      </c>
    </row>
    <row r="30" spans="1:34" hidden="1" x14ac:dyDescent="0.25">
      <c r="A30" s="4">
        <v>28</v>
      </c>
      <c r="B30" s="2" t="str">
        <f>HYPERLINK("https://my.zakupki.prom.ua/remote/dispatcher/state_purchase_view/2285938", "UA-2017-02-23-002303-c")</f>
        <v>UA-2017-02-23-002303-c</v>
      </c>
      <c r="C30" s="1" t="s">
        <v>827</v>
      </c>
      <c r="D30" s="1" t="s">
        <v>328</v>
      </c>
      <c r="E30" s="1" t="s">
        <v>543</v>
      </c>
      <c r="F30" s="1" t="s">
        <v>560</v>
      </c>
      <c r="G30" s="1" t="s">
        <v>290</v>
      </c>
      <c r="H30" s="1" t="s">
        <v>717</v>
      </c>
      <c r="I30" s="5">
        <v>42789</v>
      </c>
      <c r="J30" s="7">
        <v>42807.62059027778</v>
      </c>
      <c r="K30" s="4">
        <v>2</v>
      </c>
      <c r="L30" s="6">
        <v>3500</v>
      </c>
      <c r="M30" s="4">
        <v>1</v>
      </c>
      <c r="N30" s="6">
        <v>3500</v>
      </c>
      <c r="O30" s="1" t="s">
        <v>871</v>
      </c>
      <c r="P30" s="1" t="s">
        <v>480</v>
      </c>
      <c r="Q30" s="1" t="s">
        <v>788</v>
      </c>
      <c r="R30" s="6">
        <v>2704</v>
      </c>
      <c r="S30" s="6">
        <v>2704</v>
      </c>
      <c r="T30" s="6">
        <v>796</v>
      </c>
      <c r="U30" s="6">
        <v>0.22742857142857142</v>
      </c>
      <c r="V30" s="1" t="s">
        <v>837</v>
      </c>
      <c r="W30" s="1" t="s">
        <v>299</v>
      </c>
      <c r="X30" s="2" t="str">
        <f>HYPERLINK("https://auction.openprocurement.org/tenders/7cb4c01db2c74d32919e2742b399ad15")</f>
        <v>https://auction.openprocurement.org/tenders/7cb4c01db2c74d32919e2742b399ad15</v>
      </c>
      <c r="Y30" s="7">
        <v>42807.704484750866</v>
      </c>
      <c r="Z30" s="5">
        <v>42809</v>
      </c>
      <c r="AA30" s="5">
        <v>42824</v>
      </c>
      <c r="AB30" s="1" t="s">
        <v>844</v>
      </c>
      <c r="AC30" s="7">
        <v>42826.316938060823</v>
      </c>
      <c r="AD30" s="1" t="s">
        <v>55</v>
      </c>
      <c r="AE30" s="6">
        <v>2704</v>
      </c>
      <c r="AF30" s="7">
        <v>43100</v>
      </c>
      <c r="AG30" s="1" t="s">
        <v>867</v>
      </c>
      <c r="AH30" s="1" t="s">
        <v>300</v>
      </c>
    </row>
    <row r="31" spans="1:34" hidden="1" x14ac:dyDescent="0.25">
      <c r="A31" s="4">
        <v>31</v>
      </c>
      <c r="B31" s="2" t="str">
        <f>HYPERLINK("https://my.zakupki.prom.ua/remote/dispatcher/state_purchase_view/59620", "UA-2016-02-15-000008-b")</f>
        <v>UA-2016-02-15-000008-b</v>
      </c>
      <c r="C31" s="1" t="s">
        <v>691</v>
      </c>
      <c r="D31" s="1" t="s">
        <v>405</v>
      </c>
      <c r="E31" s="1" t="s">
        <v>543</v>
      </c>
      <c r="F31" s="1" t="s">
        <v>560</v>
      </c>
      <c r="G31" s="1" t="s">
        <v>290</v>
      </c>
      <c r="H31" s="1" t="s">
        <v>718</v>
      </c>
      <c r="I31" s="5">
        <v>42427</v>
      </c>
      <c r="J31" s="7">
        <v>42419.626192129632</v>
      </c>
      <c r="K31" s="4">
        <v>2</v>
      </c>
      <c r="L31" s="6">
        <v>1260</v>
      </c>
      <c r="M31" s="4">
        <v>1</v>
      </c>
      <c r="N31" s="6">
        <v>1260</v>
      </c>
      <c r="O31" s="1" t="s">
        <v>863</v>
      </c>
      <c r="P31" s="1" t="s">
        <v>480</v>
      </c>
      <c r="Q31" s="1" t="s">
        <v>788</v>
      </c>
      <c r="R31" s="6">
        <v>1260</v>
      </c>
      <c r="S31" s="6">
        <v>1260</v>
      </c>
      <c r="T31" s="1"/>
      <c r="U31" s="1"/>
      <c r="V31" s="1" t="s">
        <v>793</v>
      </c>
      <c r="W31" s="1" t="s">
        <v>309</v>
      </c>
      <c r="X31" s="2" t="str">
        <f>HYPERLINK("https://auction.openprocurement.org/tenders/3e440e4b7f3641d0a74cd82eb4d31ca5")</f>
        <v>https://auction.openprocurement.org/tenders/3e440e4b7f3641d0a74cd82eb4d31ca5</v>
      </c>
      <c r="Y31" s="7">
        <v>42422.451727615531</v>
      </c>
      <c r="Z31" s="5">
        <v>42423</v>
      </c>
      <c r="AA31" s="5">
        <v>42447</v>
      </c>
      <c r="AB31" s="1" t="s">
        <v>844</v>
      </c>
      <c r="AC31" s="7">
        <v>42678.860849051525</v>
      </c>
      <c r="AD31" s="1" t="s">
        <v>8</v>
      </c>
      <c r="AE31" s="1"/>
      <c r="AF31" s="7">
        <v>42490</v>
      </c>
      <c r="AG31" s="1" t="s">
        <v>867</v>
      </c>
      <c r="AH31" s="1" t="s">
        <v>310</v>
      </c>
    </row>
    <row r="32" spans="1:34" x14ac:dyDescent="0.25">
      <c r="A32" s="4">
        <v>32</v>
      </c>
      <c r="B32" s="2" t="str">
        <f>HYPERLINK("https://my.zakupki.prom.ua/remote/dispatcher/state_purchase_view/13218995", "UA-2019-10-17-004305-b")</f>
        <v>UA-2019-10-17-004305-b</v>
      </c>
      <c r="C32" s="1" t="s">
        <v>661</v>
      </c>
      <c r="D32" s="1" t="s">
        <v>473</v>
      </c>
      <c r="E32" s="1" t="s">
        <v>552</v>
      </c>
      <c r="F32" s="1" t="s">
        <v>560</v>
      </c>
      <c r="G32" s="1" t="s">
        <v>290</v>
      </c>
      <c r="H32" s="1" t="s">
        <v>715</v>
      </c>
      <c r="I32" s="5">
        <v>43755</v>
      </c>
      <c r="J32" s="1" t="s">
        <v>840</v>
      </c>
      <c r="K32" s="4">
        <v>1</v>
      </c>
      <c r="L32" s="6">
        <v>12240</v>
      </c>
      <c r="M32" s="4">
        <v>5</v>
      </c>
      <c r="N32" s="6">
        <v>2448</v>
      </c>
      <c r="O32" s="1" t="s">
        <v>870</v>
      </c>
      <c r="P32" s="1" t="s">
        <v>480</v>
      </c>
      <c r="Q32" s="1" t="s">
        <v>613</v>
      </c>
      <c r="R32" s="6">
        <v>12240</v>
      </c>
      <c r="S32" s="6">
        <v>2448</v>
      </c>
      <c r="T32" s="1"/>
      <c r="U32" s="1"/>
      <c r="V32" s="1" t="s">
        <v>559</v>
      </c>
      <c r="W32" s="1" t="s">
        <v>249</v>
      </c>
      <c r="X32" s="2"/>
      <c r="Y32" s="1"/>
      <c r="Z32" s="1"/>
      <c r="AA32" s="1"/>
      <c r="AB32" s="1" t="s">
        <v>844</v>
      </c>
      <c r="AC32" s="7">
        <v>43755.840048389851</v>
      </c>
      <c r="AD32" s="1" t="s">
        <v>151</v>
      </c>
      <c r="AE32" s="6">
        <v>12240</v>
      </c>
      <c r="AF32" s="7">
        <v>43830</v>
      </c>
      <c r="AG32" s="1" t="s">
        <v>867</v>
      </c>
      <c r="AH32" s="1" t="s">
        <v>7</v>
      </c>
    </row>
    <row r="33" spans="1:34" x14ac:dyDescent="0.25">
      <c r="A33" s="4">
        <v>33</v>
      </c>
      <c r="B33" s="2" t="str">
        <f>HYPERLINK("https://my.zakupki.prom.ua/remote/dispatcher/state_purchase_view/12261117", "UA-2019-07-17-001457-b")</f>
        <v>UA-2019-07-17-001457-b</v>
      </c>
      <c r="C33" s="1" t="s">
        <v>528</v>
      </c>
      <c r="D33" s="1" t="s">
        <v>232</v>
      </c>
      <c r="E33" s="1" t="s">
        <v>552</v>
      </c>
      <c r="F33" s="1" t="s">
        <v>560</v>
      </c>
      <c r="G33" s="1" t="s">
        <v>290</v>
      </c>
      <c r="H33" s="1" t="s">
        <v>717</v>
      </c>
      <c r="I33" s="5">
        <v>43663</v>
      </c>
      <c r="J33" s="1" t="s">
        <v>840</v>
      </c>
      <c r="K33" s="4">
        <v>1</v>
      </c>
      <c r="L33" s="6">
        <v>1262</v>
      </c>
      <c r="M33" s="4">
        <v>1</v>
      </c>
      <c r="N33" s="6">
        <v>1262</v>
      </c>
      <c r="O33" s="1" t="s">
        <v>870</v>
      </c>
      <c r="P33" s="1" t="s">
        <v>480</v>
      </c>
      <c r="Q33" s="1" t="s">
        <v>613</v>
      </c>
      <c r="R33" s="6">
        <v>1262</v>
      </c>
      <c r="S33" s="6">
        <v>1262</v>
      </c>
      <c r="T33" s="1"/>
      <c r="U33" s="1"/>
      <c r="V33" s="1" t="s">
        <v>719</v>
      </c>
      <c r="W33" s="1" t="s">
        <v>122</v>
      </c>
      <c r="X33" s="2"/>
      <c r="Y33" s="1"/>
      <c r="Z33" s="1"/>
      <c r="AA33" s="1"/>
      <c r="AB33" s="1" t="s">
        <v>844</v>
      </c>
      <c r="AC33" s="7">
        <v>43663.634200566514</v>
      </c>
      <c r="AD33" s="1" t="s">
        <v>45</v>
      </c>
      <c r="AE33" s="6">
        <v>1262</v>
      </c>
      <c r="AF33" s="7">
        <v>43830</v>
      </c>
      <c r="AG33" s="1" t="s">
        <v>867</v>
      </c>
      <c r="AH33" s="1" t="s">
        <v>7</v>
      </c>
    </row>
    <row r="34" spans="1:34" hidden="1" x14ac:dyDescent="0.25">
      <c r="A34" s="4">
        <v>34</v>
      </c>
      <c r="B34" s="2" t="str">
        <f>HYPERLINK("https://my.zakupki.prom.ua/remote/dispatcher/state_purchase_view/1381640", "UA-2016-12-30-001242-b")</f>
        <v>UA-2016-12-30-001242-b</v>
      </c>
      <c r="C34" s="1" t="s">
        <v>650</v>
      </c>
      <c r="D34" s="1" t="s">
        <v>471</v>
      </c>
      <c r="E34" s="1" t="s">
        <v>543</v>
      </c>
      <c r="F34" s="1" t="s">
        <v>560</v>
      </c>
      <c r="G34" s="1" t="s">
        <v>290</v>
      </c>
      <c r="H34" s="1" t="s">
        <v>718</v>
      </c>
      <c r="I34" s="5">
        <v>42734</v>
      </c>
      <c r="J34" s="1" t="s">
        <v>841</v>
      </c>
      <c r="K34" s="4">
        <v>1</v>
      </c>
      <c r="L34" s="6">
        <v>16775</v>
      </c>
      <c r="M34" s="4">
        <v>275</v>
      </c>
      <c r="N34" s="6">
        <v>61</v>
      </c>
      <c r="O34" s="1" t="s">
        <v>855</v>
      </c>
      <c r="P34" s="1" t="s">
        <v>480</v>
      </c>
      <c r="Q34" s="1" t="s">
        <v>788</v>
      </c>
      <c r="R34" s="6">
        <v>16500</v>
      </c>
      <c r="S34" s="6">
        <v>60</v>
      </c>
      <c r="T34" s="6">
        <v>275</v>
      </c>
      <c r="U34" s="6">
        <v>1.6393442622950821E-2</v>
      </c>
      <c r="V34" s="1" t="s">
        <v>730</v>
      </c>
      <c r="W34" s="1" t="s">
        <v>16</v>
      </c>
      <c r="X34" s="2"/>
      <c r="Y34" s="7">
        <v>42754.8739875791</v>
      </c>
      <c r="Z34" s="5">
        <v>42758</v>
      </c>
      <c r="AA34" s="5">
        <v>42768</v>
      </c>
      <c r="AB34" s="1" t="s">
        <v>844</v>
      </c>
      <c r="AC34" s="7">
        <v>42785.781470573958</v>
      </c>
      <c r="AD34" s="1" t="s">
        <v>433</v>
      </c>
      <c r="AE34" s="6">
        <v>16500</v>
      </c>
      <c r="AF34" s="7">
        <v>43100</v>
      </c>
      <c r="AG34" s="1" t="s">
        <v>867</v>
      </c>
      <c r="AH34" s="1" t="s">
        <v>17</v>
      </c>
    </row>
    <row r="35" spans="1:34" hidden="1" x14ac:dyDescent="0.25">
      <c r="A35" s="4">
        <v>37</v>
      </c>
      <c r="B35" s="2" t="str">
        <f>HYPERLINK("https://my.zakupki.prom.ua/remote/dispatcher/state_purchase_view/8762484", "UA-2018-11-05-000712-b")</f>
        <v>UA-2018-11-05-000712-b</v>
      </c>
      <c r="C35" s="1" t="s">
        <v>701</v>
      </c>
      <c r="D35" s="1" t="s">
        <v>436</v>
      </c>
      <c r="E35" s="1" t="s">
        <v>543</v>
      </c>
      <c r="F35" s="1" t="s">
        <v>560</v>
      </c>
      <c r="G35" s="1" t="s">
        <v>290</v>
      </c>
      <c r="H35" s="1" t="s">
        <v>717</v>
      </c>
      <c r="I35" s="5">
        <v>43409</v>
      </c>
      <c r="J35" s="1" t="s">
        <v>841</v>
      </c>
      <c r="K35" s="4">
        <v>1</v>
      </c>
      <c r="L35" s="6">
        <v>180000</v>
      </c>
      <c r="M35" s="4">
        <v>1</v>
      </c>
      <c r="N35" s="6">
        <v>180000</v>
      </c>
      <c r="O35" s="1" t="s">
        <v>863</v>
      </c>
      <c r="P35" s="1" t="s">
        <v>480</v>
      </c>
      <c r="Q35" s="1" t="s">
        <v>788</v>
      </c>
      <c r="R35" s="6">
        <v>150000</v>
      </c>
      <c r="S35" s="6">
        <v>150000</v>
      </c>
      <c r="T35" s="6">
        <v>30000</v>
      </c>
      <c r="U35" s="6">
        <v>0.16666666666666666</v>
      </c>
      <c r="V35" s="1" t="s">
        <v>760</v>
      </c>
      <c r="W35" s="1" t="s">
        <v>268</v>
      </c>
      <c r="X35" s="2"/>
      <c r="Y35" s="7">
        <v>43418.684270387428</v>
      </c>
      <c r="Z35" s="5">
        <v>43420</v>
      </c>
      <c r="AA35" s="5">
        <v>43446</v>
      </c>
      <c r="AB35" s="1" t="s">
        <v>844</v>
      </c>
      <c r="AC35" s="7">
        <v>43430.600465973585</v>
      </c>
      <c r="AD35" s="1" t="s">
        <v>50</v>
      </c>
      <c r="AE35" s="6">
        <v>150000</v>
      </c>
      <c r="AF35" s="7">
        <v>43465</v>
      </c>
      <c r="AG35" s="1" t="s">
        <v>867</v>
      </c>
      <c r="AH35" s="1" t="s">
        <v>269</v>
      </c>
    </row>
    <row r="36" spans="1:34" hidden="1" x14ac:dyDescent="0.25">
      <c r="A36" s="4">
        <v>38</v>
      </c>
      <c r="B36" s="2" t="str">
        <f>HYPERLINK("https://my.zakupki.prom.ua/remote/dispatcher/state_purchase_view/7834832", "UA-2018-07-27-000542-b")</f>
        <v>UA-2018-07-27-000542-b</v>
      </c>
      <c r="C36" s="1" t="s">
        <v>520</v>
      </c>
      <c r="D36" s="1" t="s">
        <v>252</v>
      </c>
      <c r="E36" s="1" t="s">
        <v>543</v>
      </c>
      <c r="F36" s="1" t="s">
        <v>560</v>
      </c>
      <c r="G36" s="1" t="s">
        <v>290</v>
      </c>
      <c r="H36" s="1" t="s">
        <v>717</v>
      </c>
      <c r="I36" s="5">
        <v>43308</v>
      </c>
      <c r="J36" s="1" t="s">
        <v>841</v>
      </c>
      <c r="K36" s="4">
        <v>1</v>
      </c>
      <c r="L36" s="6">
        <v>3158</v>
      </c>
      <c r="M36" s="4">
        <v>4</v>
      </c>
      <c r="N36" s="6">
        <v>789.5</v>
      </c>
      <c r="O36" s="1" t="s">
        <v>870</v>
      </c>
      <c r="P36" s="1" t="s">
        <v>480</v>
      </c>
      <c r="Q36" s="1" t="s">
        <v>788</v>
      </c>
      <c r="R36" s="6">
        <v>3150</v>
      </c>
      <c r="S36" s="6">
        <v>787.5</v>
      </c>
      <c r="T36" s="6">
        <v>8</v>
      </c>
      <c r="U36" s="6">
        <v>2.5332488917036099E-3</v>
      </c>
      <c r="V36" s="1" t="s">
        <v>762</v>
      </c>
      <c r="W36" s="1" t="s">
        <v>334</v>
      </c>
      <c r="X36" s="2"/>
      <c r="Y36" s="7">
        <v>43319.454451630714</v>
      </c>
      <c r="Z36" s="5">
        <v>43321</v>
      </c>
      <c r="AA36" s="5">
        <v>43341</v>
      </c>
      <c r="AB36" s="1" t="s">
        <v>844</v>
      </c>
      <c r="AC36" s="7">
        <v>43333.410525935455</v>
      </c>
      <c r="AD36" s="1" t="s">
        <v>41</v>
      </c>
      <c r="AE36" s="6">
        <v>3150</v>
      </c>
      <c r="AF36" s="7">
        <v>43465</v>
      </c>
      <c r="AG36" s="1" t="s">
        <v>867</v>
      </c>
      <c r="AH36" s="1" t="s">
        <v>335</v>
      </c>
    </row>
    <row r="37" spans="1:34" hidden="1" x14ac:dyDescent="0.25">
      <c r="A37" s="4">
        <v>39</v>
      </c>
      <c r="B37" s="2" t="str">
        <f>HYPERLINK("https://my.zakupki.prom.ua/remote/dispatcher/state_purchase_view/16961429", "UA-2020-06-01-004341-b")</f>
        <v>UA-2020-06-01-004341-b</v>
      </c>
      <c r="C37" s="1" t="s">
        <v>638</v>
      </c>
      <c r="D37" s="1" t="s">
        <v>114</v>
      </c>
      <c r="E37" s="1" t="s">
        <v>543</v>
      </c>
      <c r="F37" s="1" t="s">
        <v>560</v>
      </c>
      <c r="G37" s="1" t="s">
        <v>290</v>
      </c>
      <c r="H37" s="1" t="s">
        <v>714</v>
      </c>
      <c r="I37" s="5">
        <v>43983</v>
      </c>
      <c r="J37" s="7">
        <v>43993.516840277778</v>
      </c>
      <c r="K37" s="4">
        <v>3</v>
      </c>
      <c r="L37" s="6">
        <v>24590</v>
      </c>
      <c r="M37" s="4">
        <v>1</v>
      </c>
      <c r="N37" s="6">
        <v>24590</v>
      </c>
      <c r="O37" s="1" t="s">
        <v>850</v>
      </c>
      <c r="P37" s="1" t="s">
        <v>480</v>
      </c>
      <c r="Q37" s="1" t="s">
        <v>788</v>
      </c>
      <c r="R37" s="6">
        <v>18535.8</v>
      </c>
      <c r="S37" s="6">
        <v>18535.8</v>
      </c>
      <c r="T37" s="6">
        <v>6054.2000000000007</v>
      </c>
      <c r="U37" s="6">
        <v>0.24620577470516472</v>
      </c>
      <c r="V37" s="1" t="s">
        <v>752</v>
      </c>
      <c r="W37" s="1" t="s">
        <v>317</v>
      </c>
      <c r="X37" s="2" t="str">
        <f>HYPERLINK("https://auction.openprocurement.org/tenders/a9db74d7121140638ce0638104e96c65")</f>
        <v>https://auction.openprocurement.org/tenders/a9db74d7121140638ce0638104e96c65</v>
      </c>
      <c r="Y37" s="7">
        <v>43993.581128990671</v>
      </c>
      <c r="Z37" s="5">
        <v>43997</v>
      </c>
      <c r="AA37" s="5">
        <v>44017</v>
      </c>
      <c r="AB37" s="1" t="s">
        <v>844</v>
      </c>
      <c r="AC37" s="7">
        <v>44004.550130777941</v>
      </c>
      <c r="AD37" s="1" t="s">
        <v>348</v>
      </c>
      <c r="AE37" s="6">
        <v>18535.8</v>
      </c>
      <c r="AF37" s="7">
        <v>44196</v>
      </c>
      <c r="AG37" s="1" t="s">
        <v>867</v>
      </c>
      <c r="AH37" s="1" t="s">
        <v>319</v>
      </c>
    </row>
    <row r="38" spans="1:34" hidden="1" x14ac:dyDescent="0.25">
      <c r="A38" s="4">
        <v>40</v>
      </c>
      <c r="B38" s="2" t="str">
        <f>HYPERLINK("https://my.zakupki.prom.ua/remote/dispatcher/state_purchase_view/16022106", "UA-2020-03-30-001238-b")</f>
        <v>UA-2020-03-30-001238-b</v>
      </c>
      <c r="C38" s="1" t="s">
        <v>576</v>
      </c>
      <c r="D38" s="1" t="s">
        <v>393</v>
      </c>
      <c r="E38" s="1" t="s">
        <v>543</v>
      </c>
      <c r="F38" s="1" t="s">
        <v>560</v>
      </c>
      <c r="G38" s="1" t="s">
        <v>290</v>
      </c>
      <c r="H38" s="1" t="s">
        <v>715</v>
      </c>
      <c r="I38" s="5">
        <v>43920</v>
      </c>
      <c r="J38" s="7">
        <v>43931.565000000002</v>
      </c>
      <c r="K38" s="4">
        <v>4</v>
      </c>
      <c r="L38" s="6">
        <v>9630</v>
      </c>
      <c r="M38" s="4">
        <v>1</v>
      </c>
      <c r="N38" s="6">
        <v>9630</v>
      </c>
      <c r="O38" s="1" t="s">
        <v>850</v>
      </c>
      <c r="P38" s="1" t="s">
        <v>480</v>
      </c>
      <c r="Q38" s="1" t="s">
        <v>788</v>
      </c>
      <c r="R38" s="6">
        <v>5430</v>
      </c>
      <c r="S38" s="6">
        <v>5430</v>
      </c>
      <c r="T38" s="6">
        <v>4200</v>
      </c>
      <c r="U38" s="6">
        <v>0.43613707165109034</v>
      </c>
      <c r="V38" s="1" t="s">
        <v>749</v>
      </c>
      <c r="W38" s="1" t="s">
        <v>354</v>
      </c>
      <c r="X38" s="2" t="str">
        <f>HYPERLINK("https://auction.openprocurement.org/tenders/d9d15f5eda00418babe2fecc225f6523")</f>
        <v>https://auction.openprocurement.org/tenders/d9d15f5eda00418babe2fecc225f6523</v>
      </c>
      <c r="Y38" s="7">
        <v>43935.476751170172</v>
      </c>
      <c r="Z38" s="5">
        <v>43937</v>
      </c>
      <c r="AA38" s="5">
        <v>43953</v>
      </c>
      <c r="AB38" s="1" t="s">
        <v>844</v>
      </c>
      <c r="AC38" s="7">
        <v>43944.411524085859</v>
      </c>
      <c r="AD38" s="1" t="s">
        <v>191</v>
      </c>
      <c r="AE38" s="6">
        <v>5430</v>
      </c>
      <c r="AF38" s="7">
        <v>44196</v>
      </c>
      <c r="AG38" s="1" t="s">
        <v>867</v>
      </c>
      <c r="AH38" s="1" t="s">
        <v>355</v>
      </c>
    </row>
    <row r="39" spans="1:34" hidden="1" x14ac:dyDescent="0.25">
      <c r="A39" s="4">
        <v>41</v>
      </c>
      <c r="B39" s="2" t="str">
        <f>HYPERLINK("https://my.zakupki.prom.ua/remote/dispatcher/state_purchase_view/15488259", "UA-2020-02-26-001433-c")</f>
        <v>UA-2020-02-26-001433-c</v>
      </c>
      <c r="C39" s="1" t="s">
        <v>713</v>
      </c>
      <c r="D39" s="1" t="s">
        <v>217</v>
      </c>
      <c r="E39" s="1" t="s">
        <v>543</v>
      </c>
      <c r="F39" s="1" t="s">
        <v>560</v>
      </c>
      <c r="G39" s="1" t="s">
        <v>290</v>
      </c>
      <c r="H39" s="1" t="s">
        <v>715</v>
      </c>
      <c r="I39" s="5">
        <v>43887</v>
      </c>
      <c r="J39" s="1" t="s">
        <v>841</v>
      </c>
      <c r="K39" s="4">
        <v>1</v>
      </c>
      <c r="L39" s="6">
        <v>10850</v>
      </c>
      <c r="M39" s="4">
        <v>1</v>
      </c>
      <c r="N39" s="6">
        <v>10850</v>
      </c>
      <c r="O39" s="1" t="s">
        <v>850</v>
      </c>
      <c r="P39" s="1" t="s">
        <v>480</v>
      </c>
      <c r="Q39" s="1" t="s">
        <v>788</v>
      </c>
      <c r="R39" s="6">
        <v>8900</v>
      </c>
      <c r="S39" s="6">
        <v>8900</v>
      </c>
      <c r="T39" s="6">
        <v>1950</v>
      </c>
      <c r="U39" s="6">
        <v>0.17972350230414746</v>
      </c>
      <c r="V39" s="1" t="s">
        <v>814</v>
      </c>
      <c r="W39" s="1" t="s">
        <v>181</v>
      </c>
      <c r="X39" s="2"/>
      <c r="Y39" s="7">
        <v>43896.453186593622</v>
      </c>
      <c r="Z39" s="5">
        <v>43901</v>
      </c>
      <c r="AA39" s="5">
        <v>43922</v>
      </c>
      <c r="AB39" s="1" t="s">
        <v>844</v>
      </c>
      <c r="AC39" s="7">
        <v>43902.635742497339</v>
      </c>
      <c r="AD39" s="1" t="s">
        <v>86</v>
      </c>
      <c r="AE39" s="6">
        <v>8900</v>
      </c>
      <c r="AF39" s="7">
        <v>44196</v>
      </c>
      <c r="AG39" s="1" t="s">
        <v>867</v>
      </c>
      <c r="AH39" s="1" t="s">
        <v>182</v>
      </c>
    </row>
    <row r="40" spans="1:34" hidden="1" x14ac:dyDescent="0.25">
      <c r="A40" s="4">
        <v>42</v>
      </c>
      <c r="B40" s="2" t="str">
        <f>HYPERLINK("https://my.zakupki.prom.ua/remote/dispatcher/state_purchase_view/15907432", "UA-2020-03-23-002108-b")</f>
        <v>UA-2020-03-23-002108-b</v>
      </c>
      <c r="C40" s="1" t="s">
        <v>490</v>
      </c>
      <c r="D40" s="1" t="s">
        <v>82</v>
      </c>
      <c r="E40" s="1" t="s">
        <v>543</v>
      </c>
      <c r="F40" s="1" t="s">
        <v>560</v>
      </c>
      <c r="G40" s="1" t="s">
        <v>290</v>
      </c>
      <c r="H40" s="1" t="s">
        <v>715</v>
      </c>
      <c r="I40" s="5">
        <v>43913</v>
      </c>
      <c r="J40" s="7">
        <v>43927.595983796295</v>
      </c>
      <c r="K40" s="4">
        <v>2</v>
      </c>
      <c r="L40" s="6">
        <v>25145</v>
      </c>
      <c r="M40" s="4">
        <v>1</v>
      </c>
      <c r="N40" s="6">
        <v>25145</v>
      </c>
      <c r="O40" s="1" t="s">
        <v>850</v>
      </c>
      <c r="P40" s="1" t="s">
        <v>480</v>
      </c>
      <c r="Q40" s="1" t="s">
        <v>788</v>
      </c>
      <c r="R40" s="6">
        <v>15687.66</v>
      </c>
      <c r="S40" s="6">
        <v>15687.66</v>
      </c>
      <c r="T40" s="6">
        <v>9457.34</v>
      </c>
      <c r="U40" s="6">
        <v>0.37611214953271027</v>
      </c>
      <c r="V40" s="1" t="s">
        <v>737</v>
      </c>
      <c r="W40" s="1" t="s">
        <v>243</v>
      </c>
      <c r="X40" s="2" t="str">
        <f>HYPERLINK("https://auction.openprocurement.org/tenders/1267552d2f13493b90df307cd9219312")</f>
        <v>https://auction.openprocurement.org/tenders/1267552d2f13493b90df307cd9219312</v>
      </c>
      <c r="Y40" s="7">
        <v>43928.495073671802</v>
      </c>
      <c r="Z40" s="5">
        <v>43930</v>
      </c>
      <c r="AA40" s="5">
        <v>43946</v>
      </c>
      <c r="AB40" s="1" t="s">
        <v>844</v>
      </c>
      <c r="AC40" s="7">
        <v>43935.435535188626</v>
      </c>
      <c r="AD40" s="1" t="s">
        <v>154</v>
      </c>
      <c r="AE40" s="6">
        <v>15687.66</v>
      </c>
      <c r="AF40" s="7">
        <v>44196</v>
      </c>
      <c r="AG40" s="1" t="s">
        <v>867</v>
      </c>
      <c r="AH40" s="1" t="s">
        <v>244</v>
      </c>
    </row>
    <row r="41" spans="1:34" hidden="1" x14ac:dyDescent="0.25">
      <c r="A41" s="4">
        <v>43</v>
      </c>
      <c r="B41" s="2" t="str">
        <f>HYPERLINK("https://my.zakupki.prom.ua/remote/dispatcher/state_purchase_view/18073337", "UA-2020-07-23-004577-b")</f>
        <v>UA-2020-07-23-004577-b</v>
      </c>
      <c r="C41" s="1" t="s">
        <v>651</v>
      </c>
      <c r="D41" s="1" t="s">
        <v>441</v>
      </c>
      <c r="E41" s="1" t="s">
        <v>552</v>
      </c>
      <c r="F41" s="1" t="s">
        <v>560</v>
      </c>
      <c r="G41" s="1" t="s">
        <v>290</v>
      </c>
      <c r="H41" s="1" t="s">
        <v>714</v>
      </c>
      <c r="I41" s="5">
        <v>44035</v>
      </c>
      <c r="J41" s="1" t="s">
        <v>840</v>
      </c>
      <c r="K41" s="4">
        <v>1</v>
      </c>
      <c r="L41" s="6">
        <v>300</v>
      </c>
      <c r="M41" s="4">
        <v>1</v>
      </c>
      <c r="N41" s="6">
        <v>300</v>
      </c>
      <c r="O41" s="1" t="s">
        <v>863</v>
      </c>
      <c r="P41" s="1" t="s">
        <v>480</v>
      </c>
      <c r="Q41" s="1" t="s">
        <v>613</v>
      </c>
      <c r="R41" s="6">
        <v>300</v>
      </c>
      <c r="S41" s="6">
        <v>300</v>
      </c>
      <c r="T41" s="1"/>
      <c r="U41" s="1"/>
      <c r="V41" s="1" t="s">
        <v>585</v>
      </c>
      <c r="W41" s="1" t="s">
        <v>253</v>
      </c>
      <c r="X41" s="2"/>
      <c r="Y41" s="1"/>
      <c r="Z41" s="1"/>
      <c r="AA41" s="1"/>
      <c r="AB41" s="1" t="s">
        <v>844</v>
      </c>
      <c r="AC41" s="7">
        <v>44035.573543240534</v>
      </c>
      <c r="AD41" s="1" t="s">
        <v>419</v>
      </c>
      <c r="AE41" s="6">
        <v>300</v>
      </c>
      <c r="AF41" s="7">
        <v>44196</v>
      </c>
      <c r="AG41" s="1" t="s">
        <v>867</v>
      </c>
      <c r="AH41" s="1" t="s">
        <v>7</v>
      </c>
    </row>
    <row r="42" spans="1:34" hidden="1" x14ac:dyDescent="0.25">
      <c r="A42" s="4">
        <v>44</v>
      </c>
      <c r="B42" s="2" t="str">
        <f>HYPERLINK("https://my.zakupki.prom.ua/remote/dispatcher/state_purchase_view/17307451", "UA-2020-06-17-005038-c")</f>
        <v>UA-2020-06-17-005038-c</v>
      </c>
      <c r="C42" s="1" t="s">
        <v>685</v>
      </c>
      <c r="D42" s="1" t="s">
        <v>411</v>
      </c>
      <c r="E42" s="1" t="s">
        <v>552</v>
      </c>
      <c r="F42" s="1" t="s">
        <v>560</v>
      </c>
      <c r="G42" s="1" t="s">
        <v>290</v>
      </c>
      <c r="H42" s="1" t="s">
        <v>714</v>
      </c>
      <c r="I42" s="5">
        <v>43999</v>
      </c>
      <c r="J42" s="1" t="s">
        <v>840</v>
      </c>
      <c r="K42" s="4">
        <v>1</v>
      </c>
      <c r="L42" s="6">
        <v>352</v>
      </c>
      <c r="M42" s="4">
        <v>2</v>
      </c>
      <c r="N42" s="6">
        <v>176</v>
      </c>
      <c r="O42" s="1" t="s">
        <v>863</v>
      </c>
      <c r="P42" s="1" t="s">
        <v>480</v>
      </c>
      <c r="Q42" s="1" t="s">
        <v>613</v>
      </c>
      <c r="R42" s="6">
        <v>352</v>
      </c>
      <c r="S42" s="6">
        <v>176</v>
      </c>
      <c r="T42" s="1"/>
      <c r="U42" s="1"/>
      <c r="V42" s="1" t="s">
        <v>561</v>
      </c>
      <c r="W42" s="1" t="s">
        <v>22</v>
      </c>
      <c r="X42" s="2"/>
      <c r="Y42" s="1"/>
      <c r="Z42" s="1"/>
      <c r="AA42" s="1"/>
      <c r="AB42" s="1" t="s">
        <v>844</v>
      </c>
      <c r="AC42" s="7">
        <v>43999.592139820772</v>
      </c>
      <c r="AD42" s="1" t="s">
        <v>458</v>
      </c>
      <c r="AE42" s="6">
        <v>352</v>
      </c>
      <c r="AF42" s="7">
        <v>44196</v>
      </c>
      <c r="AG42" s="1" t="s">
        <v>867</v>
      </c>
      <c r="AH42" s="1" t="s">
        <v>7</v>
      </c>
    </row>
    <row r="43" spans="1:34" hidden="1" x14ac:dyDescent="0.25">
      <c r="A43" s="4">
        <v>45</v>
      </c>
      <c r="B43" s="2" t="str">
        <f>HYPERLINK("https://my.zakupki.prom.ua/remote/dispatcher/state_purchase_view/24235491", "UA-2021-02-22-000982-b")</f>
        <v>UA-2021-02-22-000982-b</v>
      </c>
      <c r="C43" s="1" t="s">
        <v>693</v>
      </c>
      <c r="D43" s="1" t="s">
        <v>440</v>
      </c>
      <c r="E43" s="1" t="s">
        <v>552</v>
      </c>
      <c r="F43" s="1" t="s">
        <v>560</v>
      </c>
      <c r="G43" s="1" t="s">
        <v>290</v>
      </c>
      <c r="H43" s="1" t="s">
        <v>492</v>
      </c>
      <c r="I43" s="5">
        <v>44249</v>
      </c>
      <c r="J43" s="1" t="s">
        <v>840</v>
      </c>
      <c r="K43" s="4">
        <v>1</v>
      </c>
      <c r="L43" s="6">
        <v>3000</v>
      </c>
      <c r="M43" s="4">
        <v>4</v>
      </c>
      <c r="N43" s="6">
        <v>750</v>
      </c>
      <c r="O43" s="1" t="s">
        <v>843</v>
      </c>
      <c r="P43" s="1" t="s">
        <v>480</v>
      </c>
      <c r="Q43" s="1" t="s">
        <v>613</v>
      </c>
      <c r="R43" s="6">
        <v>3000</v>
      </c>
      <c r="S43" s="6">
        <v>750</v>
      </c>
      <c r="T43" s="1"/>
      <c r="U43" s="1"/>
      <c r="V43" s="1" t="s">
        <v>783</v>
      </c>
      <c r="W43" s="1" t="s">
        <v>266</v>
      </c>
      <c r="X43" s="2"/>
      <c r="Y43" s="1"/>
      <c r="Z43" s="1"/>
      <c r="AA43" s="1"/>
      <c r="AB43" s="1" t="s">
        <v>844</v>
      </c>
      <c r="AC43" s="7">
        <v>44249.394803795767</v>
      </c>
      <c r="AD43" s="1" t="s">
        <v>127</v>
      </c>
      <c r="AE43" s="6">
        <v>3000</v>
      </c>
      <c r="AF43" s="7">
        <v>44561</v>
      </c>
      <c r="AG43" s="1" t="s">
        <v>867</v>
      </c>
      <c r="AH43" s="1" t="s">
        <v>7</v>
      </c>
    </row>
    <row r="44" spans="1:34" x14ac:dyDescent="0.25">
      <c r="A44" s="4">
        <v>46</v>
      </c>
      <c r="B44" s="2" t="str">
        <f>HYPERLINK("https://my.zakupki.prom.ua/remote/dispatcher/state_purchase_view/12876258", "UA-2019-09-17-001749-b")</f>
        <v>UA-2019-09-17-001749-b</v>
      </c>
      <c r="C44" s="1" t="s">
        <v>571</v>
      </c>
      <c r="D44" s="1" t="s">
        <v>286</v>
      </c>
      <c r="E44" s="1" t="s">
        <v>515</v>
      </c>
      <c r="F44" s="1" t="s">
        <v>560</v>
      </c>
      <c r="G44" s="1" t="s">
        <v>290</v>
      </c>
      <c r="H44" s="1" t="s">
        <v>715</v>
      </c>
      <c r="I44" s="5">
        <v>43725</v>
      </c>
      <c r="J44" s="7">
        <v>43742.502303240741</v>
      </c>
      <c r="K44" s="4">
        <v>2</v>
      </c>
      <c r="L44" s="6">
        <v>600000</v>
      </c>
      <c r="M44" s="4">
        <v>1</v>
      </c>
      <c r="N44" s="6">
        <v>600000</v>
      </c>
      <c r="O44" s="1" t="s">
        <v>846</v>
      </c>
      <c r="P44" s="1" t="s">
        <v>480</v>
      </c>
      <c r="Q44" s="1" t="s">
        <v>788</v>
      </c>
      <c r="R44" s="6">
        <v>592492.63</v>
      </c>
      <c r="S44" s="6">
        <v>592492.63</v>
      </c>
      <c r="T44" s="6">
        <v>7507.3699999999953</v>
      </c>
      <c r="U44" s="6">
        <v>1.2512283333333325E-2</v>
      </c>
      <c r="V44" s="1" t="s">
        <v>794</v>
      </c>
      <c r="W44" s="1" t="s">
        <v>225</v>
      </c>
      <c r="X44" s="2" t="str">
        <f>HYPERLINK("https://auction.openprocurement.org/tenders/60488ee23c6f448b87a0ec6ff0dd4471")</f>
        <v>https://auction.openprocurement.org/tenders/60488ee23c6f448b87a0ec6ff0dd4471</v>
      </c>
      <c r="Y44" s="7">
        <v>43746.529108100796</v>
      </c>
      <c r="Z44" s="5">
        <v>43757</v>
      </c>
      <c r="AA44" s="5">
        <v>43767</v>
      </c>
      <c r="AB44" s="1" t="s">
        <v>844</v>
      </c>
      <c r="AC44" s="7">
        <v>43767.491811697902</v>
      </c>
      <c r="AD44" s="1" t="s">
        <v>133</v>
      </c>
      <c r="AE44" s="6">
        <v>592492.63</v>
      </c>
      <c r="AF44" s="7">
        <v>43830</v>
      </c>
      <c r="AG44" s="1" t="s">
        <v>867</v>
      </c>
      <c r="AH44" s="1" t="s">
        <v>227</v>
      </c>
    </row>
    <row r="45" spans="1:34" hidden="1" x14ac:dyDescent="0.25">
      <c r="A45" s="4">
        <v>48</v>
      </c>
      <c r="B45" s="2" t="str">
        <f>HYPERLINK("https://my.zakupki.prom.ua/remote/dispatcher/state_purchase_view/26165081", "UA-2021-04-26-007700-c")</f>
        <v>UA-2021-04-26-007700-c</v>
      </c>
      <c r="C45" s="1" t="s">
        <v>500</v>
      </c>
      <c r="D45" s="1" t="s">
        <v>398</v>
      </c>
      <c r="E45" s="1" t="s">
        <v>552</v>
      </c>
      <c r="F45" s="1" t="s">
        <v>560</v>
      </c>
      <c r="G45" s="1" t="s">
        <v>290</v>
      </c>
      <c r="H45" s="1" t="s">
        <v>492</v>
      </c>
      <c r="I45" s="5">
        <v>44312</v>
      </c>
      <c r="J45" s="1" t="s">
        <v>840</v>
      </c>
      <c r="K45" s="4">
        <v>1</v>
      </c>
      <c r="L45" s="6">
        <v>1175</v>
      </c>
      <c r="M45" s="4">
        <v>10</v>
      </c>
      <c r="N45" s="6">
        <v>117.5</v>
      </c>
      <c r="O45" s="1" t="s">
        <v>871</v>
      </c>
      <c r="P45" s="1" t="s">
        <v>480</v>
      </c>
      <c r="Q45" s="1" t="s">
        <v>788</v>
      </c>
      <c r="R45" s="6">
        <v>1175</v>
      </c>
      <c r="S45" s="6">
        <v>117.5</v>
      </c>
      <c r="T45" s="1"/>
      <c r="U45" s="1"/>
      <c r="V45" s="1" t="s">
        <v>763</v>
      </c>
      <c r="W45" s="1" t="s">
        <v>146</v>
      </c>
      <c r="X45" s="2"/>
      <c r="Y45" s="1"/>
      <c r="Z45" s="1"/>
      <c r="AA45" s="1"/>
      <c r="AB45" s="1" t="s">
        <v>844</v>
      </c>
      <c r="AC45" s="7">
        <v>44312.877167752711</v>
      </c>
      <c r="AD45" s="1" t="s">
        <v>477</v>
      </c>
      <c r="AE45" s="6">
        <v>1175</v>
      </c>
      <c r="AF45" s="7">
        <v>44561</v>
      </c>
      <c r="AG45" s="1" t="s">
        <v>867</v>
      </c>
      <c r="AH45" s="1" t="s">
        <v>7</v>
      </c>
    </row>
    <row r="46" spans="1:34" hidden="1" x14ac:dyDescent="0.25">
      <c r="A46" s="4">
        <v>49</v>
      </c>
      <c r="B46" s="2" t="str">
        <f>HYPERLINK("https://my.zakupki.prom.ua/remote/dispatcher/state_purchase_view/25360030", "UA-2021-03-29-006419-b")</f>
        <v>UA-2021-03-29-006419-b</v>
      </c>
      <c r="C46" s="1" t="s">
        <v>797</v>
      </c>
      <c r="D46" s="1" t="s">
        <v>389</v>
      </c>
      <c r="E46" s="1" t="s">
        <v>543</v>
      </c>
      <c r="F46" s="1" t="s">
        <v>560</v>
      </c>
      <c r="G46" s="1" t="s">
        <v>290</v>
      </c>
      <c r="H46" s="1" t="s">
        <v>492</v>
      </c>
      <c r="I46" s="5">
        <v>44284</v>
      </c>
      <c r="J46" s="7">
        <v>44295.510081018518</v>
      </c>
      <c r="K46" s="4">
        <v>3</v>
      </c>
      <c r="L46" s="6">
        <v>23000</v>
      </c>
      <c r="M46" s="1" t="s">
        <v>849</v>
      </c>
      <c r="N46" s="1" t="s">
        <v>849</v>
      </c>
      <c r="O46" s="1" t="s">
        <v>849</v>
      </c>
      <c r="P46" s="1" t="s">
        <v>480</v>
      </c>
      <c r="Q46" s="1" t="s">
        <v>788</v>
      </c>
      <c r="R46" s="6">
        <v>15540</v>
      </c>
      <c r="S46" s="1" t="s">
        <v>849</v>
      </c>
      <c r="T46" s="6">
        <v>7460</v>
      </c>
      <c r="U46" s="6">
        <v>0.3243478260869565</v>
      </c>
      <c r="V46" s="1" t="s">
        <v>734</v>
      </c>
      <c r="W46" s="1" t="s">
        <v>353</v>
      </c>
      <c r="X46" s="2" t="str">
        <f>HYPERLINK("https://auction.openprocurement.org/tenders/0a3f1c006d0e4998aff462a77aa52c28")</f>
        <v>https://auction.openprocurement.org/tenders/0a3f1c006d0e4998aff462a77aa52c28</v>
      </c>
      <c r="Y46" s="7">
        <v>44302.480275238493</v>
      </c>
      <c r="Z46" s="5">
        <v>44307</v>
      </c>
      <c r="AA46" s="5">
        <v>44318</v>
      </c>
      <c r="AB46" s="1" t="s">
        <v>844</v>
      </c>
      <c r="AC46" s="7">
        <v>44312.880838310448</v>
      </c>
      <c r="AD46" s="1" t="s">
        <v>162</v>
      </c>
      <c r="AE46" s="6">
        <v>15666</v>
      </c>
      <c r="AF46" s="7">
        <v>44561</v>
      </c>
      <c r="AG46" s="1" t="s">
        <v>867</v>
      </c>
      <c r="AH46" s="1" t="s">
        <v>169</v>
      </c>
    </row>
    <row r="47" spans="1:34" hidden="1" x14ac:dyDescent="0.25">
      <c r="A47" s="4">
        <v>50</v>
      </c>
      <c r="B47" s="2" t="str">
        <f>HYPERLINK("https://my.zakupki.prom.ua/remote/dispatcher/state_purchase_view/25706082", "UA-2021-04-09-008594-a")</f>
        <v>UA-2021-04-09-008594-a</v>
      </c>
      <c r="C47" s="1" t="s">
        <v>703</v>
      </c>
      <c r="D47" s="1" t="s">
        <v>397</v>
      </c>
      <c r="E47" s="1" t="s">
        <v>552</v>
      </c>
      <c r="F47" s="1" t="s">
        <v>560</v>
      </c>
      <c r="G47" s="1" t="s">
        <v>290</v>
      </c>
      <c r="H47" s="1" t="s">
        <v>492</v>
      </c>
      <c r="I47" s="5">
        <v>44295</v>
      </c>
      <c r="J47" s="1" t="s">
        <v>840</v>
      </c>
      <c r="K47" s="4">
        <v>1</v>
      </c>
      <c r="L47" s="6">
        <v>179.8</v>
      </c>
      <c r="M47" s="4">
        <v>1</v>
      </c>
      <c r="N47" s="6">
        <v>179.8</v>
      </c>
      <c r="O47" s="1" t="s">
        <v>871</v>
      </c>
      <c r="P47" s="1" t="s">
        <v>480</v>
      </c>
      <c r="Q47" s="1" t="s">
        <v>788</v>
      </c>
      <c r="R47" s="6">
        <v>179.8</v>
      </c>
      <c r="S47" s="6">
        <v>179.8</v>
      </c>
      <c r="T47" s="1"/>
      <c r="U47" s="1"/>
      <c r="V47" s="1" t="s">
        <v>763</v>
      </c>
      <c r="W47" s="1" t="s">
        <v>146</v>
      </c>
      <c r="X47" s="2"/>
      <c r="Y47" s="1"/>
      <c r="Z47" s="1"/>
      <c r="AA47" s="1"/>
      <c r="AB47" s="1" t="s">
        <v>844</v>
      </c>
      <c r="AC47" s="7">
        <v>44295.923910553181</v>
      </c>
      <c r="AD47" s="1" t="s">
        <v>427</v>
      </c>
      <c r="AE47" s="6">
        <v>179.8</v>
      </c>
      <c r="AF47" s="7">
        <v>44561</v>
      </c>
      <c r="AG47" s="1" t="s">
        <v>867</v>
      </c>
      <c r="AH47" s="1" t="s">
        <v>7</v>
      </c>
    </row>
    <row r="48" spans="1:34" hidden="1" x14ac:dyDescent="0.25">
      <c r="A48" s="4">
        <v>52</v>
      </c>
      <c r="B48" s="2" t="str">
        <f>HYPERLINK("https://my.zakupki.prom.ua/remote/dispatcher/state_purchase_view/26435892", "UA-2021-05-11-006657-b")</f>
        <v>UA-2021-05-11-006657-b</v>
      </c>
      <c r="C48" s="1" t="s">
        <v>526</v>
      </c>
      <c r="D48" s="1" t="s">
        <v>326</v>
      </c>
      <c r="E48" s="1" t="s">
        <v>543</v>
      </c>
      <c r="F48" s="1" t="s">
        <v>560</v>
      </c>
      <c r="G48" s="1" t="s">
        <v>290</v>
      </c>
      <c r="H48" s="1" t="s">
        <v>492</v>
      </c>
      <c r="I48" s="5">
        <v>44327</v>
      </c>
      <c r="J48" s="1" t="s">
        <v>842</v>
      </c>
      <c r="K48" s="4">
        <v>0</v>
      </c>
      <c r="L48" s="6">
        <v>27000</v>
      </c>
      <c r="M48" s="4">
        <v>114</v>
      </c>
      <c r="N48" s="6">
        <v>236.84</v>
      </c>
      <c r="O48" s="1" t="s">
        <v>871</v>
      </c>
      <c r="P48" s="1" t="s">
        <v>480</v>
      </c>
      <c r="Q48" s="1" t="s">
        <v>788</v>
      </c>
      <c r="R48" s="1"/>
      <c r="S48" s="1"/>
      <c r="T48" s="1"/>
      <c r="U48" s="1"/>
      <c r="V48" s="1"/>
      <c r="W48" s="1"/>
      <c r="X48" s="2"/>
      <c r="Y48" s="1"/>
      <c r="Z48" s="1"/>
      <c r="AA48" s="1"/>
      <c r="AB48" s="1" t="s">
        <v>862</v>
      </c>
      <c r="AC48" s="1"/>
      <c r="AD48" s="1"/>
      <c r="AE48" s="1"/>
      <c r="AF48" s="1"/>
      <c r="AG48" s="1"/>
      <c r="AH48" s="1"/>
    </row>
    <row r="49" spans="1:34" hidden="1" x14ac:dyDescent="0.25">
      <c r="A49" s="4">
        <v>53</v>
      </c>
      <c r="B49" s="2" t="str">
        <f>HYPERLINK("https://my.zakupki.prom.ua/remote/dispatcher/state_purchase_view/26435944", "UA-2021-05-11-006678-b")</f>
        <v>UA-2021-05-11-006678-b</v>
      </c>
      <c r="C49" s="1" t="s">
        <v>539</v>
      </c>
      <c r="D49" s="1" t="s">
        <v>23</v>
      </c>
      <c r="E49" s="1" t="s">
        <v>543</v>
      </c>
      <c r="F49" s="1" t="s">
        <v>560</v>
      </c>
      <c r="G49" s="1" t="s">
        <v>290</v>
      </c>
      <c r="H49" s="1" t="s">
        <v>492</v>
      </c>
      <c r="I49" s="5">
        <v>44327</v>
      </c>
      <c r="J49" s="1" t="s">
        <v>842</v>
      </c>
      <c r="K49" s="4">
        <v>0</v>
      </c>
      <c r="L49" s="6">
        <v>27000</v>
      </c>
      <c r="M49" s="4">
        <v>101</v>
      </c>
      <c r="N49" s="6">
        <v>267.33</v>
      </c>
      <c r="O49" s="1" t="s">
        <v>871</v>
      </c>
      <c r="P49" s="1" t="s">
        <v>480</v>
      </c>
      <c r="Q49" s="1" t="s">
        <v>788</v>
      </c>
      <c r="R49" s="1"/>
      <c r="S49" s="1"/>
      <c r="T49" s="1"/>
      <c r="U49" s="1"/>
      <c r="V49" s="1"/>
      <c r="W49" s="1"/>
      <c r="X49" s="2"/>
      <c r="Y49" s="1"/>
      <c r="Z49" s="1"/>
      <c r="AA49" s="1"/>
      <c r="AB49" s="1" t="s">
        <v>862</v>
      </c>
      <c r="AC49" s="1"/>
      <c r="AD49" s="1"/>
      <c r="AE49" s="1"/>
      <c r="AF49" s="1"/>
      <c r="AG49" s="1"/>
      <c r="AH49" s="1"/>
    </row>
    <row r="50" spans="1:34" hidden="1" x14ac:dyDescent="0.25">
      <c r="A50" s="4">
        <v>54</v>
      </c>
      <c r="B50" s="2" t="str">
        <f>HYPERLINK("https://my.zakupki.prom.ua/remote/dispatcher/state_purchase_view/26298320", "UA-2021-05-04-000144-c")</f>
        <v>UA-2021-05-04-000144-c</v>
      </c>
      <c r="C50" s="1" t="s">
        <v>541</v>
      </c>
      <c r="D50" s="1" t="s">
        <v>145</v>
      </c>
      <c r="E50" s="1" t="s">
        <v>543</v>
      </c>
      <c r="F50" s="1" t="s">
        <v>560</v>
      </c>
      <c r="G50" s="1" t="s">
        <v>290</v>
      </c>
      <c r="H50" s="1" t="s">
        <v>492</v>
      </c>
      <c r="I50" s="5">
        <v>44320</v>
      </c>
      <c r="J50" s="7">
        <v>44330.66547453704</v>
      </c>
      <c r="K50" s="4">
        <v>0</v>
      </c>
      <c r="L50" s="6">
        <v>11000</v>
      </c>
      <c r="M50" s="4">
        <v>50</v>
      </c>
      <c r="N50" s="6">
        <v>220</v>
      </c>
      <c r="O50" s="1" t="s">
        <v>871</v>
      </c>
      <c r="P50" s="1" t="s">
        <v>480</v>
      </c>
      <c r="Q50" s="1" t="s">
        <v>788</v>
      </c>
      <c r="R50" s="1"/>
      <c r="S50" s="1"/>
      <c r="T50" s="1"/>
      <c r="U50" s="1"/>
      <c r="V50" s="1"/>
      <c r="W50" s="1"/>
      <c r="X50" s="2"/>
      <c r="Y50" s="1"/>
      <c r="Z50" s="1"/>
      <c r="AA50" s="1"/>
      <c r="AB50" s="1" t="s">
        <v>865</v>
      </c>
      <c r="AC50" s="1"/>
      <c r="AD50" s="1"/>
      <c r="AE50" s="1"/>
      <c r="AF50" s="1"/>
      <c r="AG50" s="1"/>
      <c r="AH50" s="1"/>
    </row>
    <row r="51" spans="1:34" hidden="1" x14ac:dyDescent="0.25">
      <c r="A51" s="4">
        <v>56</v>
      </c>
      <c r="B51" s="2" t="str">
        <f>HYPERLINK("https://my.zakupki.prom.ua/remote/dispatcher/state_purchase_view/3782435", "UA-2017-08-14-000439-a")</f>
        <v>UA-2017-08-14-000439-a</v>
      </c>
      <c r="C51" s="1" t="s">
        <v>565</v>
      </c>
      <c r="D51" s="1" t="s">
        <v>195</v>
      </c>
      <c r="E51" s="1" t="s">
        <v>543</v>
      </c>
      <c r="F51" s="1" t="s">
        <v>560</v>
      </c>
      <c r="G51" s="1" t="s">
        <v>290</v>
      </c>
      <c r="H51" s="1" t="s">
        <v>717</v>
      </c>
      <c r="I51" s="5">
        <v>42961</v>
      </c>
      <c r="J51" s="7">
        <v>42970.555636574078</v>
      </c>
      <c r="K51" s="4">
        <v>3</v>
      </c>
      <c r="L51" s="6">
        <v>5459</v>
      </c>
      <c r="M51" s="4">
        <v>654</v>
      </c>
      <c r="N51" s="6">
        <v>8.35</v>
      </c>
      <c r="O51" s="1" t="s">
        <v>871</v>
      </c>
      <c r="P51" s="1" t="s">
        <v>480</v>
      </c>
      <c r="Q51" s="1" t="s">
        <v>788</v>
      </c>
      <c r="R51" s="6">
        <v>3550</v>
      </c>
      <c r="S51" s="6">
        <v>5.4281345565749239</v>
      </c>
      <c r="T51" s="6">
        <v>1909</v>
      </c>
      <c r="U51" s="6">
        <v>0.34969774684008059</v>
      </c>
      <c r="V51" s="1" t="s">
        <v>819</v>
      </c>
      <c r="W51" s="1" t="s">
        <v>203</v>
      </c>
      <c r="X51" s="2" t="str">
        <f>HYPERLINK("https://auction.openprocurement.org/tenders/67ebbe4d76454104837415723fab0971")</f>
        <v>https://auction.openprocurement.org/tenders/67ebbe4d76454104837415723fab0971</v>
      </c>
      <c r="Y51" s="7">
        <v>42975.383298204135</v>
      </c>
      <c r="Z51" s="5">
        <v>42977</v>
      </c>
      <c r="AA51" s="5">
        <v>42993</v>
      </c>
      <c r="AB51" s="1" t="s">
        <v>844</v>
      </c>
      <c r="AC51" s="7">
        <v>42991.39711617984</v>
      </c>
      <c r="AD51" s="1" t="s">
        <v>43</v>
      </c>
      <c r="AE51" s="6">
        <v>3550</v>
      </c>
      <c r="AF51" s="7">
        <v>43100</v>
      </c>
      <c r="AG51" s="1" t="s">
        <v>867</v>
      </c>
      <c r="AH51" s="1" t="s">
        <v>204</v>
      </c>
    </row>
    <row r="52" spans="1:34" x14ac:dyDescent="0.25">
      <c r="A52" s="4">
        <v>57</v>
      </c>
      <c r="B52" s="2" t="str">
        <f>HYPERLINK("https://my.zakupki.prom.ua/remote/dispatcher/state_purchase_view/9684200", "UA-2019-01-08-000608-c")</f>
        <v>UA-2019-01-08-000608-c</v>
      </c>
      <c r="C52" s="1" t="s">
        <v>649</v>
      </c>
      <c r="D52" s="1" t="s">
        <v>471</v>
      </c>
      <c r="E52" s="1" t="s">
        <v>543</v>
      </c>
      <c r="F52" s="1" t="s">
        <v>560</v>
      </c>
      <c r="G52" s="1" t="s">
        <v>290</v>
      </c>
      <c r="H52" s="1" t="s">
        <v>717</v>
      </c>
      <c r="I52" s="5">
        <v>43473</v>
      </c>
      <c r="J52" s="1" t="s">
        <v>841</v>
      </c>
      <c r="K52" s="4">
        <v>1</v>
      </c>
      <c r="L52" s="6">
        <v>18366</v>
      </c>
      <c r="M52" s="4">
        <v>152</v>
      </c>
      <c r="N52" s="6">
        <v>120.83</v>
      </c>
      <c r="O52" s="1" t="s">
        <v>854</v>
      </c>
      <c r="P52" s="1" t="s">
        <v>480</v>
      </c>
      <c r="Q52" s="1" t="s">
        <v>788</v>
      </c>
      <c r="R52" s="6">
        <v>18234.22</v>
      </c>
      <c r="S52" s="6">
        <v>119.96197368421053</v>
      </c>
      <c r="T52" s="6">
        <v>131.77999999999884</v>
      </c>
      <c r="U52" s="6">
        <v>7.1752150713273897E-3</v>
      </c>
      <c r="V52" s="1" t="s">
        <v>730</v>
      </c>
      <c r="W52" s="1" t="s">
        <v>16</v>
      </c>
      <c r="X52" s="2"/>
      <c r="Y52" s="7">
        <v>43480.377390393354</v>
      </c>
      <c r="Z52" s="5">
        <v>43482</v>
      </c>
      <c r="AA52" s="5">
        <v>43505</v>
      </c>
      <c r="AB52" s="1" t="s">
        <v>844</v>
      </c>
      <c r="AC52" s="7">
        <v>43510.743711417548</v>
      </c>
      <c r="AD52" s="1" t="s">
        <v>433</v>
      </c>
      <c r="AE52" s="6">
        <v>18234.22</v>
      </c>
      <c r="AF52" s="7">
        <v>43830</v>
      </c>
      <c r="AG52" s="1" t="s">
        <v>867</v>
      </c>
      <c r="AH52" s="1" t="s">
        <v>17</v>
      </c>
    </row>
    <row r="53" spans="1:34" x14ac:dyDescent="0.25">
      <c r="A53" s="4">
        <v>58</v>
      </c>
      <c r="B53" s="2" t="str">
        <f>HYPERLINK("https://my.zakupki.prom.ua/remote/dispatcher/state_purchase_view/12780419", "UA-2019-09-09-001825-b")</f>
        <v>UA-2019-09-09-001825-b</v>
      </c>
      <c r="C53" s="1" t="s">
        <v>695</v>
      </c>
      <c r="D53" s="1" t="s">
        <v>217</v>
      </c>
      <c r="E53" s="1" t="s">
        <v>552</v>
      </c>
      <c r="F53" s="1" t="s">
        <v>560</v>
      </c>
      <c r="G53" s="1" t="s">
        <v>290</v>
      </c>
      <c r="H53" s="1" t="s">
        <v>715</v>
      </c>
      <c r="I53" s="5">
        <v>43717</v>
      </c>
      <c r="J53" s="1" t="s">
        <v>840</v>
      </c>
      <c r="K53" s="4">
        <v>1</v>
      </c>
      <c r="L53" s="6">
        <v>7033.08</v>
      </c>
      <c r="M53" s="4">
        <v>6</v>
      </c>
      <c r="N53" s="6">
        <v>1172.18</v>
      </c>
      <c r="O53" s="1" t="s">
        <v>870</v>
      </c>
      <c r="P53" s="1" t="s">
        <v>480</v>
      </c>
      <c r="Q53" s="1" t="s">
        <v>788</v>
      </c>
      <c r="R53" s="6">
        <v>7033.08</v>
      </c>
      <c r="S53" s="6">
        <v>1172.18</v>
      </c>
      <c r="T53" s="1"/>
      <c r="U53" s="1"/>
      <c r="V53" s="1" t="s">
        <v>775</v>
      </c>
      <c r="W53" s="1" t="s">
        <v>234</v>
      </c>
      <c r="X53" s="2"/>
      <c r="Y53" s="1"/>
      <c r="Z53" s="1"/>
      <c r="AA53" s="1"/>
      <c r="AB53" s="1" t="s">
        <v>844</v>
      </c>
      <c r="AC53" s="7">
        <v>43717.690880764072</v>
      </c>
      <c r="AD53" s="1" t="s">
        <v>408</v>
      </c>
      <c r="AE53" s="6">
        <v>7033.08</v>
      </c>
      <c r="AF53" s="7">
        <v>43738</v>
      </c>
      <c r="AG53" s="1" t="s">
        <v>867</v>
      </c>
      <c r="AH53" s="1" t="s">
        <v>7</v>
      </c>
    </row>
    <row r="54" spans="1:34" x14ac:dyDescent="0.25">
      <c r="A54" s="4">
        <v>59</v>
      </c>
      <c r="B54" s="2" t="str">
        <f>HYPERLINK("https://my.zakupki.prom.ua/remote/dispatcher/state_purchase_view/11458917", "UA-2019-05-02-000360-a")</f>
        <v>UA-2019-05-02-000360-a</v>
      </c>
      <c r="C54" s="1" t="s">
        <v>538</v>
      </c>
      <c r="D54" s="1" t="s">
        <v>474</v>
      </c>
      <c r="E54" s="1" t="s">
        <v>552</v>
      </c>
      <c r="F54" s="1" t="s">
        <v>560</v>
      </c>
      <c r="G54" s="1" t="s">
        <v>290</v>
      </c>
      <c r="H54" s="1" t="s">
        <v>717</v>
      </c>
      <c r="I54" s="5">
        <v>43587</v>
      </c>
      <c r="J54" s="1" t="s">
        <v>840</v>
      </c>
      <c r="K54" s="4">
        <v>1</v>
      </c>
      <c r="L54" s="6">
        <v>2000</v>
      </c>
      <c r="M54" s="4">
        <v>1</v>
      </c>
      <c r="N54" s="6">
        <v>2000</v>
      </c>
      <c r="O54" s="1" t="s">
        <v>863</v>
      </c>
      <c r="P54" s="1" t="s">
        <v>480</v>
      </c>
      <c r="Q54" s="1" t="s">
        <v>788</v>
      </c>
      <c r="R54" s="6">
        <v>928.8</v>
      </c>
      <c r="S54" s="6">
        <v>928.8</v>
      </c>
      <c r="T54" s="6">
        <v>1071.2</v>
      </c>
      <c r="U54" s="6">
        <v>0.53560000000000008</v>
      </c>
      <c r="V54" s="1" t="s">
        <v>516</v>
      </c>
      <c r="W54" s="1" t="s">
        <v>302</v>
      </c>
      <c r="X54" s="2"/>
      <c r="Y54" s="1"/>
      <c r="Z54" s="1"/>
      <c r="AA54" s="1"/>
      <c r="AB54" s="1" t="s">
        <v>844</v>
      </c>
      <c r="AC54" s="7">
        <v>43587.46914606748</v>
      </c>
      <c r="AD54" s="1" t="s">
        <v>62</v>
      </c>
      <c r="AE54" s="6">
        <v>928.8</v>
      </c>
      <c r="AF54" s="7">
        <v>43830</v>
      </c>
      <c r="AG54" s="1" t="s">
        <v>867</v>
      </c>
      <c r="AH54" s="1" t="s">
        <v>7</v>
      </c>
    </row>
    <row r="55" spans="1:34" x14ac:dyDescent="0.25">
      <c r="A55" s="4">
        <v>60</v>
      </c>
      <c r="B55" s="2" t="str">
        <f>HYPERLINK("https://my.zakupki.prom.ua/remote/dispatcher/state_purchase_view/12794352", "UA-2019-09-10-002550-b")</f>
        <v>UA-2019-09-10-002550-b</v>
      </c>
      <c r="C55" s="1" t="s">
        <v>836</v>
      </c>
      <c r="D55" s="1" t="s">
        <v>325</v>
      </c>
      <c r="E55" s="1" t="s">
        <v>552</v>
      </c>
      <c r="F55" s="1" t="s">
        <v>560</v>
      </c>
      <c r="G55" s="1" t="s">
        <v>290</v>
      </c>
      <c r="H55" s="1" t="s">
        <v>715</v>
      </c>
      <c r="I55" s="5">
        <v>43718</v>
      </c>
      <c r="J55" s="1" t="s">
        <v>840</v>
      </c>
      <c r="K55" s="4">
        <v>1</v>
      </c>
      <c r="L55" s="6">
        <v>4999.92</v>
      </c>
      <c r="M55" s="4">
        <v>15</v>
      </c>
      <c r="N55" s="6">
        <v>333.33</v>
      </c>
      <c r="O55" s="1" t="s">
        <v>853</v>
      </c>
      <c r="P55" s="1" t="s">
        <v>480</v>
      </c>
      <c r="Q55" s="1" t="s">
        <v>613</v>
      </c>
      <c r="R55" s="6">
        <v>4999.92</v>
      </c>
      <c r="S55" s="6">
        <v>333.32800000000003</v>
      </c>
      <c r="T55" s="1"/>
      <c r="U55" s="1"/>
      <c r="V55" s="1" t="s">
        <v>637</v>
      </c>
      <c r="W55" s="1" t="s">
        <v>180</v>
      </c>
      <c r="X55" s="2"/>
      <c r="Y55" s="1"/>
      <c r="Z55" s="1"/>
      <c r="AA55" s="1"/>
      <c r="AB55" s="1" t="s">
        <v>844</v>
      </c>
      <c r="AC55" s="7">
        <v>43718.657579256404</v>
      </c>
      <c r="AD55" s="1" t="s">
        <v>455</v>
      </c>
      <c r="AE55" s="6">
        <v>4999.92</v>
      </c>
      <c r="AF55" s="7">
        <v>43830</v>
      </c>
      <c r="AG55" s="1" t="s">
        <v>867</v>
      </c>
      <c r="AH55" s="1" t="s">
        <v>7</v>
      </c>
    </row>
    <row r="56" spans="1:34" x14ac:dyDescent="0.25">
      <c r="A56" s="4">
        <v>61</v>
      </c>
      <c r="B56" s="2" t="str">
        <f>HYPERLINK("https://my.zakupki.prom.ua/remote/dispatcher/state_purchase_view/12263698", "UA-2019-07-17-001911-b")</f>
        <v>UA-2019-07-17-001911-b</v>
      </c>
      <c r="C56" s="1" t="s">
        <v>621</v>
      </c>
      <c r="D56" s="1" t="s">
        <v>425</v>
      </c>
      <c r="E56" s="1" t="s">
        <v>552</v>
      </c>
      <c r="F56" s="1" t="s">
        <v>560</v>
      </c>
      <c r="G56" s="1" t="s">
        <v>290</v>
      </c>
      <c r="H56" s="1" t="s">
        <v>717</v>
      </c>
      <c r="I56" s="5">
        <v>43663</v>
      </c>
      <c r="J56" s="1" t="s">
        <v>840</v>
      </c>
      <c r="K56" s="4">
        <v>1</v>
      </c>
      <c r="L56" s="6">
        <v>3132.66</v>
      </c>
      <c r="M56" s="4">
        <v>6</v>
      </c>
      <c r="N56" s="6">
        <v>522.11</v>
      </c>
      <c r="O56" s="1" t="s">
        <v>856</v>
      </c>
      <c r="P56" s="1" t="s">
        <v>480</v>
      </c>
      <c r="Q56" s="1" t="s">
        <v>788</v>
      </c>
      <c r="R56" s="6">
        <v>3132.66</v>
      </c>
      <c r="S56" s="6">
        <v>522.11</v>
      </c>
      <c r="T56" s="1"/>
      <c r="U56" s="1"/>
      <c r="V56" s="1" t="s">
        <v>563</v>
      </c>
      <c r="W56" s="1" t="s">
        <v>241</v>
      </c>
      <c r="X56" s="2"/>
      <c r="Y56" s="1"/>
      <c r="Z56" s="1"/>
      <c r="AA56" s="1"/>
      <c r="AB56" s="1" t="s">
        <v>844</v>
      </c>
      <c r="AC56" s="7">
        <v>43663.697532761762</v>
      </c>
      <c r="AD56" s="1" t="s">
        <v>36</v>
      </c>
      <c r="AE56" s="6">
        <v>3132.66</v>
      </c>
      <c r="AF56" s="7">
        <v>43830</v>
      </c>
      <c r="AG56" s="1" t="s">
        <v>867</v>
      </c>
      <c r="AH56" s="1" t="s">
        <v>7</v>
      </c>
    </row>
    <row r="57" spans="1:34" hidden="1" x14ac:dyDescent="0.25">
      <c r="A57" s="4">
        <v>62</v>
      </c>
      <c r="B57" s="2" t="str">
        <f>HYPERLINK("https://my.zakupki.prom.ua/remote/dispatcher/state_purchase_view/380287", "UA-2016-09-01-000135-c")</f>
        <v>UA-2016-09-01-000135-c</v>
      </c>
      <c r="C57" s="1" t="s">
        <v>858</v>
      </c>
      <c r="D57" s="1" t="s">
        <v>192</v>
      </c>
      <c r="E57" s="1" t="s">
        <v>543</v>
      </c>
      <c r="F57" s="1" t="s">
        <v>560</v>
      </c>
      <c r="G57" s="1" t="s">
        <v>290</v>
      </c>
      <c r="H57" s="1" t="s">
        <v>718</v>
      </c>
      <c r="I57" s="5">
        <v>42614</v>
      </c>
      <c r="J57" s="1" t="s">
        <v>841</v>
      </c>
      <c r="K57" s="4">
        <v>1</v>
      </c>
      <c r="L57" s="6">
        <v>7500</v>
      </c>
      <c r="M57" s="4">
        <v>1</v>
      </c>
      <c r="N57" s="6">
        <v>7500</v>
      </c>
      <c r="O57" s="1" t="s">
        <v>871</v>
      </c>
      <c r="P57" s="1" t="s">
        <v>480</v>
      </c>
      <c r="Q57" s="1" t="s">
        <v>788</v>
      </c>
      <c r="R57" s="6">
        <v>6607</v>
      </c>
      <c r="S57" s="6">
        <v>6607</v>
      </c>
      <c r="T57" s="6">
        <v>893</v>
      </c>
      <c r="U57" s="6">
        <v>0.11906666666666667</v>
      </c>
      <c r="V57" s="1" t="s">
        <v>615</v>
      </c>
      <c r="W57" s="1" t="s">
        <v>293</v>
      </c>
      <c r="X57" s="2"/>
      <c r="Y57" s="7">
        <v>42642.488490047224</v>
      </c>
      <c r="Z57" s="5">
        <v>42646</v>
      </c>
      <c r="AA57" s="5">
        <v>42647</v>
      </c>
      <c r="AB57" s="1" t="s">
        <v>844</v>
      </c>
      <c r="AC57" s="7">
        <v>42649.659934292213</v>
      </c>
      <c r="AD57" s="1" t="s">
        <v>49</v>
      </c>
      <c r="AE57" s="6">
        <v>6607</v>
      </c>
      <c r="AF57" s="7">
        <v>42735</v>
      </c>
      <c r="AG57" s="1" t="s">
        <v>867</v>
      </c>
      <c r="AH57" s="1" t="s">
        <v>294</v>
      </c>
    </row>
    <row r="58" spans="1:34" x14ac:dyDescent="0.25">
      <c r="A58" s="4">
        <v>63</v>
      </c>
      <c r="B58" s="2" t="str">
        <f>HYPERLINK("https://my.zakupki.prom.ua/remote/dispatcher/state_purchase_view/12576678", "UA-2019-08-19-000900-a")</f>
        <v>UA-2019-08-19-000900-a</v>
      </c>
      <c r="C58" s="1" t="s">
        <v>556</v>
      </c>
      <c r="D58" s="1" t="s">
        <v>392</v>
      </c>
      <c r="E58" s="1" t="s">
        <v>543</v>
      </c>
      <c r="F58" s="1" t="s">
        <v>560</v>
      </c>
      <c r="G58" s="1" t="s">
        <v>290</v>
      </c>
      <c r="H58" s="1" t="s">
        <v>715</v>
      </c>
      <c r="I58" s="5">
        <v>43696</v>
      </c>
      <c r="J58" s="7">
        <v>43705.645937499998</v>
      </c>
      <c r="K58" s="4">
        <v>3</v>
      </c>
      <c r="L58" s="6">
        <v>4500</v>
      </c>
      <c r="M58" s="4">
        <v>1</v>
      </c>
      <c r="N58" s="6">
        <v>4500</v>
      </c>
      <c r="O58" s="1" t="s">
        <v>850</v>
      </c>
      <c r="P58" s="1" t="s">
        <v>480</v>
      </c>
      <c r="Q58" s="1" t="s">
        <v>788</v>
      </c>
      <c r="R58" s="6">
        <v>3553</v>
      </c>
      <c r="S58" s="6">
        <v>3553</v>
      </c>
      <c r="T58" s="6">
        <v>947</v>
      </c>
      <c r="U58" s="6">
        <v>0.21044444444444443</v>
      </c>
      <c r="V58" s="1" t="s">
        <v>748</v>
      </c>
      <c r="W58" s="1" t="s">
        <v>329</v>
      </c>
      <c r="X58" s="2" t="str">
        <f>HYPERLINK("https://auction.openprocurement.org/tenders/fb473d053e1b48919be3268188572538")</f>
        <v>https://auction.openprocurement.org/tenders/fb473d053e1b48919be3268188572538</v>
      </c>
      <c r="Y58" s="7">
        <v>43711.46818295891</v>
      </c>
      <c r="Z58" s="5">
        <v>43713</v>
      </c>
      <c r="AA58" s="5">
        <v>43729</v>
      </c>
      <c r="AB58" s="1" t="s">
        <v>844</v>
      </c>
      <c r="AC58" s="7">
        <v>43724.593375849188</v>
      </c>
      <c r="AD58" s="1" t="s">
        <v>71</v>
      </c>
      <c r="AE58" s="6">
        <v>3554</v>
      </c>
      <c r="AF58" s="7">
        <v>43830</v>
      </c>
      <c r="AG58" s="1" t="s">
        <v>867</v>
      </c>
      <c r="AH58" s="1" t="s">
        <v>246</v>
      </c>
    </row>
    <row r="59" spans="1:34" hidden="1" x14ac:dyDescent="0.25">
      <c r="A59" s="4">
        <v>65</v>
      </c>
      <c r="B59" s="2" t="str">
        <f>HYPERLINK("https://my.zakupki.prom.ua/remote/dispatcher/state_purchase_view/15598404", "UA-2020-03-04-000768-a")</f>
        <v>UA-2020-03-04-000768-a</v>
      </c>
      <c r="C59" s="1" t="s">
        <v>829</v>
      </c>
      <c r="D59" s="1" t="s">
        <v>91</v>
      </c>
      <c r="E59" s="1" t="s">
        <v>543</v>
      </c>
      <c r="F59" s="1" t="s">
        <v>560</v>
      </c>
      <c r="G59" s="1" t="s">
        <v>290</v>
      </c>
      <c r="H59" s="1" t="s">
        <v>715</v>
      </c>
      <c r="I59" s="5">
        <v>43894</v>
      </c>
      <c r="J59" s="7">
        <v>43902.629386574074</v>
      </c>
      <c r="K59" s="4">
        <v>2</v>
      </c>
      <c r="L59" s="6">
        <v>8600</v>
      </c>
      <c r="M59" s="4">
        <v>1</v>
      </c>
      <c r="N59" s="6">
        <v>8600</v>
      </c>
      <c r="O59" s="1" t="s">
        <v>850</v>
      </c>
      <c r="P59" s="1" t="s">
        <v>480</v>
      </c>
      <c r="Q59" s="1" t="s">
        <v>788</v>
      </c>
      <c r="R59" s="6">
        <v>7366</v>
      </c>
      <c r="S59" s="6">
        <v>7366</v>
      </c>
      <c r="T59" s="6">
        <v>1234</v>
      </c>
      <c r="U59" s="6">
        <v>0.14348837209302326</v>
      </c>
      <c r="V59" s="1" t="s">
        <v>816</v>
      </c>
      <c r="W59" s="1" t="s">
        <v>112</v>
      </c>
      <c r="X59" s="2" t="str">
        <f>HYPERLINK("https://auction.openprocurement.org/tenders/a47b0da633da465686e41eb6edff48b5")</f>
        <v>https://auction.openprocurement.org/tenders/a47b0da633da465686e41eb6edff48b5</v>
      </c>
      <c r="Y59" s="7">
        <v>43921.751902579803</v>
      </c>
      <c r="Z59" s="5">
        <v>43923</v>
      </c>
      <c r="AA59" s="5">
        <v>43926</v>
      </c>
      <c r="AB59" s="1" t="s">
        <v>844</v>
      </c>
      <c r="AC59" s="7">
        <v>43931.730889458566</v>
      </c>
      <c r="AD59" s="1" t="s">
        <v>150</v>
      </c>
      <c r="AE59" s="6">
        <v>8400</v>
      </c>
      <c r="AF59" s="7">
        <v>44196</v>
      </c>
      <c r="AG59" s="1" t="s">
        <v>867</v>
      </c>
      <c r="AH59" s="1" t="s">
        <v>193</v>
      </c>
    </row>
    <row r="60" spans="1:34" hidden="1" x14ac:dyDescent="0.25">
      <c r="A60" s="4">
        <v>66</v>
      </c>
      <c r="B60" s="2" t="str">
        <f>HYPERLINK("https://my.zakupki.prom.ua/remote/dispatcher/state_purchase_view/16098725", "UA-2020-04-03-000859-b")</f>
        <v>UA-2020-04-03-000859-b</v>
      </c>
      <c r="C60" s="1" t="s">
        <v>498</v>
      </c>
      <c r="D60" s="1" t="s">
        <v>211</v>
      </c>
      <c r="E60" s="1" t="s">
        <v>543</v>
      </c>
      <c r="F60" s="1" t="s">
        <v>560</v>
      </c>
      <c r="G60" s="1" t="s">
        <v>290</v>
      </c>
      <c r="H60" s="1" t="s">
        <v>715</v>
      </c>
      <c r="I60" s="5">
        <v>43924</v>
      </c>
      <c r="J60" s="7">
        <v>43935.514872685184</v>
      </c>
      <c r="K60" s="4">
        <v>6</v>
      </c>
      <c r="L60" s="6">
        <v>20500</v>
      </c>
      <c r="M60" s="4">
        <v>1</v>
      </c>
      <c r="N60" s="6">
        <v>20500</v>
      </c>
      <c r="O60" s="1" t="s">
        <v>871</v>
      </c>
      <c r="P60" s="1" t="s">
        <v>480</v>
      </c>
      <c r="Q60" s="1" t="s">
        <v>788</v>
      </c>
      <c r="R60" s="6">
        <v>15750</v>
      </c>
      <c r="S60" s="6">
        <v>15750</v>
      </c>
      <c r="T60" s="6">
        <v>4750</v>
      </c>
      <c r="U60" s="6">
        <v>0.23170731707317074</v>
      </c>
      <c r="V60" s="1" t="s">
        <v>756</v>
      </c>
      <c r="W60" s="1" t="s">
        <v>76</v>
      </c>
      <c r="X60" s="2" t="str">
        <f>HYPERLINK("https://auction.openprocurement.org/tenders/0693bf03b5644293bed485c37fdac072")</f>
        <v>https://auction.openprocurement.org/tenders/0693bf03b5644293bed485c37fdac072</v>
      </c>
      <c r="Y60" s="7">
        <v>43936.698002448924</v>
      </c>
      <c r="Z60" s="5">
        <v>43938</v>
      </c>
      <c r="AA60" s="5">
        <v>43959</v>
      </c>
      <c r="AB60" s="1" t="s">
        <v>844</v>
      </c>
      <c r="AC60" s="7">
        <v>43951.477021777428</v>
      </c>
      <c r="AD60" s="1" t="s">
        <v>208</v>
      </c>
      <c r="AE60" s="6">
        <v>15750</v>
      </c>
      <c r="AF60" s="7">
        <v>44196</v>
      </c>
      <c r="AG60" s="1" t="s">
        <v>867</v>
      </c>
      <c r="AH60" s="1" t="s">
        <v>79</v>
      </c>
    </row>
    <row r="61" spans="1:34" hidden="1" x14ac:dyDescent="0.25">
      <c r="A61" s="4">
        <v>67</v>
      </c>
      <c r="B61" s="2" t="str">
        <f>HYPERLINK("https://my.zakupki.prom.ua/remote/dispatcher/state_purchase_view/18160919", "UA-2020-07-28-004063-c")</f>
        <v>UA-2020-07-28-004063-c</v>
      </c>
      <c r="C61" s="1" t="s">
        <v>646</v>
      </c>
      <c r="D61" s="1" t="s">
        <v>444</v>
      </c>
      <c r="E61" s="1" t="s">
        <v>552</v>
      </c>
      <c r="F61" s="1" t="s">
        <v>560</v>
      </c>
      <c r="G61" s="1" t="s">
        <v>290</v>
      </c>
      <c r="H61" s="1" t="s">
        <v>714</v>
      </c>
      <c r="I61" s="5">
        <v>44040</v>
      </c>
      <c r="J61" s="1" t="s">
        <v>840</v>
      </c>
      <c r="K61" s="4">
        <v>1</v>
      </c>
      <c r="L61" s="6">
        <v>166</v>
      </c>
      <c r="M61" s="4">
        <v>1</v>
      </c>
      <c r="N61" s="6">
        <v>166</v>
      </c>
      <c r="O61" s="1" t="s">
        <v>863</v>
      </c>
      <c r="P61" s="1" t="s">
        <v>480</v>
      </c>
      <c r="Q61" s="1" t="s">
        <v>788</v>
      </c>
      <c r="R61" s="6">
        <v>166</v>
      </c>
      <c r="S61" s="6">
        <v>166</v>
      </c>
      <c r="T61" s="1"/>
      <c r="U61" s="1"/>
      <c r="V61" s="1" t="s">
        <v>785</v>
      </c>
      <c r="W61" s="1" t="s">
        <v>280</v>
      </c>
      <c r="X61" s="2"/>
      <c r="Y61" s="1"/>
      <c r="Z61" s="1"/>
      <c r="AA61" s="1"/>
      <c r="AB61" s="1" t="s">
        <v>844</v>
      </c>
      <c r="AC61" s="7">
        <v>44040.521763884244</v>
      </c>
      <c r="AD61" s="1" t="s">
        <v>290</v>
      </c>
      <c r="AE61" s="6">
        <v>166</v>
      </c>
      <c r="AF61" s="7">
        <v>44196</v>
      </c>
      <c r="AG61" s="1" t="s">
        <v>867</v>
      </c>
      <c r="AH61" s="1" t="s">
        <v>7</v>
      </c>
    </row>
    <row r="62" spans="1:34" hidden="1" x14ac:dyDescent="0.25">
      <c r="A62" s="4">
        <v>68</v>
      </c>
      <c r="B62" s="2" t="str">
        <f>HYPERLINK("https://my.zakupki.prom.ua/remote/dispatcher/state_purchase_view/18136545", "UA-2020-07-27-003989-c")</f>
        <v>UA-2020-07-27-003989-c</v>
      </c>
      <c r="C62" s="1" t="s">
        <v>606</v>
      </c>
      <c r="D62" s="1" t="s">
        <v>424</v>
      </c>
      <c r="E62" s="1" t="s">
        <v>552</v>
      </c>
      <c r="F62" s="1" t="s">
        <v>560</v>
      </c>
      <c r="G62" s="1" t="s">
        <v>290</v>
      </c>
      <c r="H62" s="1" t="s">
        <v>714</v>
      </c>
      <c r="I62" s="5">
        <v>44039</v>
      </c>
      <c r="J62" s="1" t="s">
        <v>840</v>
      </c>
      <c r="K62" s="4">
        <v>1</v>
      </c>
      <c r="L62" s="6">
        <v>1911.89</v>
      </c>
      <c r="M62" s="4">
        <v>1</v>
      </c>
      <c r="N62" s="6">
        <v>1911.89</v>
      </c>
      <c r="O62" s="1" t="s">
        <v>863</v>
      </c>
      <c r="P62" s="1" t="s">
        <v>480</v>
      </c>
      <c r="Q62" s="1" t="s">
        <v>788</v>
      </c>
      <c r="R62" s="6">
        <v>1911.89</v>
      </c>
      <c r="S62" s="6">
        <v>1911.89</v>
      </c>
      <c r="T62" s="1"/>
      <c r="U62" s="1"/>
      <c r="V62" s="1" t="s">
        <v>563</v>
      </c>
      <c r="W62" s="1" t="s">
        <v>241</v>
      </c>
      <c r="X62" s="2"/>
      <c r="Y62" s="1"/>
      <c r="Z62" s="1"/>
      <c r="AA62" s="1"/>
      <c r="AB62" s="1" t="s">
        <v>844</v>
      </c>
      <c r="AC62" s="7">
        <v>44039.615067433551</v>
      </c>
      <c r="AD62" s="1" t="s">
        <v>163</v>
      </c>
      <c r="AE62" s="6">
        <v>1911.89</v>
      </c>
      <c r="AF62" s="7">
        <v>44196</v>
      </c>
      <c r="AG62" s="1" t="s">
        <v>867</v>
      </c>
      <c r="AH62" s="1" t="s">
        <v>7</v>
      </c>
    </row>
    <row r="63" spans="1:34" hidden="1" x14ac:dyDescent="0.25">
      <c r="A63" s="4">
        <v>69</v>
      </c>
      <c r="B63" s="2" t="str">
        <f>HYPERLINK("https://my.zakupki.prom.ua/remote/dispatcher/state_purchase_view/21693943", "UA-2020-12-03-003003-b")</f>
        <v>UA-2020-12-03-003003-b</v>
      </c>
      <c r="C63" s="1" t="s">
        <v>652</v>
      </c>
      <c r="D63" s="1" t="s">
        <v>402</v>
      </c>
      <c r="E63" s="1" t="s">
        <v>552</v>
      </c>
      <c r="F63" s="1" t="s">
        <v>560</v>
      </c>
      <c r="G63" s="1" t="s">
        <v>290</v>
      </c>
      <c r="H63" s="1" t="s">
        <v>714</v>
      </c>
      <c r="I63" s="5">
        <v>44168</v>
      </c>
      <c r="J63" s="1" t="s">
        <v>840</v>
      </c>
      <c r="K63" s="4">
        <v>1</v>
      </c>
      <c r="L63" s="6">
        <v>2998</v>
      </c>
      <c r="M63" s="4">
        <v>2</v>
      </c>
      <c r="N63" s="6">
        <v>1499</v>
      </c>
      <c r="O63" s="1" t="s">
        <v>863</v>
      </c>
      <c r="P63" s="1" t="s">
        <v>480</v>
      </c>
      <c r="Q63" s="1" t="s">
        <v>613</v>
      </c>
      <c r="R63" s="6">
        <v>2998</v>
      </c>
      <c r="S63" s="6">
        <v>1499</v>
      </c>
      <c r="T63" s="1"/>
      <c r="U63" s="1"/>
      <c r="V63" s="1" t="s">
        <v>591</v>
      </c>
      <c r="W63" s="1" t="s">
        <v>170</v>
      </c>
      <c r="X63" s="2"/>
      <c r="Y63" s="1"/>
      <c r="Z63" s="1"/>
      <c r="AA63" s="1"/>
      <c r="AB63" s="1" t="s">
        <v>844</v>
      </c>
      <c r="AC63" s="7">
        <v>44168.454299586097</v>
      </c>
      <c r="AD63" s="1" t="s">
        <v>417</v>
      </c>
      <c r="AE63" s="6">
        <v>2998</v>
      </c>
      <c r="AF63" s="7">
        <v>44196</v>
      </c>
      <c r="AG63" s="1" t="s">
        <v>867</v>
      </c>
      <c r="AH63" s="1" t="s">
        <v>7</v>
      </c>
    </row>
    <row r="64" spans="1:34" hidden="1" x14ac:dyDescent="0.25">
      <c r="A64" s="4">
        <v>70</v>
      </c>
      <c r="B64" s="2" t="str">
        <f>HYPERLINK("https://my.zakupki.prom.ua/remote/dispatcher/state_purchase_view/24234440", "UA-2021-02-22-000687-b")</f>
        <v>UA-2021-02-22-000687-b</v>
      </c>
      <c r="C64" s="1" t="s">
        <v>790</v>
      </c>
      <c r="D64" s="1" t="s">
        <v>440</v>
      </c>
      <c r="E64" s="1" t="s">
        <v>552</v>
      </c>
      <c r="F64" s="1" t="s">
        <v>560</v>
      </c>
      <c r="G64" s="1" t="s">
        <v>290</v>
      </c>
      <c r="H64" s="1" t="s">
        <v>492</v>
      </c>
      <c r="I64" s="5">
        <v>44249</v>
      </c>
      <c r="J64" s="1" t="s">
        <v>840</v>
      </c>
      <c r="K64" s="4">
        <v>1</v>
      </c>
      <c r="L64" s="6">
        <v>3780</v>
      </c>
      <c r="M64" s="4">
        <v>1</v>
      </c>
      <c r="N64" s="6">
        <v>3780</v>
      </c>
      <c r="O64" s="1" t="s">
        <v>863</v>
      </c>
      <c r="P64" s="1" t="s">
        <v>480</v>
      </c>
      <c r="Q64" s="1" t="s">
        <v>613</v>
      </c>
      <c r="R64" s="6">
        <v>3780</v>
      </c>
      <c r="S64" s="6">
        <v>3780</v>
      </c>
      <c r="T64" s="1"/>
      <c r="U64" s="1"/>
      <c r="V64" s="1" t="s">
        <v>783</v>
      </c>
      <c r="W64" s="1" t="s">
        <v>266</v>
      </c>
      <c r="X64" s="2"/>
      <c r="Y64" s="1"/>
      <c r="Z64" s="1"/>
      <c r="AA64" s="1"/>
      <c r="AB64" s="1" t="s">
        <v>844</v>
      </c>
      <c r="AC64" s="7">
        <v>44249.384251435622</v>
      </c>
      <c r="AD64" s="1" t="s">
        <v>128</v>
      </c>
      <c r="AE64" s="6">
        <v>3780</v>
      </c>
      <c r="AF64" s="7">
        <v>44561</v>
      </c>
      <c r="AG64" s="1" t="s">
        <v>867</v>
      </c>
      <c r="AH64" s="1" t="s">
        <v>7</v>
      </c>
    </row>
    <row r="65" spans="1:34" hidden="1" x14ac:dyDescent="0.25">
      <c r="A65" s="4">
        <v>71</v>
      </c>
      <c r="B65" s="2" t="str">
        <f>HYPERLINK("https://my.zakupki.prom.ua/remote/dispatcher/state_purchase_view/26165006", "UA-2021-04-26-007673-c")</f>
        <v>UA-2021-04-26-007673-c</v>
      </c>
      <c r="C65" s="1" t="s">
        <v>648</v>
      </c>
      <c r="D65" s="1" t="s">
        <v>421</v>
      </c>
      <c r="E65" s="1" t="s">
        <v>552</v>
      </c>
      <c r="F65" s="1" t="s">
        <v>560</v>
      </c>
      <c r="G65" s="1" t="s">
        <v>290</v>
      </c>
      <c r="H65" s="1" t="s">
        <v>492</v>
      </c>
      <c r="I65" s="5">
        <v>44312</v>
      </c>
      <c r="J65" s="1" t="s">
        <v>840</v>
      </c>
      <c r="K65" s="4">
        <v>1</v>
      </c>
      <c r="L65" s="6">
        <v>8508.91</v>
      </c>
      <c r="M65" s="4">
        <v>1</v>
      </c>
      <c r="N65" s="6">
        <v>8508.91</v>
      </c>
      <c r="O65" s="1" t="s">
        <v>863</v>
      </c>
      <c r="P65" s="1" t="s">
        <v>480</v>
      </c>
      <c r="Q65" s="1" t="s">
        <v>788</v>
      </c>
      <c r="R65" s="6">
        <v>8508.91</v>
      </c>
      <c r="S65" s="6">
        <v>8508.91</v>
      </c>
      <c r="T65" s="1"/>
      <c r="U65" s="1"/>
      <c r="V65" s="1" t="s">
        <v>768</v>
      </c>
      <c r="W65" s="1" t="s">
        <v>381</v>
      </c>
      <c r="X65" s="2"/>
      <c r="Y65" s="1"/>
      <c r="Z65" s="1"/>
      <c r="AA65" s="1"/>
      <c r="AB65" s="1" t="s">
        <v>844</v>
      </c>
      <c r="AC65" s="7">
        <v>44312.869187694967</v>
      </c>
      <c r="AD65" s="1" t="s">
        <v>94</v>
      </c>
      <c r="AE65" s="6">
        <v>8508.91</v>
      </c>
      <c r="AF65" s="7">
        <v>44561</v>
      </c>
      <c r="AG65" s="1" t="s">
        <v>867</v>
      </c>
      <c r="AH65" s="1" t="s">
        <v>7</v>
      </c>
    </row>
    <row r="66" spans="1:34" hidden="1" x14ac:dyDescent="0.25">
      <c r="A66" s="4">
        <v>72</v>
      </c>
      <c r="B66" s="2" t="str">
        <f>HYPERLINK("https://my.zakupki.prom.ua/remote/dispatcher/state_purchase_view/26298300", "UA-2021-05-04-000140-c")</f>
        <v>UA-2021-05-04-000140-c</v>
      </c>
      <c r="C66" s="1" t="s">
        <v>830</v>
      </c>
      <c r="D66" s="1" t="s">
        <v>370</v>
      </c>
      <c r="E66" s="1" t="s">
        <v>543</v>
      </c>
      <c r="F66" s="1" t="s">
        <v>560</v>
      </c>
      <c r="G66" s="1" t="s">
        <v>290</v>
      </c>
      <c r="H66" s="1" t="s">
        <v>492</v>
      </c>
      <c r="I66" s="5">
        <v>44320</v>
      </c>
      <c r="J66" s="7">
        <v>44330.530127314814</v>
      </c>
      <c r="K66" s="4">
        <v>0</v>
      </c>
      <c r="L66" s="6">
        <v>26000</v>
      </c>
      <c r="M66" s="4">
        <v>32</v>
      </c>
      <c r="N66" s="6">
        <v>812.5</v>
      </c>
      <c r="O66" s="1" t="s">
        <v>871</v>
      </c>
      <c r="P66" s="1" t="s">
        <v>480</v>
      </c>
      <c r="Q66" s="1" t="s">
        <v>788</v>
      </c>
      <c r="R66" s="1"/>
      <c r="S66" s="1"/>
      <c r="T66" s="1"/>
      <c r="U66" s="1"/>
      <c r="V66" s="1"/>
      <c r="W66" s="1"/>
      <c r="X66" s="2"/>
      <c r="Y66" s="1"/>
      <c r="Z66" s="1"/>
      <c r="AA66" s="1"/>
      <c r="AB66" s="1" t="s">
        <v>865</v>
      </c>
      <c r="AC66" s="1"/>
      <c r="AD66" s="1"/>
      <c r="AE66" s="1"/>
      <c r="AF66" s="1"/>
      <c r="AG66" s="1"/>
      <c r="AH66" s="1"/>
    </row>
    <row r="67" spans="1:34" hidden="1" x14ac:dyDescent="0.25">
      <c r="A67" s="4">
        <v>73</v>
      </c>
      <c r="B67" s="2" t="str">
        <f>HYPERLINK("https://my.zakupki.prom.ua/remote/dispatcher/state_purchase_view/26298292", "UA-2021-05-04-000137-c")</f>
        <v>UA-2021-05-04-000137-c</v>
      </c>
      <c r="C67" s="1" t="s">
        <v>502</v>
      </c>
      <c r="D67" s="1" t="s">
        <v>386</v>
      </c>
      <c r="E67" s="1" t="s">
        <v>543</v>
      </c>
      <c r="F67" s="1" t="s">
        <v>560</v>
      </c>
      <c r="G67" s="1" t="s">
        <v>290</v>
      </c>
      <c r="H67" s="1" t="s">
        <v>492</v>
      </c>
      <c r="I67" s="5">
        <v>44320</v>
      </c>
      <c r="J67" s="7">
        <v>44330.50854166667</v>
      </c>
      <c r="K67" s="4">
        <v>0</v>
      </c>
      <c r="L67" s="6">
        <v>26000</v>
      </c>
      <c r="M67" s="4">
        <v>743</v>
      </c>
      <c r="N67" s="6">
        <v>34.99</v>
      </c>
      <c r="O67" s="1" t="s">
        <v>871</v>
      </c>
      <c r="P67" s="1" t="s">
        <v>480</v>
      </c>
      <c r="Q67" s="1" t="s">
        <v>788</v>
      </c>
      <c r="R67" s="1"/>
      <c r="S67" s="1"/>
      <c r="T67" s="1"/>
      <c r="U67" s="1"/>
      <c r="V67" s="1"/>
      <c r="W67" s="1"/>
      <c r="X67" s="2"/>
      <c r="Y67" s="1"/>
      <c r="Z67" s="1"/>
      <c r="AA67" s="1"/>
      <c r="AB67" s="1" t="s">
        <v>865</v>
      </c>
      <c r="AC67" s="1"/>
      <c r="AD67" s="1"/>
      <c r="AE67" s="1"/>
      <c r="AF67" s="1"/>
      <c r="AG67" s="1"/>
      <c r="AH67" s="1"/>
    </row>
    <row r="68" spans="1:34" hidden="1" x14ac:dyDescent="0.25">
      <c r="A68" s="4">
        <v>74</v>
      </c>
      <c r="B68" s="2" t="str">
        <f>HYPERLINK("https://my.zakupki.prom.ua/remote/dispatcher/state_purchase_view/26298315", "UA-2021-05-04-000142-c")</f>
        <v>UA-2021-05-04-000142-c</v>
      </c>
      <c r="C68" s="1" t="s">
        <v>485</v>
      </c>
      <c r="D68" s="1" t="s">
        <v>284</v>
      </c>
      <c r="E68" s="1" t="s">
        <v>725</v>
      </c>
      <c r="F68" s="1" t="s">
        <v>560</v>
      </c>
      <c r="G68" s="1" t="s">
        <v>290</v>
      </c>
      <c r="H68" s="1" t="s">
        <v>492</v>
      </c>
      <c r="I68" s="5">
        <v>44320</v>
      </c>
      <c r="J68" s="7">
        <v>44330.588946759257</v>
      </c>
      <c r="K68" s="4">
        <v>0</v>
      </c>
      <c r="L68" s="6">
        <v>58000</v>
      </c>
      <c r="M68" s="4">
        <v>42</v>
      </c>
      <c r="N68" s="6">
        <v>1380.95</v>
      </c>
      <c r="O68" s="1" t="s">
        <v>871</v>
      </c>
      <c r="P68" s="1" t="s">
        <v>480</v>
      </c>
      <c r="Q68" s="1" t="s">
        <v>788</v>
      </c>
      <c r="R68" s="1"/>
      <c r="S68" s="1"/>
      <c r="T68" s="1"/>
      <c r="U68" s="1"/>
      <c r="V68" s="1"/>
      <c r="W68" s="1"/>
      <c r="X68" s="2"/>
      <c r="Y68" s="1"/>
      <c r="Z68" s="1"/>
      <c r="AA68" s="1"/>
      <c r="AB68" s="1" t="s">
        <v>865</v>
      </c>
      <c r="AC68" s="1"/>
      <c r="AD68" s="1"/>
      <c r="AE68" s="1"/>
      <c r="AF68" s="1"/>
      <c r="AG68" s="1"/>
      <c r="AH68" s="1"/>
    </row>
    <row r="69" spans="1:34" hidden="1" x14ac:dyDescent="0.25">
      <c r="A69" s="4">
        <v>75</v>
      </c>
      <c r="B69" s="2" t="str">
        <f>HYPERLINK("https://my.zakupki.prom.ua/remote/dispatcher/state_purchase_view/7804155", "UA-2018-07-24-001766-b")</f>
        <v>UA-2018-07-24-001766-b</v>
      </c>
      <c r="C69" s="1" t="s">
        <v>671</v>
      </c>
      <c r="D69" s="1" t="s">
        <v>441</v>
      </c>
      <c r="E69" s="1" t="s">
        <v>552</v>
      </c>
      <c r="F69" s="1" t="s">
        <v>560</v>
      </c>
      <c r="G69" s="1" t="s">
        <v>290</v>
      </c>
      <c r="H69" s="1" t="s">
        <v>717</v>
      </c>
      <c r="I69" s="5">
        <v>43305</v>
      </c>
      <c r="J69" s="1" t="s">
        <v>840</v>
      </c>
      <c r="K69" s="4">
        <v>1</v>
      </c>
      <c r="L69" s="6">
        <v>900</v>
      </c>
      <c r="M69" s="4">
        <v>1</v>
      </c>
      <c r="N69" s="6">
        <v>900</v>
      </c>
      <c r="O69" s="1" t="s">
        <v>863</v>
      </c>
      <c r="P69" s="1" t="s">
        <v>480</v>
      </c>
      <c r="Q69" s="1" t="s">
        <v>613</v>
      </c>
      <c r="R69" s="6">
        <v>900</v>
      </c>
      <c r="S69" s="6">
        <v>900</v>
      </c>
      <c r="T69" s="1"/>
      <c r="U69" s="1"/>
      <c r="V69" s="1" t="s">
        <v>594</v>
      </c>
      <c r="W69" s="1" t="s">
        <v>160</v>
      </c>
      <c r="X69" s="2"/>
      <c r="Y69" s="1"/>
      <c r="Z69" s="1"/>
      <c r="AA69" s="1"/>
      <c r="AB69" s="1" t="s">
        <v>844</v>
      </c>
      <c r="AC69" s="7">
        <v>43305.677413532103</v>
      </c>
      <c r="AD69" s="1" t="s">
        <v>587</v>
      </c>
      <c r="AE69" s="6">
        <v>900</v>
      </c>
      <c r="AF69" s="7">
        <v>43465</v>
      </c>
      <c r="AG69" s="1" t="s">
        <v>867</v>
      </c>
      <c r="AH69" s="1" t="s">
        <v>7</v>
      </c>
    </row>
    <row r="70" spans="1:34" hidden="1" x14ac:dyDescent="0.25">
      <c r="A70" s="4">
        <v>76</v>
      </c>
      <c r="B70" s="2" t="str">
        <f>HYPERLINK("https://my.zakupki.prom.ua/remote/dispatcher/state_purchase_view/7836951", "UA-2018-07-27-000857-b")</f>
        <v>UA-2018-07-27-000857-b</v>
      </c>
      <c r="C70" s="1" t="s">
        <v>600</v>
      </c>
      <c r="D70" s="1" t="s">
        <v>90</v>
      </c>
      <c r="E70" s="1" t="s">
        <v>543</v>
      </c>
      <c r="F70" s="1" t="s">
        <v>560</v>
      </c>
      <c r="G70" s="1" t="s">
        <v>290</v>
      </c>
      <c r="H70" s="1" t="s">
        <v>717</v>
      </c>
      <c r="I70" s="5">
        <v>43308</v>
      </c>
      <c r="J70" s="7">
        <v>43318.600856481484</v>
      </c>
      <c r="K70" s="4">
        <v>7</v>
      </c>
      <c r="L70" s="6">
        <v>12306</v>
      </c>
      <c r="M70" s="4">
        <v>2</v>
      </c>
      <c r="N70" s="6">
        <v>6153</v>
      </c>
      <c r="O70" s="1" t="s">
        <v>870</v>
      </c>
      <c r="P70" s="1" t="s">
        <v>480</v>
      </c>
      <c r="Q70" s="1" t="s">
        <v>788</v>
      </c>
      <c r="R70" s="6">
        <v>9400</v>
      </c>
      <c r="S70" s="6">
        <v>4700</v>
      </c>
      <c r="T70" s="6">
        <v>2906</v>
      </c>
      <c r="U70" s="6">
        <v>0.23614496993336584</v>
      </c>
      <c r="V70" s="1" t="s">
        <v>801</v>
      </c>
      <c r="W70" s="1" t="s">
        <v>148</v>
      </c>
      <c r="X70" s="2" t="str">
        <f>HYPERLINK("https://auction.openprocurement.org/tenders/29c9e1b69efc4897afa203607c263a31")</f>
        <v>https://auction.openprocurement.org/tenders/29c9e1b69efc4897afa203607c263a31</v>
      </c>
      <c r="Y70" s="7">
        <v>43319.453310490797</v>
      </c>
      <c r="Z70" s="5">
        <v>43321</v>
      </c>
      <c r="AA70" s="5">
        <v>43341</v>
      </c>
      <c r="AB70" s="1" t="s">
        <v>844</v>
      </c>
      <c r="AC70" s="7">
        <v>43333.412433803831</v>
      </c>
      <c r="AD70" s="1" t="s">
        <v>52</v>
      </c>
      <c r="AE70" s="6">
        <v>9400</v>
      </c>
      <c r="AF70" s="7">
        <v>43465</v>
      </c>
      <c r="AG70" s="1" t="s">
        <v>867</v>
      </c>
      <c r="AH70" s="1" t="s">
        <v>149</v>
      </c>
    </row>
    <row r="71" spans="1:34" hidden="1" x14ac:dyDescent="0.25">
      <c r="A71" s="4">
        <v>77</v>
      </c>
      <c r="B71" s="2" t="str">
        <f>HYPERLINK("https://my.zakupki.prom.ua/remote/dispatcher/state_purchase_view/7423119", "UA-2018-06-13-000908-a")</f>
        <v>UA-2018-06-13-000908-a</v>
      </c>
      <c r="C71" s="1" t="s">
        <v>565</v>
      </c>
      <c r="D71" s="1" t="s">
        <v>195</v>
      </c>
      <c r="E71" s="1" t="s">
        <v>543</v>
      </c>
      <c r="F71" s="1" t="s">
        <v>560</v>
      </c>
      <c r="G71" s="1" t="s">
        <v>290</v>
      </c>
      <c r="H71" s="1" t="s">
        <v>717</v>
      </c>
      <c r="I71" s="5">
        <v>43264</v>
      </c>
      <c r="J71" s="7">
        <v>43272.601030092592</v>
      </c>
      <c r="K71" s="4">
        <v>5</v>
      </c>
      <c r="L71" s="6">
        <v>6505</v>
      </c>
      <c r="M71" s="4">
        <v>1</v>
      </c>
      <c r="N71" s="6">
        <v>6505</v>
      </c>
      <c r="O71" s="1" t="s">
        <v>846</v>
      </c>
      <c r="P71" s="1" t="s">
        <v>480</v>
      </c>
      <c r="Q71" s="1" t="s">
        <v>788</v>
      </c>
      <c r="R71" s="6">
        <v>5499.92</v>
      </c>
      <c r="S71" s="6">
        <v>5499.92</v>
      </c>
      <c r="T71" s="6">
        <v>1005.0799999999999</v>
      </c>
      <c r="U71" s="6">
        <v>0.15450883935434281</v>
      </c>
      <c r="V71" s="1" t="s">
        <v>732</v>
      </c>
      <c r="W71" s="1" t="s">
        <v>323</v>
      </c>
      <c r="X71" s="2" t="str">
        <f>HYPERLINK("https://auction.openprocurement.org/tenders/3fc46df5e0b04e1f988741c504ab636c")</f>
        <v>https://auction.openprocurement.org/tenders/3fc46df5e0b04e1f988741c504ab636c</v>
      </c>
      <c r="Y71" s="7">
        <v>43272.706002690116</v>
      </c>
      <c r="Z71" s="5">
        <v>43276</v>
      </c>
      <c r="AA71" s="5">
        <v>43299</v>
      </c>
      <c r="AB71" s="1" t="s">
        <v>844</v>
      </c>
      <c r="AC71" s="7">
        <v>43319.635378552295</v>
      </c>
      <c r="AD71" s="1" t="s">
        <v>43</v>
      </c>
      <c r="AE71" s="6">
        <v>5499.92</v>
      </c>
      <c r="AF71" s="7">
        <v>43465</v>
      </c>
      <c r="AG71" s="1" t="s">
        <v>867</v>
      </c>
      <c r="AH71" s="1" t="s">
        <v>324</v>
      </c>
    </row>
    <row r="72" spans="1:34" hidden="1" x14ac:dyDescent="0.25">
      <c r="A72" s="4">
        <v>78</v>
      </c>
      <c r="B72" s="2" t="str">
        <f>HYPERLINK("https://my.zakupki.prom.ua/remote/dispatcher/state_purchase_view/8728310", "UA-2018-11-01-000546-b")</f>
        <v>UA-2018-11-01-000546-b</v>
      </c>
      <c r="C72" s="1" t="s">
        <v>864</v>
      </c>
      <c r="D72" s="1" t="s">
        <v>470</v>
      </c>
      <c r="E72" s="1" t="s">
        <v>543</v>
      </c>
      <c r="F72" s="1" t="s">
        <v>560</v>
      </c>
      <c r="G72" s="1" t="s">
        <v>290</v>
      </c>
      <c r="H72" s="1" t="s">
        <v>717</v>
      </c>
      <c r="I72" s="5">
        <v>43405</v>
      </c>
      <c r="J72" s="7">
        <v>43416.647893518515</v>
      </c>
      <c r="K72" s="4">
        <v>2</v>
      </c>
      <c r="L72" s="6">
        <v>70000</v>
      </c>
      <c r="M72" s="4">
        <v>1</v>
      </c>
      <c r="N72" s="6">
        <v>70000</v>
      </c>
      <c r="O72" s="1" t="s">
        <v>863</v>
      </c>
      <c r="P72" s="1" t="s">
        <v>480</v>
      </c>
      <c r="Q72" s="1" t="s">
        <v>788</v>
      </c>
      <c r="R72" s="6">
        <v>64994.31</v>
      </c>
      <c r="S72" s="6">
        <v>64994.31</v>
      </c>
      <c r="T72" s="6">
        <v>5005.6900000000023</v>
      </c>
      <c r="U72" s="6">
        <v>7.1509857142857181E-2</v>
      </c>
      <c r="V72" s="1" t="s">
        <v>755</v>
      </c>
      <c r="W72" s="1" t="s">
        <v>263</v>
      </c>
      <c r="X72" s="2" t="str">
        <f>HYPERLINK("https://auction.openprocurement.org/tenders/20292053c2934bdc9a25d54e85916fcc")</f>
        <v>https://auction.openprocurement.org/tenders/20292053c2934bdc9a25d54e85916fcc</v>
      </c>
      <c r="Y72" s="7">
        <v>43416.69049328487</v>
      </c>
      <c r="Z72" s="5">
        <v>43418</v>
      </c>
      <c r="AA72" s="5">
        <v>43440</v>
      </c>
      <c r="AB72" s="1" t="s">
        <v>844</v>
      </c>
      <c r="AC72" s="7">
        <v>43430.598644862555</v>
      </c>
      <c r="AD72" s="1" t="s">
        <v>44</v>
      </c>
      <c r="AE72" s="6">
        <v>64994.31</v>
      </c>
      <c r="AF72" s="7">
        <v>43465</v>
      </c>
      <c r="AG72" s="1" t="s">
        <v>867</v>
      </c>
      <c r="AH72" s="1" t="s">
        <v>264</v>
      </c>
    </row>
    <row r="73" spans="1:34" x14ac:dyDescent="0.25">
      <c r="A73" s="4">
        <v>79</v>
      </c>
      <c r="B73" s="2" t="str">
        <f>HYPERLINK("https://my.zakupki.prom.ua/remote/dispatcher/state_purchase_view/13604293", "UA-2019-11-18-001205-b")</f>
        <v>UA-2019-11-18-001205-b</v>
      </c>
      <c r="C73" s="1" t="s">
        <v>721</v>
      </c>
      <c r="D73" s="1" t="s">
        <v>89</v>
      </c>
      <c r="E73" s="1" t="s">
        <v>543</v>
      </c>
      <c r="F73" s="1" t="s">
        <v>560</v>
      </c>
      <c r="G73" s="1" t="s">
        <v>290</v>
      </c>
      <c r="H73" s="1" t="s">
        <v>715</v>
      </c>
      <c r="I73" s="5">
        <v>43787</v>
      </c>
      <c r="J73" s="1" t="s">
        <v>841</v>
      </c>
      <c r="K73" s="4">
        <v>1</v>
      </c>
      <c r="L73" s="6">
        <v>150750</v>
      </c>
      <c r="M73" s="4">
        <v>2</v>
      </c>
      <c r="N73" s="6">
        <v>75375</v>
      </c>
      <c r="O73" s="1" t="s">
        <v>870</v>
      </c>
      <c r="P73" s="1" t="s">
        <v>480</v>
      </c>
      <c r="Q73" s="1" t="s">
        <v>788</v>
      </c>
      <c r="R73" s="6">
        <v>150000</v>
      </c>
      <c r="S73" s="6">
        <v>75000</v>
      </c>
      <c r="T73" s="6">
        <v>750</v>
      </c>
      <c r="U73" s="6">
        <v>4.9751243781094526E-3</v>
      </c>
      <c r="V73" s="1" t="s">
        <v>756</v>
      </c>
      <c r="W73" s="1" t="s">
        <v>76</v>
      </c>
      <c r="X73" s="2"/>
      <c r="Y73" s="7">
        <v>43796.506509404222</v>
      </c>
      <c r="Z73" s="5">
        <v>43798</v>
      </c>
      <c r="AA73" s="5">
        <v>43820</v>
      </c>
      <c r="AB73" s="1" t="s">
        <v>844</v>
      </c>
      <c r="AC73" s="7">
        <v>43802.47533487741</v>
      </c>
      <c r="AD73" s="1" t="s">
        <v>130</v>
      </c>
      <c r="AE73" s="6">
        <v>150000</v>
      </c>
      <c r="AF73" s="7">
        <v>43830</v>
      </c>
      <c r="AG73" s="1" t="s">
        <v>867</v>
      </c>
      <c r="AH73" s="1" t="s">
        <v>77</v>
      </c>
    </row>
    <row r="74" spans="1:34" hidden="1" x14ac:dyDescent="0.25">
      <c r="A74" s="4">
        <v>82</v>
      </c>
      <c r="B74" s="2" t="str">
        <f>HYPERLINK("https://my.zakupki.prom.ua/remote/dispatcher/state_purchase_view/15182025", "UA-2020-02-10-000389-b")</f>
        <v>UA-2020-02-10-000389-b</v>
      </c>
      <c r="C74" s="1" t="s">
        <v>669</v>
      </c>
      <c r="D74" s="1" t="s">
        <v>470</v>
      </c>
      <c r="E74" s="1" t="s">
        <v>552</v>
      </c>
      <c r="F74" s="1" t="s">
        <v>560</v>
      </c>
      <c r="G74" s="1" t="s">
        <v>290</v>
      </c>
      <c r="H74" s="1" t="s">
        <v>715</v>
      </c>
      <c r="I74" s="5">
        <v>43871</v>
      </c>
      <c r="J74" s="1" t="s">
        <v>840</v>
      </c>
      <c r="K74" s="4">
        <v>1</v>
      </c>
      <c r="L74" s="6">
        <v>197805.2</v>
      </c>
      <c r="M74" s="4">
        <v>1</v>
      </c>
      <c r="N74" s="6">
        <v>197805.2</v>
      </c>
      <c r="O74" s="1" t="s">
        <v>863</v>
      </c>
      <c r="P74" s="1" t="s">
        <v>480</v>
      </c>
      <c r="Q74" s="1" t="s">
        <v>788</v>
      </c>
      <c r="R74" s="6">
        <v>197805.2</v>
      </c>
      <c r="S74" s="6">
        <v>197805.2</v>
      </c>
      <c r="T74" s="1"/>
      <c r="U74" s="1"/>
      <c r="V74" s="1" t="s">
        <v>562</v>
      </c>
      <c r="W74" s="1" t="s">
        <v>233</v>
      </c>
      <c r="X74" s="2"/>
      <c r="Y74" s="1"/>
      <c r="Z74" s="1"/>
      <c r="AA74" s="1"/>
      <c r="AB74" s="1" t="s">
        <v>844</v>
      </c>
      <c r="AC74" s="7">
        <v>43871.426035663215</v>
      </c>
      <c r="AD74" s="1" t="s">
        <v>588</v>
      </c>
      <c r="AE74" s="6">
        <v>197805.2</v>
      </c>
      <c r="AF74" s="7">
        <v>43890</v>
      </c>
      <c r="AG74" s="1" t="s">
        <v>867</v>
      </c>
      <c r="AH74" s="1" t="s">
        <v>7</v>
      </c>
    </row>
    <row r="75" spans="1:34" x14ac:dyDescent="0.25">
      <c r="A75" s="4">
        <v>83</v>
      </c>
      <c r="B75" s="2" t="str">
        <f>HYPERLINK("https://my.zakupki.prom.ua/remote/dispatcher/state_purchase_view/12261578", "UA-2019-07-17-001517-b")</f>
        <v>UA-2019-07-17-001517-b</v>
      </c>
      <c r="C75" s="1" t="s">
        <v>707</v>
      </c>
      <c r="D75" s="1" t="s">
        <v>257</v>
      </c>
      <c r="E75" s="1" t="s">
        <v>552</v>
      </c>
      <c r="F75" s="1" t="s">
        <v>560</v>
      </c>
      <c r="G75" s="1" t="s">
        <v>290</v>
      </c>
      <c r="H75" s="1" t="s">
        <v>717</v>
      </c>
      <c r="I75" s="5">
        <v>43663</v>
      </c>
      <c r="J75" s="1" t="s">
        <v>840</v>
      </c>
      <c r="K75" s="4">
        <v>1</v>
      </c>
      <c r="L75" s="6">
        <v>7587.7</v>
      </c>
      <c r="M75" s="4">
        <v>10</v>
      </c>
      <c r="N75" s="6">
        <v>758.77</v>
      </c>
      <c r="O75" s="1" t="s">
        <v>870</v>
      </c>
      <c r="P75" s="1" t="s">
        <v>480</v>
      </c>
      <c r="Q75" s="1" t="s">
        <v>613</v>
      </c>
      <c r="R75" s="6">
        <v>7587.7</v>
      </c>
      <c r="S75" s="6">
        <v>758.77</v>
      </c>
      <c r="T75" s="1"/>
      <c r="U75" s="1"/>
      <c r="V75" s="1" t="s">
        <v>524</v>
      </c>
      <c r="W75" s="1" t="s">
        <v>261</v>
      </c>
      <c r="X75" s="2"/>
      <c r="Y75" s="1"/>
      <c r="Z75" s="1"/>
      <c r="AA75" s="1"/>
      <c r="AB75" s="1" t="s">
        <v>844</v>
      </c>
      <c r="AC75" s="7">
        <v>43663.643221185594</v>
      </c>
      <c r="AD75" s="1" t="s">
        <v>51</v>
      </c>
      <c r="AE75" s="6">
        <v>7587.7</v>
      </c>
      <c r="AF75" s="7">
        <v>43830</v>
      </c>
      <c r="AG75" s="1" t="s">
        <v>867</v>
      </c>
      <c r="AH75" s="1" t="s">
        <v>7</v>
      </c>
    </row>
    <row r="76" spans="1:34" x14ac:dyDescent="0.25">
      <c r="A76" s="4">
        <v>84</v>
      </c>
      <c r="B76" s="2" t="str">
        <f>HYPERLINK("https://my.zakupki.prom.ua/remote/dispatcher/state_purchase_view/12604947", "UA-2019-08-21-001265-c")</f>
        <v>UA-2019-08-21-001265-c</v>
      </c>
      <c r="C76" s="1" t="s">
        <v>572</v>
      </c>
      <c r="D76" s="1" t="s">
        <v>327</v>
      </c>
      <c r="E76" s="1" t="s">
        <v>552</v>
      </c>
      <c r="F76" s="1" t="s">
        <v>560</v>
      </c>
      <c r="G76" s="1" t="s">
        <v>290</v>
      </c>
      <c r="H76" s="1" t="s">
        <v>715</v>
      </c>
      <c r="I76" s="5">
        <v>43698</v>
      </c>
      <c r="J76" s="1" t="s">
        <v>840</v>
      </c>
      <c r="K76" s="4">
        <v>1</v>
      </c>
      <c r="L76" s="6">
        <v>33000</v>
      </c>
      <c r="M76" s="4">
        <v>2</v>
      </c>
      <c r="N76" s="6">
        <v>16500</v>
      </c>
      <c r="O76" s="1" t="s">
        <v>870</v>
      </c>
      <c r="P76" s="1" t="s">
        <v>480</v>
      </c>
      <c r="Q76" s="1" t="s">
        <v>613</v>
      </c>
      <c r="R76" s="6">
        <v>33000</v>
      </c>
      <c r="S76" s="6">
        <v>16500</v>
      </c>
      <c r="T76" s="1"/>
      <c r="U76" s="1"/>
      <c r="V76" s="1" t="s">
        <v>811</v>
      </c>
      <c r="W76" s="1" t="s">
        <v>159</v>
      </c>
      <c r="X76" s="2"/>
      <c r="Y76" s="1"/>
      <c r="Z76" s="1"/>
      <c r="AA76" s="1"/>
      <c r="AB76" s="1" t="s">
        <v>844</v>
      </c>
      <c r="AC76" s="7">
        <v>43698.512278554685</v>
      </c>
      <c r="AD76" s="1" t="s">
        <v>36</v>
      </c>
      <c r="AE76" s="6">
        <v>33000</v>
      </c>
      <c r="AF76" s="7">
        <v>43830</v>
      </c>
      <c r="AG76" s="1" t="s">
        <v>867</v>
      </c>
      <c r="AH76" s="1" t="s">
        <v>7</v>
      </c>
    </row>
    <row r="77" spans="1:34" x14ac:dyDescent="0.25">
      <c r="A77" s="4">
        <v>85</v>
      </c>
      <c r="B77" s="2" t="str">
        <f>HYPERLINK("https://my.zakupki.prom.ua/remote/dispatcher/state_purchase_view/13197887", "UA-2019-10-16-003151-b")</f>
        <v>UA-2019-10-16-003151-b</v>
      </c>
      <c r="C77" s="1" t="s">
        <v>675</v>
      </c>
      <c r="D77" s="1" t="s">
        <v>449</v>
      </c>
      <c r="E77" s="1" t="s">
        <v>552</v>
      </c>
      <c r="F77" s="1" t="s">
        <v>560</v>
      </c>
      <c r="G77" s="1" t="s">
        <v>290</v>
      </c>
      <c r="H77" s="1" t="s">
        <v>715</v>
      </c>
      <c r="I77" s="5">
        <v>43754</v>
      </c>
      <c r="J77" s="1" t="s">
        <v>840</v>
      </c>
      <c r="K77" s="4">
        <v>1</v>
      </c>
      <c r="L77" s="6">
        <v>7139.95</v>
      </c>
      <c r="M77" s="4">
        <v>12</v>
      </c>
      <c r="N77" s="6">
        <v>595</v>
      </c>
      <c r="O77" s="1" t="s">
        <v>843</v>
      </c>
      <c r="P77" s="1" t="s">
        <v>480</v>
      </c>
      <c r="Q77" s="1" t="s">
        <v>788</v>
      </c>
      <c r="R77" s="6">
        <v>7139.95</v>
      </c>
      <c r="S77" s="6">
        <v>594.99583333333328</v>
      </c>
      <c r="T77" s="1"/>
      <c r="U77" s="1"/>
      <c r="V77" s="1" t="s">
        <v>563</v>
      </c>
      <c r="W77" s="1" t="s">
        <v>241</v>
      </c>
      <c r="X77" s="2"/>
      <c r="Y77" s="1"/>
      <c r="Z77" s="1"/>
      <c r="AA77" s="1"/>
      <c r="AB77" s="1" t="s">
        <v>844</v>
      </c>
      <c r="AC77" s="7">
        <v>43754.670991188701</v>
      </c>
      <c r="AD77" s="1" t="s">
        <v>88</v>
      </c>
      <c r="AE77" s="6">
        <v>7139.95</v>
      </c>
      <c r="AF77" s="7">
        <v>43830</v>
      </c>
      <c r="AG77" s="1" t="s">
        <v>867</v>
      </c>
      <c r="AH77" s="1" t="s">
        <v>7</v>
      </c>
    </row>
    <row r="78" spans="1:34" x14ac:dyDescent="0.25">
      <c r="A78" s="4">
        <v>86</v>
      </c>
      <c r="B78" s="2" t="str">
        <f>HYPERLINK("https://my.zakupki.prom.ua/remote/dispatcher/state_purchase_view/10406630", "UA-2019-02-06-000440-b")</f>
        <v>UA-2019-02-06-000440-b</v>
      </c>
      <c r="C78" s="1" t="s">
        <v>672</v>
      </c>
      <c r="D78" s="1" t="s">
        <v>441</v>
      </c>
      <c r="E78" s="1" t="s">
        <v>552</v>
      </c>
      <c r="F78" s="1" t="s">
        <v>560</v>
      </c>
      <c r="G78" s="1" t="s">
        <v>290</v>
      </c>
      <c r="H78" s="1" t="s">
        <v>717</v>
      </c>
      <c r="I78" s="5">
        <v>43502</v>
      </c>
      <c r="J78" s="1" t="s">
        <v>840</v>
      </c>
      <c r="K78" s="4">
        <v>1</v>
      </c>
      <c r="L78" s="6">
        <v>3600</v>
      </c>
      <c r="M78" s="4">
        <v>1</v>
      </c>
      <c r="N78" s="6">
        <v>3600</v>
      </c>
      <c r="O78" s="1" t="s">
        <v>863</v>
      </c>
      <c r="P78" s="1" t="s">
        <v>480</v>
      </c>
      <c r="Q78" s="1" t="s">
        <v>613</v>
      </c>
      <c r="R78" s="6">
        <v>3600</v>
      </c>
      <c r="S78" s="6">
        <v>3600</v>
      </c>
      <c r="T78" s="1"/>
      <c r="U78" s="1"/>
      <c r="V78" s="1" t="s">
        <v>783</v>
      </c>
      <c r="W78" s="1" t="s">
        <v>266</v>
      </c>
      <c r="X78" s="2"/>
      <c r="Y78" s="1"/>
      <c r="Z78" s="1"/>
      <c r="AA78" s="1"/>
      <c r="AB78" s="1" t="s">
        <v>844</v>
      </c>
      <c r="AC78" s="7">
        <v>43502.446823312937</v>
      </c>
      <c r="AD78" s="1" t="s">
        <v>115</v>
      </c>
      <c r="AE78" s="6">
        <v>3600</v>
      </c>
      <c r="AF78" s="7">
        <v>43830</v>
      </c>
      <c r="AG78" s="1" t="s">
        <v>867</v>
      </c>
      <c r="AH78" s="1" t="s">
        <v>7</v>
      </c>
    </row>
    <row r="79" spans="1:34" x14ac:dyDescent="0.25">
      <c r="A79" s="4">
        <v>88</v>
      </c>
      <c r="B79" s="2" t="str">
        <f>HYPERLINK("https://my.zakupki.prom.ua/remote/dispatcher/state_purchase_view/11176507", "UA-2019-04-04-000233-a")</f>
        <v>UA-2019-04-04-000233-a</v>
      </c>
      <c r="C79" s="1" t="s">
        <v>700</v>
      </c>
      <c r="D79" s="1" t="s">
        <v>436</v>
      </c>
      <c r="E79" s="1" t="s">
        <v>543</v>
      </c>
      <c r="F79" s="1" t="s">
        <v>560</v>
      </c>
      <c r="G79" s="1" t="s">
        <v>290</v>
      </c>
      <c r="H79" s="1" t="s">
        <v>717</v>
      </c>
      <c r="I79" s="5">
        <v>43559</v>
      </c>
      <c r="J79" s="1" t="s">
        <v>841</v>
      </c>
      <c r="K79" s="4">
        <v>1</v>
      </c>
      <c r="L79" s="6">
        <v>192500</v>
      </c>
      <c r="M79" s="4">
        <v>1</v>
      </c>
      <c r="N79" s="6">
        <v>192500</v>
      </c>
      <c r="O79" s="1" t="s">
        <v>863</v>
      </c>
      <c r="P79" s="1" t="s">
        <v>480</v>
      </c>
      <c r="Q79" s="1" t="s">
        <v>788</v>
      </c>
      <c r="R79" s="6">
        <v>180000</v>
      </c>
      <c r="S79" s="6">
        <v>180000</v>
      </c>
      <c r="T79" s="6">
        <v>12500</v>
      </c>
      <c r="U79" s="6">
        <v>6.4935064935064929E-2</v>
      </c>
      <c r="V79" s="1" t="s">
        <v>733</v>
      </c>
      <c r="W79" s="1" t="s">
        <v>277</v>
      </c>
      <c r="X79" s="2"/>
      <c r="Y79" s="7">
        <v>43566.469607669052</v>
      </c>
      <c r="Z79" s="5">
        <v>43570</v>
      </c>
      <c r="AA79" s="5">
        <v>43594</v>
      </c>
      <c r="AB79" s="1" t="s">
        <v>844</v>
      </c>
      <c r="AC79" s="7">
        <v>43599.706198131978</v>
      </c>
      <c r="AD79" s="1" t="s">
        <v>95</v>
      </c>
      <c r="AE79" s="6">
        <v>180000</v>
      </c>
      <c r="AF79" s="7">
        <v>43830</v>
      </c>
      <c r="AG79" s="1" t="s">
        <v>867</v>
      </c>
      <c r="AH79" s="1" t="s">
        <v>278</v>
      </c>
    </row>
    <row r="80" spans="1:34" x14ac:dyDescent="0.25">
      <c r="A80" s="4">
        <v>89</v>
      </c>
      <c r="B80" s="2" t="str">
        <f>HYPERLINK("https://my.zakupki.prom.ua/remote/dispatcher/state_purchase_view/12016046", "UA-2019-06-24-000035-a")</f>
        <v>UA-2019-06-24-000035-a</v>
      </c>
      <c r="C80" s="1" t="s">
        <v>716</v>
      </c>
      <c r="D80" s="1" t="s">
        <v>391</v>
      </c>
      <c r="E80" s="1" t="s">
        <v>543</v>
      </c>
      <c r="F80" s="1" t="s">
        <v>560</v>
      </c>
      <c r="G80" s="1" t="s">
        <v>290</v>
      </c>
      <c r="H80" s="1" t="s">
        <v>717</v>
      </c>
      <c r="I80" s="5">
        <v>43640</v>
      </c>
      <c r="J80" s="7">
        <v>43643.63386574074</v>
      </c>
      <c r="K80" s="4">
        <v>3</v>
      </c>
      <c r="L80" s="6">
        <v>5000</v>
      </c>
      <c r="M80" s="4">
        <v>1</v>
      </c>
      <c r="N80" s="6">
        <v>5000</v>
      </c>
      <c r="O80" s="1" t="s">
        <v>870</v>
      </c>
      <c r="P80" s="1" t="s">
        <v>480</v>
      </c>
      <c r="Q80" s="1" t="s">
        <v>788</v>
      </c>
      <c r="R80" s="6">
        <v>3050</v>
      </c>
      <c r="S80" s="6">
        <v>3050</v>
      </c>
      <c r="T80" s="6">
        <v>1950</v>
      </c>
      <c r="U80" s="6">
        <v>0.39</v>
      </c>
      <c r="V80" s="1" t="s">
        <v>818</v>
      </c>
      <c r="W80" s="1" t="s">
        <v>215</v>
      </c>
      <c r="X80" s="2" t="str">
        <f>HYPERLINK("https://auction.openprocurement.org/tenders/5aea376a55c04ef28ed129abd0e27bd8")</f>
        <v>https://auction.openprocurement.org/tenders/5aea376a55c04ef28ed129abd0e27bd8</v>
      </c>
      <c r="Y80" s="7">
        <v>43643.680284258138</v>
      </c>
      <c r="Z80" s="5">
        <v>43648</v>
      </c>
      <c r="AA80" s="5">
        <v>43671</v>
      </c>
      <c r="AB80" s="1" t="s">
        <v>844</v>
      </c>
      <c r="AC80" s="7">
        <v>43677.33098053241</v>
      </c>
      <c r="AD80" s="1" t="s">
        <v>156</v>
      </c>
      <c r="AE80" s="6">
        <v>3077</v>
      </c>
      <c r="AF80" s="7">
        <v>43830</v>
      </c>
      <c r="AG80" s="1" t="s">
        <v>867</v>
      </c>
      <c r="AH80" s="1" t="s">
        <v>121</v>
      </c>
    </row>
    <row r="81" spans="1:34" hidden="1" x14ac:dyDescent="0.25">
      <c r="A81" s="4">
        <v>90</v>
      </c>
      <c r="B81" s="2" t="str">
        <f>HYPERLINK("https://my.zakupki.prom.ua/remote/dispatcher/state_purchase_view/17548526", "UA-2020-06-30-000634-a")</f>
        <v>UA-2020-06-30-000634-a</v>
      </c>
      <c r="C81" s="1" t="s">
        <v>678</v>
      </c>
      <c r="D81" s="1" t="s">
        <v>467</v>
      </c>
      <c r="E81" s="1" t="s">
        <v>552</v>
      </c>
      <c r="F81" s="1" t="s">
        <v>560</v>
      </c>
      <c r="G81" s="1" t="s">
        <v>290</v>
      </c>
      <c r="H81" s="1" t="s">
        <v>714</v>
      </c>
      <c r="I81" s="5">
        <v>44012</v>
      </c>
      <c r="J81" s="1" t="s">
        <v>840</v>
      </c>
      <c r="K81" s="4">
        <v>1</v>
      </c>
      <c r="L81" s="6">
        <v>7153.92</v>
      </c>
      <c r="M81" s="4">
        <v>1296</v>
      </c>
      <c r="N81" s="6">
        <v>5.52</v>
      </c>
      <c r="O81" s="1" t="s">
        <v>854</v>
      </c>
      <c r="P81" s="1" t="s">
        <v>480</v>
      </c>
      <c r="Q81" s="1" t="s">
        <v>788</v>
      </c>
      <c r="R81" s="6">
        <v>7153.92</v>
      </c>
      <c r="S81" s="6">
        <v>5.5200000000000005</v>
      </c>
      <c r="T81" s="1"/>
      <c r="U81" s="1"/>
      <c r="V81" s="1" t="s">
        <v>489</v>
      </c>
      <c r="W81" s="1" t="s">
        <v>10</v>
      </c>
      <c r="X81" s="2"/>
      <c r="Y81" s="1"/>
      <c r="Z81" s="1"/>
      <c r="AA81" s="1"/>
      <c r="AB81" s="1" t="s">
        <v>844</v>
      </c>
      <c r="AC81" s="7">
        <v>44012.420621785022</v>
      </c>
      <c r="AD81" s="1" t="s">
        <v>361</v>
      </c>
      <c r="AE81" s="6">
        <v>7153.92</v>
      </c>
      <c r="AF81" s="7">
        <v>44196</v>
      </c>
      <c r="AG81" s="1" t="s">
        <v>867</v>
      </c>
      <c r="AH81" s="1" t="s">
        <v>7</v>
      </c>
    </row>
    <row r="82" spans="1:34" hidden="1" x14ac:dyDescent="0.25">
      <c r="A82" s="4">
        <v>91</v>
      </c>
      <c r="B82" s="2" t="str">
        <f>HYPERLINK("https://my.zakupki.prom.ua/remote/dispatcher/state_purchase_view/15911973", "UA-2020-03-23-003164-b")</f>
        <v>UA-2020-03-23-003164-b</v>
      </c>
      <c r="C82" s="1" t="s">
        <v>575</v>
      </c>
      <c r="D82" s="1" t="s">
        <v>450</v>
      </c>
      <c r="E82" s="1" t="s">
        <v>552</v>
      </c>
      <c r="F82" s="1" t="s">
        <v>560</v>
      </c>
      <c r="G82" s="1" t="s">
        <v>290</v>
      </c>
      <c r="H82" s="1" t="s">
        <v>715</v>
      </c>
      <c r="I82" s="5">
        <v>43913</v>
      </c>
      <c r="J82" s="1" t="s">
        <v>840</v>
      </c>
      <c r="K82" s="4">
        <v>1</v>
      </c>
      <c r="L82" s="6">
        <v>198308.5</v>
      </c>
      <c r="M82" s="4">
        <v>650</v>
      </c>
      <c r="N82" s="6">
        <v>305.08999999999997</v>
      </c>
      <c r="O82" s="1" t="s">
        <v>843</v>
      </c>
      <c r="P82" s="1" t="s">
        <v>480</v>
      </c>
      <c r="Q82" s="1" t="s">
        <v>613</v>
      </c>
      <c r="R82" s="6">
        <v>198308.5</v>
      </c>
      <c r="S82" s="6">
        <v>305.08999999999997</v>
      </c>
      <c r="T82" s="1"/>
      <c r="U82" s="1"/>
      <c r="V82" s="1" t="s">
        <v>781</v>
      </c>
      <c r="W82" s="1" t="s">
        <v>383</v>
      </c>
      <c r="X82" s="2"/>
      <c r="Y82" s="1"/>
      <c r="Z82" s="1"/>
      <c r="AA82" s="1"/>
      <c r="AB82" s="1" t="s">
        <v>844</v>
      </c>
      <c r="AC82" s="7">
        <v>43913.628656696746</v>
      </c>
      <c r="AD82" s="1" t="s">
        <v>73</v>
      </c>
      <c r="AE82" s="6">
        <v>198308.5</v>
      </c>
      <c r="AF82" s="7">
        <v>44196</v>
      </c>
      <c r="AG82" s="1" t="s">
        <v>867</v>
      </c>
      <c r="AH82" s="1" t="s">
        <v>7</v>
      </c>
    </row>
    <row r="83" spans="1:34" hidden="1" x14ac:dyDescent="0.25">
      <c r="A83" s="4">
        <v>92</v>
      </c>
      <c r="B83" s="2" t="str">
        <f>HYPERLINK("https://my.zakupki.prom.ua/remote/dispatcher/state_purchase_view/19224694", "UA-2020-09-11-012768-b")</f>
        <v>UA-2020-09-11-012768-b</v>
      </c>
      <c r="C83" s="1" t="s">
        <v>656</v>
      </c>
      <c r="D83" s="1" t="s">
        <v>413</v>
      </c>
      <c r="E83" s="1" t="s">
        <v>552</v>
      </c>
      <c r="F83" s="1" t="s">
        <v>560</v>
      </c>
      <c r="G83" s="1" t="s">
        <v>290</v>
      </c>
      <c r="H83" s="1" t="s">
        <v>714</v>
      </c>
      <c r="I83" s="5">
        <v>44085</v>
      </c>
      <c r="J83" s="1" t="s">
        <v>840</v>
      </c>
      <c r="K83" s="4">
        <v>1</v>
      </c>
      <c r="L83" s="6">
        <v>4800</v>
      </c>
      <c r="M83" s="4">
        <v>8</v>
      </c>
      <c r="N83" s="6">
        <v>600</v>
      </c>
      <c r="O83" s="1" t="s">
        <v>863</v>
      </c>
      <c r="P83" s="1" t="s">
        <v>480</v>
      </c>
      <c r="Q83" s="1" t="s">
        <v>613</v>
      </c>
      <c r="R83" s="6">
        <v>4800</v>
      </c>
      <c r="S83" s="6">
        <v>600</v>
      </c>
      <c r="T83" s="1"/>
      <c r="U83" s="1"/>
      <c r="V83" s="1" t="s">
        <v>559</v>
      </c>
      <c r="W83" s="1" t="s">
        <v>249</v>
      </c>
      <c r="X83" s="2"/>
      <c r="Y83" s="1"/>
      <c r="Z83" s="1"/>
      <c r="AA83" s="1"/>
      <c r="AB83" s="1" t="s">
        <v>844</v>
      </c>
      <c r="AC83" s="7">
        <v>44085.711341960465</v>
      </c>
      <c r="AD83" s="1" t="s">
        <v>152</v>
      </c>
      <c r="AE83" s="6">
        <v>4800</v>
      </c>
      <c r="AF83" s="7">
        <v>44196</v>
      </c>
      <c r="AG83" s="1" t="s">
        <v>867</v>
      </c>
      <c r="AH83" s="1" t="s">
        <v>7</v>
      </c>
    </row>
    <row r="84" spans="1:34" hidden="1" x14ac:dyDescent="0.25">
      <c r="A84" s="4">
        <v>93</v>
      </c>
      <c r="B84" s="2" t="str">
        <f>HYPERLINK("https://my.zakupki.prom.ua/remote/dispatcher/state_purchase_view/23659832", "UA-2021-02-04-009197-a")</f>
        <v>UA-2021-02-04-009197-a</v>
      </c>
      <c r="C84" s="1" t="s">
        <v>622</v>
      </c>
      <c r="D84" s="1" t="s">
        <v>434</v>
      </c>
      <c r="E84" s="1" t="s">
        <v>552</v>
      </c>
      <c r="F84" s="1" t="s">
        <v>560</v>
      </c>
      <c r="G84" s="1" t="s">
        <v>290</v>
      </c>
      <c r="H84" s="1" t="s">
        <v>714</v>
      </c>
      <c r="I84" s="5">
        <v>44231</v>
      </c>
      <c r="J84" s="1" t="s">
        <v>840</v>
      </c>
      <c r="K84" s="4">
        <v>1</v>
      </c>
      <c r="L84" s="6">
        <v>188400</v>
      </c>
      <c r="M84" s="4">
        <v>1</v>
      </c>
      <c r="N84" s="6">
        <v>188400</v>
      </c>
      <c r="O84" s="1" t="s">
        <v>863</v>
      </c>
      <c r="P84" s="1" t="s">
        <v>480</v>
      </c>
      <c r="Q84" s="1" t="s">
        <v>613</v>
      </c>
      <c r="R84" s="6">
        <v>188400</v>
      </c>
      <c r="S84" s="6">
        <v>188400</v>
      </c>
      <c r="T84" s="1"/>
      <c r="U84" s="1"/>
      <c r="V84" s="1" t="s">
        <v>776</v>
      </c>
      <c r="W84" s="1" t="s">
        <v>356</v>
      </c>
      <c r="X84" s="2"/>
      <c r="Y84" s="1"/>
      <c r="Z84" s="1"/>
      <c r="AA84" s="1"/>
      <c r="AB84" s="1" t="s">
        <v>844</v>
      </c>
      <c r="AC84" s="7">
        <v>44231.622570616826</v>
      </c>
      <c r="AD84" s="1" t="s">
        <v>25</v>
      </c>
      <c r="AE84" s="6">
        <v>188400</v>
      </c>
      <c r="AF84" s="7">
        <v>44561</v>
      </c>
      <c r="AG84" s="1" t="s">
        <v>867</v>
      </c>
      <c r="AH84" s="1" t="s">
        <v>7</v>
      </c>
    </row>
    <row r="85" spans="1:34" hidden="1" x14ac:dyDescent="0.25">
      <c r="A85" s="4">
        <v>94</v>
      </c>
      <c r="B85" s="2" t="str">
        <f>HYPERLINK("https://my.zakupki.prom.ua/remote/dispatcher/state_purchase_view/76189", "UA-2016-03-16-000176-c")</f>
        <v>UA-2016-03-16-000176-c</v>
      </c>
      <c r="C85" s="1" t="s">
        <v>720</v>
      </c>
      <c r="D85" s="1" t="s">
        <v>194</v>
      </c>
      <c r="E85" s="1" t="s">
        <v>543</v>
      </c>
      <c r="F85" s="1" t="s">
        <v>560</v>
      </c>
      <c r="G85" s="1" t="s">
        <v>290</v>
      </c>
      <c r="H85" s="1" t="s">
        <v>718</v>
      </c>
      <c r="I85" s="5">
        <v>42445</v>
      </c>
      <c r="J85" s="7">
        <v>42457.570868055554</v>
      </c>
      <c r="K85" s="4">
        <v>3</v>
      </c>
      <c r="L85" s="6">
        <v>2450</v>
      </c>
      <c r="M85" s="4">
        <v>1</v>
      </c>
      <c r="N85" s="6">
        <v>2450</v>
      </c>
      <c r="O85" s="1" t="s">
        <v>871</v>
      </c>
      <c r="P85" s="1" t="s">
        <v>480</v>
      </c>
      <c r="Q85" s="1" t="s">
        <v>788</v>
      </c>
      <c r="R85" s="6">
        <v>1900</v>
      </c>
      <c r="S85" s="6">
        <v>1900</v>
      </c>
      <c r="T85" s="6">
        <v>550</v>
      </c>
      <c r="U85" s="6">
        <v>0.22448979591836735</v>
      </c>
      <c r="V85" s="1" t="s">
        <v>806</v>
      </c>
      <c r="W85" s="1" t="s">
        <v>188</v>
      </c>
      <c r="X85" s="2" t="str">
        <f>HYPERLINK("https://auction.openprocurement.org/tenders/35f88040f5674eadb6928a5bd6458563")</f>
        <v>https://auction.openprocurement.org/tenders/35f88040f5674eadb6928a5bd6458563</v>
      </c>
      <c r="Y85" s="7">
        <v>42474.452703599272</v>
      </c>
      <c r="Z85" s="5">
        <v>42475</v>
      </c>
      <c r="AA85" s="5">
        <v>42480</v>
      </c>
      <c r="AB85" s="1" t="s">
        <v>866</v>
      </c>
      <c r="AC85" s="1"/>
      <c r="AD85" s="1"/>
      <c r="AE85" s="6">
        <v>1900</v>
      </c>
      <c r="AF85" s="1"/>
      <c r="AG85" s="1" t="s">
        <v>860</v>
      </c>
      <c r="AH85" s="1" t="s">
        <v>189</v>
      </c>
    </row>
    <row r="86" spans="1:34" hidden="1" x14ac:dyDescent="0.25">
      <c r="A86" s="4">
        <v>97</v>
      </c>
      <c r="B86" s="2" t="str">
        <f>HYPERLINK("https://my.zakupki.prom.ua/remote/dispatcher/state_purchase_view/26083553", "UA-2021-04-22-012772-a")</f>
        <v>UA-2021-04-22-012772-a</v>
      </c>
      <c r="C86" s="1" t="s">
        <v>711</v>
      </c>
      <c r="D86" s="1" t="s">
        <v>393</v>
      </c>
      <c r="E86" s="1" t="s">
        <v>543</v>
      </c>
      <c r="F86" s="1" t="s">
        <v>560</v>
      </c>
      <c r="G86" s="1" t="s">
        <v>290</v>
      </c>
      <c r="H86" s="1" t="s">
        <v>492</v>
      </c>
      <c r="I86" s="5">
        <v>44308</v>
      </c>
      <c r="J86" s="1" t="s">
        <v>841</v>
      </c>
      <c r="K86" s="4">
        <v>1</v>
      </c>
      <c r="L86" s="6">
        <v>12800</v>
      </c>
      <c r="M86" s="1" t="s">
        <v>849</v>
      </c>
      <c r="N86" s="1" t="s">
        <v>849</v>
      </c>
      <c r="O86" s="1" t="s">
        <v>849</v>
      </c>
      <c r="P86" s="1" t="s">
        <v>480</v>
      </c>
      <c r="Q86" s="1" t="s">
        <v>788</v>
      </c>
      <c r="R86" s="6">
        <v>12111</v>
      </c>
      <c r="S86" s="1" t="s">
        <v>849</v>
      </c>
      <c r="T86" s="6">
        <v>689</v>
      </c>
      <c r="U86" s="6">
        <v>5.3828124999999998E-2</v>
      </c>
      <c r="V86" s="1" t="s">
        <v>813</v>
      </c>
      <c r="W86" s="1" t="s">
        <v>186</v>
      </c>
      <c r="X86" s="2"/>
      <c r="Y86" s="7">
        <v>44326.616436065298</v>
      </c>
      <c r="Z86" s="1"/>
      <c r="AA86" s="1"/>
      <c r="AB86" s="1" t="s">
        <v>866</v>
      </c>
      <c r="AC86" s="1"/>
      <c r="AD86" s="1"/>
      <c r="AE86" s="6">
        <v>12111</v>
      </c>
      <c r="AF86" s="1"/>
      <c r="AG86" s="1" t="s">
        <v>860</v>
      </c>
      <c r="AH86" s="1" t="s">
        <v>187</v>
      </c>
    </row>
    <row r="87" spans="1:34" hidden="1" x14ac:dyDescent="0.25">
      <c r="A87" s="4">
        <v>98</v>
      </c>
      <c r="B87" s="2" t="str">
        <f>HYPERLINK("https://my.zakupki.prom.ua/remote/dispatcher/state_purchase_view/1346827", "UA-2016-12-28-000721-b")</f>
        <v>UA-2016-12-28-000721-b</v>
      </c>
      <c r="C87" s="1" t="s">
        <v>545</v>
      </c>
      <c r="D87" s="1" t="s">
        <v>35</v>
      </c>
      <c r="E87" s="1" t="s">
        <v>641</v>
      </c>
      <c r="F87" s="1" t="s">
        <v>560</v>
      </c>
      <c r="G87" s="1" t="s">
        <v>290</v>
      </c>
      <c r="H87" s="1" t="s">
        <v>718</v>
      </c>
      <c r="I87" s="5">
        <v>42732</v>
      </c>
      <c r="J87" s="1" t="s">
        <v>840</v>
      </c>
      <c r="K87" s="4">
        <v>1</v>
      </c>
      <c r="L87" s="6">
        <v>82000</v>
      </c>
      <c r="M87" s="4">
        <v>41000</v>
      </c>
      <c r="N87" s="6">
        <v>2</v>
      </c>
      <c r="O87" s="1" t="s">
        <v>847</v>
      </c>
      <c r="P87" s="1" t="s">
        <v>480</v>
      </c>
      <c r="Q87" s="1" t="s">
        <v>788</v>
      </c>
      <c r="R87" s="6">
        <v>82000</v>
      </c>
      <c r="S87" s="6">
        <v>2</v>
      </c>
      <c r="T87" s="1"/>
      <c r="U87" s="1"/>
      <c r="V87" s="1" t="s">
        <v>631</v>
      </c>
      <c r="W87" s="1" t="s">
        <v>142</v>
      </c>
      <c r="X87" s="2"/>
      <c r="Y87" s="1"/>
      <c r="Z87" s="5">
        <v>42787</v>
      </c>
      <c r="AA87" s="5">
        <v>42802</v>
      </c>
      <c r="AB87" s="1" t="s">
        <v>844</v>
      </c>
      <c r="AC87" s="7">
        <v>42787.394687322536</v>
      </c>
      <c r="AD87" s="1" t="s">
        <v>18</v>
      </c>
      <c r="AE87" s="6">
        <v>82000</v>
      </c>
      <c r="AF87" s="7">
        <v>43100</v>
      </c>
      <c r="AG87" s="1" t="s">
        <v>867</v>
      </c>
      <c r="AH87" s="1" t="s">
        <v>7</v>
      </c>
    </row>
    <row r="88" spans="1:34" hidden="1" x14ac:dyDescent="0.25">
      <c r="A88" s="4">
        <v>99</v>
      </c>
      <c r="B88" s="2" t="str">
        <f>HYPERLINK("https://my.zakupki.prom.ua/remote/dispatcher/state_purchase_view/2472923", "UA-2017-03-13-000566-b")</f>
        <v>UA-2017-03-13-000566-b</v>
      </c>
      <c r="C88" s="1" t="s">
        <v>512</v>
      </c>
      <c r="D88" s="1" t="s">
        <v>429</v>
      </c>
      <c r="E88" s="1" t="s">
        <v>641</v>
      </c>
      <c r="F88" s="1" t="s">
        <v>560</v>
      </c>
      <c r="G88" s="1" t="s">
        <v>290</v>
      </c>
      <c r="H88" s="1" t="s">
        <v>717</v>
      </c>
      <c r="I88" s="5">
        <v>42807</v>
      </c>
      <c r="J88" s="1" t="s">
        <v>840</v>
      </c>
      <c r="K88" s="4">
        <v>1</v>
      </c>
      <c r="L88" s="6">
        <v>7200</v>
      </c>
      <c r="M88" s="4">
        <v>2000</v>
      </c>
      <c r="N88" s="6">
        <v>3.6</v>
      </c>
      <c r="O88" s="1" t="s">
        <v>855</v>
      </c>
      <c r="P88" s="1" t="s">
        <v>480</v>
      </c>
      <c r="Q88" s="1" t="s">
        <v>788</v>
      </c>
      <c r="R88" s="6">
        <v>7200</v>
      </c>
      <c r="S88" s="6">
        <v>3.6</v>
      </c>
      <c r="T88" s="1"/>
      <c r="U88" s="1"/>
      <c r="V88" s="1" t="s">
        <v>532</v>
      </c>
      <c r="W88" s="1" t="s">
        <v>292</v>
      </c>
      <c r="X88" s="2"/>
      <c r="Y88" s="1"/>
      <c r="Z88" s="5">
        <v>42814</v>
      </c>
      <c r="AA88" s="5">
        <v>42829</v>
      </c>
      <c r="AB88" s="1" t="s">
        <v>844</v>
      </c>
      <c r="AC88" s="7">
        <v>42816.486150865901</v>
      </c>
      <c r="AD88" s="1" t="s">
        <v>74</v>
      </c>
      <c r="AE88" s="6">
        <v>7200</v>
      </c>
      <c r="AF88" s="7">
        <v>43100</v>
      </c>
      <c r="AG88" s="1" t="s">
        <v>867</v>
      </c>
      <c r="AH88" s="1" t="s">
        <v>7</v>
      </c>
    </row>
    <row r="89" spans="1:34" x14ac:dyDescent="0.25">
      <c r="A89" s="4">
        <v>100</v>
      </c>
      <c r="B89" s="2" t="str">
        <f>HYPERLINK("https://my.zakupki.prom.ua/remote/dispatcher/state_purchase_view/11860719", "UA-2019-06-07-001192-b")</f>
        <v>UA-2019-06-07-001192-b</v>
      </c>
      <c r="C89" s="1" t="s">
        <v>602</v>
      </c>
      <c r="D89" s="1" t="s">
        <v>461</v>
      </c>
      <c r="E89" s="1" t="s">
        <v>552</v>
      </c>
      <c r="F89" s="1" t="s">
        <v>560</v>
      </c>
      <c r="G89" s="1" t="s">
        <v>290</v>
      </c>
      <c r="H89" s="1" t="s">
        <v>717</v>
      </c>
      <c r="I89" s="5">
        <v>43623</v>
      </c>
      <c r="J89" s="1" t="s">
        <v>840</v>
      </c>
      <c r="K89" s="4">
        <v>1</v>
      </c>
      <c r="L89" s="6">
        <v>6846.41</v>
      </c>
      <c r="M89" s="4">
        <v>1</v>
      </c>
      <c r="N89" s="6">
        <v>6846.41</v>
      </c>
      <c r="O89" s="1" t="s">
        <v>863</v>
      </c>
      <c r="P89" s="1" t="s">
        <v>480</v>
      </c>
      <c r="Q89" s="1" t="s">
        <v>788</v>
      </c>
      <c r="R89" s="6">
        <v>6846.41</v>
      </c>
      <c r="S89" s="6">
        <v>6846.41</v>
      </c>
      <c r="T89" s="1"/>
      <c r="U89" s="1"/>
      <c r="V89" s="1" t="s">
        <v>516</v>
      </c>
      <c r="W89" s="1" t="s">
        <v>302</v>
      </c>
      <c r="X89" s="2"/>
      <c r="Y89" s="1"/>
      <c r="Z89" s="1"/>
      <c r="AA89" s="1"/>
      <c r="AB89" s="1" t="s">
        <v>844</v>
      </c>
      <c r="AC89" s="7">
        <v>43623.544069468553</v>
      </c>
      <c r="AD89" s="1" t="s">
        <v>68</v>
      </c>
      <c r="AE89" s="6">
        <v>6846.41</v>
      </c>
      <c r="AF89" s="7">
        <v>43830</v>
      </c>
      <c r="AG89" s="1" t="s">
        <v>867</v>
      </c>
      <c r="AH89" s="1" t="s">
        <v>7</v>
      </c>
    </row>
    <row r="90" spans="1:34" x14ac:dyDescent="0.25">
      <c r="A90" s="4">
        <v>101</v>
      </c>
      <c r="B90" s="2" t="str">
        <f>HYPERLINK("https://my.zakupki.prom.ua/remote/dispatcher/state_purchase_view/13323431", "UA-2019-10-25-001453-b")</f>
        <v>UA-2019-10-25-001453-b</v>
      </c>
      <c r="C90" s="1" t="s">
        <v>666</v>
      </c>
      <c r="D90" s="1" t="s">
        <v>470</v>
      </c>
      <c r="E90" s="1" t="s">
        <v>552</v>
      </c>
      <c r="F90" s="1" t="s">
        <v>560</v>
      </c>
      <c r="G90" s="1" t="s">
        <v>290</v>
      </c>
      <c r="H90" s="1" t="s">
        <v>715</v>
      </c>
      <c r="I90" s="5">
        <v>43763</v>
      </c>
      <c r="J90" s="1" t="s">
        <v>840</v>
      </c>
      <c r="K90" s="4">
        <v>1</v>
      </c>
      <c r="L90" s="6">
        <v>118700</v>
      </c>
      <c r="M90" s="4">
        <v>23714</v>
      </c>
      <c r="N90" s="6">
        <v>5.01</v>
      </c>
      <c r="O90" s="1" t="s">
        <v>853</v>
      </c>
      <c r="P90" s="1" t="s">
        <v>480</v>
      </c>
      <c r="Q90" s="1" t="s">
        <v>613</v>
      </c>
      <c r="R90" s="6">
        <v>118700</v>
      </c>
      <c r="S90" s="6">
        <v>5.005481993758961</v>
      </c>
      <c r="T90" s="1"/>
      <c r="U90" s="1"/>
      <c r="V90" s="1" t="s">
        <v>782</v>
      </c>
      <c r="W90" s="1" t="s">
        <v>263</v>
      </c>
      <c r="X90" s="2"/>
      <c r="Y90" s="1"/>
      <c r="Z90" s="1"/>
      <c r="AA90" s="1"/>
      <c r="AB90" s="1" t="s">
        <v>844</v>
      </c>
      <c r="AC90" s="7">
        <v>43763.551843187932</v>
      </c>
      <c r="AD90" s="1" t="s">
        <v>39</v>
      </c>
      <c r="AE90" s="6">
        <v>118700</v>
      </c>
      <c r="AF90" s="7">
        <v>43830</v>
      </c>
      <c r="AG90" s="1" t="s">
        <v>867</v>
      </c>
      <c r="AH90" s="1" t="s">
        <v>7</v>
      </c>
    </row>
    <row r="91" spans="1:34" x14ac:dyDescent="0.25">
      <c r="A91" s="4">
        <v>102</v>
      </c>
      <c r="B91" s="2" t="str">
        <f>HYPERLINK("https://my.zakupki.prom.ua/remote/dispatcher/state_purchase_view/12697457", "UA-2019-09-02-000847-a")</f>
        <v>UA-2019-09-02-000847-a</v>
      </c>
      <c r="C91" s="1" t="s">
        <v>660</v>
      </c>
      <c r="D91" s="1" t="s">
        <v>434</v>
      </c>
      <c r="E91" s="1" t="s">
        <v>552</v>
      </c>
      <c r="F91" s="1" t="s">
        <v>560</v>
      </c>
      <c r="G91" s="1" t="s">
        <v>290</v>
      </c>
      <c r="H91" s="1" t="s">
        <v>715</v>
      </c>
      <c r="I91" s="5">
        <v>43710</v>
      </c>
      <c r="J91" s="1" t="s">
        <v>840</v>
      </c>
      <c r="K91" s="4">
        <v>1</v>
      </c>
      <c r="L91" s="6">
        <v>32160</v>
      </c>
      <c r="M91" s="4">
        <v>1</v>
      </c>
      <c r="N91" s="6">
        <v>32160</v>
      </c>
      <c r="O91" s="1" t="s">
        <v>863</v>
      </c>
      <c r="P91" s="1" t="s">
        <v>480</v>
      </c>
      <c r="Q91" s="1" t="s">
        <v>613</v>
      </c>
      <c r="R91" s="6">
        <v>32160</v>
      </c>
      <c r="S91" s="6">
        <v>32160</v>
      </c>
      <c r="T91" s="1"/>
      <c r="U91" s="1"/>
      <c r="V91" s="1" t="s">
        <v>776</v>
      </c>
      <c r="W91" s="1" t="s">
        <v>356</v>
      </c>
      <c r="X91" s="2"/>
      <c r="Y91" s="1"/>
      <c r="Z91" s="1"/>
      <c r="AA91" s="1"/>
      <c r="AB91" s="1" t="s">
        <v>844</v>
      </c>
      <c r="AC91" s="7">
        <v>43710.592892601715</v>
      </c>
      <c r="AD91" s="1" t="s">
        <v>15</v>
      </c>
      <c r="AE91" s="6">
        <v>32160</v>
      </c>
      <c r="AF91" s="7">
        <v>43830</v>
      </c>
      <c r="AG91" s="1" t="s">
        <v>867</v>
      </c>
      <c r="AH91" s="1" t="s">
        <v>7</v>
      </c>
    </row>
    <row r="92" spans="1:34" x14ac:dyDescent="0.25">
      <c r="A92" s="4">
        <v>103</v>
      </c>
      <c r="B92" s="2" t="str">
        <f>HYPERLINK("https://my.zakupki.prom.ua/remote/dispatcher/state_purchase_view/11405220", "UA-2019-04-23-002226-b")</f>
        <v>UA-2019-04-23-002226-b</v>
      </c>
      <c r="C92" s="1" t="s">
        <v>545</v>
      </c>
      <c r="D92" s="1" t="s">
        <v>35</v>
      </c>
      <c r="E92" s="1" t="s">
        <v>552</v>
      </c>
      <c r="F92" s="1" t="s">
        <v>560</v>
      </c>
      <c r="G92" s="1" t="s">
        <v>290</v>
      </c>
      <c r="H92" s="1" t="s">
        <v>717</v>
      </c>
      <c r="I92" s="5">
        <v>43578</v>
      </c>
      <c r="J92" s="1" t="s">
        <v>840</v>
      </c>
      <c r="K92" s="4">
        <v>1</v>
      </c>
      <c r="L92" s="6">
        <v>58626.93</v>
      </c>
      <c r="M92" s="4">
        <v>22293</v>
      </c>
      <c r="N92" s="6">
        <v>2.63</v>
      </c>
      <c r="O92" s="1" t="s">
        <v>847</v>
      </c>
      <c r="P92" s="1" t="s">
        <v>480</v>
      </c>
      <c r="Q92" s="1" t="s">
        <v>788</v>
      </c>
      <c r="R92" s="6">
        <v>58626.93</v>
      </c>
      <c r="S92" s="6">
        <v>2.6298358229040506</v>
      </c>
      <c r="T92" s="1"/>
      <c r="U92" s="1"/>
      <c r="V92" s="1" t="s">
        <v>773</v>
      </c>
      <c r="W92" s="1" t="s">
        <v>365</v>
      </c>
      <c r="X92" s="2"/>
      <c r="Y92" s="1"/>
      <c r="Z92" s="1"/>
      <c r="AA92" s="1"/>
      <c r="AB92" s="1" t="s">
        <v>844</v>
      </c>
      <c r="AC92" s="7">
        <v>43578.633765714927</v>
      </c>
      <c r="AD92" s="1" t="s">
        <v>26</v>
      </c>
      <c r="AE92" s="6">
        <v>58626.93</v>
      </c>
      <c r="AF92" s="7">
        <v>43830</v>
      </c>
      <c r="AG92" s="1" t="s">
        <v>867</v>
      </c>
      <c r="AH92" s="1" t="s">
        <v>7</v>
      </c>
    </row>
    <row r="93" spans="1:34" x14ac:dyDescent="0.25">
      <c r="A93" s="4">
        <v>104</v>
      </c>
      <c r="B93" s="2" t="str">
        <f>HYPERLINK("https://my.zakupki.prom.ua/remote/dispatcher/state_purchase_view/11225842", "UA-2019-04-09-000060-a")</f>
        <v>UA-2019-04-09-000060-a</v>
      </c>
      <c r="C93" s="1" t="s">
        <v>511</v>
      </c>
      <c r="D93" s="1" t="s">
        <v>429</v>
      </c>
      <c r="E93" s="1" t="s">
        <v>552</v>
      </c>
      <c r="F93" s="1" t="s">
        <v>560</v>
      </c>
      <c r="G93" s="1" t="s">
        <v>290</v>
      </c>
      <c r="H93" s="1" t="s">
        <v>717</v>
      </c>
      <c r="I93" s="5">
        <v>43564</v>
      </c>
      <c r="J93" s="1" t="s">
        <v>840</v>
      </c>
      <c r="K93" s="4">
        <v>1</v>
      </c>
      <c r="L93" s="6">
        <v>5886</v>
      </c>
      <c r="M93" s="4">
        <v>1296</v>
      </c>
      <c r="N93" s="6">
        <v>4.54</v>
      </c>
      <c r="O93" s="1" t="s">
        <v>854</v>
      </c>
      <c r="P93" s="1" t="s">
        <v>480</v>
      </c>
      <c r="Q93" s="1" t="s">
        <v>788</v>
      </c>
      <c r="R93" s="6">
        <v>5287.68</v>
      </c>
      <c r="S93" s="6">
        <v>4.08</v>
      </c>
      <c r="T93" s="6">
        <v>598.31999999999971</v>
      </c>
      <c r="U93" s="6">
        <v>0.10165137614678894</v>
      </c>
      <c r="V93" s="1" t="s">
        <v>5</v>
      </c>
      <c r="W93" s="1" t="s">
        <v>292</v>
      </c>
      <c r="X93" s="2"/>
      <c r="Y93" s="1"/>
      <c r="Z93" s="1"/>
      <c r="AA93" s="1"/>
      <c r="AB93" s="1" t="s">
        <v>844</v>
      </c>
      <c r="AC93" s="7">
        <v>43564.373669101849</v>
      </c>
      <c r="AD93" s="1" t="s">
        <v>228</v>
      </c>
      <c r="AE93" s="6">
        <v>5287.68</v>
      </c>
      <c r="AF93" s="7">
        <v>43830</v>
      </c>
      <c r="AG93" s="1" t="s">
        <v>867</v>
      </c>
      <c r="AH93" s="1" t="s">
        <v>7</v>
      </c>
    </row>
    <row r="94" spans="1:34" hidden="1" x14ac:dyDescent="0.25">
      <c r="A94" s="4">
        <v>105</v>
      </c>
      <c r="B94" s="2" t="str">
        <f>HYPERLINK("https://my.zakupki.prom.ua/remote/dispatcher/state_purchase_view/4452007", "UA-2017-10-31-000714-a")</f>
        <v>UA-2017-10-31-000714-a</v>
      </c>
      <c r="C94" s="1" t="s">
        <v>550</v>
      </c>
      <c r="D94" s="1" t="s">
        <v>469</v>
      </c>
      <c r="E94" s="1" t="s">
        <v>543</v>
      </c>
      <c r="F94" s="1" t="s">
        <v>560</v>
      </c>
      <c r="G94" s="1" t="s">
        <v>290</v>
      </c>
      <c r="H94" s="1" t="s">
        <v>717</v>
      </c>
      <c r="I94" s="5">
        <v>43039</v>
      </c>
      <c r="J94" s="1" t="s">
        <v>841</v>
      </c>
      <c r="K94" s="4">
        <v>1</v>
      </c>
      <c r="L94" s="6">
        <v>15000</v>
      </c>
      <c r="M94" s="4">
        <v>180</v>
      </c>
      <c r="N94" s="6">
        <v>83.33</v>
      </c>
      <c r="O94" s="1" t="s">
        <v>854</v>
      </c>
      <c r="P94" s="1" t="s">
        <v>480</v>
      </c>
      <c r="Q94" s="1" t="s">
        <v>788</v>
      </c>
      <c r="R94" s="6">
        <v>14054.4</v>
      </c>
      <c r="S94" s="6">
        <v>78.08</v>
      </c>
      <c r="T94" s="6">
        <v>945.60000000000036</v>
      </c>
      <c r="U94" s="6">
        <v>6.3040000000000027E-2</v>
      </c>
      <c r="V94" s="1" t="s">
        <v>730</v>
      </c>
      <c r="W94" s="1" t="s">
        <v>16</v>
      </c>
      <c r="X94" s="2"/>
      <c r="Y94" s="7">
        <v>43049.370071336991</v>
      </c>
      <c r="Z94" s="5">
        <v>43053</v>
      </c>
      <c r="AA94" s="5">
        <v>43072</v>
      </c>
      <c r="AB94" s="1" t="s">
        <v>844</v>
      </c>
      <c r="AC94" s="7">
        <v>43076.377882203946</v>
      </c>
      <c r="AD94" s="1" t="s">
        <v>476</v>
      </c>
      <c r="AE94" s="6">
        <v>14054.4</v>
      </c>
      <c r="AF94" s="7">
        <v>43100</v>
      </c>
      <c r="AG94" s="1" t="s">
        <v>867</v>
      </c>
      <c r="AH94" s="1" t="s">
        <v>17</v>
      </c>
    </row>
    <row r="95" spans="1:34" x14ac:dyDescent="0.25">
      <c r="A95" s="4">
        <v>107</v>
      </c>
      <c r="B95" s="2" t="str">
        <f>HYPERLINK("https://my.zakupki.prom.ua/remote/dispatcher/state_purchase_view/13666410", "UA-2019-11-21-001652-b")</f>
        <v>UA-2019-11-21-001652-b</v>
      </c>
      <c r="C95" s="1" t="s">
        <v>831</v>
      </c>
      <c r="D95" s="1" t="s">
        <v>97</v>
      </c>
      <c r="E95" s="1" t="s">
        <v>543</v>
      </c>
      <c r="F95" s="1" t="s">
        <v>560</v>
      </c>
      <c r="G95" s="1" t="s">
        <v>290</v>
      </c>
      <c r="H95" s="1" t="s">
        <v>715</v>
      </c>
      <c r="I95" s="5">
        <v>43790</v>
      </c>
      <c r="J95" s="1" t="s">
        <v>841</v>
      </c>
      <c r="K95" s="4">
        <v>1</v>
      </c>
      <c r="L95" s="6">
        <v>5000</v>
      </c>
      <c r="M95" s="4">
        <v>1</v>
      </c>
      <c r="N95" s="6">
        <v>5000</v>
      </c>
      <c r="O95" s="1" t="s">
        <v>850</v>
      </c>
      <c r="P95" s="1" t="s">
        <v>480</v>
      </c>
      <c r="Q95" s="1" t="s">
        <v>788</v>
      </c>
      <c r="R95" s="6">
        <v>4200</v>
      </c>
      <c r="S95" s="6">
        <v>4200</v>
      </c>
      <c r="T95" s="6">
        <v>800</v>
      </c>
      <c r="U95" s="6">
        <v>0.16</v>
      </c>
      <c r="V95" s="1" t="s">
        <v>759</v>
      </c>
      <c r="W95" s="1" t="s">
        <v>109</v>
      </c>
      <c r="X95" s="2"/>
      <c r="Y95" s="7">
        <v>43802.547621979931</v>
      </c>
      <c r="Z95" s="5">
        <v>43804</v>
      </c>
      <c r="AA95" s="5">
        <v>43825</v>
      </c>
      <c r="AB95" s="1" t="s">
        <v>844</v>
      </c>
      <c r="AC95" s="7">
        <v>43810.471249545975</v>
      </c>
      <c r="AD95" s="1" t="s">
        <v>143</v>
      </c>
      <c r="AE95" s="6">
        <v>4200</v>
      </c>
      <c r="AF95" s="7">
        <v>43830</v>
      </c>
      <c r="AG95" s="1" t="s">
        <v>867</v>
      </c>
      <c r="AH95" s="1" t="s">
        <v>110</v>
      </c>
    </row>
    <row r="96" spans="1:34" hidden="1" x14ac:dyDescent="0.25">
      <c r="A96" s="4">
        <v>108</v>
      </c>
      <c r="B96" s="2" t="str">
        <f>HYPERLINK("https://my.zakupki.prom.ua/remote/dispatcher/state_purchase_view/7341939", "UA-2018-06-06-000093-a")</f>
        <v>UA-2018-06-06-000093-a</v>
      </c>
      <c r="C96" s="1" t="s">
        <v>494</v>
      </c>
      <c r="D96" s="1" t="s">
        <v>33</v>
      </c>
      <c r="E96" s="1" t="s">
        <v>543</v>
      </c>
      <c r="F96" s="1" t="s">
        <v>560</v>
      </c>
      <c r="G96" s="1" t="s">
        <v>290</v>
      </c>
      <c r="H96" s="1" t="s">
        <v>717</v>
      </c>
      <c r="I96" s="5">
        <v>43257</v>
      </c>
      <c r="J96" s="7">
        <v>43265.620763888888</v>
      </c>
      <c r="K96" s="4">
        <v>2</v>
      </c>
      <c r="L96" s="6">
        <v>16000</v>
      </c>
      <c r="M96" s="4">
        <v>500</v>
      </c>
      <c r="N96" s="6">
        <v>32</v>
      </c>
      <c r="O96" s="1" t="s">
        <v>851</v>
      </c>
      <c r="P96" s="1" t="s">
        <v>480</v>
      </c>
      <c r="Q96" s="1" t="s">
        <v>788</v>
      </c>
      <c r="R96" s="6">
        <v>13470</v>
      </c>
      <c r="S96" s="6">
        <v>26.94</v>
      </c>
      <c r="T96" s="6">
        <v>2530</v>
      </c>
      <c r="U96" s="6">
        <v>0.15812499999999999</v>
      </c>
      <c r="V96" s="1" t="s">
        <v>777</v>
      </c>
      <c r="W96" s="1" t="s">
        <v>358</v>
      </c>
      <c r="X96" s="2" t="str">
        <f>HYPERLINK("https://auction.openprocurement.org/tenders/1d50d65f90a24c09b327c37ec2d1ebe4")</f>
        <v>https://auction.openprocurement.org/tenders/1d50d65f90a24c09b327c37ec2d1ebe4</v>
      </c>
      <c r="Y96" s="7">
        <v>43265.694550409782</v>
      </c>
      <c r="Z96" s="5">
        <v>43269</v>
      </c>
      <c r="AA96" s="5">
        <v>43289</v>
      </c>
      <c r="AB96" s="1" t="s">
        <v>844</v>
      </c>
      <c r="AC96" s="7">
        <v>43290.399432660801</v>
      </c>
      <c r="AD96" s="1" t="s">
        <v>27</v>
      </c>
      <c r="AE96" s="6">
        <v>13750</v>
      </c>
      <c r="AF96" s="7">
        <v>43465</v>
      </c>
      <c r="AG96" s="1" t="s">
        <v>867</v>
      </c>
      <c r="AH96" s="1" t="s">
        <v>347</v>
      </c>
    </row>
    <row r="97" spans="1:34" x14ac:dyDescent="0.25">
      <c r="A97" s="4">
        <v>109</v>
      </c>
      <c r="B97" s="2" t="str">
        <f>HYPERLINK("https://my.zakupki.prom.ua/remote/dispatcher/state_purchase_view/12466149", "UA-2019-08-07-002968-b")</f>
        <v>UA-2019-08-07-002968-b</v>
      </c>
      <c r="C97" s="1" t="s">
        <v>638</v>
      </c>
      <c r="D97" s="1" t="s">
        <v>114</v>
      </c>
      <c r="E97" s="1" t="s">
        <v>543</v>
      </c>
      <c r="F97" s="1" t="s">
        <v>560</v>
      </c>
      <c r="G97" s="1" t="s">
        <v>290</v>
      </c>
      <c r="H97" s="1" t="s">
        <v>715</v>
      </c>
      <c r="I97" s="5">
        <v>43684</v>
      </c>
      <c r="J97" s="1" t="s">
        <v>841</v>
      </c>
      <c r="K97" s="4">
        <v>1</v>
      </c>
      <c r="L97" s="6">
        <v>44000</v>
      </c>
      <c r="M97" s="4">
        <v>13000</v>
      </c>
      <c r="N97" s="6">
        <v>3.38</v>
      </c>
      <c r="O97" s="1" t="s">
        <v>870</v>
      </c>
      <c r="P97" s="1" t="s">
        <v>480</v>
      </c>
      <c r="Q97" s="1" t="s">
        <v>788</v>
      </c>
      <c r="R97" s="6">
        <v>39258</v>
      </c>
      <c r="S97" s="6">
        <v>3.0198461538461538</v>
      </c>
      <c r="T97" s="6">
        <v>4742</v>
      </c>
      <c r="U97" s="6">
        <v>0.10777272727272727</v>
      </c>
      <c r="V97" s="1" t="s">
        <v>752</v>
      </c>
      <c r="W97" s="1" t="s">
        <v>317</v>
      </c>
      <c r="X97" s="2"/>
      <c r="Y97" s="7">
        <v>43696.57815670767</v>
      </c>
      <c r="Z97" s="5">
        <v>43698</v>
      </c>
      <c r="AA97" s="5">
        <v>43719</v>
      </c>
      <c r="AB97" s="1" t="s">
        <v>844</v>
      </c>
      <c r="AC97" s="7">
        <v>43710.597138592624</v>
      </c>
      <c r="AD97" s="1" t="s">
        <v>190</v>
      </c>
      <c r="AE97" s="6">
        <v>39258</v>
      </c>
      <c r="AF97" s="7">
        <v>43830</v>
      </c>
      <c r="AG97" s="1" t="s">
        <v>867</v>
      </c>
      <c r="AH97" s="1" t="s">
        <v>318</v>
      </c>
    </row>
    <row r="98" spans="1:34" x14ac:dyDescent="0.25">
      <c r="A98" s="4">
        <v>111</v>
      </c>
      <c r="B98" s="2" t="str">
        <f>HYPERLINK("https://my.zakupki.prom.ua/remote/dispatcher/state_purchase_view/11314686", "UA-2019-04-16-000584-a")</f>
        <v>UA-2019-04-16-000584-a</v>
      </c>
      <c r="C98" s="1" t="s">
        <v>602</v>
      </c>
      <c r="D98" s="1" t="s">
        <v>439</v>
      </c>
      <c r="E98" s="1" t="s">
        <v>543</v>
      </c>
      <c r="F98" s="1" t="s">
        <v>560</v>
      </c>
      <c r="G98" s="1" t="s">
        <v>290</v>
      </c>
      <c r="H98" s="1" t="s">
        <v>717</v>
      </c>
      <c r="I98" s="5">
        <v>43571</v>
      </c>
      <c r="J98" s="1" t="s">
        <v>841</v>
      </c>
      <c r="K98" s="4">
        <v>1</v>
      </c>
      <c r="L98" s="6">
        <v>10000</v>
      </c>
      <c r="M98" s="4">
        <v>1</v>
      </c>
      <c r="N98" s="6">
        <v>10000</v>
      </c>
      <c r="O98" s="1" t="s">
        <v>863</v>
      </c>
      <c r="P98" s="1" t="s">
        <v>480</v>
      </c>
      <c r="Q98" s="1" t="s">
        <v>788</v>
      </c>
      <c r="R98" s="6">
        <v>8113.03</v>
      </c>
      <c r="S98" s="6">
        <v>8113.03</v>
      </c>
      <c r="T98" s="6">
        <v>1886.9700000000003</v>
      </c>
      <c r="U98" s="6">
        <v>0.18869700000000003</v>
      </c>
      <c r="V98" s="1" t="s">
        <v>517</v>
      </c>
      <c r="W98" s="1" t="s">
        <v>302</v>
      </c>
      <c r="X98" s="2"/>
      <c r="Y98" s="7">
        <v>43578.600112598309</v>
      </c>
      <c r="Z98" s="5">
        <v>43580</v>
      </c>
      <c r="AA98" s="5">
        <v>43603</v>
      </c>
      <c r="AB98" s="1" t="s">
        <v>844</v>
      </c>
      <c r="AC98" s="7">
        <v>43587.449981027312</v>
      </c>
      <c r="AD98" s="1" t="s">
        <v>61</v>
      </c>
      <c r="AE98" s="6">
        <v>8113.03</v>
      </c>
      <c r="AF98" s="7">
        <v>43830</v>
      </c>
      <c r="AG98" s="1" t="s">
        <v>867</v>
      </c>
      <c r="AH98" s="1" t="s">
        <v>303</v>
      </c>
    </row>
    <row r="99" spans="1:34" hidden="1" x14ac:dyDescent="0.25">
      <c r="A99" s="4">
        <v>115</v>
      </c>
      <c r="B99" s="2" t="str">
        <f>HYPERLINK("https://my.zakupki.prom.ua/remote/dispatcher/state_purchase_view/2232579", "UA-2017-02-21-000854-c")</f>
        <v>UA-2017-02-21-000854-c</v>
      </c>
      <c r="C99" s="1" t="s">
        <v>834</v>
      </c>
      <c r="D99" s="1" t="s">
        <v>315</v>
      </c>
      <c r="E99" s="1" t="s">
        <v>543</v>
      </c>
      <c r="F99" s="1" t="s">
        <v>560</v>
      </c>
      <c r="G99" s="1" t="s">
        <v>290</v>
      </c>
      <c r="H99" s="1" t="s">
        <v>718</v>
      </c>
      <c r="I99" s="5">
        <v>42787</v>
      </c>
      <c r="J99" s="7">
        <v>42800.574247685188</v>
      </c>
      <c r="K99" s="4">
        <v>4</v>
      </c>
      <c r="L99" s="6">
        <v>11100</v>
      </c>
      <c r="M99" s="4">
        <v>6</v>
      </c>
      <c r="N99" s="6">
        <v>1850</v>
      </c>
      <c r="O99" s="1" t="s">
        <v>871</v>
      </c>
      <c r="P99" s="1" t="s">
        <v>480</v>
      </c>
      <c r="Q99" s="1" t="s">
        <v>788</v>
      </c>
      <c r="R99" s="6">
        <v>10535</v>
      </c>
      <c r="S99" s="6">
        <v>1755.8333333333333</v>
      </c>
      <c r="T99" s="6">
        <v>565</v>
      </c>
      <c r="U99" s="6">
        <v>5.0900900900900901E-2</v>
      </c>
      <c r="V99" s="1" t="s">
        <v>744</v>
      </c>
      <c r="W99" s="1" t="s">
        <v>234</v>
      </c>
      <c r="X99" s="2" t="str">
        <f>HYPERLINK("https://auction.openprocurement.org/tenders/52d6ec78b9b043f88fb969d9dbc91521")</f>
        <v>https://auction.openprocurement.org/tenders/52d6ec78b9b043f88fb969d9dbc91521</v>
      </c>
      <c r="Y99" s="7">
        <v>42801.564172829989</v>
      </c>
      <c r="Z99" s="5">
        <v>42804</v>
      </c>
      <c r="AA99" s="5">
        <v>42820</v>
      </c>
      <c r="AB99" s="1" t="s">
        <v>844</v>
      </c>
      <c r="AC99" s="7">
        <v>42816.84072267796</v>
      </c>
      <c r="AD99" s="1" t="s">
        <v>48</v>
      </c>
      <c r="AE99" s="6">
        <v>10535</v>
      </c>
      <c r="AF99" s="7">
        <v>43100</v>
      </c>
      <c r="AG99" s="1" t="s">
        <v>867</v>
      </c>
      <c r="AH99" s="1" t="s">
        <v>235</v>
      </c>
    </row>
    <row r="100" spans="1:34" hidden="1" x14ac:dyDescent="0.25">
      <c r="A100" s="4">
        <v>116</v>
      </c>
      <c r="B100" s="2" t="str">
        <f>HYPERLINK("https://my.zakupki.prom.ua/remote/dispatcher/state_purchase_view/15673757", "UA-2020-03-10-001231-a")</f>
        <v>UA-2020-03-10-001231-a</v>
      </c>
      <c r="C100" s="1" t="s">
        <v>580</v>
      </c>
      <c r="D100" s="1" t="s">
        <v>320</v>
      </c>
      <c r="E100" s="1" t="s">
        <v>543</v>
      </c>
      <c r="F100" s="1" t="s">
        <v>560</v>
      </c>
      <c r="G100" s="1" t="s">
        <v>290</v>
      </c>
      <c r="H100" s="1" t="s">
        <v>715</v>
      </c>
      <c r="I100" s="5">
        <v>43900</v>
      </c>
      <c r="J100" s="7">
        <v>43910.609756944446</v>
      </c>
      <c r="K100" s="4">
        <v>4</v>
      </c>
      <c r="L100" s="6">
        <v>11280</v>
      </c>
      <c r="M100" s="4">
        <v>1</v>
      </c>
      <c r="N100" s="6">
        <v>11280</v>
      </c>
      <c r="O100" s="1" t="s">
        <v>850</v>
      </c>
      <c r="P100" s="1" t="s">
        <v>480</v>
      </c>
      <c r="Q100" s="1" t="s">
        <v>788</v>
      </c>
      <c r="R100" s="6">
        <v>7655.28</v>
      </c>
      <c r="S100" s="6">
        <v>7655.28</v>
      </c>
      <c r="T100" s="6">
        <v>3624.7200000000003</v>
      </c>
      <c r="U100" s="6">
        <v>0.32134042553191494</v>
      </c>
      <c r="V100" s="1" t="s">
        <v>744</v>
      </c>
      <c r="W100" s="1" t="s">
        <v>234</v>
      </c>
      <c r="X100" s="2" t="str">
        <f>HYPERLINK("https://auction.openprocurement.org/tenders/b56920142472458bb42bdce97bcc1241")</f>
        <v>https://auction.openprocurement.org/tenders/b56920142472458bb42bdce97bcc1241</v>
      </c>
      <c r="Y100" s="7">
        <v>43914.376118040142</v>
      </c>
      <c r="Z100" s="5">
        <v>43916</v>
      </c>
      <c r="AA100" s="5">
        <v>43933</v>
      </c>
      <c r="AB100" s="1" t="s">
        <v>844</v>
      </c>
      <c r="AC100" s="7">
        <v>43920.574652843621</v>
      </c>
      <c r="AD100" s="1" t="s">
        <v>119</v>
      </c>
      <c r="AE100" s="6">
        <v>7655.16</v>
      </c>
      <c r="AF100" s="7">
        <v>44196</v>
      </c>
      <c r="AG100" s="1" t="s">
        <v>867</v>
      </c>
      <c r="AH100" s="1" t="s">
        <v>236</v>
      </c>
    </row>
    <row r="101" spans="1:34" hidden="1" x14ac:dyDescent="0.25">
      <c r="A101" s="4">
        <v>117</v>
      </c>
      <c r="B101" s="2" t="str">
        <f>HYPERLINK("https://my.zakupki.prom.ua/remote/dispatcher/state_purchase_view/16183581", "UA-2020-04-09-001234-b")</f>
        <v>UA-2020-04-09-001234-b</v>
      </c>
      <c r="C101" s="1" t="s">
        <v>709</v>
      </c>
      <c r="D101" s="1" t="s">
        <v>89</v>
      </c>
      <c r="E101" s="1" t="s">
        <v>543</v>
      </c>
      <c r="F101" s="1" t="s">
        <v>560</v>
      </c>
      <c r="G101" s="1" t="s">
        <v>290</v>
      </c>
      <c r="H101" s="1" t="s">
        <v>715</v>
      </c>
      <c r="I101" s="5">
        <v>43930</v>
      </c>
      <c r="J101" s="7">
        <v>43943.597326388888</v>
      </c>
      <c r="K101" s="4">
        <v>2</v>
      </c>
      <c r="L101" s="6">
        <v>9172</v>
      </c>
      <c r="M101" s="4">
        <v>5</v>
      </c>
      <c r="N101" s="6">
        <v>1834.4</v>
      </c>
      <c r="O101" s="1" t="s">
        <v>859</v>
      </c>
      <c r="P101" s="1" t="s">
        <v>480</v>
      </c>
      <c r="Q101" s="1" t="s">
        <v>788</v>
      </c>
      <c r="R101" s="6">
        <v>7900</v>
      </c>
      <c r="S101" s="6">
        <v>1580</v>
      </c>
      <c r="T101" s="6">
        <v>1272</v>
      </c>
      <c r="U101" s="6">
        <v>0.13868294810292195</v>
      </c>
      <c r="V101" s="1" t="s">
        <v>756</v>
      </c>
      <c r="W101" s="1" t="s">
        <v>76</v>
      </c>
      <c r="X101" s="2" t="str">
        <f>HYPERLINK("https://auction.openprocurement.org/tenders/c49153626b7b4bc3b12bd989cc4dd662")</f>
        <v>https://auction.openprocurement.org/tenders/c49153626b7b4bc3b12bd989cc4dd662</v>
      </c>
      <c r="Y101" s="7">
        <v>43944.713661375223</v>
      </c>
      <c r="Z101" s="5">
        <v>43948</v>
      </c>
      <c r="AA101" s="5">
        <v>43966</v>
      </c>
      <c r="AB101" s="1" t="s">
        <v>844</v>
      </c>
      <c r="AC101" s="7">
        <v>43955.396352740892</v>
      </c>
      <c r="AD101" s="1" t="s">
        <v>245</v>
      </c>
      <c r="AE101" s="6">
        <v>7900</v>
      </c>
      <c r="AF101" s="7">
        <v>44196</v>
      </c>
      <c r="AG101" s="1" t="s">
        <v>867</v>
      </c>
      <c r="AH101" s="1" t="s">
        <v>78</v>
      </c>
    </row>
    <row r="102" spans="1:34" hidden="1" x14ac:dyDescent="0.25">
      <c r="A102" s="4">
        <v>118</v>
      </c>
      <c r="B102" s="2" t="str">
        <f>HYPERLINK("https://my.zakupki.prom.ua/remote/dispatcher/state_purchase_view/16182462", "UA-2020-04-09-001048-b")</f>
        <v>UA-2020-04-09-001048-b</v>
      </c>
      <c r="C102" s="1" t="s">
        <v>574</v>
      </c>
      <c r="D102" s="1" t="s">
        <v>385</v>
      </c>
      <c r="E102" s="1" t="s">
        <v>543</v>
      </c>
      <c r="F102" s="1" t="s">
        <v>560</v>
      </c>
      <c r="G102" s="1" t="s">
        <v>290</v>
      </c>
      <c r="H102" s="1" t="s">
        <v>715</v>
      </c>
      <c r="I102" s="5">
        <v>43930</v>
      </c>
      <c r="J102" s="1" t="s">
        <v>841</v>
      </c>
      <c r="K102" s="4">
        <v>1</v>
      </c>
      <c r="L102" s="6">
        <v>20823</v>
      </c>
      <c r="M102" s="4">
        <v>1</v>
      </c>
      <c r="N102" s="6">
        <v>20823</v>
      </c>
      <c r="O102" s="1" t="s">
        <v>850</v>
      </c>
      <c r="P102" s="1" t="s">
        <v>480</v>
      </c>
      <c r="Q102" s="1" t="s">
        <v>788</v>
      </c>
      <c r="R102" s="6">
        <v>16675</v>
      </c>
      <c r="S102" s="6">
        <v>16675</v>
      </c>
      <c r="T102" s="6">
        <v>4148</v>
      </c>
      <c r="U102" s="6">
        <v>0.19920280459107717</v>
      </c>
      <c r="V102" s="1" t="s">
        <v>807</v>
      </c>
      <c r="W102" s="1" t="s">
        <v>271</v>
      </c>
      <c r="X102" s="2"/>
      <c r="Y102" s="7">
        <v>43942.786767373822</v>
      </c>
      <c r="Z102" s="5">
        <v>43944</v>
      </c>
      <c r="AA102" s="5">
        <v>43965</v>
      </c>
      <c r="AB102" s="1" t="s">
        <v>844</v>
      </c>
      <c r="AC102" s="7">
        <v>43955.40573437405</v>
      </c>
      <c r="AD102" s="1" t="s">
        <v>255</v>
      </c>
      <c r="AE102" s="6">
        <v>16675</v>
      </c>
      <c r="AF102" s="7">
        <v>44196</v>
      </c>
      <c r="AG102" s="1" t="s">
        <v>867</v>
      </c>
      <c r="AH102" s="1" t="s">
        <v>272</v>
      </c>
    </row>
    <row r="103" spans="1:34" hidden="1" x14ac:dyDescent="0.25">
      <c r="A103" s="4">
        <v>119</v>
      </c>
      <c r="B103" s="2" t="str">
        <f>HYPERLINK("https://my.zakupki.prom.ua/remote/dispatcher/state_purchase_view/16668551", "UA-2020-05-14-002052-b")</f>
        <v>UA-2020-05-14-002052-b</v>
      </c>
      <c r="C103" s="1" t="s">
        <v>824</v>
      </c>
      <c r="D103" s="1" t="s">
        <v>394</v>
      </c>
      <c r="E103" s="1" t="s">
        <v>543</v>
      </c>
      <c r="F103" s="1" t="s">
        <v>560</v>
      </c>
      <c r="G103" s="1" t="s">
        <v>290</v>
      </c>
      <c r="H103" s="1" t="s">
        <v>714</v>
      </c>
      <c r="I103" s="5">
        <v>43965</v>
      </c>
      <c r="J103" s="7">
        <v>43976.494803240741</v>
      </c>
      <c r="K103" s="4">
        <v>3</v>
      </c>
      <c r="L103" s="6">
        <v>25200</v>
      </c>
      <c r="M103" s="4">
        <v>1</v>
      </c>
      <c r="N103" s="6">
        <v>25200</v>
      </c>
      <c r="O103" s="1" t="s">
        <v>850</v>
      </c>
      <c r="P103" s="1" t="s">
        <v>480</v>
      </c>
      <c r="Q103" s="1" t="s">
        <v>788</v>
      </c>
      <c r="R103" s="6">
        <v>18990</v>
      </c>
      <c r="S103" s="6">
        <v>18990</v>
      </c>
      <c r="T103" s="6">
        <v>6210</v>
      </c>
      <c r="U103" s="6">
        <v>0.24642857142857144</v>
      </c>
      <c r="V103" s="1" t="s">
        <v>739</v>
      </c>
      <c r="W103" s="1" t="s">
        <v>231</v>
      </c>
      <c r="X103" s="2" t="str">
        <f>HYPERLINK("https://auction.openprocurement.org/tenders/fc6688a9cdd04e1f90f5b013a17f9f28")</f>
        <v>https://auction.openprocurement.org/tenders/fc6688a9cdd04e1f90f5b013a17f9f28</v>
      </c>
      <c r="Y103" s="7">
        <v>43977.476689254909</v>
      </c>
      <c r="Z103" s="5">
        <v>43979</v>
      </c>
      <c r="AA103" s="5">
        <v>44001</v>
      </c>
      <c r="AB103" s="1" t="s">
        <v>844</v>
      </c>
      <c r="AC103" s="7">
        <v>43986.595735215691</v>
      </c>
      <c r="AD103" s="1" t="s">
        <v>283</v>
      </c>
      <c r="AE103" s="6">
        <v>21145.62</v>
      </c>
      <c r="AF103" s="7">
        <v>44196</v>
      </c>
      <c r="AG103" s="1" t="s">
        <v>867</v>
      </c>
      <c r="AH103" s="1" t="s">
        <v>273</v>
      </c>
    </row>
    <row r="104" spans="1:34" hidden="1" x14ac:dyDescent="0.25">
      <c r="A104" s="4">
        <v>120</v>
      </c>
      <c r="B104" s="2" t="str">
        <f>HYPERLINK("https://my.zakupki.prom.ua/remote/dispatcher/state_purchase_view/23841279", "UA-2021-02-10-000168-a")</f>
        <v>UA-2021-02-10-000168-a</v>
      </c>
      <c r="C104" s="1" t="s">
        <v>554</v>
      </c>
      <c r="D104" s="1" t="s">
        <v>200</v>
      </c>
      <c r="E104" s="1" t="s">
        <v>552</v>
      </c>
      <c r="F104" s="1" t="s">
        <v>560</v>
      </c>
      <c r="G104" s="1" t="s">
        <v>290</v>
      </c>
      <c r="H104" s="1" t="s">
        <v>492</v>
      </c>
      <c r="I104" s="5">
        <v>44237</v>
      </c>
      <c r="J104" s="1" t="s">
        <v>840</v>
      </c>
      <c r="K104" s="4">
        <v>1</v>
      </c>
      <c r="L104" s="6">
        <v>695</v>
      </c>
      <c r="M104" s="4">
        <v>1</v>
      </c>
      <c r="N104" s="6">
        <v>695</v>
      </c>
      <c r="O104" s="1" t="s">
        <v>871</v>
      </c>
      <c r="P104" s="1" t="s">
        <v>480</v>
      </c>
      <c r="Q104" s="1" t="s">
        <v>613</v>
      </c>
      <c r="R104" s="6">
        <v>695</v>
      </c>
      <c r="S104" s="6">
        <v>695</v>
      </c>
      <c r="T104" s="1"/>
      <c r="U104" s="1"/>
      <c r="V104" s="1" t="s">
        <v>765</v>
      </c>
      <c r="W104" s="1" t="s">
        <v>285</v>
      </c>
      <c r="X104" s="2"/>
      <c r="Y104" s="1"/>
      <c r="Z104" s="1"/>
      <c r="AA104" s="1"/>
      <c r="AB104" s="1" t="s">
        <v>844</v>
      </c>
      <c r="AC104" s="7">
        <v>44237.351203862549</v>
      </c>
      <c r="AD104" s="1" t="s">
        <v>462</v>
      </c>
      <c r="AE104" s="6">
        <v>695</v>
      </c>
      <c r="AF104" s="7">
        <v>44561</v>
      </c>
      <c r="AG104" s="1" t="s">
        <v>867</v>
      </c>
      <c r="AH104" s="1" t="s">
        <v>7</v>
      </c>
    </row>
    <row r="105" spans="1:34" hidden="1" x14ac:dyDescent="0.25">
      <c r="A105" s="4">
        <v>121</v>
      </c>
      <c r="B105" s="2" t="str">
        <f>HYPERLINK("https://my.zakupki.prom.ua/remote/dispatcher/state_purchase_view/25705763", "UA-2021-04-09-008498-a")</f>
        <v>UA-2021-04-09-008498-a</v>
      </c>
      <c r="C105" s="1" t="s">
        <v>828</v>
      </c>
      <c r="D105" s="1" t="s">
        <v>387</v>
      </c>
      <c r="E105" s="1" t="s">
        <v>552</v>
      </c>
      <c r="F105" s="1" t="s">
        <v>560</v>
      </c>
      <c r="G105" s="1" t="s">
        <v>290</v>
      </c>
      <c r="H105" s="1" t="s">
        <v>492</v>
      </c>
      <c r="I105" s="5">
        <v>44295</v>
      </c>
      <c r="J105" s="1" t="s">
        <v>840</v>
      </c>
      <c r="K105" s="4">
        <v>1</v>
      </c>
      <c r="L105" s="6">
        <v>131.04</v>
      </c>
      <c r="M105" s="4">
        <v>2</v>
      </c>
      <c r="N105" s="6">
        <v>65.52</v>
      </c>
      <c r="O105" s="1" t="s">
        <v>871</v>
      </c>
      <c r="P105" s="1" t="s">
        <v>480</v>
      </c>
      <c r="Q105" s="1" t="s">
        <v>788</v>
      </c>
      <c r="R105" s="6">
        <v>131.04</v>
      </c>
      <c r="S105" s="6">
        <v>65.52</v>
      </c>
      <c r="T105" s="1"/>
      <c r="U105" s="1"/>
      <c r="V105" s="1" t="s">
        <v>775</v>
      </c>
      <c r="W105" s="1" t="s">
        <v>234</v>
      </c>
      <c r="X105" s="2"/>
      <c r="Y105" s="1"/>
      <c r="Z105" s="1"/>
      <c r="AA105" s="1"/>
      <c r="AB105" s="1" t="s">
        <v>844</v>
      </c>
      <c r="AC105" s="7">
        <v>44295.877629615541</v>
      </c>
      <c r="AD105" s="1" t="s">
        <v>92</v>
      </c>
      <c r="AE105" s="6">
        <v>131.04</v>
      </c>
      <c r="AF105" s="7">
        <v>44316</v>
      </c>
      <c r="AG105" s="1" t="s">
        <v>867</v>
      </c>
      <c r="AH105" s="1" t="s">
        <v>7</v>
      </c>
    </row>
    <row r="106" spans="1:34" hidden="1" x14ac:dyDescent="0.25">
      <c r="A106" s="4">
        <v>122</v>
      </c>
      <c r="B106" s="2" t="str">
        <f>HYPERLINK("https://my.zakupki.prom.ua/remote/dispatcher/state_purchase_view/26240874", "UA-2021-04-28-005303-c")</f>
        <v>UA-2021-04-28-005303-c</v>
      </c>
      <c r="C106" s="1" t="s">
        <v>676</v>
      </c>
      <c r="D106" s="1" t="s">
        <v>470</v>
      </c>
      <c r="E106" s="1" t="s">
        <v>552</v>
      </c>
      <c r="F106" s="1" t="s">
        <v>560</v>
      </c>
      <c r="G106" s="1" t="s">
        <v>290</v>
      </c>
      <c r="H106" s="1" t="s">
        <v>492</v>
      </c>
      <c r="I106" s="5">
        <v>44314</v>
      </c>
      <c r="J106" s="1" t="s">
        <v>840</v>
      </c>
      <c r="K106" s="4">
        <v>1</v>
      </c>
      <c r="L106" s="6">
        <v>49074.36</v>
      </c>
      <c r="M106" s="4">
        <v>1</v>
      </c>
      <c r="N106" s="6">
        <v>49074.36</v>
      </c>
      <c r="O106" s="1" t="s">
        <v>863</v>
      </c>
      <c r="P106" s="1" t="s">
        <v>480</v>
      </c>
      <c r="Q106" s="1" t="s">
        <v>788</v>
      </c>
      <c r="R106" s="6">
        <v>49074.36</v>
      </c>
      <c r="S106" s="6">
        <v>49074.36</v>
      </c>
      <c r="T106" s="1"/>
      <c r="U106" s="1"/>
      <c r="V106" s="1" t="s">
        <v>778</v>
      </c>
      <c r="W106" s="1" t="s">
        <v>374</v>
      </c>
      <c r="X106" s="2"/>
      <c r="Y106" s="1"/>
      <c r="Z106" s="1"/>
      <c r="AA106" s="1"/>
      <c r="AB106" s="1" t="s">
        <v>844</v>
      </c>
      <c r="AC106" s="7">
        <v>44314.727259651641</v>
      </c>
      <c r="AD106" s="1" t="s">
        <v>172</v>
      </c>
      <c r="AE106" s="6">
        <v>49074.36</v>
      </c>
      <c r="AF106" s="7">
        <v>44344</v>
      </c>
      <c r="AG106" s="1" t="s">
        <v>867</v>
      </c>
      <c r="AH106" s="1" t="s">
        <v>7</v>
      </c>
    </row>
    <row r="107" spans="1:34" hidden="1" x14ac:dyDescent="0.25">
      <c r="A107" s="4">
        <v>123</v>
      </c>
      <c r="B107" s="2" t="str">
        <f>HYPERLINK("https://my.zakupki.prom.ua/remote/dispatcher/state_purchase_view/26399557", "UA-2021-05-10-000221-a")</f>
        <v>UA-2021-05-10-000221-a</v>
      </c>
      <c r="C107" s="1" t="s">
        <v>624</v>
      </c>
      <c r="D107" s="1" t="s">
        <v>216</v>
      </c>
      <c r="E107" s="1" t="s">
        <v>552</v>
      </c>
      <c r="F107" s="1" t="s">
        <v>560</v>
      </c>
      <c r="G107" s="1" t="s">
        <v>290</v>
      </c>
      <c r="H107" s="1" t="s">
        <v>492</v>
      </c>
      <c r="I107" s="5">
        <v>44326</v>
      </c>
      <c r="J107" s="1" t="s">
        <v>840</v>
      </c>
      <c r="K107" s="4">
        <v>1</v>
      </c>
      <c r="L107" s="6">
        <v>1980</v>
      </c>
      <c r="M107" s="4">
        <v>20</v>
      </c>
      <c r="N107" s="6">
        <v>99</v>
      </c>
      <c r="O107" s="1" t="s">
        <v>852</v>
      </c>
      <c r="P107" s="1" t="s">
        <v>480</v>
      </c>
      <c r="Q107" s="1" t="s">
        <v>613</v>
      </c>
      <c r="R107" s="6">
        <v>1980</v>
      </c>
      <c r="S107" s="6">
        <v>99</v>
      </c>
      <c r="T107" s="1"/>
      <c r="U107" s="1"/>
      <c r="V107" s="1" t="s">
        <v>817</v>
      </c>
      <c r="W107" s="1" t="s">
        <v>237</v>
      </c>
      <c r="X107" s="2"/>
      <c r="Y107" s="1"/>
      <c r="Z107" s="1"/>
      <c r="AA107" s="1"/>
      <c r="AB107" s="1" t="s">
        <v>844</v>
      </c>
      <c r="AC107" s="7">
        <v>44326.768926592304</v>
      </c>
      <c r="AD107" s="1" t="s">
        <v>24</v>
      </c>
      <c r="AE107" s="6">
        <v>1980</v>
      </c>
      <c r="AF107" s="7">
        <v>44561</v>
      </c>
      <c r="AG107" s="1" t="s">
        <v>867</v>
      </c>
      <c r="AH107" s="1" t="s">
        <v>7</v>
      </c>
    </row>
    <row r="108" spans="1:34" hidden="1" x14ac:dyDescent="0.25">
      <c r="A108" s="4">
        <v>124</v>
      </c>
      <c r="B108" s="2" t="str">
        <f>HYPERLINK("https://my.zakupki.prom.ua/remote/dispatcher/state_purchase_view/6507484", "UA-2018-03-14-001615-c")</f>
        <v>UA-2018-03-14-001615-c</v>
      </c>
      <c r="C108" s="1" t="s">
        <v>511</v>
      </c>
      <c r="D108" s="1" t="s">
        <v>466</v>
      </c>
      <c r="E108" s="1" t="s">
        <v>641</v>
      </c>
      <c r="F108" s="1" t="s">
        <v>560</v>
      </c>
      <c r="G108" s="1" t="s">
        <v>290</v>
      </c>
      <c r="H108" s="1" t="s">
        <v>717</v>
      </c>
      <c r="I108" s="5">
        <v>43173</v>
      </c>
      <c r="J108" s="1" t="s">
        <v>840</v>
      </c>
      <c r="K108" s="4">
        <v>1</v>
      </c>
      <c r="L108" s="6">
        <v>6540</v>
      </c>
      <c r="M108" s="4">
        <v>2000</v>
      </c>
      <c r="N108" s="6">
        <v>3.27</v>
      </c>
      <c r="O108" s="1" t="s">
        <v>854</v>
      </c>
      <c r="P108" s="1" t="s">
        <v>480</v>
      </c>
      <c r="Q108" s="1" t="s">
        <v>788</v>
      </c>
      <c r="R108" s="6">
        <v>6540</v>
      </c>
      <c r="S108" s="6">
        <v>3.27</v>
      </c>
      <c r="T108" s="1"/>
      <c r="U108" s="1"/>
      <c r="V108" s="1" t="s">
        <v>5</v>
      </c>
      <c r="W108" s="1" t="s">
        <v>292</v>
      </c>
      <c r="X108" s="2"/>
      <c r="Y108" s="1"/>
      <c r="Z108" s="5">
        <v>43207</v>
      </c>
      <c r="AA108" s="5">
        <v>43222</v>
      </c>
      <c r="AB108" s="1" t="s">
        <v>844</v>
      </c>
      <c r="AC108" s="7">
        <v>43207.459328198878</v>
      </c>
      <c r="AD108" s="1" t="s">
        <v>141</v>
      </c>
      <c r="AE108" s="6">
        <v>6540</v>
      </c>
      <c r="AF108" s="7">
        <v>43465</v>
      </c>
      <c r="AG108" s="1" t="s">
        <v>867</v>
      </c>
      <c r="AH108" s="1" t="s">
        <v>7</v>
      </c>
    </row>
    <row r="109" spans="1:34" x14ac:dyDescent="0.25">
      <c r="A109" s="4">
        <v>125</v>
      </c>
      <c r="B109" s="2" t="str">
        <f>HYPERLINK("https://my.zakupki.prom.ua/remote/dispatcher/state_purchase_view/11859893", "UA-2019-06-07-001080-b")</f>
        <v>UA-2019-06-07-001080-b</v>
      </c>
      <c r="C109" s="1" t="s">
        <v>538</v>
      </c>
      <c r="D109" s="1" t="s">
        <v>474</v>
      </c>
      <c r="E109" s="1" t="s">
        <v>552</v>
      </c>
      <c r="F109" s="1" t="s">
        <v>560</v>
      </c>
      <c r="G109" s="1" t="s">
        <v>290</v>
      </c>
      <c r="H109" s="1" t="s">
        <v>717</v>
      </c>
      <c r="I109" s="5">
        <v>43623</v>
      </c>
      <c r="J109" s="1" t="s">
        <v>840</v>
      </c>
      <c r="K109" s="4">
        <v>1</v>
      </c>
      <c r="L109" s="6">
        <v>2343.9699999999998</v>
      </c>
      <c r="M109" s="4">
        <v>1</v>
      </c>
      <c r="N109" s="6">
        <v>2343.9699999999998</v>
      </c>
      <c r="O109" s="1" t="s">
        <v>863</v>
      </c>
      <c r="P109" s="1" t="s">
        <v>480</v>
      </c>
      <c r="Q109" s="1" t="s">
        <v>788</v>
      </c>
      <c r="R109" s="6">
        <v>2343.9699999999998</v>
      </c>
      <c r="S109" s="6">
        <v>2343.9699999999998</v>
      </c>
      <c r="T109" s="1"/>
      <c r="U109" s="1"/>
      <c r="V109" s="1" t="s">
        <v>516</v>
      </c>
      <c r="W109" s="1" t="s">
        <v>302</v>
      </c>
      <c r="X109" s="2"/>
      <c r="Y109" s="1"/>
      <c r="Z109" s="1"/>
      <c r="AA109" s="1"/>
      <c r="AB109" s="1" t="s">
        <v>844</v>
      </c>
      <c r="AC109" s="7">
        <v>43623.520103273244</v>
      </c>
      <c r="AD109" s="1" t="s">
        <v>67</v>
      </c>
      <c r="AE109" s="6">
        <v>2343.9699999999998</v>
      </c>
      <c r="AF109" s="7">
        <v>43830</v>
      </c>
      <c r="AG109" s="1" t="s">
        <v>867</v>
      </c>
      <c r="AH109" s="1" t="s">
        <v>7</v>
      </c>
    </row>
    <row r="110" spans="1:34" x14ac:dyDescent="0.25">
      <c r="A110" s="4">
        <v>126</v>
      </c>
      <c r="B110" s="2" t="str">
        <f>HYPERLINK("https://my.zakupki.prom.ua/remote/dispatcher/state_purchase_view/12712703", "UA-2019-09-03-001226-b")</f>
        <v>UA-2019-09-03-001226-b</v>
      </c>
      <c r="C110" s="1" t="s">
        <v>618</v>
      </c>
      <c r="D110" s="1" t="s">
        <v>472</v>
      </c>
      <c r="E110" s="1" t="s">
        <v>552</v>
      </c>
      <c r="F110" s="1" t="s">
        <v>560</v>
      </c>
      <c r="G110" s="1" t="s">
        <v>290</v>
      </c>
      <c r="H110" s="1" t="s">
        <v>715</v>
      </c>
      <c r="I110" s="5">
        <v>43711</v>
      </c>
      <c r="J110" s="1" t="s">
        <v>840</v>
      </c>
      <c r="K110" s="4">
        <v>1</v>
      </c>
      <c r="L110" s="6">
        <v>17094.060000000001</v>
      </c>
      <c r="M110" s="4">
        <v>1</v>
      </c>
      <c r="N110" s="6">
        <v>17094.060000000001</v>
      </c>
      <c r="O110" s="1" t="s">
        <v>863</v>
      </c>
      <c r="P110" s="1" t="s">
        <v>480</v>
      </c>
      <c r="Q110" s="1" t="s">
        <v>788</v>
      </c>
      <c r="R110" s="6">
        <v>17094.060000000001</v>
      </c>
      <c r="S110" s="6">
        <v>17094.060000000001</v>
      </c>
      <c r="T110" s="1"/>
      <c r="U110" s="1"/>
      <c r="V110" s="1" t="s">
        <v>487</v>
      </c>
      <c r="W110" s="1" t="s">
        <v>259</v>
      </c>
      <c r="X110" s="2"/>
      <c r="Y110" s="1"/>
      <c r="Z110" s="1"/>
      <c r="AA110" s="1"/>
      <c r="AB110" s="1" t="s">
        <v>844</v>
      </c>
      <c r="AC110" s="7">
        <v>43711.617225280628</v>
      </c>
      <c r="AD110" s="1" t="s">
        <v>457</v>
      </c>
      <c r="AE110" s="6">
        <v>17094.060000000001</v>
      </c>
      <c r="AF110" s="7">
        <v>43830</v>
      </c>
      <c r="AG110" s="1" t="s">
        <v>867</v>
      </c>
      <c r="AH110" s="1" t="s">
        <v>7</v>
      </c>
    </row>
    <row r="111" spans="1:34" x14ac:dyDescent="0.25">
      <c r="A111" s="4">
        <v>127</v>
      </c>
      <c r="B111" s="2" t="str">
        <f>HYPERLINK("https://my.zakupki.prom.ua/remote/dispatcher/state_purchase_view/12713259", "UA-2019-09-03-001326-b")</f>
        <v>UA-2019-09-03-001326-b</v>
      </c>
      <c r="C111" s="1" t="s">
        <v>684</v>
      </c>
      <c r="D111" s="1" t="s">
        <v>472</v>
      </c>
      <c r="E111" s="1" t="s">
        <v>552</v>
      </c>
      <c r="F111" s="1" t="s">
        <v>560</v>
      </c>
      <c r="G111" s="1" t="s">
        <v>290</v>
      </c>
      <c r="H111" s="1" t="s">
        <v>715</v>
      </c>
      <c r="I111" s="5">
        <v>43711</v>
      </c>
      <c r="J111" s="1" t="s">
        <v>840</v>
      </c>
      <c r="K111" s="4">
        <v>1</v>
      </c>
      <c r="L111" s="6">
        <v>23431.69</v>
      </c>
      <c r="M111" s="4">
        <v>1</v>
      </c>
      <c r="N111" s="6">
        <v>23431.69</v>
      </c>
      <c r="O111" s="1" t="s">
        <v>863</v>
      </c>
      <c r="P111" s="1" t="s">
        <v>480</v>
      </c>
      <c r="Q111" s="1" t="s">
        <v>788</v>
      </c>
      <c r="R111" s="6">
        <v>23431.69</v>
      </c>
      <c r="S111" s="6">
        <v>23431.69</v>
      </c>
      <c r="T111" s="1"/>
      <c r="U111" s="1"/>
      <c r="V111" s="1" t="s">
        <v>487</v>
      </c>
      <c r="W111" s="1" t="s">
        <v>259</v>
      </c>
      <c r="X111" s="2"/>
      <c r="Y111" s="1"/>
      <c r="Z111" s="1"/>
      <c r="AA111" s="1"/>
      <c r="AB111" s="1" t="s">
        <v>844</v>
      </c>
      <c r="AC111" s="7">
        <v>43711.614131219205</v>
      </c>
      <c r="AD111" s="1" t="s">
        <v>460</v>
      </c>
      <c r="AE111" s="6">
        <v>23431.69</v>
      </c>
      <c r="AF111" s="7">
        <v>43830</v>
      </c>
      <c r="AG111" s="1" t="s">
        <v>867</v>
      </c>
      <c r="AH111" s="1" t="s">
        <v>7</v>
      </c>
    </row>
    <row r="112" spans="1:34" hidden="1" x14ac:dyDescent="0.25">
      <c r="A112" s="4">
        <v>131</v>
      </c>
      <c r="B112" s="2" t="str">
        <f>HYPERLINK("https://my.zakupki.prom.ua/remote/dispatcher/state_purchase_view/23782934", "UA-2021-02-08-012067-a")</f>
        <v>UA-2021-02-08-012067-a</v>
      </c>
      <c r="C112" s="1" t="s">
        <v>506</v>
      </c>
      <c r="D112" s="1" t="s">
        <v>81</v>
      </c>
      <c r="E112" s="1" t="s">
        <v>552</v>
      </c>
      <c r="F112" s="1" t="s">
        <v>560</v>
      </c>
      <c r="G112" s="1" t="s">
        <v>290</v>
      </c>
      <c r="H112" s="1" t="s">
        <v>492</v>
      </c>
      <c r="I112" s="5">
        <v>44235</v>
      </c>
      <c r="J112" s="1" t="s">
        <v>840</v>
      </c>
      <c r="K112" s="4">
        <v>1</v>
      </c>
      <c r="L112" s="6">
        <v>4000</v>
      </c>
      <c r="M112" s="4">
        <v>10</v>
      </c>
      <c r="N112" s="6">
        <v>400</v>
      </c>
      <c r="O112" s="1" t="s">
        <v>869</v>
      </c>
      <c r="P112" s="1" t="s">
        <v>480</v>
      </c>
      <c r="Q112" s="1" t="s">
        <v>788</v>
      </c>
      <c r="R112" s="6">
        <v>4000</v>
      </c>
      <c r="S112" s="6">
        <v>400</v>
      </c>
      <c r="T112" s="1"/>
      <c r="U112" s="1"/>
      <c r="V112" s="1" t="s">
        <v>635</v>
      </c>
      <c r="W112" s="1" t="s">
        <v>262</v>
      </c>
      <c r="X112" s="2"/>
      <c r="Y112" s="1"/>
      <c r="Z112" s="1"/>
      <c r="AA112" s="1"/>
      <c r="AB112" s="1" t="s">
        <v>844</v>
      </c>
      <c r="AC112" s="7">
        <v>44235.720213484215</v>
      </c>
      <c r="AD112" s="1" t="s">
        <v>13</v>
      </c>
      <c r="AE112" s="6">
        <v>4000</v>
      </c>
      <c r="AF112" s="7">
        <v>44561</v>
      </c>
      <c r="AG112" s="1" t="s">
        <v>867</v>
      </c>
      <c r="AH112" s="1" t="s">
        <v>7</v>
      </c>
    </row>
    <row r="113" spans="1:34" x14ac:dyDescent="0.25">
      <c r="A113" s="4">
        <v>132</v>
      </c>
      <c r="B113" s="2" t="str">
        <f>HYPERLINK("https://my.zakupki.prom.ua/remote/dispatcher/state_purchase_view/12466097", "UA-2019-08-07-002953-b")</f>
        <v>UA-2019-08-07-002953-b</v>
      </c>
      <c r="C113" s="1" t="s">
        <v>704</v>
      </c>
      <c r="D113" s="1" t="s">
        <v>98</v>
      </c>
      <c r="E113" s="1" t="s">
        <v>543</v>
      </c>
      <c r="F113" s="1" t="s">
        <v>560</v>
      </c>
      <c r="G113" s="1" t="s">
        <v>290</v>
      </c>
      <c r="H113" s="1" t="s">
        <v>715</v>
      </c>
      <c r="I113" s="5">
        <v>43684</v>
      </c>
      <c r="J113" s="7">
        <v>43696.482604166667</v>
      </c>
      <c r="K113" s="4">
        <v>9</v>
      </c>
      <c r="L113" s="6">
        <v>20000</v>
      </c>
      <c r="M113" s="4">
        <v>840</v>
      </c>
      <c r="N113" s="6">
        <v>23.81</v>
      </c>
      <c r="O113" s="1" t="s">
        <v>861</v>
      </c>
      <c r="P113" s="1" t="s">
        <v>480</v>
      </c>
      <c r="Q113" s="1" t="s">
        <v>788</v>
      </c>
      <c r="R113" s="6">
        <v>8740.7999999999993</v>
      </c>
      <c r="S113" s="6">
        <v>10.405714285714286</v>
      </c>
      <c r="T113" s="6">
        <v>11259.2</v>
      </c>
      <c r="U113" s="6">
        <v>0.56296000000000002</v>
      </c>
      <c r="V113" s="1" t="s">
        <v>759</v>
      </c>
      <c r="W113" s="1" t="s">
        <v>109</v>
      </c>
      <c r="X113" s="2" t="str">
        <f>HYPERLINK("https://auction.openprocurement.org/tenders/a6f1fb760f964ac686e0079c768ce327")</f>
        <v>https://auction.openprocurement.org/tenders/a6f1fb760f964ac686e0079c768ce327</v>
      </c>
      <c r="Y113" s="7">
        <v>43712.572807107339</v>
      </c>
      <c r="Z113" s="5">
        <v>43714</v>
      </c>
      <c r="AA113" s="5">
        <v>43719</v>
      </c>
      <c r="AB113" s="1" t="s">
        <v>844</v>
      </c>
      <c r="AC113" s="7">
        <v>43731.436698191959</v>
      </c>
      <c r="AD113" s="1" t="s">
        <v>57</v>
      </c>
      <c r="AE113" s="6">
        <v>9900</v>
      </c>
      <c r="AF113" s="7">
        <v>43830</v>
      </c>
      <c r="AG113" s="1" t="s">
        <v>867</v>
      </c>
      <c r="AH113" s="1" t="s">
        <v>338</v>
      </c>
    </row>
    <row r="114" spans="1:34" x14ac:dyDescent="0.25">
      <c r="A114" s="4">
        <v>133</v>
      </c>
      <c r="B114" s="2" t="str">
        <f>HYPERLINK("https://my.zakupki.prom.ua/remote/dispatcher/state_purchase_view/12623954", "UA-2019-08-22-002271-c")</f>
        <v>UA-2019-08-22-002271-c</v>
      </c>
      <c r="C114" s="1" t="s">
        <v>627</v>
      </c>
      <c r="D114" s="1" t="s">
        <v>314</v>
      </c>
      <c r="E114" s="1" t="s">
        <v>543</v>
      </c>
      <c r="F114" s="1" t="s">
        <v>560</v>
      </c>
      <c r="G114" s="1" t="s">
        <v>290</v>
      </c>
      <c r="H114" s="1" t="s">
        <v>715</v>
      </c>
      <c r="I114" s="5">
        <v>43699</v>
      </c>
      <c r="J114" s="1" t="s">
        <v>841</v>
      </c>
      <c r="K114" s="4">
        <v>1</v>
      </c>
      <c r="L114" s="6">
        <v>45000</v>
      </c>
      <c r="M114" s="4">
        <v>1</v>
      </c>
      <c r="N114" s="6">
        <v>45000</v>
      </c>
      <c r="O114" s="1" t="s">
        <v>850</v>
      </c>
      <c r="P114" s="1" t="s">
        <v>480</v>
      </c>
      <c r="Q114" s="1" t="s">
        <v>788</v>
      </c>
      <c r="R114" s="6">
        <v>44010.75</v>
      </c>
      <c r="S114" s="6">
        <v>44010.75</v>
      </c>
      <c r="T114" s="6">
        <v>989.25</v>
      </c>
      <c r="U114" s="6">
        <v>2.1983333333333334E-2</v>
      </c>
      <c r="V114" s="1" t="s">
        <v>736</v>
      </c>
      <c r="W114" s="1" t="s">
        <v>281</v>
      </c>
      <c r="X114" s="2"/>
      <c r="Y114" s="7">
        <v>43711.479156684436</v>
      </c>
      <c r="Z114" s="5">
        <v>43713</v>
      </c>
      <c r="AA114" s="5">
        <v>43735</v>
      </c>
      <c r="AB114" s="1" t="s">
        <v>844</v>
      </c>
      <c r="AC114" s="7">
        <v>43724.586153929951</v>
      </c>
      <c r="AD114" s="1" t="s">
        <v>63</v>
      </c>
      <c r="AE114" s="6">
        <v>44010.75</v>
      </c>
      <c r="AF114" s="7">
        <v>43830</v>
      </c>
      <c r="AG114" s="1" t="s">
        <v>867</v>
      </c>
      <c r="AH114" s="1" t="s">
        <v>282</v>
      </c>
    </row>
    <row r="115" spans="1:34" hidden="1" x14ac:dyDescent="0.25">
      <c r="A115" s="4">
        <v>134</v>
      </c>
      <c r="B115" s="2" t="str">
        <f>HYPERLINK("https://my.zakupki.prom.ua/remote/dispatcher/state_purchase_view/18326101", "UA-2020-08-05-003892-a")</f>
        <v>UA-2020-08-05-003892-a</v>
      </c>
      <c r="C115" s="1" t="s">
        <v>494</v>
      </c>
      <c r="D115" s="1" t="s">
        <v>32</v>
      </c>
      <c r="E115" s="1" t="s">
        <v>543</v>
      </c>
      <c r="F115" s="1" t="s">
        <v>560</v>
      </c>
      <c r="G115" s="1" t="s">
        <v>290</v>
      </c>
      <c r="H115" s="1" t="s">
        <v>714</v>
      </c>
      <c r="I115" s="5">
        <v>44048</v>
      </c>
      <c r="J115" s="7">
        <v>44062.598321759258</v>
      </c>
      <c r="K115" s="4">
        <v>3</v>
      </c>
      <c r="L115" s="6">
        <v>13000</v>
      </c>
      <c r="M115" s="4">
        <v>500</v>
      </c>
      <c r="N115" s="6">
        <v>26</v>
      </c>
      <c r="O115" s="1" t="s">
        <v>851</v>
      </c>
      <c r="P115" s="1" t="s">
        <v>480</v>
      </c>
      <c r="Q115" s="1" t="s">
        <v>788</v>
      </c>
      <c r="R115" s="6">
        <v>9240</v>
      </c>
      <c r="S115" s="6">
        <v>18.48</v>
      </c>
      <c r="T115" s="6">
        <v>3760</v>
      </c>
      <c r="U115" s="6">
        <v>0.28923076923076924</v>
      </c>
      <c r="V115" s="1" t="s">
        <v>750</v>
      </c>
      <c r="W115" s="1" t="s">
        <v>376</v>
      </c>
      <c r="X115" s="2" t="str">
        <f>HYPERLINK("https://auction.openprocurement.org/tenders/75206d6be60143eba6bafd835361d963")</f>
        <v>https://auction.openprocurement.org/tenders/75206d6be60143eba6bafd835361d963</v>
      </c>
      <c r="Y115" s="7">
        <v>44064.499049235106</v>
      </c>
      <c r="Z115" s="5">
        <v>44069</v>
      </c>
      <c r="AA115" s="5">
        <v>44086</v>
      </c>
      <c r="AB115" s="1" t="s">
        <v>844</v>
      </c>
      <c r="AC115" s="7">
        <v>44074.414878522584</v>
      </c>
      <c r="AD115" s="1" t="s">
        <v>403</v>
      </c>
      <c r="AE115" s="6">
        <v>9240</v>
      </c>
      <c r="AF115" s="7">
        <v>44196</v>
      </c>
      <c r="AG115" s="1" t="s">
        <v>867</v>
      </c>
      <c r="AH115" s="1" t="s">
        <v>378</v>
      </c>
    </row>
    <row r="116" spans="1:34" hidden="1" x14ac:dyDescent="0.25">
      <c r="A116" s="4">
        <v>135</v>
      </c>
      <c r="B116" s="2" t="str">
        <f>HYPERLINK("https://my.zakupki.prom.ua/remote/dispatcher/state_purchase_view/15955385", "UA-2020-03-25-001709-b")</f>
        <v>UA-2020-03-25-001709-b</v>
      </c>
      <c r="C116" s="1" t="s">
        <v>686</v>
      </c>
      <c r="D116" s="1" t="s">
        <v>441</v>
      </c>
      <c r="E116" s="1" t="s">
        <v>552</v>
      </c>
      <c r="F116" s="1" t="s">
        <v>560</v>
      </c>
      <c r="G116" s="1" t="s">
        <v>290</v>
      </c>
      <c r="H116" s="1" t="s">
        <v>715</v>
      </c>
      <c r="I116" s="5">
        <v>43915</v>
      </c>
      <c r="J116" s="1" t="s">
        <v>840</v>
      </c>
      <c r="K116" s="4">
        <v>1</v>
      </c>
      <c r="L116" s="6">
        <v>4800</v>
      </c>
      <c r="M116" s="4">
        <v>1</v>
      </c>
      <c r="N116" s="6">
        <v>4800</v>
      </c>
      <c r="O116" s="1" t="s">
        <v>863</v>
      </c>
      <c r="P116" s="1" t="s">
        <v>480</v>
      </c>
      <c r="Q116" s="1" t="s">
        <v>613</v>
      </c>
      <c r="R116" s="6">
        <v>4800</v>
      </c>
      <c r="S116" s="6">
        <v>4800</v>
      </c>
      <c r="T116" s="1"/>
      <c r="U116" s="1"/>
      <c r="V116" s="1" t="s">
        <v>783</v>
      </c>
      <c r="W116" s="1" t="s">
        <v>266</v>
      </c>
      <c r="X116" s="2"/>
      <c r="Y116" s="1"/>
      <c r="Z116" s="1"/>
      <c r="AA116" s="1"/>
      <c r="AB116" s="1" t="s">
        <v>844</v>
      </c>
      <c r="AC116" s="7">
        <v>43915.541771866745</v>
      </c>
      <c r="AD116" s="1" t="s">
        <v>123</v>
      </c>
      <c r="AE116" s="6">
        <v>4800</v>
      </c>
      <c r="AF116" s="7">
        <v>44196</v>
      </c>
      <c r="AG116" s="1" t="s">
        <v>867</v>
      </c>
      <c r="AH116" s="1" t="s">
        <v>7</v>
      </c>
    </row>
    <row r="117" spans="1:34" hidden="1" x14ac:dyDescent="0.25">
      <c r="A117" s="4">
        <v>136</v>
      </c>
      <c r="B117" s="2" t="str">
        <f>HYPERLINK("https://my.zakupki.prom.ua/remote/dispatcher/state_purchase_view/16496687", "UA-2020-04-28-002627-b")</f>
        <v>UA-2020-04-28-002627-b</v>
      </c>
      <c r="C117" s="1" t="s">
        <v>509</v>
      </c>
      <c r="D117" s="1" t="s">
        <v>437</v>
      </c>
      <c r="E117" s="1" t="s">
        <v>552</v>
      </c>
      <c r="F117" s="1" t="s">
        <v>560</v>
      </c>
      <c r="G117" s="1" t="s">
        <v>290</v>
      </c>
      <c r="H117" s="1" t="s">
        <v>714</v>
      </c>
      <c r="I117" s="5">
        <v>43949</v>
      </c>
      <c r="J117" s="1" t="s">
        <v>840</v>
      </c>
      <c r="K117" s="4">
        <v>1</v>
      </c>
      <c r="L117" s="6">
        <v>2250</v>
      </c>
      <c r="M117" s="4">
        <v>1</v>
      </c>
      <c r="N117" s="6">
        <v>2250</v>
      </c>
      <c r="O117" s="1" t="s">
        <v>868</v>
      </c>
      <c r="P117" s="1" t="s">
        <v>480</v>
      </c>
      <c r="Q117" s="1" t="s">
        <v>788</v>
      </c>
      <c r="R117" s="6">
        <v>2250</v>
      </c>
      <c r="S117" s="6">
        <v>2250</v>
      </c>
      <c r="T117" s="1"/>
      <c r="U117" s="1"/>
      <c r="V117" s="1" t="s">
        <v>771</v>
      </c>
      <c r="W117" s="1" t="s">
        <v>336</v>
      </c>
      <c r="X117" s="2"/>
      <c r="Y117" s="1"/>
      <c r="Z117" s="1"/>
      <c r="AA117" s="1"/>
      <c r="AB117" s="1" t="s">
        <v>844</v>
      </c>
      <c r="AC117" s="7">
        <v>43949.68950311446</v>
      </c>
      <c r="AD117" s="1" t="s">
        <v>223</v>
      </c>
      <c r="AE117" s="6">
        <v>2250</v>
      </c>
      <c r="AF117" s="7">
        <v>44196</v>
      </c>
      <c r="AG117" s="1" t="s">
        <v>867</v>
      </c>
      <c r="AH117" s="1" t="s">
        <v>7</v>
      </c>
    </row>
    <row r="118" spans="1:34" hidden="1" x14ac:dyDescent="0.25">
      <c r="A118" s="4">
        <v>137</v>
      </c>
      <c r="B118" s="2" t="str">
        <f>HYPERLINK("https://my.zakupki.prom.ua/remote/dispatcher/state_purchase_view/17945472", "UA-2020-07-17-001383-b")</f>
        <v>UA-2020-07-17-001383-b</v>
      </c>
      <c r="C118" s="1" t="s">
        <v>699</v>
      </c>
      <c r="D118" s="1" t="s">
        <v>401</v>
      </c>
      <c r="E118" s="1" t="s">
        <v>552</v>
      </c>
      <c r="F118" s="1" t="s">
        <v>560</v>
      </c>
      <c r="G118" s="1" t="s">
        <v>290</v>
      </c>
      <c r="H118" s="1" t="s">
        <v>714</v>
      </c>
      <c r="I118" s="5">
        <v>44029</v>
      </c>
      <c r="J118" s="1" t="s">
        <v>840</v>
      </c>
      <c r="K118" s="4">
        <v>1</v>
      </c>
      <c r="L118" s="6">
        <v>613.85</v>
      </c>
      <c r="M118" s="4">
        <v>1</v>
      </c>
      <c r="N118" s="6">
        <v>613.85</v>
      </c>
      <c r="O118" s="1" t="s">
        <v>863</v>
      </c>
      <c r="P118" s="1" t="s">
        <v>480</v>
      </c>
      <c r="Q118" s="1" t="s">
        <v>788</v>
      </c>
      <c r="R118" s="6">
        <v>613.85</v>
      </c>
      <c r="S118" s="6">
        <v>613.85</v>
      </c>
      <c r="T118" s="1"/>
      <c r="U118" s="1"/>
      <c r="V118" s="1" t="s">
        <v>488</v>
      </c>
      <c r="W118" s="1" t="s">
        <v>142</v>
      </c>
      <c r="X118" s="2"/>
      <c r="Y118" s="1"/>
      <c r="Z118" s="1"/>
      <c r="AA118" s="1"/>
      <c r="AB118" s="1" t="s">
        <v>844</v>
      </c>
      <c r="AC118" s="7">
        <v>44029.495075810089</v>
      </c>
      <c r="AD118" s="1" t="s">
        <v>409</v>
      </c>
      <c r="AE118" s="6">
        <v>613.85</v>
      </c>
      <c r="AF118" s="7">
        <v>44196</v>
      </c>
      <c r="AG118" s="1" t="s">
        <v>867</v>
      </c>
      <c r="AH118" s="1" t="s">
        <v>7</v>
      </c>
    </row>
    <row r="119" spans="1:34" hidden="1" x14ac:dyDescent="0.25">
      <c r="A119" s="4">
        <v>138</v>
      </c>
      <c r="B119" s="2" t="str">
        <f>HYPERLINK("https://my.zakupki.prom.ua/remote/dispatcher/state_purchase_view/24128211", "UA-2021-02-17-005803-b")</f>
        <v>UA-2021-02-17-005803-b</v>
      </c>
      <c r="C119" s="1" t="s">
        <v>586</v>
      </c>
      <c r="D119" s="1" t="s">
        <v>392</v>
      </c>
      <c r="E119" s="1" t="s">
        <v>552</v>
      </c>
      <c r="F119" s="1" t="s">
        <v>560</v>
      </c>
      <c r="G119" s="1" t="s">
        <v>290</v>
      </c>
      <c r="H119" s="1" t="s">
        <v>714</v>
      </c>
      <c r="I119" s="5">
        <v>44244</v>
      </c>
      <c r="J119" s="1" t="s">
        <v>840</v>
      </c>
      <c r="K119" s="4">
        <v>1</v>
      </c>
      <c r="L119" s="6">
        <v>2895.72</v>
      </c>
      <c r="M119" s="4">
        <v>8</v>
      </c>
      <c r="N119" s="6">
        <v>361.96</v>
      </c>
      <c r="O119" s="1" t="s">
        <v>871</v>
      </c>
      <c r="P119" s="1" t="s">
        <v>480</v>
      </c>
      <c r="Q119" s="1" t="s">
        <v>788</v>
      </c>
      <c r="R119" s="6">
        <v>2895.72</v>
      </c>
      <c r="S119" s="6">
        <v>361.96499999999997</v>
      </c>
      <c r="T119" s="1"/>
      <c r="U119" s="1"/>
      <c r="V119" s="1" t="s">
        <v>775</v>
      </c>
      <c r="W119" s="1" t="s">
        <v>234</v>
      </c>
      <c r="X119" s="2"/>
      <c r="Y119" s="1"/>
      <c r="Z119" s="1"/>
      <c r="AA119" s="1"/>
      <c r="AB119" s="1" t="s">
        <v>844</v>
      </c>
      <c r="AC119" s="7">
        <v>44244.763359088611</v>
      </c>
      <c r="AD119" s="1" t="s">
        <v>330</v>
      </c>
      <c r="AE119" s="6">
        <v>2895.72</v>
      </c>
      <c r="AF119" s="7">
        <v>44255</v>
      </c>
      <c r="AG119" s="1" t="s">
        <v>867</v>
      </c>
      <c r="AH119" s="1" t="s">
        <v>7</v>
      </c>
    </row>
    <row r="120" spans="1:34" hidden="1" x14ac:dyDescent="0.25">
      <c r="A120" s="4">
        <v>142</v>
      </c>
      <c r="B120" s="2" t="str">
        <f>HYPERLINK("https://my.zakupki.prom.ua/remote/dispatcher/state_purchase_view/2253794", "UA-2017-02-22-000918-c")</f>
        <v>UA-2017-02-22-000918-c</v>
      </c>
      <c r="C120" s="1" t="s">
        <v>523</v>
      </c>
      <c r="D120" s="1" t="s">
        <v>212</v>
      </c>
      <c r="E120" s="1" t="s">
        <v>543</v>
      </c>
      <c r="F120" s="1" t="s">
        <v>560</v>
      </c>
      <c r="G120" s="1" t="s">
        <v>290</v>
      </c>
      <c r="H120" s="1" t="s">
        <v>717</v>
      </c>
      <c r="I120" s="5">
        <v>42788</v>
      </c>
      <c r="J120" s="7">
        <v>42800.473379629628</v>
      </c>
      <c r="K120" s="4">
        <v>4</v>
      </c>
      <c r="L120" s="6">
        <v>7000</v>
      </c>
      <c r="M120" s="4">
        <v>1</v>
      </c>
      <c r="N120" s="6">
        <v>7000</v>
      </c>
      <c r="O120" s="1" t="s">
        <v>871</v>
      </c>
      <c r="P120" s="1" t="s">
        <v>480</v>
      </c>
      <c r="Q120" s="1" t="s">
        <v>788</v>
      </c>
      <c r="R120" s="6">
        <v>4500</v>
      </c>
      <c r="S120" s="6">
        <v>4500</v>
      </c>
      <c r="T120" s="6">
        <v>2500</v>
      </c>
      <c r="U120" s="6">
        <v>0.35714285714285715</v>
      </c>
      <c r="V120" s="1" t="s">
        <v>802</v>
      </c>
      <c r="W120" s="1" t="s">
        <v>173</v>
      </c>
      <c r="X120" s="2" t="str">
        <f>HYPERLINK("https://auction.openprocurement.org/tenders/e2ad556bcb82454ab1a6a12858f3ecef")</f>
        <v>https://auction.openprocurement.org/tenders/e2ad556bcb82454ab1a6a12858f3ecef</v>
      </c>
      <c r="Y120" s="7">
        <v>42801.56572154403</v>
      </c>
      <c r="Z120" s="5">
        <v>42804</v>
      </c>
      <c r="AA120" s="5">
        <v>42820</v>
      </c>
      <c r="AB120" s="1" t="s">
        <v>844</v>
      </c>
      <c r="AC120" s="7">
        <v>42826.318786303695</v>
      </c>
      <c r="AD120" s="1" t="s">
        <v>42</v>
      </c>
      <c r="AE120" s="6">
        <v>4500</v>
      </c>
      <c r="AF120" s="7">
        <v>43100</v>
      </c>
      <c r="AG120" s="1" t="s">
        <v>867</v>
      </c>
      <c r="AH120" s="1" t="s">
        <v>174</v>
      </c>
    </row>
    <row r="121" spans="1:34" hidden="1" x14ac:dyDescent="0.25">
      <c r="A121" s="4">
        <v>143</v>
      </c>
      <c r="B121" s="2" t="str">
        <f>HYPERLINK("https://my.zakupki.prom.ua/remote/dispatcher/state_purchase_view/7802972", "UA-2018-07-24-001572-b")</f>
        <v>UA-2018-07-24-001572-b</v>
      </c>
      <c r="C121" s="1" t="s">
        <v>670</v>
      </c>
      <c r="D121" s="1" t="s">
        <v>441</v>
      </c>
      <c r="E121" s="1" t="s">
        <v>552</v>
      </c>
      <c r="F121" s="1" t="s">
        <v>560</v>
      </c>
      <c r="G121" s="1" t="s">
        <v>290</v>
      </c>
      <c r="H121" s="1" t="s">
        <v>717</v>
      </c>
      <c r="I121" s="5">
        <v>43305</v>
      </c>
      <c r="J121" s="1" t="s">
        <v>840</v>
      </c>
      <c r="K121" s="4">
        <v>1</v>
      </c>
      <c r="L121" s="6">
        <v>3600</v>
      </c>
      <c r="M121" s="4">
        <v>1</v>
      </c>
      <c r="N121" s="6">
        <v>3600</v>
      </c>
      <c r="O121" s="1" t="s">
        <v>863</v>
      </c>
      <c r="P121" s="1" t="s">
        <v>480</v>
      </c>
      <c r="Q121" s="1" t="s">
        <v>613</v>
      </c>
      <c r="R121" s="6">
        <v>3600</v>
      </c>
      <c r="S121" s="6">
        <v>3600</v>
      </c>
      <c r="T121" s="1"/>
      <c r="U121" s="1"/>
      <c r="V121" s="1" t="s">
        <v>783</v>
      </c>
      <c r="W121" s="1" t="s">
        <v>266</v>
      </c>
      <c r="X121" s="2"/>
      <c r="Y121" s="1"/>
      <c r="Z121" s="1"/>
      <c r="AA121" s="1"/>
      <c r="AB121" s="1" t="s">
        <v>844</v>
      </c>
      <c r="AC121" s="7">
        <v>43305.652944782087</v>
      </c>
      <c r="AD121" s="1" t="s">
        <v>103</v>
      </c>
      <c r="AE121" s="6">
        <v>3600</v>
      </c>
      <c r="AF121" s="7">
        <v>43465</v>
      </c>
      <c r="AG121" s="1" t="s">
        <v>867</v>
      </c>
      <c r="AH121" s="1" t="s">
        <v>7</v>
      </c>
    </row>
    <row r="122" spans="1:34" hidden="1" x14ac:dyDescent="0.25">
      <c r="A122" s="4">
        <v>144</v>
      </c>
      <c r="B122" s="2" t="str">
        <f>HYPERLINK("https://my.zakupki.prom.ua/remote/dispatcher/state_purchase_view/7802341", "UA-2018-07-24-001482-b")</f>
        <v>UA-2018-07-24-001482-b</v>
      </c>
      <c r="C122" s="1" t="s">
        <v>628</v>
      </c>
      <c r="D122" s="1" t="s">
        <v>451</v>
      </c>
      <c r="E122" s="1" t="s">
        <v>552</v>
      </c>
      <c r="F122" s="1" t="s">
        <v>560</v>
      </c>
      <c r="G122" s="1" t="s">
        <v>290</v>
      </c>
      <c r="H122" s="1" t="s">
        <v>717</v>
      </c>
      <c r="I122" s="5">
        <v>43305</v>
      </c>
      <c r="J122" s="1" t="s">
        <v>840</v>
      </c>
      <c r="K122" s="4">
        <v>1</v>
      </c>
      <c r="L122" s="6">
        <v>3000</v>
      </c>
      <c r="M122" s="4">
        <v>1</v>
      </c>
      <c r="N122" s="6">
        <v>3000</v>
      </c>
      <c r="O122" s="1" t="s">
        <v>863</v>
      </c>
      <c r="P122" s="1" t="s">
        <v>480</v>
      </c>
      <c r="Q122" s="1" t="s">
        <v>613</v>
      </c>
      <c r="R122" s="6">
        <v>3000</v>
      </c>
      <c r="S122" s="6">
        <v>3000</v>
      </c>
      <c r="T122" s="1"/>
      <c r="U122" s="1"/>
      <c r="V122" s="1" t="s">
        <v>780</v>
      </c>
      <c r="W122" s="1" t="s">
        <v>287</v>
      </c>
      <c r="X122" s="2"/>
      <c r="Y122" s="1"/>
      <c r="Z122" s="1"/>
      <c r="AA122" s="1"/>
      <c r="AB122" s="1" t="s">
        <v>844</v>
      </c>
      <c r="AC122" s="7">
        <v>43305.639371816003</v>
      </c>
      <c r="AD122" s="1" t="s">
        <v>84</v>
      </c>
      <c r="AE122" s="6">
        <v>3000</v>
      </c>
      <c r="AF122" s="7">
        <v>43465</v>
      </c>
      <c r="AG122" s="1" t="s">
        <v>867</v>
      </c>
      <c r="AH122" s="1" t="s">
        <v>7</v>
      </c>
    </row>
    <row r="123" spans="1:34" hidden="1" x14ac:dyDescent="0.25">
      <c r="A123" s="4">
        <v>145</v>
      </c>
      <c r="B123" s="2" t="str">
        <f>HYPERLINK("https://my.zakupki.prom.ua/remote/dispatcher/state_purchase_view/20007309", "UA-2020-10-10-000254-b")</f>
        <v>UA-2020-10-10-000254-b</v>
      </c>
      <c r="C123" s="1" t="s">
        <v>546</v>
      </c>
      <c r="D123" s="1" t="s">
        <v>394</v>
      </c>
      <c r="E123" s="1" t="s">
        <v>552</v>
      </c>
      <c r="F123" s="1" t="s">
        <v>560</v>
      </c>
      <c r="G123" s="1" t="s">
        <v>290</v>
      </c>
      <c r="H123" s="1" t="s">
        <v>714</v>
      </c>
      <c r="I123" s="5">
        <v>44114</v>
      </c>
      <c r="J123" s="1" t="s">
        <v>840</v>
      </c>
      <c r="K123" s="4">
        <v>1</v>
      </c>
      <c r="L123" s="6">
        <v>833.88</v>
      </c>
      <c r="M123" s="4">
        <v>4</v>
      </c>
      <c r="N123" s="6">
        <v>208.47</v>
      </c>
      <c r="O123" s="1" t="s">
        <v>871</v>
      </c>
      <c r="P123" s="1" t="s">
        <v>480</v>
      </c>
      <c r="Q123" s="1" t="s">
        <v>788</v>
      </c>
      <c r="R123" s="6">
        <v>833.88</v>
      </c>
      <c r="S123" s="6">
        <v>208.47</v>
      </c>
      <c r="T123" s="1"/>
      <c r="U123" s="1"/>
      <c r="V123" s="1" t="s">
        <v>775</v>
      </c>
      <c r="W123" s="1" t="s">
        <v>234</v>
      </c>
      <c r="X123" s="2"/>
      <c r="Y123" s="1"/>
      <c r="Z123" s="1"/>
      <c r="AA123" s="1"/>
      <c r="AB123" s="1" t="s">
        <v>844</v>
      </c>
      <c r="AC123" s="7">
        <v>44114.636270869189</v>
      </c>
      <c r="AD123" s="1" t="s">
        <v>415</v>
      </c>
      <c r="AE123" s="6">
        <v>833.88</v>
      </c>
      <c r="AF123" s="7">
        <v>44135</v>
      </c>
      <c r="AG123" s="1" t="s">
        <v>867</v>
      </c>
      <c r="AH123" s="1" t="s">
        <v>7</v>
      </c>
    </row>
    <row r="124" spans="1:34" x14ac:dyDescent="0.25">
      <c r="A124" s="4">
        <v>146</v>
      </c>
      <c r="B124" s="2" t="str">
        <f>HYPERLINK("https://my.zakupki.prom.ua/remote/dispatcher/state_purchase_view/12264827", "UA-2019-07-17-002092-b")</f>
        <v>UA-2019-07-17-002092-b</v>
      </c>
      <c r="C124" s="1" t="s">
        <v>491</v>
      </c>
      <c r="D124" s="1" t="s">
        <v>447</v>
      </c>
      <c r="E124" s="1" t="s">
        <v>552</v>
      </c>
      <c r="F124" s="1" t="s">
        <v>560</v>
      </c>
      <c r="G124" s="1" t="s">
        <v>290</v>
      </c>
      <c r="H124" s="1" t="s">
        <v>717</v>
      </c>
      <c r="I124" s="5">
        <v>43663</v>
      </c>
      <c r="J124" s="1" t="s">
        <v>840</v>
      </c>
      <c r="K124" s="4">
        <v>1</v>
      </c>
      <c r="L124" s="6">
        <v>132003.76</v>
      </c>
      <c r="M124" s="4">
        <v>1</v>
      </c>
      <c r="N124" s="6">
        <v>132003.76</v>
      </c>
      <c r="O124" s="1" t="s">
        <v>863</v>
      </c>
      <c r="P124" s="1" t="s">
        <v>480</v>
      </c>
      <c r="Q124" s="1" t="s">
        <v>788</v>
      </c>
      <c r="R124" s="6">
        <v>132003.76</v>
      </c>
      <c r="S124" s="6">
        <v>132003.76</v>
      </c>
      <c r="T124" s="1"/>
      <c r="U124" s="1"/>
      <c r="V124" s="1" t="s">
        <v>487</v>
      </c>
      <c r="W124" s="1" t="s">
        <v>259</v>
      </c>
      <c r="X124" s="2"/>
      <c r="Y124" s="1"/>
      <c r="Z124" s="1"/>
      <c r="AA124" s="1"/>
      <c r="AB124" s="1" t="s">
        <v>844</v>
      </c>
      <c r="AC124" s="7">
        <v>43663.722224873716</v>
      </c>
      <c r="AD124" s="1" t="s">
        <v>463</v>
      </c>
      <c r="AE124" s="6">
        <v>132003.76</v>
      </c>
      <c r="AF124" s="7">
        <v>43830</v>
      </c>
      <c r="AG124" s="1" t="s">
        <v>867</v>
      </c>
      <c r="AH124" s="1" t="s">
        <v>7</v>
      </c>
    </row>
    <row r="125" spans="1:34" x14ac:dyDescent="0.25">
      <c r="A125" s="4">
        <v>147</v>
      </c>
      <c r="B125" s="2" t="str">
        <f>HYPERLINK("https://my.zakupki.prom.ua/remote/dispatcher/state_purchase_view/11860286", "UA-2019-06-07-001139-b")</f>
        <v>UA-2019-06-07-001139-b</v>
      </c>
      <c r="C125" s="1" t="s">
        <v>537</v>
      </c>
      <c r="D125" s="1" t="s">
        <v>475</v>
      </c>
      <c r="E125" s="1" t="s">
        <v>552</v>
      </c>
      <c r="F125" s="1" t="s">
        <v>560</v>
      </c>
      <c r="G125" s="1" t="s">
        <v>290</v>
      </c>
      <c r="H125" s="1" t="s">
        <v>717</v>
      </c>
      <c r="I125" s="5">
        <v>43623</v>
      </c>
      <c r="J125" s="1" t="s">
        <v>840</v>
      </c>
      <c r="K125" s="4">
        <v>1</v>
      </c>
      <c r="L125" s="6">
        <v>2987.33</v>
      </c>
      <c r="M125" s="4">
        <v>1</v>
      </c>
      <c r="N125" s="6">
        <v>2987.33</v>
      </c>
      <c r="O125" s="1" t="s">
        <v>863</v>
      </c>
      <c r="P125" s="1" t="s">
        <v>480</v>
      </c>
      <c r="Q125" s="1" t="s">
        <v>788</v>
      </c>
      <c r="R125" s="6">
        <v>2987.33</v>
      </c>
      <c r="S125" s="6">
        <v>2987.33</v>
      </c>
      <c r="T125" s="1"/>
      <c r="U125" s="1"/>
      <c r="V125" s="1" t="s">
        <v>516</v>
      </c>
      <c r="W125" s="1" t="s">
        <v>302</v>
      </c>
      <c r="X125" s="2"/>
      <c r="Y125" s="1"/>
      <c r="Z125" s="1"/>
      <c r="AA125" s="1"/>
      <c r="AB125" s="1" t="s">
        <v>844</v>
      </c>
      <c r="AC125" s="7">
        <v>43623.528947020066</v>
      </c>
      <c r="AD125" s="1" t="s">
        <v>69</v>
      </c>
      <c r="AE125" s="6">
        <v>2987.33</v>
      </c>
      <c r="AF125" s="7">
        <v>43830</v>
      </c>
      <c r="AG125" s="1" t="s">
        <v>867</v>
      </c>
      <c r="AH125" s="1" t="s">
        <v>7</v>
      </c>
    </row>
    <row r="126" spans="1:34" x14ac:dyDescent="0.25">
      <c r="A126" s="4">
        <v>148</v>
      </c>
      <c r="B126" s="2" t="str">
        <f>HYPERLINK("https://my.zakupki.prom.ua/remote/dispatcher/state_purchase_view/11250436", "UA-2019-04-10-001326-a")</f>
        <v>UA-2019-04-10-001326-a</v>
      </c>
      <c r="C126" s="1" t="s">
        <v>525</v>
      </c>
      <c r="D126" s="1" t="s">
        <v>390</v>
      </c>
      <c r="E126" s="1" t="s">
        <v>552</v>
      </c>
      <c r="F126" s="1" t="s">
        <v>560</v>
      </c>
      <c r="G126" s="1" t="s">
        <v>290</v>
      </c>
      <c r="H126" s="1" t="s">
        <v>717</v>
      </c>
      <c r="I126" s="5">
        <v>43565</v>
      </c>
      <c r="J126" s="1" t="s">
        <v>840</v>
      </c>
      <c r="K126" s="4">
        <v>1</v>
      </c>
      <c r="L126" s="6">
        <v>2993.61</v>
      </c>
      <c r="M126" s="4">
        <v>4</v>
      </c>
      <c r="N126" s="6">
        <v>748.4</v>
      </c>
      <c r="O126" s="1" t="s">
        <v>857</v>
      </c>
      <c r="P126" s="1" t="s">
        <v>480</v>
      </c>
      <c r="Q126" s="1" t="s">
        <v>788</v>
      </c>
      <c r="R126" s="6">
        <v>2993.61</v>
      </c>
      <c r="S126" s="6">
        <v>748.40250000000003</v>
      </c>
      <c r="T126" s="1"/>
      <c r="U126" s="1"/>
      <c r="V126" s="1" t="s">
        <v>775</v>
      </c>
      <c r="W126" s="1" t="s">
        <v>234</v>
      </c>
      <c r="X126" s="2"/>
      <c r="Y126" s="1"/>
      <c r="Z126" s="1"/>
      <c r="AA126" s="1"/>
      <c r="AB126" s="1" t="s">
        <v>844</v>
      </c>
      <c r="AC126" s="7">
        <v>43565.567132033706</v>
      </c>
      <c r="AD126" s="1" t="s">
        <v>37</v>
      </c>
      <c r="AE126" s="6">
        <v>2993.61</v>
      </c>
      <c r="AF126" s="7">
        <v>43830</v>
      </c>
      <c r="AG126" s="1" t="s">
        <v>867</v>
      </c>
      <c r="AH126" s="1" t="s">
        <v>7</v>
      </c>
    </row>
    <row r="127" spans="1:34" x14ac:dyDescent="0.25">
      <c r="A127" s="4">
        <v>150</v>
      </c>
      <c r="B127" s="2" t="str">
        <f>HYPERLINK("https://my.zakupki.prom.ua/remote/dispatcher/state_purchase_view/13622933", "UA-2019-11-19-001268-b")</f>
        <v>UA-2019-11-19-001268-b</v>
      </c>
      <c r="C127" s="1" t="s">
        <v>556</v>
      </c>
      <c r="D127" s="1" t="s">
        <v>392</v>
      </c>
      <c r="E127" s="1" t="s">
        <v>543</v>
      </c>
      <c r="F127" s="1" t="s">
        <v>560</v>
      </c>
      <c r="G127" s="1" t="s">
        <v>290</v>
      </c>
      <c r="H127" s="1" t="s">
        <v>715</v>
      </c>
      <c r="I127" s="5">
        <v>43788</v>
      </c>
      <c r="J127" s="7">
        <v>43797.471875000003</v>
      </c>
      <c r="K127" s="4">
        <v>5</v>
      </c>
      <c r="L127" s="6">
        <v>5180</v>
      </c>
      <c r="M127" s="4">
        <v>1</v>
      </c>
      <c r="N127" s="6">
        <v>5180</v>
      </c>
      <c r="O127" s="1" t="s">
        <v>850</v>
      </c>
      <c r="P127" s="1" t="s">
        <v>480</v>
      </c>
      <c r="Q127" s="1" t="s">
        <v>788</v>
      </c>
      <c r="R127" s="6">
        <v>3140</v>
      </c>
      <c r="S127" s="6">
        <v>3140</v>
      </c>
      <c r="T127" s="6">
        <v>2040</v>
      </c>
      <c r="U127" s="6">
        <v>0.39382239382239381</v>
      </c>
      <c r="V127" s="1" t="s">
        <v>636</v>
      </c>
      <c r="W127" s="1" t="s">
        <v>297</v>
      </c>
      <c r="X127" s="2" t="str">
        <f>HYPERLINK("https://auction.openprocurement.org/tenders/1a45c006a1ca4e4ba6802e0102b64923")</f>
        <v>https://auction.openprocurement.org/tenders/1a45c006a1ca4e4ba6802e0102b64923</v>
      </c>
      <c r="Y127" s="7">
        <v>43802.685086564175</v>
      </c>
      <c r="Z127" s="5">
        <v>43804</v>
      </c>
      <c r="AA127" s="5">
        <v>43821</v>
      </c>
      <c r="AB127" s="1" t="s">
        <v>844</v>
      </c>
      <c r="AC127" s="7">
        <v>43810.470163857382</v>
      </c>
      <c r="AD127" s="1" t="s">
        <v>240</v>
      </c>
      <c r="AE127" s="6">
        <v>3326</v>
      </c>
      <c r="AF127" s="7">
        <v>43830</v>
      </c>
      <c r="AG127" s="1" t="s">
        <v>867</v>
      </c>
      <c r="AH127" s="1" t="s">
        <v>165</v>
      </c>
    </row>
    <row r="128" spans="1:34" x14ac:dyDescent="0.25">
      <c r="A128" s="4">
        <v>152</v>
      </c>
      <c r="B128" s="2" t="str">
        <f>HYPERLINK("https://my.zakupki.prom.ua/remote/dispatcher/state_purchase_view/12876634", "UA-2019-09-17-001800-b")</f>
        <v>UA-2019-09-17-001800-b</v>
      </c>
      <c r="C128" s="1" t="s">
        <v>570</v>
      </c>
      <c r="D128" s="1" t="s">
        <v>380</v>
      </c>
      <c r="E128" s="1" t="s">
        <v>515</v>
      </c>
      <c r="F128" s="1" t="s">
        <v>560</v>
      </c>
      <c r="G128" s="1" t="s">
        <v>290</v>
      </c>
      <c r="H128" s="1" t="s">
        <v>715</v>
      </c>
      <c r="I128" s="5">
        <v>43725</v>
      </c>
      <c r="J128" s="7">
        <v>43742.593587962961</v>
      </c>
      <c r="K128" s="4">
        <v>2</v>
      </c>
      <c r="L128" s="6">
        <v>1494000</v>
      </c>
      <c r="M128" s="4">
        <v>1</v>
      </c>
      <c r="N128" s="6">
        <v>1494000</v>
      </c>
      <c r="O128" s="1" t="s">
        <v>846</v>
      </c>
      <c r="P128" s="1" t="s">
        <v>480</v>
      </c>
      <c r="Q128" s="1" t="s">
        <v>788</v>
      </c>
      <c r="R128" s="6">
        <v>1493100</v>
      </c>
      <c r="S128" s="6">
        <v>1493100</v>
      </c>
      <c r="T128" s="6">
        <v>900</v>
      </c>
      <c r="U128" s="6">
        <v>6.0240963855421692E-4</v>
      </c>
      <c r="V128" s="1" t="s">
        <v>794</v>
      </c>
      <c r="W128" s="1" t="s">
        <v>225</v>
      </c>
      <c r="X128" s="2" t="str">
        <f>HYPERLINK("https://auction.openprocurement.org/tenders/06d8346d5a1a4873ab856c17b0c0288c")</f>
        <v>https://auction.openprocurement.org/tenders/06d8346d5a1a4873ab856c17b0c0288c</v>
      </c>
      <c r="Y128" s="7">
        <v>43746.531304194643</v>
      </c>
      <c r="Z128" s="5">
        <v>43757</v>
      </c>
      <c r="AA128" s="5">
        <v>43767</v>
      </c>
      <c r="AB128" s="1" t="s">
        <v>844</v>
      </c>
      <c r="AC128" s="7">
        <v>43767.493759722202</v>
      </c>
      <c r="AD128" s="1" t="s">
        <v>132</v>
      </c>
      <c r="AE128" s="6">
        <v>1493100</v>
      </c>
      <c r="AF128" s="7">
        <v>43830</v>
      </c>
      <c r="AG128" s="1" t="s">
        <v>867</v>
      </c>
      <c r="AH128" s="1" t="s">
        <v>227</v>
      </c>
    </row>
    <row r="129" spans="1:34" hidden="1" x14ac:dyDescent="0.25">
      <c r="A129" s="4">
        <v>155</v>
      </c>
      <c r="B129" s="2" t="str">
        <f>HYPERLINK("https://my.zakupki.prom.ua/remote/dispatcher/state_purchase_view/16022859", "UA-2020-03-30-001389-b")</f>
        <v>UA-2020-03-30-001389-b</v>
      </c>
      <c r="C129" s="1" t="s">
        <v>495</v>
      </c>
      <c r="D129" s="1" t="s">
        <v>32</v>
      </c>
      <c r="E129" s="1" t="s">
        <v>543</v>
      </c>
      <c r="F129" s="1" t="s">
        <v>560</v>
      </c>
      <c r="G129" s="1" t="s">
        <v>290</v>
      </c>
      <c r="H129" s="1" t="s">
        <v>715</v>
      </c>
      <c r="I129" s="5">
        <v>43920</v>
      </c>
      <c r="J129" s="7">
        <v>43929.556331018517</v>
      </c>
      <c r="K129" s="4">
        <v>3</v>
      </c>
      <c r="L129" s="6">
        <v>36400</v>
      </c>
      <c r="M129" s="4">
        <v>1400</v>
      </c>
      <c r="N129" s="6">
        <v>26</v>
      </c>
      <c r="O129" s="1" t="s">
        <v>851</v>
      </c>
      <c r="P129" s="1" t="s">
        <v>480</v>
      </c>
      <c r="Q129" s="1" t="s">
        <v>788</v>
      </c>
      <c r="R129" s="6">
        <v>28380</v>
      </c>
      <c r="S129" s="6">
        <v>20.271428571428572</v>
      </c>
      <c r="T129" s="6">
        <v>8020</v>
      </c>
      <c r="U129" s="6">
        <v>0.22032967032967032</v>
      </c>
      <c r="V129" s="1" t="s">
        <v>750</v>
      </c>
      <c r="W129" s="1" t="s">
        <v>376</v>
      </c>
      <c r="X129" s="2" t="str">
        <f>HYPERLINK("https://auction.openprocurement.org/tenders/5f55a0b14e654250aa85621715af3e31")</f>
        <v>https://auction.openprocurement.org/tenders/5f55a0b14e654250aa85621715af3e31</v>
      </c>
      <c r="Y129" s="7">
        <v>43930.401213148092</v>
      </c>
      <c r="Z129" s="5">
        <v>43934</v>
      </c>
      <c r="AA129" s="5">
        <v>43953</v>
      </c>
      <c r="AB129" s="1" t="s">
        <v>844</v>
      </c>
      <c r="AC129" s="7">
        <v>43944.408087321346</v>
      </c>
      <c r="AD129" s="1" t="s">
        <v>175</v>
      </c>
      <c r="AE129" s="6">
        <v>28380</v>
      </c>
      <c r="AF129" s="7">
        <v>44196</v>
      </c>
      <c r="AG129" s="1" t="s">
        <v>867</v>
      </c>
      <c r="AH129" s="1" t="s">
        <v>377</v>
      </c>
    </row>
    <row r="130" spans="1:34" hidden="1" x14ac:dyDescent="0.25">
      <c r="A130" s="4">
        <v>156</v>
      </c>
      <c r="B130" s="2" t="str">
        <f>HYPERLINK("https://my.zakupki.prom.ua/remote/dispatcher/state_purchase_view/15672250", "UA-2020-03-10-000997-a")</f>
        <v>UA-2020-03-10-000997-a</v>
      </c>
      <c r="C130" s="1" t="s">
        <v>723</v>
      </c>
      <c r="D130" s="1" t="s">
        <v>102</v>
      </c>
      <c r="E130" s="1" t="s">
        <v>543</v>
      </c>
      <c r="F130" s="1" t="s">
        <v>560</v>
      </c>
      <c r="G130" s="1" t="s">
        <v>290</v>
      </c>
      <c r="H130" s="1" t="s">
        <v>715</v>
      </c>
      <c r="I130" s="5">
        <v>43900</v>
      </c>
      <c r="J130" s="7">
        <v>43908.526307870372</v>
      </c>
      <c r="K130" s="4">
        <v>3</v>
      </c>
      <c r="L130" s="6">
        <v>31400</v>
      </c>
      <c r="M130" s="4">
        <v>1</v>
      </c>
      <c r="N130" s="6">
        <v>31400</v>
      </c>
      <c r="O130" s="1" t="s">
        <v>850</v>
      </c>
      <c r="P130" s="1" t="s">
        <v>480</v>
      </c>
      <c r="Q130" s="1" t="s">
        <v>788</v>
      </c>
      <c r="R130" s="6">
        <v>20388.78</v>
      </c>
      <c r="S130" s="6">
        <v>20388.78</v>
      </c>
      <c r="T130" s="6">
        <v>11011.220000000001</v>
      </c>
      <c r="U130" s="6">
        <v>0.35067579617834399</v>
      </c>
      <c r="V130" s="1" t="s">
        <v>731</v>
      </c>
      <c r="W130" s="1" t="s">
        <v>157</v>
      </c>
      <c r="X130" s="2" t="str">
        <f>HYPERLINK("https://auction.openprocurement.org/tenders/32f03230f7d548438e3e4cf1c8bc280f")</f>
        <v>https://auction.openprocurement.org/tenders/32f03230f7d548438e3e4cf1c8bc280f</v>
      </c>
      <c r="Y130" s="7">
        <v>43910.431791988092</v>
      </c>
      <c r="Z130" s="5">
        <v>43914</v>
      </c>
      <c r="AA130" s="5">
        <v>43933</v>
      </c>
      <c r="AB130" s="1" t="s">
        <v>844</v>
      </c>
      <c r="AC130" s="7">
        <v>43916.462999938463</v>
      </c>
      <c r="AD130" s="1" t="s">
        <v>105</v>
      </c>
      <c r="AE130" s="6">
        <v>20388.78</v>
      </c>
      <c r="AF130" s="7">
        <v>44196</v>
      </c>
      <c r="AG130" s="1" t="s">
        <v>867</v>
      </c>
      <c r="AH130" s="1" t="s">
        <v>158</v>
      </c>
    </row>
    <row r="131" spans="1:34" hidden="1" x14ac:dyDescent="0.25">
      <c r="A131" s="4">
        <v>157</v>
      </c>
      <c r="B131" s="2" t="str">
        <f>HYPERLINK("https://my.zakupki.prom.ua/remote/dispatcher/state_purchase_view/15493303", "UA-2020-02-26-001740-a")</f>
        <v>UA-2020-02-26-001740-a</v>
      </c>
      <c r="C131" s="1" t="s">
        <v>710</v>
      </c>
      <c r="D131" s="1" t="s">
        <v>89</v>
      </c>
      <c r="E131" s="1" t="s">
        <v>543</v>
      </c>
      <c r="F131" s="1" t="s">
        <v>560</v>
      </c>
      <c r="G131" s="1" t="s">
        <v>290</v>
      </c>
      <c r="H131" s="1" t="s">
        <v>715</v>
      </c>
      <c r="I131" s="5">
        <v>43887</v>
      </c>
      <c r="J131" s="7">
        <v>43896.630648148152</v>
      </c>
      <c r="K131" s="4">
        <v>2</v>
      </c>
      <c r="L131" s="6">
        <v>62800</v>
      </c>
      <c r="M131" s="4">
        <v>1</v>
      </c>
      <c r="N131" s="6">
        <v>62800</v>
      </c>
      <c r="O131" s="1" t="s">
        <v>850</v>
      </c>
      <c r="P131" s="1" t="s">
        <v>480</v>
      </c>
      <c r="Q131" s="1" t="s">
        <v>788</v>
      </c>
      <c r="R131" s="6">
        <v>51140</v>
      </c>
      <c r="S131" s="6">
        <v>51140</v>
      </c>
      <c r="T131" s="6">
        <v>11660</v>
      </c>
      <c r="U131" s="6">
        <v>0.18566878980891718</v>
      </c>
      <c r="V131" s="1" t="s">
        <v>745</v>
      </c>
      <c r="W131" s="1" t="s">
        <v>363</v>
      </c>
      <c r="X131" s="2" t="str">
        <f>HYPERLINK("https://auction.openprocurement.org/tenders/8c537508aa5f41af90aada57aac1ee96")</f>
        <v>https://auction.openprocurement.org/tenders/8c537508aa5f41af90aada57aac1ee96</v>
      </c>
      <c r="Y131" s="7">
        <v>43903.480859597439</v>
      </c>
      <c r="Z131" s="5">
        <v>43907</v>
      </c>
      <c r="AA131" s="5">
        <v>43922</v>
      </c>
      <c r="AB131" s="1" t="s">
        <v>844</v>
      </c>
      <c r="AC131" s="7">
        <v>43917.61340018941</v>
      </c>
      <c r="AD131" s="1" t="s">
        <v>96</v>
      </c>
      <c r="AE131" s="6">
        <v>51140</v>
      </c>
      <c r="AF131" s="7">
        <v>44196</v>
      </c>
      <c r="AG131" s="1" t="s">
        <v>867</v>
      </c>
      <c r="AH131" s="1" t="s">
        <v>364</v>
      </c>
    </row>
    <row r="132" spans="1:34" hidden="1" x14ac:dyDescent="0.25">
      <c r="A132" s="4">
        <v>158</v>
      </c>
      <c r="B132" s="2" t="str">
        <f>HYPERLINK("https://my.zakupki.prom.ua/remote/dispatcher/state_purchase_view/15399486", "UA-2020-02-20-002445-b")</f>
        <v>UA-2020-02-20-002445-b</v>
      </c>
      <c r="C132" s="1" t="s">
        <v>623</v>
      </c>
      <c r="D132" s="1" t="s">
        <v>422</v>
      </c>
      <c r="E132" s="1" t="s">
        <v>543</v>
      </c>
      <c r="F132" s="1" t="s">
        <v>560</v>
      </c>
      <c r="G132" s="1" t="s">
        <v>290</v>
      </c>
      <c r="H132" s="1" t="s">
        <v>715</v>
      </c>
      <c r="I132" s="5">
        <v>43881</v>
      </c>
      <c r="J132" s="1" t="s">
        <v>841</v>
      </c>
      <c r="K132" s="4">
        <v>1</v>
      </c>
      <c r="L132" s="6">
        <v>198000</v>
      </c>
      <c r="M132" s="4">
        <v>1</v>
      </c>
      <c r="N132" s="6">
        <v>198000</v>
      </c>
      <c r="O132" s="1" t="s">
        <v>850</v>
      </c>
      <c r="P132" s="1" t="s">
        <v>480</v>
      </c>
      <c r="Q132" s="1" t="s">
        <v>788</v>
      </c>
      <c r="R132" s="6">
        <v>190000</v>
      </c>
      <c r="S132" s="6">
        <v>190000</v>
      </c>
      <c r="T132" s="6">
        <v>8000</v>
      </c>
      <c r="U132" s="6">
        <v>4.0404040404040407E-2</v>
      </c>
      <c r="V132" s="1" t="s">
        <v>805</v>
      </c>
      <c r="W132" s="1" t="s">
        <v>107</v>
      </c>
      <c r="X132" s="2"/>
      <c r="Y132" s="7">
        <v>43892.610729517823</v>
      </c>
      <c r="Z132" s="5">
        <v>43894</v>
      </c>
      <c r="AA132" s="5">
        <v>43916</v>
      </c>
      <c r="AB132" s="1" t="s">
        <v>844</v>
      </c>
      <c r="AC132" s="7">
        <v>43900.418720528367</v>
      </c>
      <c r="AD132" s="1" t="s">
        <v>83</v>
      </c>
      <c r="AE132" s="6">
        <v>190000</v>
      </c>
      <c r="AF132" s="7">
        <v>44196</v>
      </c>
      <c r="AG132" s="1" t="s">
        <v>867</v>
      </c>
      <c r="AH132" s="1" t="s">
        <v>108</v>
      </c>
    </row>
    <row r="133" spans="1:34" hidden="1" x14ac:dyDescent="0.25">
      <c r="A133" s="4">
        <v>159</v>
      </c>
      <c r="B133" s="2" t="str">
        <f>HYPERLINK("https://my.zakupki.prom.ua/remote/dispatcher/state_purchase_view/17859628", "UA-2020-07-14-004141-c")</f>
        <v>UA-2020-07-14-004141-c</v>
      </c>
      <c r="C133" s="1" t="s">
        <v>835</v>
      </c>
      <c r="D133" s="1" t="s">
        <v>388</v>
      </c>
      <c r="E133" s="1" t="s">
        <v>552</v>
      </c>
      <c r="F133" s="1" t="s">
        <v>560</v>
      </c>
      <c r="G133" s="1" t="s">
        <v>290</v>
      </c>
      <c r="H133" s="1" t="s">
        <v>714</v>
      </c>
      <c r="I133" s="5">
        <v>44026</v>
      </c>
      <c r="J133" s="1" t="s">
        <v>840</v>
      </c>
      <c r="K133" s="4">
        <v>1</v>
      </c>
      <c r="L133" s="6">
        <v>3450</v>
      </c>
      <c r="M133" s="4">
        <v>2</v>
      </c>
      <c r="N133" s="6">
        <v>1725</v>
      </c>
      <c r="O133" s="1" t="s">
        <v>871</v>
      </c>
      <c r="P133" s="1" t="s">
        <v>480</v>
      </c>
      <c r="Q133" s="1" t="s">
        <v>613</v>
      </c>
      <c r="R133" s="6">
        <v>3450</v>
      </c>
      <c r="S133" s="6">
        <v>1725</v>
      </c>
      <c r="T133" s="1"/>
      <c r="U133" s="1"/>
      <c r="V133" s="1" t="s">
        <v>531</v>
      </c>
      <c r="W133" s="1" t="s">
        <v>183</v>
      </c>
      <c r="X133" s="2"/>
      <c r="Y133" s="1"/>
      <c r="Z133" s="1"/>
      <c r="AA133" s="1"/>
      <c r="AB133" s="1" t="s">
        <v>844</v>
      </c>
      <c r="AC133" s="7">
        <v>44026.560766476628</v>
      </c>
      <c r="AD133" s="1" t="s">
        <v>384</v>
      </c>
      <c r="AE133" s="6">
        <v>3450</v>
      </c>
      <c r="AF133" s="7">
        <v>44196</v>
      </c>
      <c r="AG133" s="1" t="s">
        <v>867</v>
      </c>
      <c r="AH133" s="1" t="s">
        <v>7</v>
      </c>
    </row>
    <row r="134" spans="1:34" hidden="1" x14ac:dyDescent="0.25">
      <c r="A134" s="4">
        <v>160</v>
      </c>
      <c r="B134" s="2" t="str">
        <f>HYPERLINK("https://my.zakupki.prom.ua/remote/dispatcher/state_purchase_view/17555049", "UA-2020-06-30-002789-a")</f>
        <v>UA-2020-06-30-002789-a</v>
      </c>
      <c r="C134" s="1" t="s">
        <v>519</v>
      </c>
      <c r="D134" s="1" t="s">
        <v>366</v>
      </c>
      <c r="E134" s="1" t="s">
        <v>552</v>
      </c>
      <c r="F134" s="1" t="s">
        <v>560</v>
      </c>
      <c r="G134" s="1" t="s">
        <v>290</v>
      </c>
      <c r="H134" s="1" t="s">
        <v>714</v>
      </c>
      <c r="I134" s="5">
        <v>44012</v>
      </c>
      <c r="J134" s="1" t="s">
        <v>840</v>
      </c>
      <c r="K134" s="4">
        <v>1</v>
      </c>
      <c r="L134" s="6">
        <v>2947</v>
      </c>
      <c r="M134" s="4">
        <v>1</v>
      </c>
      <c r="N134" s="6">
        <v>2947</v>
      </c>
      <c r="O134" s="1" t="s">
        <v>871</v>
      </c>
      <c r="P134" s="1" t="s">
        <v>480</v>
      </c>
      <c r="Q134" s="1" t="s">
        <v>613</v>
      </c>
      <c r="R134" s="6">
        <v>2947</v>
      </c>
      <c r="S134" s="6">
        <v>2947</v>
      </c>
      <c r="T134" s="1"/>
      <c r="U134" s="1"/>
      <c r="V134" s="1" t="s">
        <v>826</v>
      </c>
      <c r="W134" s="1" t="s">
        <v>183</v>
      </c>
      <c r="X134" s="2"/>
      <c r="Y134" s="1"/>
      <c r="Z134" s="1"/>
      <c r="AA134" s="1"/>
      <c r="AB134" s="1" t="s">
        <v>844</v>
      </c>
      <c r="AC134" s="7">
        <v>44012.570082533864</v>
      </c>
      <c r="AD134" s="1" t="s">
        <v>373</v>
      </c>
      <c r="AE134" s="6">
        <v>2947</v>
      </c>
      <c r="AF134" s="7">
        <v>44196</v>
      </c>
      <c r="AG134" s="1" t="s">
        <v>867</v>
      </c>
      <c r="AH134" s="1" t="s">
        <v>7</v>
      </c>
    </row>
    <row r="135" spans="1:34" hidden="1" x14ac:dyDescent="0.25">
      <c r="A135" s="4">
        <v>161</v>
      </c>
      <c r="B135" s="2" t="str">
        <f>HYPERLINK("https://my.zakupki.prom.ua/remote/dispatcher/state_purchase_view/16616768", "UA-2020-05-12-000410-b")</f>
        <v>UA-2020-05-12-000410-b</v>
      </c>
      <c r="C135" s="1" t="s">
        <v>705</v>
      </c>
      <c r="D135" s="1" t="s">
        <v>98</v>
      </c>
      <c r="E135" s="1" t="s">
        <v>543</v>
      </c>
      <c r="F135" s="1" t="s">
        <v>560</v>
      </c>
      <c r="G135" s="1" t="s">
        <v>290</v>
      </c>
      <c r="H135" s="1" t="s">
        <v>714</v>
      </c>
      <c r="I135" s="5">
        <v>43963</v>
      </c>
      <c r="J135" s="7">
        <v>43973.499340277776</v>
      </c>
      <c r="K135" s="4">
        <v>6</v>
      </c>
      <c r="L135" s="6">
        <v>13345</v>
      </c>
      <c r="M135" s="4">
        <v>1</v>
      </c>
      <c r="N135" s="6">
        <v>13345</v>
      </c>
      <c r="O135" s="1" t="s">
        <v>850</v>
      </c>
      <c r="P135" s="1" t="s">
        <v>480</v>
      </c>
      <c r="Q135" s="1" t="s">
        <v>788</v>
      </c>
      <c r="R135" s="6">
        <v>6900</v>
      </c>
      <c r="S135" s="6">
        <v>6900</v>
      </c>
      <c r="T135" s="6">
        <v>6445</v>
      </c>
      <c r="U135" s="6">
        <v>0.48295241663544397</v>
      </c>
      <c r="V135" s="1" t="s">
        <v>731</v>
      </c>
      <c r="W135" s="1" t="s">
        <v>157</v>
      </c>
      <c r="X135" s="2" t="str">
        <f>HYPERLINK("https://auction.openprocurement.org/tenders/269879958e31452b998403f295bee6fc")</f>
        <v>https://auction.openprocurement.org/tenders/269879958e31452b998403f295bee6fc</v>
      </c>
      <c r="Y135" s="7">
        <v>43978.438072237339</v>
      </c>
      <c r="Z135" s="5">
        <v>43980</v>
      </c>
      <c r="AA135" s="5">
        <v>43999</v>
      </c>
      <c r="AB135" s="1" t="s">
        <v>844</v>
      </c>
      <c r="AC135" s="7">
        <v>43986.590632072061</v>
      </c>
      <c r="AD135" s="1" t="s">
        <v>291</v>
      </c>
      <c r="AE135" s="6">
        <v>7490</v>
      </c>
      <c r="AF135" s="7">
        <v>44196</v>
      </c>
      <c r="AG135" s="1" t="s">
        <v>867</v>
      </c>
      <c r="AH135" s="1" t="s">
        <v>111</v>
      </c>
    </row>
    <row r="136" spans="1:34" hidden="1" x14ac:dyDescent="0.25">
      <c r="A136" s="4">
        <v>162</v>
      </c>
      <c r="B136" s="2" t="str">
        <f>HYPERLINK("https://my.zakupki.prom.ua/remote/dispatcher/state_purchase_view/18486161", "UA-2020-08-12-003531-a")</f>
        <v>UA-2020-08-12-003531-a</v>
      </c>
      <c r="C136" s="1" t="s">
        <v>679</v>
      </c>
      <c r="D136" s="1" t="s">
        <v>430</v>
      </c>
      <c r="E136" s="1" t="s">
        <v>552</v>
      </c>
      <c r="F136" s="1" t="s">
        <v>560</v>
      </c>
      <c r="G136" s="1" t="s">
        <v>290</v>
      </c>
      <c r="H136" s="1" t="s">
        <v>714</v>
      </c>
      <c r="I136" s="5">
        <v>44055</v>
      </c>
      <c r="J136" s="1" t="s">
        <v>840</v>
      </c>
      <c r="K136" s="4">
        <v>1</v>
      </c>
      <c r="L136" s="6">
        <v>13309.92</v>
      </c>
      <c r="M136" s="4">
        <v>1296</v>
      </c>
      <c r="N136" s="6">
        <v>10.27</v>
      </c>
      <c r="O136" s="1" t="s">
        <v>854</v>
      </c>
      <c r="P136" s="1" t="s">
        <v>480</v>
      </c>
      <c r="Q136" s="1" t="s">
        <v>788</v>
      </c>
      <c r="R136" s="6">
        <v>13309.92</v>
      </c>
      <c r="S136" s="6">
        <v>10.27</v>
      </c>
      <c r="T136" s="1"/>
      <c r="U136" s="1"/>
      <c r="V136" s="1" t="s">
        <v>489</v>
      </c>
      <c r="W136" s="1" t="s">
        <v>10</v>
      </c>
      <c r="X136" s="2"/>
      <c r="Y136" s="1"/>
      <c r="Z136" s="1"/>
      <c r="AA136" s="1"/>
      <c r="AB136" s="1" t="s">
        <v>844</v>
      </c>
      <c r="AC136" s="7">
        <v>44055.508074782381</v>
      </c>
      <c r="AD136" s="1" t="s">
        <v>360</v>
      </c>
      <c r="AE136" s="6">
        <v>13309.92</v>
      </c>
      <c r="AF136" s="7">
        <v>44196</v>
      </c>
      <c r="AG136" s="1" t="s">
        <v>867</v>
      </c>
      <c r="AH136" s="1" t="s">
        <v>7</v>
      </c>
    </row>
    <row r="137" spans="1:34" hidden="1" x14ac:dyDescent="0.25">
      <c r="A137" s="4">
        <v>163</v>
      </c>
      <c r="B137" s="2" t="str">
        <f>HYPERLINK("https://my.zakupki.prom.ua/remote/dispatcher/state_purchase_view/19195219", "UA-2020-09-11-001698-b")</f>
        <v>UA-2020-09-11-001698-b</v>
      </c>
      <c r="C137" s="1" t="s">
        <v>656</v>
      </c>
      <c r="D137" s="1" t="s">
        <v>413</v>
      </c>
      <c r="E137" s="1" t="s">
        <v>552</v>
      </c>
      <c r="F137" s="1" t="s">
        <v>560</v>
      </c>
      <c r="G137" s="1" t="s">
        <v>290</v>
      </c>
      <c r="H137" s="1" t="s">
        <v>714</v>
      </c>
      <c r="I137" s="5">
        <v>44085</v>
      </c>
      <c r="J137" s="1" t="s">
        <v>840</v>
      </c>
      <c r="K137" s="4">
        <v>1</v>
      </c>
      <c r="L137" s="6">
        <v>14400</v>
      </c>
      <c r="M137" s="4">
        <v>24</v>
      </c>
      <c r="N137" s="6">
        <v>600</v>
      </c>
      <c r="O137" s="1" t="s">
        <v>863</v>
      </c>
      <c r="P137" s="1" t="s">
        <v>480</v>
      </c>
      <c r="Q137" s="1" t="s">
        <v>613</v>
      </c>
      <c r="R137" s="6">
        <v>14400</v>
      </c>
      <c r="S137" s="6">
        <v>600</v>
      </c>
      <c r="T137" s="1"/>
      <c r="U137" s="1"/>
      <c r="V137" s="1" t="s">
        <v>559</v>
      </c>
      <c r="W137" s="1" t="s">
        <v>249</v>
      </c>
      <c r="X137" s="2"/>
      <c r="Y137" s="1"/>
      <c r="Z137" s="1"/>
      <c r="AA137" s="1"/>
      <c r="AB137" s="1" t="s">
        <v>844</v>
      </c>
      <c r="AC137" s="7">
        <v>44085.412132490404</v>
      </c>
      <c r="AD137" s="1" t="s">
        <v>144</v>
      </c>
      <c r="AE137" s="6">
        <v>14400</v>
      </c>
      <c r="AF137" s="7">
        <v>44196</v>
      </c>
      <c r="AG137" s="1" t="s">
        <v>867</v>
      </c>
      <c r="AH137" s="1" t="s">
        <v>7</v>
      </c>
    </row>
    <row r="138" spans="1:34" hidden="1" x14ac:dyDescent="0.25">
      <c r="A138" s="4">
        <v>164</v>
      </c>
      <c r="B138" s="2" t="str">
        <f>HYPERLINK("https://my.zakupki.prom.ua/remote/dispatcher/state_purchase_view/59636", "UA-2016-02-15-000010-a")</f>
        <v>UA-2016-02-15-000010-a</v>
      </c>
      <c r="C138" s="1" t="s">
        <v>2</v>
      </c>
      <c r="D138" s="1" t="s">
        <v>405</v>
      </c>
      <c r="E138" s="1" t="s">
        <v>543</v>
      </c>
      <c r="F138" s="1" t="s">
        <v>560</v>
      </c>
      <c r="G138" s="1" t="s">
        <v>290</v>
      </c>
      <c r="H138" s="1" t="s">
        <v>718</v>
      </c>
      <c r="I138" s="5">
        <v>42427</v>
      </c>
      <c r="J138" s="7">
        <v>42424.508715277778</v>
      </c>
      <c r="K138" s="4">
        <v>2</v>
      </c>
      <c r="L138" s="6">
        <v>8500</v>
      </c>
      <c r="M138" s="4">
        <v>1</v>
      </c>
      <c r="N138" s="6">
        <v>8500</v>
      </c>
      <c r="O138" s="1" t="s">
        <v>850</v>
      </c>
      <c r="P138" s="1" t="s">
        <v>480</v>
      </c>
      <c r="Q138" s="1" t="s">
        <v>788</v>
      </c>
      <c r="R138" s="6">
        <v>7650</v>
      </c>
      <c r="S138" s="6">
        <v>7650</v>
      </c>
      <c r="T138" s="6">
        <v>850</v>
      </c>
      <c r="U138" s="6">
        <v>0.1</v>
      </c>
      <c r="V138" s="1" t="s">
        <v>825</v>
      </c>
      <c r="W138" s="1" t="s">
        <v>176</v>
      </c>
      <c r="X138" s="2" t="str">
        <f>HYPERLINK("https://auction.openprocurement.org/tenders/273fbb68c2464152844ca24b29126e5b")</f>
        <v>https://auction.openprocurement.org/tenders/273fbb68c2464152844ca24b29126e5b</v>
      </c>
      <c r="Y138" s="7">
        <v>42474.4605259077</v>
      </c>
      <c r="Z138" s="5">
        <v>42475</v>
      </c>
      <c r="AA138" s="5">
        <v>42449</v>
      </c>
      <c r="AB138" s="1" t="s">
        <v>866</v>
      </c>
      <c r="AC138" s="1"/>
      <c r="AD138" s="1"/>
      <c r="AE138" s="6">
        <v>7650</v>
      </c>
      <c r="AF138" s="1"/>
      <c r="AG138" s="1" t="s">
        <v>860</v>
      </c>
      <c r="AH138" s="1" t="s">
        <v>177</v>
      </c>
    </row>
    <row r="139" spans="1:34" hidden="1" x14ac:dyDescent="0.25">
      <c r="A139" s="4">
        <v>166</v>
      </c>
      <c r="B139" s="2" t="str">
        <f>HYPERLINK("https://my.zakupki.prom.ua/remote/dispatcher/state_purchase_view/26123710", "UA-2021-04-24-000189-a")</f>
        <v>UA-2021-04-24-000189-a</v>
      </c>
      <c r="C139" s="1" t="s">
        <v>678</v>
      </c>
      <c r="D139" s="1" t="s">
        <v>467</v>
      </c>
      <c r="E139" s="1" t="s">
        <v>641</v>
      </c>
      <c r="F139" s="1" t="s">
        <v>560</v>
      </c>
      <c r="G139" s="1" t="s">
        <v>290</v>
      </c>
      <c r="H139" s="1" t="s">
        <v>492</v>
      </c>
      <c r="I139" s="5">
        <v>44310</v>
      </c>
      <c r="J139" s="1" t="s">
        <v>840</v>
      </c>
      <c r="K139" s="4">
        <v>1</v>
      </c>
      <c r="L139" s="6">
        <v>67244.86</v>
      </c>
      <c r="M139" s="4">
        <v>1296</v>
      </c>
      <c r="N139" s="6">
        <v>51.89</v>
      </c>
      <c r="O139" s="1" t="s">
        <v>854</v>
      </c>
      <c r="P139" s="1" t="s">
        <v>480</v>
      </c>
      <c r="Q139" s="1" t="s">
        <v>788</v>
      </c>
      <c r="R139" s="6">
        <v>67244.86</v>
      </c>
      <c r="S139" s="6">
        <v>51.886466049382719</v>
      </c>
      <c r="T139" s="1"/>
      <c r="U139" s="1"/>
      <c r="V139" s="1" t="s">
        <v>489</v>
      </c>
      <c r="W139" s="1" t="s">
        <v>10</v>
      </c>
      <c r="X139" s="2"/>
      <c r="Y139" s="1"/>
      <c r="Z139" s="5">
        <v>44316</v>
      </c>
      <c r="AA139" s="5">
        <v>44331</v>
      </c>
      <c r="AB139" s="1" t="s">
        <v>839</v>
      </c>
      <c r="AC139" s="1"/>
      <c r="AD139" s="1"/>
      <c r="AE139" s="6">
        <v>67244.86</v>
      </c>
      <c r="AF139" s="1"/>
      <c r="AG139" s="1" t="s">
        <v>860</v>
      </c>
      <c r="AH139" s="1" t="s">
        <v>7</v>
      </c>
    </row>
    <row r="140" spans="1:34" hidden="1" x14ac:dyDescent="0.25">
      <c r="A140" s="4">
        <v>167</v>
      </c>
      <c r="B140" s="2" t="str">
        <f>HYPERLINK("https://my.zakupki.prom.ua/remote/dispatcher/state_purchase_view/25268037", "UA-2021-03-26-003462-b")</f>
        <v>UA-2021-03-26-003462-b</v>
      </c>
      <c r="C140" s="1" t="s">
        <v>683</v>
      </c>
      <c r="D140" s="1" t="s">
        <v>473</v>
      </c>
      <c r="E140" s="1" t="s">
        <v>515</v>
      </c>
      <c r="F140" s="1" t="s">
        <v>560</v>
      </c>
      <c r="G140" s="1" t="s">
        <v>290</v>
      </c>
      <c r="H140" s="1" t="s">
        <v>492</v>
      </c>
      <c r="I140" s="5">
        <v>44281</v>
      </c>
      <c r="J140" s="7">
        <v>44298.559930555559</v>
      </c>
      <c r="K140" s="4">
        <v>2</v>
      </c>
      <c r="L140" s="6">
        <v>605000</v>
      </c>
      <c r="M140" s="4">
        <v>8</v>
      </c>
      <c r="N140" s="6">
        <v>75625</v>
      </c>
      <c r="O140" s="1" t="s">
        <v>863</v>
      </c>
      <c r="P140" s="1" t="s">
        <v>480</v>
      </c>
      <c r="Q140" s="1" t="s">
        <v>788</v>
      </c>
      <c r="R140" s="6">
        <v>538434</v>
      </c>
      <c r="S140" s="6">
        <v>67304.25</v>
      </c>
      <c r="T140" s="6">
        <v>66566</v>
      </c>
      <c r="U140" s="6">
        <v>0.11002644628099173</v>
      </c>
      <c r="V140" s="1"/>
      <c r="W140" s="1"/>
      <c r="X140" s="2" t="str">
        <f>HYPERLINK("https://auction.openprocurement.org/tenders/fdfc8e0d511c4695b66b9e70b559f23a")</f>
        <v>https://auction.openprocurement.org/tenders/fdfc8e0d511c4695b66b9e70b559f23a</v>
      </c>
      <c r="Y140" s="1"/>
      <c r="Z140" s="1"/>
      <c r="AA140" s="1"/>
      <c r="AB140" s="1" t="s">
        <v>845</v>
      </c>
      <c r="AC140" s="1"/>
      <c r="AD140" s="1"/>
      <c r="AE140" s="1"/>
      <c r="AF140" s="1"/>
      <c r="AG140" s="1"/>
      <c r="AH140" s="1" t="s">
        <v>221</v>
      </c>
    </row>
    <row r="141" spans="1:34" hidden="1" x14ac:dyDescent="0.25">
      <c r="A141" s="4">
        <v>168</v>
      </c>
      <c r="B141" s="2" t="str">
        <f>HYPERLINK("https://my.zakupki.prom.ua/remote/dispatcher/state_purchase_view/7803501", "UA-2018-07-24-001667-b")</f>
        <v>UA-2018-07-24-001667-b</v>
      </c>
      <c r="C141" s="1" t="s">
        <v>653</v>
      </c>
      <c r="D141" s="1" t="s">
        <v>474</v>
      </c>
      <c r="E141" s="1" t="s">
        <v>552</v>
      </c>
      <c r="F141" s="1" t="s">
        <v>560</v>
      </c>
      <c r="G141" s="1" t="s">
        <v>290</v>
      </c>
      <c r="H141" s="1" t="s">
        <v>717</v>
      </c>
      <c r="I141" s="5">
        <v>43305</v>
      </c>
      <c r="J141" s="1" t="s">
        <v>840</v>
      </c>
      <c r="K141" s="4">
        <v>1</v>
      </c>
      <c r="L141" s="6">
        <v>928.8</v>
      </c>
      <c r="M141" s="4">
        <v>1</v>
      </c>
      <c r="N141" s="6">
        <v>928.8</v>
      </c>
      <c r="O141" s="1" t="s">
        <v>863</v>
      </c>
      <c r="P141" s="1" t="s">
        <v>480</v>
      </c>
      <c r="Q141" s="1" t="s">
        <v>613</v>
      </c>
      <c r="R141" s="6">
        <v>928.8</v>
      </c>
      <c r="S141" s="6">
        <v>928.8</v>
      </c>
      <c r="T141" s="1"/>
      <c r="U141" s="1"/>
      <c r="V141" s="1" t="s">
        <v>529</v>
      </c>
      <c r="W141" s="1" t="s">
        <v>301</v>
      </c>
      <c r="X141" s="2"/>
      <c r="Y141" s="1"/>
      <c r="Z141" s="1"/>
      <c r="AA141" s="1"/>
      <c r="AB141" s="1" t="s">
        <v>844</v>
      </c>
      <c r="AC141" s="7">
        <v>43305.664633196007</v>
      </c>
      <c r="AD141" s="1" t="s">
        <v>59</v>
      </c>
      <c r="AE141" s="6">
        <v>928.8</v>
      </c>
      <c r="AF141" s="7">
        <v>43465</v>
      </c>
      <c r="AG141" s="1" t="s">
        <v>867</v>
      </c>
      <c r="AH141" s="1" t="s">
        <v>7</v>
      </c>
    </row>
    <row r="142" spans="1:34" hidden="1" x14ac:dyDescent="0.25">
      <c r="A142" s="4">
        <v>169</v>
      </c>
      <c r="B142" s="2" t="str">
        <f>HYPERLINK("https://my.zakupki.prom.ua/remote/dispatcher/state_purchase_view/6507669", "UA-2018-03-14-001643-c")</f>
        <v>UA-2018-03-14-001643-c</v>
      </c>
      <c r="C142" s="1" t="s">
        <v>512</v>
      </c>
      <c r="D142" s="1" t="s">
        <v>429</v>
      </c>
      <c r="E142" s="1" t="s">
        <v>641</v>
      </c>
      <c r="F142" s="1" t="s">
        <v>560</v>
      </c>
      <c r="G142" s="1" t="s">
        <v>290</v>
      </c>
      <c r="H142" s="1" t="s">
        <v>717</v>
      </c>
      <c r="I142" s="5">
        <v>43173</v>
      </c>
      <c r="J142" s="1" t="s">
        <v>840</v>
      </c>
      <c r="K142" s="4">
        <v>1</v>
      </c>
      <c r="L142" s="6">
        <v>7848</v>
      </c>
      <c r="M142" s="4">
        <v>2000</v>
      </c>
      <c r="N142" s="6">
        <v>3.92</v>
      </c>
      <c r="O142" s="1" t="s">
        <v>854</v>
      </c>
      <c r="P142" s="1" t="s">
        <v>480</v>
      </c>
      <c r="Q142" s="1" t="s">
        <v>788</v>
      </c>
      <c r="R142" s="6">
        <v>7848</v>
      </c>
      <c r="S142" s="6">
        <v>3.9239999999999999</v>
      </c>
      <c r="T142" s="1"/>
      <c r="U142" s="1"/>
      <c r="V142" s="1" t="s">
        <v>5</v>
      </c>
      <c r="W142" s="1" t="s">
        <v>292</v>
      </c>
      <c r="X142" s="2"/>
      <c r="Y142" s="1"/>
      <c r="Z142" s="5">
        <v>43207</v>
      </c>
      <c r="AA142" s="5">
        <v>43222</v>
      </c>
      <c r="AB142" s="1" t="s">
        <v>844</v>
      </c>
      <c r="AC142" s="7">
        <v>43207.461874759167</v>
      </c>
      <c r="AD142" s="1" t="s">
        <v>140</v>
      </c>
      <c r="AE142" s="6">
        <v>7848</v>
      </c>
      <c r="AF142" s="7">
        <v>43465</v>
      </c>
      <c r="AG142" s="1" t="s">
        <v>867</v>
      </c>
      <c r="AH142" s="1" t="s">
        <v>7</v>
      </c>
    </row>
    <row r="143" spans="1:34" hidden="1" x14ac:dyDescent="0.25">
      <c r="A143" s="4">
        <v>174</v>
      </c>
      <c r="B143" s="2" t="str">
        <f>HYPERLINK("https://my.zakupki.prom.ua/remote/dispatcher/state_purchase_view/282618", "UA-2016-08-15-000043-b")</f>
        <v>UA-2016-08-15-000043-b</v>
      </c>
      <c r="C143" s="1" t="s">
        <v>497</v>
      </c>
      <c r="D143" s="1" t="s">
        <v>31</v>
      </c>
      <c r="E143" s="1" t="s">
        <v>543</v>
      </c>
      <c r="F143" s="1" t="s">
        <v>560</v>
      </c>
      <c r="G143" s="1" t="s">
        <v>290</v>
      </c>
      <c r="H143" s="1" t="s">
        <v>718</v>
      </c>
      <c r="I143" s="5">
        <v>42597</v>
      </c>
      <c r="J143" s="7">
        <v>42605.625497685185</v>
      </c>
      <c r="K143" s="4">
        <v>2</v>
      </c>
      <c r="L143" s="6">
        <v>5000</v>
      </c>
      <c r="M143" s="4">
        <v>230</v>
      </c>
      <c r="N143" s="6">
        <v>21.74</v>
      </c>
      <c r="O143" s="1" t="s">
        <v>851</v>
      </c>
      <c r="P143" s="1" t="s">
        <v>480</v>
      </c>
      <c r="Q143" s="1" t="s">
        <v>788</v>
      </c>
      <c r="R143" s="6">
        <v>4664.3999999999996</v>
      </c>
      <c r="S143" s="6">
        <v>20.279999999999998</v>
      </c>
      <c r="T143" s="6">
        <v>335.60000000000036</v>
      </c>
      <c r="U143" s="6">
        <v>6.7120000000000068E-2</v>
      </c>
      <c r="V143" s="1" t="s">
        <v>614</v>
      </c>
      <c r="W143" s="1" t="s">
        <v>332</v>
      </c>
      <c r="X143" s="2" t="str">
        <f>HYPERLINK("https://auction.openprocurement.org/tenders/3f7dadd30c024f59ac8097ea040a104c")</f>
        <v>https://auction.openprocurement.org/tenders/3f7dadd30c024f59ac8097ea040a104c</v>
      </c>
      <c r="Y143" s="7">
        <v>42612.610252886065</v>
      </c>
      <c r="Z143" s="5">
        <v>42614</v>
      </c>
      <c r="AA143" s="5">
        <v>42630</v>
      </c>
      <c r="AB143" s="1" t="s">
        <v>844</v>
      </c>
      <c r="AC143" s="7">
        <v>42625.906313174193</v>
      </c>
      <c r="AD143" s="1" t="s">
        <v>478</v>
      </c>
      <c r="AE143" s="6">
        <v>4664.3999999999996</v>
      </c>
      <c r="AF143" s="7">
        <v>42735</v>
      </c>
      <c r="AG143" s="1" t="s">
        <v>867</v>
      </c>
      <c r="AH143" s="1" t="s">
        <v>333</v>
      </c>
    </row>
    <row r="144" spans="1:34" hidden="1" x14ac:dyDescent="0.25">
      <c r="A144" s="4">
        <v>175</v>
      </c>
      <c r="B144" s="2" t="str">
        <f>HYPERLINK("https://my.zakupki.prom.ua/remote/dispatcher/state_purchase_view/840487", "UA-2016-11-07-000284-b")</f>
        <v>UA-2016-11-07-000284-b</v>
      </c>
      <c r="C144" s="1" t="s">
        <v>499</v>
      </c>
      <c r="D144" s="1" t="s">
        <v>369</v>
      </c>
      <c r="E144" s="1" t="s">
        <v>543</v>
      </c>
      <c r="F144" s="1" t="s">
        <v>560</v>
      </c>
      <c r="G144" s="1" t="s">
        <v>290</v>
      </c>
      <c r="H144" s="1" t="s">
        <v>718</v>
      </c>
      <c r="I144" s="5">
        <v>42681</v>
      </c>
      <c r="J144" s="7">
        <v>42691.60665509259</v>
      </c>
      <c r="K144" s="4">
        <v>2</v>
      </c>
      <c r="L144" s="6">
        <v>4500</v>
      </c>
      <c r="M144" s="4">
        <v>1</v>
      </c>
      <c r="N144" s="6">
        <v>4500</v>
      </c>
      <c r="O144" s="1" t="s">
        <v>871</v>
      </c>
      <c r="P144" s="1" t="s">
        <v>480</v>
      </c>
      <c r="Q144" s="1" t="s">
        <v>788</v>
      </c>
      <c r="R144" s="6">
        <v>3600</v>
      </c>
      <c r="S144" s="6">
        <v>3600</v>
      </c>
      <c r="T144" s="6">
        <v>900</v>
      </c>
      <c r="U144" s="6">
        <v>0.2</v>
      </c>
      <c r="V144" s="1" t="s">
        <v>802</v>
      </c>
      <c r="W144" s="1" t="s">
        <v>339</v>
      </c>
      <c r="X144" s="2" t="str">
        <f>HYPERLINK("https://auction.openprocurement.org/tenders/ed3c7088fb5048fc9c7226a3326ab169")</f>
        <v>https://auction.openprocurement.org/tenders/ed3c7088fb5048fc9c7226a3326ab169</v>
      </c>
      <c r="Y144" s="7">
        <v>42692.736896120739</v>
      </c>
      <c r="Z144" s="5">
        <v>42696</v>
      </c>
      <c r="AA144" s="5">
        <v>42713</v>
      </c>
      <c r="AB144" s="1" t="s">
        <v>844</v>
      </c>
      <c r="AC144" s="7">
        <v>42706.326644486275</v>
      </c>
      <c r="AD144" s="1" t="s">
        <v>50</v>
      </c>
      <c r="AE144" s="6">
        <v>3600</v>
      </c>
      <c r="AF144" s="7">
        <v>42735</v>
      </c>
      <c r="AG144" s="1" t="s">
        <v>867</v>
      </c>
      <c r="AH144" s="1" t="s">
        <v>340</v>
      </c>
    </row>
    <row r="145" spans="1:34" hidden="1" x14ac:dyDescent="0.25">
      <c r="A145" s="4">
        <v>183</v>
      </c>
      <c r="B145" s="2" t="str">
        <f>HYPERLINK("https://my.zakupki.prom.ua/remote/dispatcher/state_purchase_view/19223737", "UA-2020-09-11-012439-b")</f>
        <v>UA-2020-09-11-012439-b</v>
      </c>
      <c r="C145" s="1" t="s">
        <v>648</v>
      </c>
      <c r="D145" s="1" t="s">
        <v>424</v>
      </c>
      <c r="E145" s="1" t="s">
        <v>552</v>
      </c>
      <c r="F145" s="1" t="s">
        <v>560</v>
      </c>
      <c r="G145" s="1" t="s">
        <v>290</v>
      </c>
      <c r="H145" s="1" t="s">
        <v>714</v>
      </c>
      <c r="I145" s="5">
        <v>44085</v>
      </c>
      <c r="J145" s="1" t="s">
        <v>840</v>
      </c>
      <c r="K145" s="4">
        <v>1</v>
      </c>
      <c r="L145" s="6">
        <v>10200</v>
      </c>
      <c r="M145" s="4">
        <v>1</v>
      </c>
      <c r="N145" s="6">
        <v>10200</v>
      </c>
      <c r="O145" s="1" t="s">
        <v>863</v>
      </c>
      <c r="P145" s="1" t="s">
        <v>480</v>
      </c>
      <c r="Q145" s="1" t="s">
        <v>788</v>
      </c>
      <c r="R145" s="6">
        <v>10200</v>
      </c>
      <c r="S145" s="6">
        <v>10200</v>
      </c>
      <c r="T145" s="1"/>
      <c r="U145" s="1"/>
      <c r="V145" s="1" t="s">
        <v>778</v>
      </c>
      <c r="W145" s="1" t="s">
        <v>374</v>
      </c>
      <c r="X145" s="2"/>
      <c r="Y145" s="1"/>
      <c r="Z145" s="1"/>
      <c r="AA145" s="1"/>
      <c r="AB145" s="1" t="s">
        <v>844</v>
      </c>
      <c r="AC145" s="7">
        <v>44085.692960736538</v>
      </c>
      <c r="AD145" s="1" t="s">
        <v>256</v>
      </c>
      <c r="AE145" s="6">
        <v>10200</v>
      </c>
      <c r="AF145" s="7">
        <v>44196</v>
      </c>
      <c r="AG145" s="1" t="s">
        <v>867</v>
      </c>
      <c r="AH145" s="1" t="s">
        <v>7</v>
      </c>
    </row>
    <row r="146" spans="1:34" hidden="1" x14ac:dyDescent="0.25">
      <c r="A146" s="4">
        <v>184</v>
      </c>
      <c r="B146" s="2" t="str">
        <f>HYPERLINK("https://my.zakupki.prom.ua/remote/dispatcher/state_purchase_view/19657831", "UA-2020-09-28-006380-a")</f>
        <v>UA-2020-09-28-006380-a</v>
      </c>
      <c r="C146" s="1" t="s">
        <v>648</v>
      </c>
      <c r="D146" s="1" t="s">
        <v>424</v>
      </c>
      <c r="E146" s="1" t="s">
        <v>552</v>
      </c>
      <c r="F146" s="1" t="s">
        <v>560</v>
      </c>
      <c r="G146" s="1" t="s">
        <v>290</v>
      </c>
      <c r="H146" s="1" t="s">
        <v>714</v>
      </c>
      <c r="I146" s="5">
        <v>44102</v>
      </c>
      <c r="J146" s="1" t="s">
        <v>840</v>
      </c>
      <c r="K146" s="4">
        <v>1</v>
      </c>
      <c r="L146" s="6">
        <v>10500</v>
      </c>
      <c r="M146" s="4">
        <v>1</v>
      </c>
      <c r="N146" s="6">
        <v>10500</v>
      </c>
      <c r="O146" s="1" t="s">
        <v>863</v>
      </c>
      <c r="P146" s="1" t="s">
        <v>480</v>
      </c>
      <c r="Q146" s="1" t="s">
        <v>788</v>
      </c>
      <c r="R146" s="6">
        <v>10500</v>
      </c>
      <c r="S146" s="6">
        <v>10500</v>
      </c>
      <c r="T146" s="1"/>
      <c r="U146" s="1"/>
      <c r="V146" s="1" t="s">
        <v>778</v>
      </c>
      <c r="W146" s="1" t="s">
        <v>374</v>
      </c>
      <c r="X146" s="2"/>
      <c r="Y146" s="1"/>
      <c r="Z146" s="1"/>
      <c r="AA146" s="1"/>
      <c r="AB146" s="1" t="s">
        <v>844</v>
      </c>
      <c r="AC146" s="7">
        <v>44102.628738178311</v>
      </c>
      <c r="AD146" s="1" t="s">
        <v>349</v>
      </c>
      <c r="AE146" s="6">
        <v>10500</v>
      </c>
      <c r="AF146" s="7">
        <v>44196</v>
      </c>
      <c r="AG146" s="1" t="s">
        <v>867</v>
      </c>
      <c r="AH146" s="1" t="s">
        <v>7</v>
      </c>
    </row>
    <row r="147" spans="1:34" hidden="1" x14ac:dyDescent="0.25">
      <c r="A147" s="4">
        <v>185</v>
      </c>
      <c r="B147" s="2" t="str">
        <f>HYPERLINK("https://my.zakupki.prom.ua/remote/dispatcher/state_purchase_view/15302227", "UA-2020-02-14-002412-c")</f>
        <v>UA-2020-02-14-002412-c</v>
      </c>
      <c r="C147" s="1" t="s">
        <v>1</v>
      </c>
      <c r="D147" s="1" t="s">
        <v>468</v>
      </c>
      <c r="E147" s="1" t="s">
        <v>543</v>
      </c>
      <c r="F147" s="1" t="s">
        <v>560</v>
      </c>
      <c r="G147" s="1" t="s">
        <v>290</v>
      </c>
      <c r="H147" s="1" t="s">
        <v>715</v>
      </c>
      <c r="I147" s="5">
        <v>43875</v>
      </c>
      <c r="J147" s="1" t="s">
        <v>841</v>
      </c>
      <c r="K147" s="4">
        <v>1</v>
      </c>
      <c r="L147" s="6">
        <v>15500</v>
      </c>
      <c r="M147" s="4">
        <v>80</v>
      </c>
      <c r="N147" s="6">
        <v>193.75</v>
      </c>
      <c r="O147" s="1" t="s">
        <v>854</v>
      </c>
      <c r="P147" s="1" t="s">
        <v>480</v>
      </c>
      <c r="Q147" s="1" t="s">
        <v>788</v>
      </c>
      <c r="R147" s="6">
        <v>14088.8</v>
      </c>
      <c r="S147" s="6">
        <v>176.10999999999999</v>
      </c>
      <c r="T147" s="6">
        <v>1411.2000000000007</v>
      </c>
      <c r="U147" s="6">
        <v>9.1045161290322627E-2</v>
      </c>
      <c r="V147" s="1" t="s">
        <v>730</v>
      </c>
      <c r="W147" s="1" t="s">
        <v>16</v>
      </c>
      <c r="X147" s="2"/>
      <c r="Y147" s="7">
        <v>43886.620856594054</v>
      </c>
      <c r="Z147" s="5">
        <v>43888</v>
      </c>
      <c r="AA147" s="5">
        <v>43909</v>
      </c>
      <c r="AB147" s="1" t="s">
        <v>844</v>
      </c>
      <c r="AC147" s="7">
        <v>43895.471134177096</v>
      </c>
      <c r="AD147" s="1" t="s">
        <v>420</v>
      </c>
      <c r="AE147" s="6">
        <v>14088.8</v>
      </c>
      <c r="AF147" s="7">
        <v>44196</v>
      </c>
      <c r="AG147" s="1" t="s">
        <v>867</v>
      </c>
      <c r="AH147" s="1" t="s">
        <v>17</v>
      </c>
    </row>
    <row r="148" spans="1:34" hidden="1" x14ac:dyDescent="0.25">
      <c r="A148" s="4">
        <v>186</v>
      </c>
      <c r="B148" s="2" t="str">
        <f>HYPERLINK("https://my.zakupki.prom.ua/remote/dispatcher/state_purchase_view/16946932", "UA-2020-05-30-000062-b")</f>
        <v>UA-2020-05-30-000062-b</v>
      </c>
      <c r="C148" s="1" t="s">
        <v>570</v>
      </c>
      <c r="D148" s="1" t="s">
        <v>380</v>
      </c>
      <c r="E148" s="1" t="s">
        <v>515</v>
      </c>
      <c r="F148" s="1" t="s">
        <v>560</v>
      </c>
      <c r="G148" s="1" t="s">
        <v>290</v>
      </c>
      <c r="H148" s="1" t="s">
        <v>714</v>
      </c>
      <c r="I148" s="5">
        <v>43981</v>
      </c>
      <c r="J148" s="7">
        <v>43998.489791666667</v>
      </c>
      <c r="K148" s="4">
        <v>5</v>
      </c>
      <c r="L148" s="6">
        <v>1494000</v>
      </c>
      <c r="M148" s="4">
        <v>1</v>
      </c>
      <c r="N148" s="6">
        <v>1494000</v>
      </c>
      <c r="O148" s="1" t="s">
        <v>846</v>
      </c>
      <c r="P148" s="1" t="s">
        <v>480</v>
      </c>
      <c r="Q148" s="1" t="s">
        <v>788</v>
      </c>
      <c r="R148" s="6">
        <v>1100000</v>
      </c>
      <c r="S148" s="6">
        <v>1100000</v>
      </c>
      <c r="T148" s="6">
        <v>394000</v>
      </c>
      <c r="U148" s="6">
        <v>0.26372155287817939</v>
      </c>
      <c r="V148" s="1" t="s">
        <v>792</v>
      </c>
      <c r="W148" s="1" t="s">
        <v>342</v>
      </c>
      <c r="X148" s="2" t="str">
        <f>HYPERLINK("https://auction.openprocurement.org/tenders/e62ffd5c958d45e29aaeff2d0a186f76")</f>
        <v>https://auction.openprocurement.org/tenders/e62ffd5c958d45e29aaeff2d0a186f76</v>
      </c>
      <c r="Y148" s="7">
        <v>44000.788738476091</v>
      </c>
      <c r="Z148" s="5">
        <v>44011</v>
      </c>
      <c r="AA148" s="5">
        <v>44021</v>
      </c>
      <c r="AB148" s="1" t="s">
        <v>844</v>
      </c>
      <c r="AC148" s="7">
        <v>44012.493257344991</v>
      </c>
      <c r="AD148" s="1" t="s">
        <v>362</v>
      </c>
      <c r="AE148" s="6">
        <v>1470060</v>
      </c>
      <c r="AF148" s="7">
        <v>44196</v>
      </c>
      <c r="AG148" s="1" t="s">
        <v>867</v>
      </c>
      <c r="AH148" s="1" t="s">
        <v>298</v>
      </c>
    </row>
    <row r="149" spans="1:34" hidden="1" x14ac:dyDescent="0.25">
      <c r="A149" s="4">
        <v>187</v>
      </c>
      <c r="B149" s="2" t="str">
        <f>HYPERLINK("https://my.zakupki.prom.ua/remote/dispatcher/state_purchase_view/24612579", "UA-2021-03-04-010236-c")</f>
        <v>UA-2021-03-04-010236-c</v>
      </c>
      <c r="C149" s="1" t="s">
        <v>616</v>
      </c>
      <c r="D149" s="1" t="s">
        <v>258</v>
      </c>
      <c r="E149" s="1" t="s">
        <v>552</v>
      </c>
      <c r="F149" s="1" t="s">
        <v>560</v>
      </c>
      <c r="G149" s="1" t="s">
        <v>290</v>
      </c>
      <c r="H149" s="1" t="s">
        <v>714</v>
      </c>
      <c r="I149" s="5">
        <v>44259</v>
      </c>
      <c r="J149" s="1" t="s">
        <v>840</v>
      </c>
      <c r="K149" s="4">
        <v>1</v>
      </c>
      <c r="L149" s="6">
        <v>5579.14</v>
      </c>
      <c r="M149" s="4">
        <v>1</v>
      </c>
      <c r="N149" s="6">
        <v>5579.14</v>
      </c>
      <c r="O149" s="1" t="s">
        <v>850</v>
      </c>
      <c r="P149" s="1" t="s">
        <v>480</v>
      </c>
      <c r="Q149" s="1" t="s">
        <v>788</v>
      </c>
      <c r="R149" s="6">
        <v>5579.14</v>
      </c>
      <c r="S149" s="6">
        <v>5579.14</v>
      </c>
      <c r="T149" s="1"/>
      <c r="U149" s="1"/>
      <c r="V149" s="1" t="s">
        <v>779</v>
      </c>
      <c r="W149" s="1" t="s">
        <v>350</v>
      </c>
      <c r="X149" s="2"/>
      <c r="Y149" s="1"/>
      <c r="Z149" s="1"/>
      <c r="AA149" s="1"/>
      <c r="AB149" s="1" t="s">
        <v>844</v>
      </c>
      <c r="AC149" s="7">
        <v>44259.666381636285</v>
      </c>
      <c r="AD149" s="1" t="s">
        <v>479</v>
      </c>
      <c r="AE149" s="6">
        <v>5579.14</v>
      </c>
      <c r="AF149" s="7">
        <v>44561</v>
      </c>
      <c r="AG149" s="1" t="s">
        <v>867</v>
      </c>
      <c r="AH149" s="1" t="s">
        <v>7</v>
      </c>
    </row>
    <row r="150" spans="1:34" hidden="1" x14ac:dyDescent="0.25">
      <c r="A150" s="4">
        <v>188</v>
      </c>
      <c r="B150" s="2" t="str">
        <f>HYPERLINK("https://my.zakupki.prom.ua/remote/dispatcher/state_purchase_view/23271217", "UA-2021-01-26-005895-b")</f>
        <v>UA-2021-01-26-005895-b</v>
      </c>
      <c r="C150" s="1" t="s">
        <v>496</v>
      </c>
      <c r="D150" s="1" t="s">
        <v>33</v>
      </c>
      <c r="E150" s="1" t="s">
        <v>725</v>
      </c>
      <c r="F150" s="1" t="s">
        <v>560</v>
      </c>
      <c r="G150" s="1" t="s">
        <v>290</v>
      </c>
      <c r="H150" s="1" t="s">
        <v>714</v>
      </c>
      <c r="I150" s="5">
        <v>44222</v>
      </c>
      <c r="J150" s="1" t="s">
        <v>841</v>
      </c>
      <c r="K150" s="4">
        <v>1</v>
      </c>
      <c r="L150" s="6">
        <v>72800</v>
      </c>
      <c r="M150" s="1" t="s">
        <v>849</v>
      </c>
      <c r="N150" s="1" t="s">
        <v>849</v>
      </c>
      <c r="O150" s="1" t="s">
        <v>849</v>
      </c>
      <c r="P150" s="1" t="s">
        <v>480</v>
      </c>
      <c r="Q150" s="1" t="s">
        <v>788</v>
      </c>
      <c r="R150" s="6">
        <v>69000</v>
      </c>
      <c r="S150" s="1" t="s">
        <v>849</v>
      </c>
      <c r="T150" s="6">
        <v>3800</v>
      </c>
      <c r="U150" s="6">
        <v>5.21978021978022E-2</v>
      </c>
      <c r="V150" s="1" t="s">
        <v>777</v>
      </c>
      <c r="W150" s="1" t="s">
        <v>358</v>
      </c>
      <c r="X150" s="2"/>
      <c r="Y150" s="7">
        <v>44239.763567043563</v>
      </c>
      <c r="Z150" s="5">
        <v>44244</v>
      </c>
      <c r="AA150" s="5">
        <v>44258</v>
      </c>
      <c r="AB150" s="1" t="s">
        <v>844</v>
      </c>
      <c r="AC150" s="7">
        <v>44246.64163056801</v>
      </c>
      <c r="AD150" s="1" t="s">
        <v>12</v>
      </c>
      <c r="AE150" s="6">
        <v>69000</v>
      </c>
      <c r="AF150" s="7">
        <v>44561</v>
      </c>
      <c r="AG150" s="1" t="s">
        <v>867</v>
      </c>
      <c r="AH150" s="1" t="s">
        <v>359</v>
      </c>
    </row>
    <row r="151" spans="1:34" hidden="1" x14ac:dyDescent="0.25">
      <c r="A151" s="4">
        <v>189</v>
      </c>
      <c r="B151" s="2" t="str">
        <f>HYPERLINK("https://my.zakupki.prom.ua/remote/dispatcher/state_purchase_view/24415016", "UA-2021-02-25-009729-a")</f>
        <v>UA-2021-02-25-009729-a</v>
      </c>
      <c r="C151" s="1" t="s">
        <v>696</v>
      </c>
      <c r="D151" s="1" t="s">
        <v>217</v>
      </c>
      <c r="E151" s="1" t="s">
        <v>552</v>
      </c>
      <c r="F151" s="1" t="s">
        <v>560</v>
      </c>
      <c r="G151" s="1" t="s">
        <v>290</v>
      </c>
      <c r="H151" s="1" t="s">
        <v>492</v>
      </c>
      <c r="I151" s="5">
        <v>44252</v>
      </c>
      <c r="J151" s="1" t="s">
        <v>840</v>
      </c>
      <c r="K151" s="4">
        <v>1</v>
      </c>
      <c r="L151" s="6">
        <v>3541.5</v>
      </c>
      <c r="M151" s="4">
        <v>27</v>
      </c>
      <c r="N151" s="6">
        <v>131.16999999999999</v>
      </c>
      <c r="O151" s="1" t="s">
        <v>871</v>
      </c>
      <c r="P151" s="1" t="s">
        <v>480</v>
      </c>
      <c r="Q151" s="1" t="s">
        <v>788</v>
      </c>
      <c r="R151" s="6">
        <v>3541.5</v>
      </c>
      <c r="S151" s="6">
        <v>131.16666666666666</v>
      </c>
      <c r="T151" s="1"/>
      <c r="U151" s="1"/>
      <c r="V151" s="1" t="s">
        <v>775</v>
      </c>
      <c r="W151" s="1" t="s">
        <v>234</v>
      </c>
      <c r="X151" s="2"/>
      <c r="Y151" s="1"/>
      <c r="Z151" s="1"/>
      <c r="AA151" s="1"/>
      <c r="AB151" s="1" t="s">
        <v>844</v>
      </c>
      <c r="AC151" s="7">
        <v>44252.763037958182</v>
      </c>
      <c r="AD151" s="1" t="s">
        <v>66</v>
      </c>
      <c r="AE151" s="6">
        <v>3541.5</v>
      </c>
      <c r="AF151" s="7">
        <v>44561</v>
      </c>
      <c r="AG151" s="1" t="s">
        <v>867</v>
      </c>
      <c r="AH151" s="1" t="s">
        <v>7</v>
      </c>
    </row>
    <row r="152" spans="1:34" hidden="1" x14ac:dyDescent="0.25">
      <c r="A152" s="4">
        <v>191</v>
      </c>
      <c r="B152" s="2" t="str">
        <f>HYPERLINK("https://my.zakupki.prom.ua/remote/dispatcher/state_purchase_view/25382854", "UA-2021-03-30-002021-a")</f>
        <v>UA-2021-03-30-002021-a</v>
      </c>
      <c r="C152" s="1" t="s">
        <v>603</v>
      </c>
      <c r="D152" s="1" t="s">
        <v>321</v>
      </c>
      <c r="E152" s="1" t="s">
        <v>543</v>
      </c>
      <c r="F152" s="1" t="s">
        <v>560</v>
      </c>
      <c r="G152" s="1" t="s">
        <v>290</v>
      </c>
      <c r="H152" s="1" t="s">
        <v>492</v>
      </c>
      <c r="I152" s="5">
        <v>44285</v>
      </c>
      <c r="J152" s="7">
        <v>44298.620115740741</v>
      </c>
      <c r="K152" s="4">
        <v>6</v>
      </c>
      <c r="L152" s="6">
        <v>6000</v>
      </c>
      <c r="M152" s="4">
        <v>50</v>
      </c>
      <c r="N152" s="6">
        <v>120</v>
      </c>
      <c r="O152" s="1" t="s">
        <v>871</v>
      </c>
      <c r="P152" s="1" t="s">
        <v>480</v>
      </c>
      <c r="Q152" s="1" t="s">
        <v>788</v>
      </c>
      <c r="R152" s="6">
        <v>2999</v>
      </c>
      <c r="S152" s="6">
        <v>59.98</v>
      </c>
      <c r="T152" s="6">
        <v>3001</v>
      </c>
      <c r="U152" s="6">
        <v>0.50016666666666665</v>
      </c>
      <c r="V152" s="1" t="s">
        <v>632</v>
      </c>
      <c r="W152" s="1" t="s">
        <v>279</v>
      </c>
      <c r="X152" s="2" t="str">
        <f>HYPERLINK("https://auction.openprocurement.org/tenders/445493a2a9c048cf8c1e553893243219")</f>
        <v>https://auction.openprocurement.org/tenders/445493a2a9c048cf8c1e553893243219</v>
      </c>
      <c r="Y152" s="7">
        <v>44301.810317373958</v>
      </c>
      <c r="Z152" s="5">
        <v>44306</v>
      </c>
      <c r="AA152" s="5">
        <v>44321</v>
      </c>
      <c r="AB152" s="1" t="s">
        <v>844</v>
      </c>
      <c r="AC152" s="7">
        <v>44309.661018029547</v>
      </c>
      <c r="AD152" s="1" t="s">
        <v>9</v>
      </c>
      <c r="AE152" s="6">
        <v>3000</v>
      </c>
      <c r="AF152" s="7">
        <v>44561</v>
      </c>
      <c r="AG152" s="1" t="s">
        <v>867</v>
      </c>
      <c r="AH152" s="1" t="s">
        <v>296</v>
      </c>
    </row>
    <row r="153" spans="1:34" hidden="1" x14ac:dyDescent="0.25">
      <c r="A153" s="4">
        <v>192</v>
      </c>
      <c r="B153" s="2" t="str">
        <f>HYPERLINK("https://my.zakupki.prom.ua/remote/dispatcher/state_purchase_view/24564117", "UA-2021-03-03-005226-c")</f>
        <v>UA-2021-03-03-005226-c</v>
      </c>
      <c r="C153" s="1" t="s">
        <v>623</v>
      </c>
      <c r="D153" s="1" t="s">
        <v>423</v>
      </c>
      <c r="E153" s="1" t="s">
        <v>725</v>
      </c>
      <c r="F153" s="1" t="s">
        <v>560</v>
      </c>
      <c r="G153" s="1" t="s">
        <v>290</v>
      </c>
      <c r="H153" s="1" t="s">
        <v>714</v>
      </c>
      <c r="I153" s="5">
        <v>44258</v>
      </c>
      <c r="J153" s="1" t="s">
        <v>841</v>
      </c>
      <c r="K153" s="4">
        <v>1</v>
      </c>
      <c r="L153" s="6">
        <v>198000</v>
      </c>
      <c r="M153" s="4">
        <v>1</v>
      </c>
      <c r="N153" s="6">
        <v>198000</v>
      </c>
      <c r="O153" s="1" t="s">
        <v>863</v>
      </c>
      <c r="P153" s="1" t="s">
        <v>480</v>
      </c>
      <c r="Q153" s="1" t="s">
        <v>788</v>
      </c>
      <c r="R153" s="6">
        <v>190800</v>
      </c>
      <c r="S153" s="6">
        <v>190800</v>
      </c>
      <c r="T153" s="6">
        <v>7200</v>
      </c>
      <c r="U153" s="6">
        <v>3.6363636363636362E-2</v>
      </c>
      <c r="V153" s="1" t="s">
        <v>820</v>
      </c>
      <c r="W153" s="1" t="s">
        <v>178</v>
      </c>
      <c r="X153" s="2"/>
      <c r="Y153" s="7">
        <v>44273.684950158182</v>
      </c>
      <c r="Z153" s="5">
        <v>44278</v>
      </c>
      <c r="AA153" s="5">
        <v>44295</v>
      </c>
      <c r="AB153" s="1" t="s">
        <v>844</v>
      </c>
      <c r="AC153" s="7">
        <v>44281.455929931457</v>
      </c>
      <c r="AD153" s="1" t="s">
        <v>71</v>
      </c>
      <c r="AE153" s="6">
        <v>190800</v>
      </c>
      <c r="AF153" s="7">
        <v>44561</v>
      </c>
      <c r="AG153" s="1" t="s">
        <v>867</v>
      </c>
      <c r="AH153" s="1" t="s">
        <v>179</v>
      </c>
    </row>
    <row r="154" spans="1:34" hidden="1" x14ac:dyDescent="0.25">
      <c r="A154" s="4">
        <v>193</v>
      </c>
      <c r="B154" s="2" t="str">
        <f>HYPERLINK("https://my.zakupki.prom.ua/remote/dispatcher/state_purchase_view/25705863", "UA-2021-04-09-008530-a")</f>
        <v>UA-2021-04-09-008530-a</v>
      </c>
      <c r="C154" s="1" t="s">
        <v>522</v>
      </c>
      <c r="D154" s="1" t="s">
        <v>20</v>
      </c>
      <c r="E154" s="1" t="s">
        <v>552</v>
      </c>
      <c r="F154" s="1" t="s">
        <v>560</v>
      </c>
      <c r="G154" s="1" t="s">
        <v>290</v>
      </c>
      <c r="H154" s="1" t="s">
        <v>492</v>
      </c>
      <c r="I154" s="5">
        <v>44295</v>
      </c>
      <c r="J154" s="1" t="s">
        <v>840</v>
      </c>
      <c r="K154" s="4">
        <v>1</v>
      </c>
      <c r="L154" s="6">
        <v>2668.8</v>
      </c>
      <c r="M154" s="4">
        <v>1</v>
      </c>
      <c r="N154" s="6">
        <v>2668.8</v>
      </c>
      <c r="O154" s="1" t="s">
        <v>871</v>
      </c>
      <c r="P154" s="1" t="s">
        <v>480</v>
      </c>
      <c r="Q154" s="1" t="s">
        <v>788</v>
      </c>
      <c r="R154" s="6">
        <v>2668.8</v>
      </c>
      <c r="S154" s="6">
        <v>2668.8</v>
      </c>
      <c r="T154" s="1"/>
      <c r="U154" s="1"/>
      <c r="V154" s="1" t="s">
        <v>775</v>
      </c>
      <c r="W154" s="1" t="s">
        <v>234</v>
      </c>
      <c r="X154" s="2"/>
      <c r="Y154" s="1"/>
      <c r="Z154" s="1"/>
      <c r="AA154" s="1"/>
      <c r="AB154" s="1" t="s">
        <v>844</v>
      </c>
      <c r="AC154" s="7">
        <v>44295.891832989037</v>
      </c>
      <c r="AD154" s="1" t="s">
        <v>116</v>
      </c>
      <c r="AE154" s="6">
        <v>2668.8</v>
      </c>
      <c r="AF154" s="7">
        <v>44316</v>
      </c>
      <c r="AG154" s="1" t="s">
        <v>867</v>
      </c>
      <c r="AH154" s="1" t="s">
        <v>7</v>
      </c>
    </row>
    <row r="155" spans="1:34" hidden="1" x14ac:dyDescent="0.25">
      <c r="A155" s="4">
        <v>194</v>
      </c>
      <c r="B155" s="2" t="str">
        <f>HYPERLINK("https://my.zakupki.prom.ua/remote/dispatcher/state_purchase_view/26435918", "UA-2021-05-11-006668-b")</f>
        <v>UA-2021-05-11-006668-b</v>
      </c>
      <c r="C155" s="1" t="s">
        <v>510</v>
      </c>
      <c r="D155" s="1" t="s">
        <v>239</v>
      </c>
      <c r="E155" s="1" t="s">
        <v>543</v>
      </c>
      <c r="F155" s="1" t="s">
        <v>560</v>
      </c>
      <c r="G155" s="1" t="s">
        <v>290</v>
      </c>
      <c r="H155" s="1" t="s">
        <v>492</v>
      </c>
      <c r="I155" s="5">
        <v>44327</v>
      </c>
      <c r="J155" s="1" t="s">
        <v>842</v>
      </c>
      <c r="K155" s="4">
        <v>0</v>
      </c>
      <c r="L155" s="6">
        <v>5000</v>
      </c>
      <c r="M155" s="4">
        <v>4</v>
      </c>
      <c r="N155" s="6">
        <v>1250</v>
      </c>
      <c r="O155" s="1" t="s">
        <v>871</v>
      </c>
      <c r="P155" s="1" t="s">
        <v>480</v>
      </c>
      <c r="Q155" s="1" t="s">
        <v>788</v>
      </c>
      <c r="R155" s="1"/>
      <c r="S155" s="1"/>
      <c r="T155" s="1"/>
      <c r="U155" s="1"/>
      <c r="V155" s="1"/>
      <c r="W155" s="1"/>
      <c r="X155" s="2"/>
      <c r="Y155" s="1"/>
      <c r="Z155" s="1"/>
      <c r="AA155" s="1"/>
      <c r="AB155" s="1" t="s">
        <v>862</v>
      </c>
      <c r="AC155" s="1"/>
      <c r="AD155" s="1"/>
      <c r="AE155" s="1"/>
      <c r="AF155" s="1"/>
      <c r="AG155" s="1"/>
      <c r="AH155" s="1"/>
    </row>
    <row r="156" spans="1:34" hidden="1" x14ac:dyDescent="0.25">
      <c r="A156" s="4">
        <v>195</v>
      </c>
      <c r="B156" s="2" t="str">
        <f>HYPERLINK("https://my.zakupki.prom.ua/remote/dispatcher/state_purchase_view/26125052", "UA-2021-04-25-000242-a")</f>
        <v>UA-2021-04-25-000242-a</v>
      </c>
      <c r="C156" s="1" t="s">
        <v>688</v>
      </c>
      <c r="D156" s="1" t="s">
        <v>400</v>
      </c>
      <c r="E156" s="1" t="s">
        <v>515</v>
      </c>
      <c r="F156" s="1" t="s">
        <v>560</v>
      </c>
      <c r="G156" s="1" t="s">
        <v>290</v>
      </c>
      <c r="H156" s="1" t="s">
        <v>492</v>
      </c>
      <c r="I156" s="5">
        <v>44311</v>
      </c>
      <c r="J156" s="7">
        <v>44328.543263888889</v>
      </c>
      <c r="K156" s="4">
        <v>5</v>
      </c>
      <c r="L156" s="6">
        <v>768296.39</v>
      </c>
      <c r="M156" s="4">
        <v>1</v>
      </c>
      <c r="N156" s="6">
        <v>768296.39</v>
      </c>
      <c r="O156" s="1" t="s">
        <v>863</v>
      </c>
      <c r="P156" s="1" t="s">
        <v>480</v>
      </c>
      <c r="Q156" s="1" t="s">
        <v>788</v>
      </c>
      <c r="R156" s="6">
        <v>659999</v>
      </c>
      <c r="S156" s="6">
        <v>659999</v>
      </c>
      <c r="T156" s="6">
        <v>108297.39000000001</v>
      </c>
      <c r="U156" s="6">
        <v>0.14095782748634289</v>
      </c>
      <c r="V156" s="1"/>
      <c r="W156" s="1"/>
      <c r="X156" s="2" t="str">
        <f>HYPERLINK("https://auction.openprocurement.org/tenders/59129afa715b4871a44595b771d2f73f")</f>
        <v>https://auction.openprocurement.org/tenders/59129afa715b4871a44595b771d2f73f</v>
      </c>
      <c r="Y156" s="1"/>
      <c r="Z156" s="1"/>
      <c r="AA156" s="1"/>
      <c r="AB156" s="1" t="s">
        <v>845</v>
      </c>
      <c r="AC156" s="1"/>
      <c r="AD156" s="1"/>
      <c r="AE156" s="1"/>
      <c r="AF156" s="1"/>
      <c r="AG156" s="1"/>
      <c r="AH156" s="1" t="s">
        <v>289</v>
      </c>
    </row>
    <row r="157" spans="1:34" hidden="1" x14ac:dyDescent="0.25">
      <c r="A157" s="4">
        <v>196</v>
      </c>
      <c r="B157" s="2" t="str">
        <f>HYPERLINK("https://my.zakupki.prom.ua/remote/dispatcher/state_purchase_view/7801167", "UA-2018-07-24-001234-b")</f>
        <v>UA-2018-07-24-001234-b</v>
      </c>
      <c r="C157" s="1" t="s">
        <v>525</v>
      </c>
      <c r="D157" s="1" t="s">
        <v>21</v>
      </c>
      <c r="E157" s="1" t="s">
        <v>552</v>
      </c>
      <c r="F157" s="1" t="s">
        <v>560</v>
      </c>
      <c r="G157" s="1" t="s">
        <v>290</v>
      </c>
      <c r="H157" s="1" t="s">
        <v>717</v>
      </c>
      <c r="I157" s="5">
        <v>43305</v>
      </c>
      <c r="J157" s="1" t="s">
        <v>840</v>
      </c>
      <c r="K157" s="4">
        <v>1</v>
      </c>
      <c r="L157" s="6">
        <v>2293.44</v>
      </c>
      <c r="M157" s="4">
        <v>1</v>
      </c>
      <c r="N157" s="6">
        <v>2293.44</v>
      </c>
      <c r="O157" s="1" t="s">
        <v>846</v>
      </c>
      <c r="P157" s="1" t="s">
        <v>480</v>
      </c>
      <c r="Q157" s="1" t="s">
        <v>788</v>
      </c>
      <c r="R157" s="6">
        <v>2293.44</v>
      </c>
      <c r="S157" s="6">
        <v>2293.44</v>
      </c>
      <c r="T157" s="1"/>
      <c r="U157" s="1"/>
      <c r="V157" s="1" t="s">
        <v>775</v>
      </c>
      <c r="W157" s="1" t="s">
        <v>234</v>
      </c>
      <c r="X157" s="2"/>
      <c r="Y157" s="1"/>
      <c r="Z157" s="1"/>
      <c r="AA157" s="1"/>
      <c r="AB157" s="1" t="s">
        <v>844</v>
      </c>
      <c r="AC157" s="7">
        <v>43305.608787628495</v>
      </c>
      <c r="AD157" s="1" t="s">
        <v>38</v>
      </c>
      <c r="AE157" s="6">
        <v>2293.44</v>
      </c>
      <c r="AF157" s="7">
        <v>43465</v>
      </c>
      <c r="AG157" s="1" t="s">
        <v>867</v>
      </c>
      <c r="AH157" s="1" t="s">
        <v>7</v>
      </c>
    </row>
    <row r="158" spans="1:34" x14ac:dyDescent="0.25">
      <c r="A158" s="4">
        <v>197</v>
      </c>
      <c r="B158" s="2" t="str">
        <f>HYPERLINK("https://my.zakupki.prom.ua/remote/dispatcher/state_purchase_view/13488403", "UA-2019-11-08-001211-b")</f>
        <v>UA-2019-11-08-001211-b</v>
      </c>
      <c r="C158" s="1" t="s">
        <v>664</v>
      </c>
      <c r="D158" s="1" t="s">
        <v>473</v>
      </c>
      <c r="E158" s="1" t="s">
        <v>552</v>
      </c>
      <c r="F158" s="1" t="s">
        <v>560</v>
      </c>
      <c r="G158" s="1" t="s">
        <v>290</v>
      </c>
      <c r="H158" s="1" t="s">
        <v>715</v>
      </c>
      <c r="I158" s="5">
        <v>43777</v>
      </c>
      <c r="J158" s="1" t="s">
        <v>840</v>
      </c>
      <c r="K158" s="4">
        <v>1</v>
      </c>
      <c r="L158" s="6">
        <v>6200</v>
      </c>
      <c r="M158" s="4">
        <v>1</v>
      </c>
      <c r="N158" s="6">
        <v>6200</v>
      </c>
      <c r="O158" s="1" t="s">
        <v>863</v>
      </c>
      <c r="P158" s="1" t="s">
        <v>480</v>
      </c>
      <c r="Q158" s="1" t="s">
        <v>613</v>
      </c>
      <c r="R158" s="6">
        <v>6200</v>
      </c>
      <c r="S158" s="6">
        <v>6200</v>
      </c>
      <c r="T158" s="1"/>
      <c r="U158" s="1"/>
      <c r="V158" s="1" t="s">
        <v>559</v>
      </c>
      <c r="W158" s="1" t="s">
        <v>249</v>
      </c>
      <c r="X158" s="2"/>
      <c r="Y158" s="1"/>
      <c r="Z158" s="1"/>
      <c r="AA158" s="1"/>
      <c r="AB158" s="1" t="s">
        <v>844</v>
      </c>
      <c r="AC158" s="7">
        <v>43777.487538889436</v>
      </c>
      <c r="AD158" s="1" t="s">
        <v>155</v>
      </c>
      <c r="AE158" s="6">
        <v>6200</v>
      </c>
      <c r="AF158" s="7">
        <v>43830</v>
      </c>
      <c r="AG158" s="1" t="s">
        <v>867</v>
      </c>
      <c r="AH158" s="1" t="s">
        <v>7</v>
      </c>
    </row>
    <row r="159" spans="1:34" x14ac:dyDescent="0.25">
      <c r="A159" s="4">
        <v>198</v>
      </c>
      <c r="B159" s="2" t="str">
        <f>HYPERLINK("https://my.zakupki.prom.ua/remote/dispatcher/state_purchase_view/12858276", "UA-2019-09-16-001557-b")</f>
        <v>UA-2019-09-16-001557-b</v>
      </c>
      <c r="C159" s="1" t="s">
        <v>692</v>
      </c>
      <c r="D159" s="1" t="s">
        <v>19</v>
      </c>
      <c r="E159" s="1" t="s">
        <v>552</v>
      </c>
      <c r="F159" s="1" t="s">
        <v>560</v>
      </c>
      <c r="G159" s="1" t="s">
        <v>290</v>
      </c>
      <c r="H159" s="1" t="s">
        <v>715</v>
      </c>
      <c r="I159" s="5">
        <v>43724</v>
      </c>
      <c r="J159" s="1" t="s">
        <v>840</v>
      </c>
      <c r="K159" s="4">
        <v>1</v>
      </c>
      <c r="L159" s="6">
        <v>23506.080000000002</v>
      </c>
      <c r="M159" s="4">
        <v>1</v>
      </c>
      <c r="N159" s="6">
        <v>23506.080000000002</v>
      </c>
      <c r="O159" s="1" t="s">
        <v>850</v>
      </c>
      <c r="P159" s="1" t="s">
        <v>480</v>
      </c>
      <c r="Q159" s="1" t="s">
        <v>788</v>
      </c>
      <c r="R159" s="6">
        <v>23506.080000000002</v>
      </c>
      <c r="S159" s="6">
        <v>23506.080000000002</v>
      </c>
      <c r="T159" s="1"/>
      <c r="U159" s="1"/>
      <c r="V159" s="1" t="s">
        <v>766</v>
      </c>
      <c r="W159" s="1" t="s">
        <v>306</v>
      </c>
      <c r="X159" s="2"/>
      <c r="Y159" s="1"/>
      <c r="Z159" s="1"/>
      <c r="AA159" s="1"/>
      <c r="AB159" s="1" t="s">
        <v>844</v>
      </c>
      <c r="AC159" s="7">
        <v>43724.637302036055</v>
      </c>
      <c r="AD159" s="1" t="s">
        <v>65</v>
      </c>
      <c r="AE159" s="6">
        <v>23506.080000000002</v>
      </c>
      <c r="AF159" s="7">
        <v>43830</v>
      </c>
      <c r="AG159" s="1" t="s">
        <v>867</v>
      </c>
      <c r="AH159" s="1" t="s">
        <v>7</v>
      </c>
    </row>
    <row r="160" spans="1:34" x14ac:dyDescent="0.25">
      <c r="A160" s="4">
        <v>199</v>
      </c>
      <c r="B160" s="2" t="str">
        <f>HYPERLINK("https://my.zakupki.prom.ua/remote/dispatcher/state_purchase_view/12713953", "UA-2019-09-03-001489-b")</f>
        <v>UA-2019-09-03-001489-b</v>
      </c>
      <c r="C160" s="1" t="s">
        <v>617</v>
      </c>
      <c r="D160" s="1" t="s">
        <v>472</v>
      </c>
      <c r="E160" s="1" t="s">
        <v>552</v>
      </c>
      <c r="F160" s="1" t="s">
        <v>560</v>
      </c>
      <c r="G160" s="1" t="s">
        <v>290</v>
      </c>
      <c r="H160" s="1" t="s">
        <v>715</v>
      </c>
      <c r="I160" s="5">
        <v>43711</v>
      </c>
      <c r="J160" s="1" t="s">
        <v>840</v>
      </c>
      <c r="K160" s="4">
        <v>1</v>
      </c>
      <c r="L160" s="6">
        <v>19226.009999999998</v>
      </c>
      <c r="M160" s="4">
        <v>1</v>
      </c>
      <c r="N160" s="6">
        <v>19226.009999999998</v>
      </c>
      <c r="O160" s="1" t="s">
        <v>863</v>
      </c>
      <c r="P160" s="1" t="s">
        <v>480</v>
      </c>
      <c r="Q160" s="1" t="s">
        <v>788</v>
      </c>
      <c r="R160" s="6">
        <v>19226.009999999998</v>
      </c>
      <c r="S160" s="6">
        <v>19226.009999999998</v>
      </c>
      <c r="T160" s="1"/>
      <c r="U160" s="1"/>
      <c r="V160" s="1" t="s">
        <v>487</v>
      </c>
      <c r="W160" s="1" t="s">
        <v>259</v>
      </c>
      <c r="X160" s="2"/>
      <c r="Y160" s="1"/>
      <c r="Z160" s="1"/>
      <c r="AA160" s="1"/>
      <c r="AB160" s="1" t="s">
        <v>844</v>
      </c>
      <c r="AC160" s="7">
        <v>43711.636287976704</v>
      </c>
      <c r="AD160" s="1" t="s">
        <v>459</v>
      </c>
      <c r="AE160" s="6">
        <v>19226.009999999998</v>
      </c>
      <c r="AF160" s="7">
        <v>43830</v>
      </c>
      <c r="AG160" s="1" t="s">
        <v>867</v>
      </c>
      <c r="AH160" s="1" t="s">
        <v>7</v>
      </c>
    </row>
    <row r="161" spans="1:34" x14ac:dyDescent="0.25">
      <c r="A161" s="4">
        <v>203</v>
      </c>
      <c r="B161" s="2" t="str">
        <f>HYPERLINK("https://my.zakupki.prom.ua/remote/dispatcher/state_purchase_view/13018694", "UA-2019-09-30-000957-b")</f>
        <v>UA-2019-09-30-000957-b</v>
      </c>
      <c r="C161" s="1" t="s">
        <v>599</v>
      </c>
      <c r="D161" s="1" t="s">
        <v>147</v>
      </c>
      <c r="E161" s="1" t="s">
        <v>543</v>
      </c>
      <c r="F161" s="1" t="s">
        <v>560</v>
      </c>
      <c r="G161" s="1" t="s">
        <v>290</v>
      </c>
      <c r="H161" s="1" t="s">
        <v>715</v>
      </c>
      <c r="I161" s="5">
        <v>43738</v>
      </c>
      <c r="J161" s="7">
        <v>43747.516724537039</v>
      </c>
      <c r="K161" s="4">
        <v>2</v>
      </c>
      <c r="L161" s="6">
        <v>58000</v>
      </c>
      <c r="M161" s="4">
        <v>5</v>
      </c>
      <c r="N161" s="6">
        <v>11600</v>
      </c>
      <c r="O161" s="1" t="s">
        <v>870</v>
      </c>
      <c r="P161" s="1" t="s">
        <v>480</v>
      </c>
      <c r="Q161" s="1" t="s">
        <v>788</v>
      </c>
      <c r="R161" s="6">
        <v>52000.02</v>
      </c>
      <c r="S161" s="6">
        <v>10400.003999999999</v>
      </c>
      <c r="T161" s="6">
        <v>5999.9800000000032</v>
      </c>
      <c r="U161" s="6">
        <v>0.10344793103448281</v>
      </c>
      <c r="V161" s="1" t="s">
        <v>754</v>
      </c>
      <c r="W161" s="1" t="s">
        <v>367</v>
      </c>
      <c r="X161" s="2" t="str">
        <f>HYPERLINK("https://auction.openprocurement.org/tenders/9b91230dd3de4b7c8871cf116c9d9fa5")</f>
        <v>https://auction.openprocurement.org/tenders/9b91230dd3de4b7c8871cf116c9d9fa5</v>
      </c>
      <c r="Y161" s="7">
        <v>43748.647268176108</v>
      </c>
      <c r="Z161" s="5">
        <v>43753</v>
      </c>
      <c r="AA161" s="5">
        <v>43771</v>
      </c>
      <c r="AB161" s="1" t="s">
        <v>844</v>
      </c>
      <c r="AC161" s="7">
        <v>43759.59845882524</v>
      </c>
      <c r="AD161" s="1" t="s">
        <v>96</v>
      </c>
      <c r="AE161" s="6">
        <v>52000.02</v>
      </c>
      <c r="AF161" s="7">
        <v>43830</v>
      </c>
      <c r="AG161" s="1" t="s">
        <v>867</v>
      </c>
      <c r="AH161" s="1" t="s">
        <v>368</v>
      </c>
    </row>
    <row r="162" spans="1:34" x14ac:dyDescent="0.25">
      <c r="A162" s="4">
        <v>205</v>
      </c>
      <c r="B162" s="2" t="str">
        <f>HYPERLINK("https://my.zakupki.prom.ua/remote/dispatcher/state_purchase_view/12577848", "UA-2019-08-19-000925-a")</f>
        <v>UA-2019-08-19-000925-a</v>
      </c>
      <c r="C162" s="1" t="s">
        <v>0</v>
      </c>
      <c r="D162" s="1" t="s">
        <v>369</v>
      </c>
      <c r="E162" s="1" t="s">
        <v>543</v>
      </c>
      <c r="F162" s="1" t="s">
        <v>560</v>
      </c>
      <c r="G162" s="1" t="s">
        <v>290</v>
      </c>
      <c r="H162" s="1" t="s">
        <v>715</v>
      </c>
      <c r="I162" s="5">
        <v>43696</v>
      </c>
      <c r="J162" s="7">
        <v>43706.466840277775</v>
      </c>
      <c r="K162" s="4">
        <v>4</v>
      </c>
      <c r="L162" s="6">
        <v>17000</v>
      </c>
      <c r="M162" s="4">
        <v>1</v>
      </c>
      <c r="N162" s="6">
        <v>17000</v>
      </c>
      <c r="O162" s="1" t="s">
        <v>850</v>
      </c>
      <c r="P162" s="1" t="s">
        <v>480</v>
      </c>
      <c r="Q162" s="1" t="s">
        <v>788</v>
      </c>
      <c r="R162" s="6">
        <v>13159</v>
      </c>
      <c r="S162" s="6">
        <v>13159</v>
      </c>
      <c r="T162" s="6">
        <v>3841</v>
      </c>
      <c r="U162" s="6">
        <v>0.22594117647058823</v>
      </c>
      <c r="V162" s="1" t="s">
        <v>804</v>
      </c>
      <c r="W162" s="1" t="s">
        <v>135</v>
      </c>
      <c r="X162" s="2" t="str">
        <f>HYPERLINK("https://auction.openprocurement.org/tenders/1c1bba9cf71f424b9d19e48c118acffa")</f>
        <v>https://auction.openprocurement.org/tenders/1c1bba9cf71f424b9d19e48c118acffa</v>
      </c>
      <c r="Y162" s="7">
        <v>43707.495962879286</v>
      </c>
      <c r="Z162" s="5">
        <v>43711</v>
      </c>
      <c r="AA162" s="5">
        <v>43729</v>
      </c>
      <c r="AB162" s="1" t="s">
        <v>844</v>
      </c>
      <c r="AC162" s="7">
        <v>43718.580882830058</v>
      </c>
      <c r="AD162" s="1" t="s">
        <v>432</v>
      </c>
      <c r="AE162" s="6">
        <v>13159</v>
      </c>
      <c r="AF162" s="7">
        <v>43830</v>
      </c>
      <c r="AG162" s="1" t="s">
        <v>867</v>
      </c>
      <c r="AH162" s="1" t="s">
        <v>136</v>
      </c>
    </row>
    <row r="163" spans="1:34" x14ac:dyDescent="0.25">
      <c r="A163" s="4">
        <v>206</v>
      </c>
      <c r="B163" s="2" t="str">
        <f>HYPERLINK("https://my.zakupki.prom.ua/remote/dispatcher/state_purchase_view/12521868", "UA-2019-08-13-001338-a")</f>
        <v>UA-2019-08-13-001338-a</v>
      </c>
      <c r="C163" s="1" t="s">
        <v>544</v>
      </c>
      <c r="D163" s="1" t="s">
        <v>316</v>
      </c>
      <c r="E163" s="1" t="s">
        <v>543</v>
      </c>
      <c r="F163" s="1" t="s">
        <v>560</v>
      </c>
      <c r="G163" s="1" t="s">
        <v>290</v>
      </c>
      <c r="H163" s="1" t="s">
        <v>715</v>
      </c>
      <c r="I163" s="5">
        <v>43690</v>
      </c>
      <c r="J163" s="7">
        <v>43699.566689814812</v>
      </c>
      <c r="K163" s="4">
        <v>3</v>
      </c>
      <c r="L163" s="6">
        <v>7500</v>
      </c>
      <c r="M163" s="4">
        <v>5</v>
      </c>
      <c r="N163" s="6">
        <v>1500</v>
      </c>
      <c r="O163" s="1" t="s">
        <v>850</v>
      </c>
      <c r="P163" s="1" t="s">
        <v>480</v>
      </c>
      <c r="Q163" s="1" t="s">
        <v>788</v>
      </c>
      <c r="R163" s="6">
        <v>6925</v>
      </c>
      <c r="S163" s="6">
        <v>1385</v>
      </c>
      <c r="T163" s="6">
        <v>575</v>
      </c>
      <c r="U163" s="6">
        <v>7.6666666666666661E-2</v>
      </c>
      <c r="V163" s="1" t="s">
        <v>746</v>
      </c>
      <c r="W163" s="1" t="s">
        <v>229</v>
      </c>
      <c r="X163" s="2" t="str">
        <f>HYPERLINK("https://auction.openprocurement.org/tenders/be173204edde42b880e6c86fdf592728")</f>
        <v>https://auction.openprocurement.org/tenders/be173204edde42b880e6c86fdf592728</v>
      </c>
      <c r="Y163" s="7">
        <v>43704.636341409117</v>
      </c>
      <c r="Z163" s="5">
        <v>43706</v>
      </c>
      <c r="AA163" s="5">
        <v>43723</v>
      </c>
      <c r="AB163" s="1" t="s">
        <v>844</v>
      </c>
      <c r="AC163" s="7">
        <v>43717.657734550899</v>
      </c>
      <c r="AD163" s="1" t="s">
        <v>420</v>
      </c>
      <c r="AE163" s="6">
        <v>6925</v>
      </c>
      <c r="AF163" s="7">
        <v>43830</v>
      </c>
      <c r="AG163" s="1" t="s">
        <v>867</v>
      </c>
      <c r="AH163" s="1" t="s">
        <v>230</v>
      </c>
    </row>
    <row r="164" spans="1:34" hidden="1" x14ac:dyDescent="0.25">
      <c r="A164" s="4">
        <v>207</v>
      </c>
      <c r="B164" s="2" t="str">
        <f>HYPERLINK("https://my.zakupki.prom.ua/remote/dispatcher/state_purchase_view/7363500", "UA-2018-06-07-001321-a")</f>
        <v>UA-2018-06-07-001321-a</v>
      </c>
      <c r="C164" s="1" t="s">
        <v>486</v>
      </c>
      <c r="D164" s="1" t="s">
        <v>454</v>
      </c>
      <c r="E164" s="1" t="s">
        <v>543</v>
      </c>
      <c r="F164" s="1" t="s">
        <v>560</v>
      </c>
      <c r="G164" s="1" t="s">
        <v>290</v>
      </c>
      <c r="H164" s="1" t="s">
        <v>717</v>
      </c>
      <c r="I164" s="5">
        <v>43258</v>
      </c>
      <c r="J164" s="7">
        <v>43266.586643518516</v>
      </c>
      <c r="K164" s="4">
        <v>2</v>
      </c>
      <c r="L164" s="6">
        <v>190000</v>
      </c>
      <c r="M164" s="4">
        <v>1</v>
      </c>
      <c r="N164" s="6">
        <v>190000</v>
      </c>
      <c r="O164" s="1" t="s">
        <v>863</v>
      </c>
      <c r="P164" s="1" t="s">
        <v>480</v>
      </c>
      <c r="Q164" s="1" t="s">
        <v>788</v>
      </c>
      <c r="R164" s="6">
        <v>180000</v>
      </c>
      <c r="S164" s="6">
        <v>180000</v>
      </c>
      <c r="T164" s="6">
        <v>10000</v>
      </c>
      <c r="U164" s="6">
        <v>5.2631578947368418E-2</v>
      </c>
      <c r="V164" s="1" t="s">
        <v>753</v>
      </c>
      <c r="W164" s="1" t="s">
        <v>287</v>
      </c>
      <c r="X164" s="2" t="str">
        <f>HYPERLINK("https://auction.openprocurement.org/tenders/9d02e25acf284442abd9b575c876cc9d")</f>
        <v>https://auction.openprocurement.org/tenders/9d02e25acf284442abd9b575c876cc9d</v>
      </c>
      <c r="Y164" s="7">
        <v>43269.486089819176</v>
      </c>
      <c r="Z164" s="5">
        <v>43271</v>
      </c>
      <c r="AA164" s="5">
        <v>43293</v>
      </c>
      <c r="AB164" s="1" t="s">
        <v>844</v>
      </c>
      <c r="AC164" s="7">
        <v>43290.401475388266</v>
      </c>
      <c r="AD164" s="1" t="s">
        <v>36</v>
      </c>
      <c r="AE164" s="6">
        <v>180000</v>
      </c>
      <c r="AF164" s="7">
        <v>43465</v>
      </c>
      <c r="AG164" s="1" t="s">
        <v>867</v>
      </c>
      <c r="AH164" s="1" t="s">
        <v>288</v>
      </c>
    </row>
    <row r="165" spans="1:34" hidden="1" x14ac:dyDescent="0.25">
      <c r="A165" s="4">
        <v>209</v>
      </c>
      <c r="B165" s="2" t="str">
        <f>HYPERLINK("https://my.zakupki.prom.ua/remote/dispatcher/state_purchase_view/282577", "UA-2016-08-15-000038-b")</f>
        <v>UA-2016-08-15-000038-b</v>
      </c>
      <c r="C165" s="1" t="s">
        <v>592</v>
      </c>
      <c r="D165" s="1" t="s">
        <v>192</v>
      </c>
      <c r="E165" s="1" t="s">
        <v>543</v>
      </c>
      <c r="F165" s="1" t="s">
        <v>560</v>
      </c>
      <c r="G165" s="1" t="s">
        <v>290</v>
      </c>
      <c r="H165" s="1" t="s">
        <v>718</v>
      </c>
      <c r="I165" s="5">
        <v>42597</v>
      </c>
      <c r="J165" s="7">
        <v>42605.619606481479</v>
      </c>
      <c r="K165" s="4">
        <v>3</v>
      </c>
      <c r="L165" s="6">
        <v>4276</v>
      </c>
      <c r="M165" s="4">
        <v>1</v>
      </c>
      <c r="N165" s="6">
        <v>4276</v>
      </c>
      <c r="O165" s="1" t="s">
        <v>871</v>
      </c>
      <c r="P165" s="1" t="s">
        <v>480</v>
      </c>
      <c r="Q165" s="1" t="s">
        <v>788</v>
      </c>
      <c r="R165" s="6">
        <v>3813</v>
      </c>
      <c r="S165" s="6">
        <v>3813</v>
      </c>
      <c r="T165" s="6">
        <v>463</v>
      </c>
      <c r="U165" s="6">
        <v>0.10827876520112255</v>
      </c>
      <c r="V165" s="1" t="s">
        <v>812</v>
      </c>
      <c r="W165" s="1" t="s">
        <v>184</v>
      </c>
      <c r="X165" s="2" t="str">
        <f>HYPERLINK("https://auction.openprocurement.org/tenders/04b69ba069f641c68d39305b9a701a63")</f>
        <v>https://auction.openprocurement.org/tenders/04b69ba069f641c68d39305b9a701a63</v>
      </c>
      <c r="Y165" s="7">
        <v>42612.615584811138</v>
      </c>
      <c r="Z165" s="5">
        <v>42614</v>
      </c>
      <c r="AA165" s="5">
        <v>42630</v>
      </c>
      <c r="AB165" s="1" t="s">
        <v>844</v>
      </c>
      <c r="AC165" s="7">
        <v>42625.908031677929</v>
      </c>
      <c r="AD165" s="1" t="s">
        <v>47</v>
      </c>
      <c r="AE165" s="6">
        <v>3813</v>
      </c>
      <c r="AF165" s="7">
        <v>42735</v>
      </c>
      <c r="AG165" s="1" t="s">
        <v>867</v>
      </c>
      <c r="AH165" s="1" t="s">
        <v>185</v>
      </c>
    </row>
    <row r="166" spans="1:34" hidden="1" x14ac:dyDescent="0.25">
      <c r="A166" s="4">
        <v>211</v>
      </c>
      <c r="B166" s="2" t="str">
        <f>HYPERLINK("https://my.zakupki.prom.ua/remote/dispatcher/state_purchase_view/5348131", "UA-2018-01-10-000119-b")</f>
        <v>UA-2018-01-10-000119-b</v>
      </c>
      <c r="C166" s="1" t="s">
        <v>681</v>
      </c>
      <c r="D166" s="1" t="s">
        <v>471</v>
      </c>
      <c r="E166" s="1" t="s">
        <v>543</v>
      </c>
      <c r="F166" s="1" t="s">
        <v>560</v>
      </c>
      <c r="G166" s="1" t="s">
        <v>290</v>
      </c>
      <c r="H166" s="1" t="s">
        <v>717</v>
      </c>
      <c r="I166" s="5">
        <v>43110</v>
      </c>
      <c r="J166" s="1" t="s">
        <v>841</v>
      </c>
      <c r="K166" s="4">
        <v>1</v>
      </c>
      <c r="L166" s="6">
        <v>17957.5</v>
      </c>
      <c r="M166" s="4">
        <v>275</v>
      </c>
      <c r="N166" s="6">
        <v>65.3</v>
      </c>
      <c r="O166" s="1" t="s">
        <v>854</v>
      </c>
      <c r="P166" s="1" t="s">
        <v>480</v>
      </c>
      <c r="Q166" s="1" t="s">
        <v>788</v>
      </c>
      <c r="R166" s="6">
        <v>16582.5</v>
      </c>
      <c r="S166" s="6">
        <v>60.3</v>
      </c>
      <c r="T166" s="6">
        <v>1375</v>
      </c>
      <c r="U166" s="6">
        <v>7.6569678407350683E-2</v>
      </c>
      <c r="V166" s="1" t="s">
        <v>730</v>
      </c>
      <c r="W166" s="1" t="s">
        <v>16</v>
      </c>
      <c r="X166" s="2"/>
      <c r="Y166" s="7">
        <v>43174.523109092224</v>
      </c>
      <c r="Z166" s="5">
        <v>43178</v>
      </c>
      <c r="AA166" s="5">
        <v>43142</v>
      </c>
      <c r="AB166" s="1" t="s">
        <v>844</v>
      </c>
      <c r="AC166" s="7">
        <v>43201.375459793991</v>
      </c>
      <c r="AD166" s="1" t="s">
        <v>433</v>
      </c>
      <c r="AE166" s="6">
        <v>16582.5</v>
      </c>
      <c r="AF166" s="7">
        <v>43465</v>
      </c>
      <c r="AG166" s="1" t="s">
        <v>867</v>
      </c>
      <c r="AH166" s="1" t="s">
        <v>17</v>
      </c>
    </row>
    <row r="167" spans="1:34" hidden="1" x14ac:dyDescent="0.25">
      <c r="A167" s="4">
        <v>212</v>
      </c>
      <c r="B167" s="2" t="str">
        <f>HYPERLINK("https://my.zakupki.prom.ua/remote/dispatcher/state_purchase_view/8106454", "UA-2018-08-29-000639-a")</f>
        <v>UA-2018-08-29-000639-a</v>
      </c>
      <c r="C167" s="1" t="s">
        <v>795</v>
      </c>
      <c r="D167" s="1" t="s">
        <v>438</v>
      </c>
      <c r="E167" s="1" t="s">
        <v>543</v>
      </c>
      <c r="F167" s="1" t="s">
        <v>560</v>
      </c>
      <c r="G167" s="1" t="s">
        <v>290</v>
      </c>
      <c r="H167" s="1" t="s">
        <v>717</v>
      </c>
      <c r="I167" s="5">
        <v>43341</v>
      </c>
      <c r="J167" s="1" t="s">
        <v>841</v>
      </c>
      <c r="K167" s="4">
        <v>1</v>
      </c>
      <c r="L167" s="6">
        <v>40000</v>
      </c>
      <c r="M167" s="4">
        <v>1</v>
      </c>
      <c r="N167" s="6">
        <v>40000</v>
      </c>
      <c r="O167" s="1" t="s">
        <v>863</v>
      </c>
      <c r="P167" s="1" t="s">
        <v>480</v>
      </c>
      <c r="Q167" s="1" t="s">
        <v>788</v>
      </c>
      <c r="R167" s="6">
        <v>35000</v>
      </c>
      <c r="S167" s="6">
        <v>35000</v>
      </c>
      <c r="T167" s="6">
        <v>5000</v>
      </c>
      <c r="U167" s="6">
        <v>0.125</v>
      </c>
      <c r="V167" s="1" t="s">
        <v>760</v>
      </c>
      <c r="W167" s="1" t="s">
        <v>268</v>
      </c>
      <c r="X167" s="2"/>
      <c r="Y167" s="7">
        <v>43347.441117635797</v>
      </c>
      <c r="Z167" s="5">
        <v>43349</v>
      </c>
      <c r="AA167" s="5">
        <v>43372</v>
      </c>
      <c r="AB167" s="1" t="s">
        <v>844</v>
      </c>
      <c r="AC167" s="7">
        <v>43356.68156028977</v>
      </c>
      <c r="AD167" s="1" t="s">
        <v>166</v>
      </c>
      <c r="AE167" s="6">
        <v>35000</v>
      </c>
      <c r="AF167" s="7">
        <v>43465</v>
      </c>
      <c r="AG167" s="1" t="s">
        <v>867</v>
      </c>
      <c r="AH167" s="1" t="s">
        <v>269</v>
      </c>
    </row>
    <row r="168" spans="1:34" hidden="1" x14ac:dyDescent="0.25">
      <c r="A168" s="4">
        <v>214</v>
      </c>
      <c r="B168" s="2" t="str">
        <f>HYPERLINK("https://my.zakupki.prom.ua/remote/dispatcher/state_purchase_view/16497401", "UA-2020-04-28-002762-b")</f>
        <v>UA-2020-04-28-002762-b</v>
      </c>
      <c r="C168" s="1" t="s">
        <v>823</v>
      </c>
      <c r="D168" s="1" t="s">
        <v>394</v>
      </c>
      <c r="E168" s="1" t="s">
        <v>552</v>
      </c>
      <c r="F168" s="1" t="s">
        <v>560</v>
      </c>
      <c r="G168" s="1" t="s">
        <v>290</v>
      </c>
      <c r="H168" s="1" t="s">
        <v>714</v>
      </c>
      <c r="I168" s="5">
        <v>43949</v>
      </c>
      <c r="J168" s="1" t="s">
        <v>840</v>
      </c>
      <c r="K168" s="4">
        <v>1</v>
      </c>
      <c r="L168" s="6">
        <v>9551.4</v>
      </c>
      <c r="M168" s="4">
        <v>1</v>
      </c>
      <c r="N168" s="6">
        <v>9551.4</v>
      </c>
      <c r="O168" s="1" t="s">
        <v>850</v>
      </c>
      <c r="P168" s="1" t="s">
        <v>480</v>
      </c>
      <c r="Q168" s="1" t="s">
        <v>788</v>
      </c>
      <c r="R168" s="6">
        <v>9551.4</v>
      </c>
      <c r="S168" s="6">
        <v>9551.4</v>
      </c>
      <c r="T168" s="1"/>
      <c r="U168" s="1"/>
      <c r="V168" s="1" t="s">
        <v>769</v>
      </c>
      <c r="W168" s="1" t="s">
        <v>231</v>
      </c>
      <c r="X168" s="2"/>
      <c r="Y168" s="1"/>
      <c r="Z168" s="1"/>
      <c r="AA168" s="1"/>
      <c r="AB168" s="1" t="s">
        <v>844</v>
      </c>
      <c r="AC168" s="7">
        <v>43949.707795825081</v>
      </c>
      <c r="AD168" s="1" t="s">
        <v>238</v>
      </c>
      <c r="AE168" s="6">
        <v>9551.4</v>
      </c>
      <c r="AF168" s="7">
        <v>44196</v>
      </c>
      <c r="AG168" s="1" t="s">
        <v>867</v>
      </c>
      <c r="AH168" s="1" t="s">
        <v>7</v>
      </c>
    </row>
    <row r="169" spans="1:34" hidden="1" x14ac:dyDescent="0.25">
      <c r="A169" s="4">
        <v>215</v>
      </c>
      <c r="B169" s="2" t="str">
        <f>HYPERLINK("https://my.zakupki.prom.ua/remote/dispatcher/state_purchase_view/16921398", "UA-2020-05-28-005092-b")</f>
        <v>UA-2020-05-28-005092-b</v>
      </c>
      <c r="C169" s="1" t="s">
        <v>673</v>
      </c>
      <c r="D169" s="1" t="s">
        <v>410</v>
      </c>
      <c r="E169" s="1" t="s">
        <v>552</v>
      </c>
      <c r="F169" s="1" t="s">
        <v>560</v>
      </c>
      <c r="G169" s="1" t="s">
        <v>290</v>
      </c>
      <c r="H169" s="1" t="s">
        <v>714</v>
      </c>
      <c r="I169" s="5">
        <v>43979</v>
      </c>
      <c r="J169" s="1" t="s">
        <v>840</v>
      </c>
      <c r="K169" s="4">
        <v>1</v>
      </c>
      <c r="L169" s="6">
        <v>2900</v>
      </c>
      <c r="M169" s="4">
        <v>1</v>
      </c>
      <c r="N169" s="6">
        <v>2900</v>
      </c>
      <c r="O169" s="1" t="s">
        <v>863</v>
      </c>
      <c r="P169" s="1" t="s">
        <v>480</v>
      </c>
      <c r="Q169" s="1" t="s">
        <v>613</v>
      </c>
      <c r="R169" s="6">
        <v>2900</v>
      </c>
      <c r="S169" s="6">
        <v>2900</v>
      </c>
      <c r="T169" s="1"/>
      <c r="U169" s="1"/>
      <c r="V169" s="1" t="s">
        <v>590</v>
      </c>
      <c r="W169" s="1" t="s">
        <v>100</v>
      </c>
      <c r="X169" s="2"/>
      <c r="Y169" s="1"/>
      <c r="Z169" s="1"/>
      <c r="AA169" s="1"/>
      <c r="AB169" s="1" t="s">
        <v>844</v>
      </c>
      <c r="AC169" s="7">
        <v>43979.629377140671</v>
      </c>
      <c r="AD169" s="1" t="s">
        <v>265</v>
      </c>
      <c r="AE169" s="6">
        <v>2900</v>
      </c>
      <c r="AF169" s="7">
        <v>44196</v>
      </c>
      <c r="AG169" s="1" t="s">
        <v>867</v>
      </c>
      <c r="AH169" s="1" t="s">
        <v>7</v>
      </c>
    </row>
    <row r="170" spans="1:34" hidden="1" x14ac:dyDescent="0.25">
      <c r="A170" s="4">
        <v>216</v>
      </c>
      <c r="B170" s="2" t="str">
        <f>HYPERLINK("https://my.zakupki.prom.ua/remote/dispatcher/state_purchase_view/15388741", "UA-2020-02-20-000770-b")</f>
        <v>UA-2020-02-20-000770-b</v>
      </c>
      <c r="C170" s="1" t="s">
        <v>642</v>
      </c>
      <c r="D170" s="1" t="s">
        <v>134</v>
      </c>
      <c r="E170" s="1" t="s">
        <v>543</v>
      </c>
      <c r="F170" s="1" t="s">
        <v>560</v>
      </c>
      <c r="G170" s="1" t="s">
        <v>290</v>
      </c>
      <c r="H170" s="1" t="s">
        <v>715</v>
      </c>
      <c r="I170" s="5">
        <v>43881</v>
      </c>
      <c r="J170" s="1" t="s">
        <v>841</v>
      </c>
      <c r="K170" s="4">
        <v>1</v>
      </c>
      <c r="L170" s="6">
        <v>8000</v>
      </c>
      <c r="M170" s="4">
        <v>2</v>
      </c>
      <c r="N170" s="6">
        <v>4000</v>
      </c>
      <c r="O170" s="1" t="s">
        <v>871</v>
      </c>
      <c r="P170" s="1" t="s">
        <v>480</v>
      </c>
      <c r="Q170" s="1" t="s">
        <v>788</v>
      </c>
      <c r="R170" s="6">
        <v>8000</v>
      </c>
      <c r="S170" s="6">
        <v>4000</v>
      </c>
      <c r="T170" s="1"/>
      <c r="U170" s="1"/>
      <c r="V170" s="1" t="s">
        <v>735</v>
      </c>
      <c r="W170" s="1" t="s">
        <v>304</v>
      </c>
      <c r="X170" s="2"/>
      <c r="Y170" s="7">
        <v>43892.414674852116</v>
      </c>
      <c r="Z170" s="5">
        <v>43894</v>
      </c>
      <c r="AA170" s="5">
        <v>43916</v>
      </c>
      <c r="AB170" s="1" t="s">
        <v>844</v>
      </c>
      <c r="AC170" s="7">
        <v>43895.478498856923</v>
      </c>
      <c r="AD170" s="1" t="s">
        <v>71</v>
      </c>
      <c r="AE170" s="6">
        <v>8000</v>
      </c>
      <c r="AF170" s="7">
        <v>44196</v>
      </c>
      <c r="AG170" s="1" t="s">
        <v>867</v>
      </c>
      <c r="AH170" s="1" t="s">
        <v>305</v>
      </c>
    </row>
    <row r="171" spans="1:34" hidden="1" x14ac:dyDescent="0.25">
      <c r="A171" s="4">
        <v>217</v>
      </c>
      <c r="B171" s="2" t="str">
        <f>HYPERLINK("https://my.zakupki.prom.ua/remote/dispatcher/state_purchase_view/18724293", "UA-2020-08-21-003816-a")</f>
        <v>UA-2020-08-21-003816-a</v>
      </c>
      <c r="C171" s="1" t="s">
        <v>662</v>
      </c>
      <c r="D171" s="1" t="s">
        <v>413</v>
      </c>
      <c r="E171" s="1" t="s">
        <v>552</v>
      </c>
      <c r="F171" s="1" t="s">
        <v>560</v>
      </c>
      <c r="G171" s="1" t="s">
        <v>290</v>
      </c>
      <c r="H171" s="1" t="s">
        <v>714</v>
      </c>
      <c r="I171" s="5">
        <v>44064</v>
      </c>
      <c r="J171" s="1" t="s">
        <v>840</v>
      </c>
      <c r="K171" s="4">
        <v>1</v>
      </c>
      <c r="L171" s="6">
        <v>4200</v>
      </c>
      <c r="M171" s="4">
        <v>7</v>
      </c>
      <c r="N171" s="6">
        <v>600</v>
      </c>
      <c r="O171" s="1" t="s">
        <v>863</v>
      </c>
      <c r="P171" s="1" t="s">
        <v>480</v>
      </c>
      <c r="Q171" s="1" t="s">
        <v>613</v>
      </c>
      <c r="R171" s="6">
        <v>4200</v>
      </c>
      <c r="S171" s="6">
        <v>600</v>
      </c>
      <c r="T171" s="1"/>
      <c r="U171" s="1"/>
      <c r="V171" s="1" t="s">
        <v>559</v>
      </c>
      <c r="W171" s="1" t="s">
        <v>249</v>
      </c>
      <c r="X171" s="2"/>
      <c r="Y171" s="1"/>
      <c r="Z171" s="1"/>
      <c r="AA171" s="1"/>
      <c r="AB171" s="1" t="s">
        <v>844</v>
      </c>
      <c r="AC171" s="7">
        <v>44064.508680006365</v>
      </c>
      <c r="AD171" s="1" t="s">
        <v>131</v>
      </c>
      <c r="AE171" s="6">
        <v>4200</v>
      </c>
      <c r="AF171" s="7">
        <v>44196</v>
      </c>
      <c r="AG171" s="1" t="s">
        <v>867</v>
      </c>
      <c r="AH171" s="1" t="s">
        <v>7</v>
      </c>
    </row>
    <row r="172" spans="1:34" hidden="1" x14ac:dyDescent="0.25">
      <c r="A172" s="4">
        <v>218</v>
      </c>
      <c r="B172" s="2" t="str">
        <f>HYPERLINK("https://my.zakupki.prom.ua/remote/dispatcher/state_purchase_view/19173068", "UA-2020-09-10-006336-b")</f>
        <v>UA-2020-09-10-006336-b</v>
      </c>
      <c r="C172" s="1" t="s">
        <v>648</v>
      </c>
      <c r="D172" s="1" t="s">
        <v>424</v>
      </c>
      <c r="E172" s="1" t="s">
        <v>552</v>
      </c>
      <c r="F172" s="1" t="s">
        <v>560</v>
      </c>
      <c r="G172" s="1" t="s">
        <v>290</v>
      </c>
      <c r="H172" s="1" t="s">
        <v>714</v>
      </c>
      <c r="I172" s="5">
        <v>44084</v>
      </c>
      <c r="J172" s="1" t="s">
        <v>840</v>
      </c>
      <c r="K172" s="4">
        <v>1</v>
      </c>
      <c r="L172" s="6">
        <v>11000</v>
      </c>
      <c r="M172" s="4">
        <v>1</v>
      </c>
      <c r="N172" s="6">
        <v>11000</v>
      </c>
      <c r="O172" s="1" t="s">
        <v>863</v>
      </c>
      <c r="P172" s="1" t="s">
        <v>480</v>
      </c>
      <c r="Q172" s="1" t="s">
        <v>788</v>
      </c>
      <c r="R172" s="6">
        <v>11000</v>
      </c>
      <c r="S172" s="6">
        <v>11000</v>
      </c>
      <c r="T172" s="1"/>
      <c r="U172" s="1"/>
      <c r="V172" s="1" t="s">
        <v>778</v>
      </c>
      <c r="W172" s="1" t="s">
        <v>374</v>
      </c>
      <c r="X172" s="2"/>
      <c r="Y172" s="1"/>
      <c r="Z172" s="1"/>
      <c r="AA172" s="1"/>
      <c r="AB172" s="1" t="s">
        <v>844</v>
      </c>
      <c r="AC172" s="7">
        <v>44084.596061867996</v>
      </c>
      <c r="AD172" s="1" t="s">
        <v>404</v>
      </c>
      <c r="AE172" s="6">
        <v>11000</v>
      </c>
      <c r="AF172" s="7">
        <v>44196</v>
      </c>
      <c r="AG172" s="1" t="s">
        <v>867</v>
      </c>
      <c r="AH172" s="1" t="s">
        <v>7</v>
      </c>
    </row>
    <row r="173" spans="1:34" hidden="1" x14ac:dyDescent="0.25">
      <c r="A173" s="4">
        <v>219</v>
      </c>
      <c r="B173" s="2" t="str">
        <f>HYPERLINK("https://my.zakupki.prom.ua/remote/dispatcher/state_purchase_view/20885632", "UA-2020-11-09-004218-c")</f>
        <v>UA-2020-11-09-004218-c</v>
      </c>
      <c r="C173" s="1" t="s">
        <v>597</v>
      </c>
      <c r="D173" s="1" t="s">
        <v>34</v>
      </c>
      <c r="E173" s="1" t="s">
        <v>552</v>
      </c>
      <c r="F173" s="1" t="s">
        <v>560</v>
      </c>
      <c r="G173" s="1" t="s">
        <v>290</v>
      </c>
      <c r="H173" s="1" t="s">
        <v>714</v>
      </c>
      <c r="I173" s="5">
        <v>44144</v>
      </c>
      <c r="J173" s="1" t="s">
        <v>840</v>
      </c>
      <c r="K173" s="4">
        <v>1</v>
      </c>
      <c r="L173" s="6">
        <v>2958</v>
      </c>
      <c r="M173" s="4">
        <v>29</v>
      </c>
      <c r="N173" s="6">
        <v>102</v>
      </c>
      <c r="O173" s="1" t="s">
        <v>851</v>
      </c>
      <c r="P173" s="1" t="s">
        <v>480</v>
      </c>
      <c r="Q173" s="1" t="s">
        <v>788</v>
      </c>
      <c r="R173" s="6">
        <v>2958</v>
      </c>
      <c r="S173" s="6">
        <v>102</v>
      </c>
      <c r="T173" s="1"/>
      <c r="U173" s="1"/>
      <c r="V173" s="1" t="s">
        <v>787</v>
      </c>
      <c r="W173" s="1" t="s">
        <v>76</v>
      </c>
      <c r="X173" s="2"/>
      <c r="Y173" s="1"/>
      <c r="Z173" s="1"/>
      <c r="AA173" s="1"/>
      <c r="AB173" s="1" t="s">
        <v>844</v>
      </c>
      <c r="AC173" s="7">
        <v>44144.520480614781</v>
      </c>
      <c r="AD173" s="1" t="s">
        <v>416</v>
      </c>
      <c r="AE173" s="6">
        <v>2958</v>
      </c>
      <c r="AF173" s="7">
        <v>44196</v>
      </c>
      <c r="AG173" s="1" t="s">
        <v>867</v>
      </c>
      <c r="AH173" s="1" t="s">
        <v>7</v>
      </c>
    </row>
    <row r="174" spans="1:34" hidden="1" x14ac:dyDescent="0.25">
      <c r="A174" s="4">
        <v>221</v>
      </c>
      <c r="B174" s="2" t="str">
        <f>HYPERLINK("https://my.zakupki.prom.ua/remote/dispatcher/state_purchase_view/24414607", "UA-2021-02-25-009585-a")</f>
        <v>UA-2021-02-25-009585-a</v>
      </c>
      <c r="C174" s="1" t="s">
        <v>493</v>
      </c>
      <c r="D174" s="1" t="s">
        <v>239</v>
      </c>
      <c r="E174" s="1" t="s">
        <v>552</v>
      </c>
      <c r="F174" s="1" t="s">
        <v>560</v>
      </c>
      <c r="G174" s="1" t="s">
        <v>290</v>
      </c>
      <c r="H174" s="1" t="s">
        <v>492</v>
      </c>
      <c r="I174" s="5">
        <v>44252</v>
      </c>
      <c r="J174" s="1" t="s">
        <v>840</v>
      </c>
      <c r="K174" s="4">
        <v>1</v>
      </c>
      <c r="L174" s="6">
        <v>1171.6500000000001</v>
      </c>
      <c r="M174" s="4">
        <v>5</v>
      </c>
      <c r="N174" s="6">
        <v>234.33</v>
      </c>
      <c r="O174" s="1" t="s">
        <v>871</v>
      </c>
      <c r="P174" s="1" t="s">
        <v>480</v>
      </c>
      <c r="Q174" s="1" t="s">
        <v>788</v>
      </c>
      <c r="R174" s="6">
        <v>1171.6500000000001</v>
      </c>
      <c r="S174" s="6">
        <v>234.33</v>
      </c>
      <c r="T174" s="1"/>
      <c r="U174" s="1"/>
      <c r="V174" s="1" t="s">
        <v>775</v>
      </c>
      <c r="W174" s="1" t="s">
        <v>234</v>
      </c>
      <c r="X174" s="2"/>
      <c r="Y174" s="1"/>
      <c r="Z174" s="1"/>
      <c r="AA174" s="1"/>
      <c r="AB174" s="1" t="s">
        <v>844</v>
      </c>
      <c r="AC174" s="7">
        <v>44252.74979507969</v>
      </c>
      <c r="AD174" s="1" t="s">
        <v>64</v>
      </c>
      <c r="AE174" s="6">
        <v>1171.6500000000001</v>
      </c>
      <c r="AF174" s="7">
        <v>44561</v>
      </c>
      <c r="AG174" s="1" t="s">
        <v>867</v>
      </c>
      <c r="AH174" s="1" t="s">
        <v>7</v>
      </c>
    </row>
    <row r="175" spans="1:34" hidden="1" x14ac:dyDescent="0.25">
      <c r="A175" s="4">
        <v>222</v>
      </c>
      <c r="B175" s="2" t="str">
        <f>HYPERLINK("https://my.zakupki.prom.ua/remote/dispatcher/state_purchase_view/24127982", "UA-2021-02-17-005737-b")</f>
        <v>UA-2021-02-17-005737-b</v>
      </c>
      <c r="C175" s="1" t="s">
        <v>518</v>
      </c>
      <c r="D175" s="1" t="s">
        <v>320</v>
      </c>
      <c r="E175" s="1" t="s">
        <v>552</v>
      </c>
      <c r="F175" s="1" t="s">
        <v>560</v>
      </c>
      <c r="G175" s="1" t="s">
        <v>290</v>
      </c>
      <c r="H175" s="1" t="s">
        <v>492</v>
      </c>
      <c r="I175" s="5">
        <v>44244</v>
      </c>
      <c r="J175" s="1" t="s">
        <v>840</v>
      </c>
      <c r="K175" s="4">
        <v>1</v>
      </c>
      <c r="L175" s="6">
        <v>489.6</v>
      </c>
      <c r="M175" s="4">
        <v>10</v>
      </c>
      <c r="N175" s="6">
        <v>48.96</v>
      </c>
      <c r="O175" s="1" t="s">
        <v>871</v>
      </c>
      <c r="P175" s="1" t="s">
        <v>480</v>
      </c>
      <c r="Q175" s="1" t="s">
        <v>788</v>
      </c>
      <c r="R175" s="6">
        <v>489.6</v>
      </c>
      <c r="S175" s="6">
        <v>48.96</v>
      </c>
      <c r="T175" s="1"/>
      <c r="U175" s="1"/>
      <c r="V175" s="1" t="s">
        <v>775</v>
      </c>
      <c r="W175" s="1" t="s">
        <v>234</v>
      </c>
      <c r="X175" s="2"/>
      <c r="Y175" s="1"/>
      <c r="Z175" s="1"/>
      <c r="AA175" s="1"/>
      <c r="AB175" s="1" t="s">
        <v>844</v>
      </c>
      <c r="AC175" s="7">
        <v>44244.756378332931</v>
      </c>
      <c r="AD175" s="1" t="s">
        <v>407</v>
      </c>
      <c r="AE175" s="6">
        <v>489.6</v>
      </c>
      <c r="AF175" s="7">
        <v>44255</v>
      </c>
      <c r="AG175" s="1" t="s">
        <v>867</v>
      </c>
      <c r="AH175" s="1" t="s">
        <v>7</v>
      </c>
    </row>
    <row r="176" spans="1:34" hidden="1" x14ac:dyDescent="0.25">
      <c r="A176" s="4">
        <v>223</v>
      </c>
      <c r="B176" s="2" t="str">
        <f>HYPERLINK("https://my.zakupki.prom.ua/remote/dispatcher/state_purchase_view/25706107", "UA-2021-04-09-008602-a")</f>
        <v>UA-2021-04-09-008602-a</v>
      </c>
      <c r="C176" s="1" t="s">
        <v>507</v>
      </c>
      <c r="D176" s="1" t="s">
        <v>320</v>
      </c>
      <c r="E176" s="1" t="s">
        <v>552</v>
      </c>
      <c r="F176" s="1" t="s">
        <v>560</v>
      </c>
      <c r="G176" s="1" t="s">
        <v>290</v>
      </c>
      <c r="H176" s="1" t="s">
        <v>492</v>
      </c>
      <c r="I176" s="5">
        <v>44295</v>
      </c>
      <c r="J176" s="1" t="s">
        <v>840</v>
      </c>
      <c r="K176" s="4">
        <v>1</v>
      </c>
      <c r="L176" s="6">
        <v>355</v>
      </c>
      <c r="M176" s="4">
        <v>15</v>
      </c>
      <c r="N176" s="6">
        <v>23.67</v>
      </c>
      <c r="O176" s="1" t="s">
        <v>871</v>
      </c>
      <c r="P176" s="1" t="s">
        <v>480</v>
      </c>
      <c r="Q176" s="1" t="s">
        <v>788</v>
      </c>
      <c r="R176" s="6">
        <v>355</v>
      </c>
      <c r="S176" s="6">
        <v>23.666666666666668</v>
      </c>
      <c r="T176" s="1"/>
      <c r="U176" s="1"/>
      <c r="V176" s="1" t="s">
        <v>763</v>
      </c>
      <c r="W176" s="1" t="s">
        <v>146</v>
      </c>
      <c r="X176" s="2"/>
      <c r="Y176" s="1"/>
      <c r="Z176" s="1"/>
      <c r="AA176" s="1"/>
      <c r="AB176" s="1" t="s">
        <v>844</v>
      </c>
      <c r="AC176" s="7">
        <v>44295.93324731035</v>
      </c>
      <c r="AD176" s="1" t="s">
        <v>428</v>
      </c>
      <c r="AE176" s="6">
        <v>355</v>
      </c>
      <c r="AF176" s="7">
        <v>44561</v>
      </c>
      <c r="AG176" s="1" t="s">
        <v>867</v>
      </c>
      <c r="AH176" s="1" t="s">
        <v>7</v>
      </c>
    </row>
    <row r="177" spans="1:34" hidden="1" x14ac:dyDescent="0.25">
      <c r="A177" s="4">
        <v>225</v>
      </c>
      <c r="B177" s="2" t="str">
        <f>HYPERLINK("https://my.zakupki.prom.ua/remote/dispatcher/state_purchase_view/26123718", "UA-2021-04-24-000191-a")</f>
        <v>UA-2021-04-24-000191-a</v>
      </c>
      <c r="C177" s="1" t="s">
        <v>679</v>
      </c>
      <c r="D177" s="1" t="s">
        <v>430</v>
      </c>
      <c r="E177" s="1" t="s">
        <v>641</v>
      </c>
      <c r="F177" s="1" t="s">
        <v>560</v>
      </c>
      <c r="G177" s="1" t="s">
        <v>290</v>
      </c>
      <c r="H177" s="1" t="s">
        <v>492</v>
      </c>
      <c r="I177" s="5">
        <v>44310</v>
      </c>
      <c r="J177" s="1" t="s">
        <v>840</v>
      </c>
      <c r="K177" s="4">
        <v>1</v>
      </c>
      <c r="L177" s="6">
        <v>125109.14</v>
      </c>
      <c r="M177" s="4">
        <v>1296</v>
      </c>
      <c r="N177" s="6">
        <v>96.53</v>
      </c>
      <c r="O177" s="1" t="s">
        <v>854</v>
      </c>
      <c r="P177" s="1" t="s">
        <v>480</v>
      </c>
      <c r="Q177" s="1" t="s">
        <v>788</v>
      </c>
      <c r="R177" s="6">
        <v>125109.14</v>
      </c>
      <c r="S177" s="6">
        <v>96.534830246913586</v>
      </c>
      <c r="T177" s="1"/>
      <c r="U177" s="1"/>
      <c r="V177" s="1" t="s">
        <v>489</v>
      </c>
      <c r="W177" s="1" t="s">
        <v>10</v>
      </c>
      <c r="X177" s="2"/>
      <c r="Y177" s="1"/>
      <c r="Z177" s="5">
        <v>44316</v>
      </c>
      <c r="AA177" s="5">
        <v>44331</v>
      </c>
      <c r="AB177" s="1" t="s">
        <v>839</v>
      </c>
      <c r="AC177" s="1"/>
      <c r="AD177" s="1"/>
      <c r="AE177" s="6">
        <v>125109.14</v>
      </c>
      <c r="AF177" s="1"/>
      <c r="AG177" s="1" t="s">
        <v>860</v>
      </c>
      <c r="AH177" s="1" t="s">
        <v>7</v>
      </c>
    </row>
    <row r="178" spans="1:34" hidden="1" x14ac:dyDescent="0.25">
      <c r="A178" s="4">
        <v>226</v>
      </c>
      <c r="B178" s="2" t="str">
        <f>HYPERLINK("https://my.zakupki.prom.ua/remote/dispatcher/state_purchase_view/26435942", "UA-2021-05-11-006676-b")</f>
        <v>UA-2021-05-11-006676-b</v>
      </c>
      <c r="C178" s="1" t="s">
        <v>708</v>
      </c>
      <c r="D178" s="1" t="s">
        <v>257</v>
      </c>
      <c r="E178" s="1" t="s">
        <v>543</v>
      </c>
      <c r="F178" s="1" t="s">
        <v>560</v>
      </c>
      <c r="G178" s="1" t="s">
        <v>290</v>
      </c>
      <c r="H178" s="1" t="s">
        <v>492</v>
      </c>
      <c r="I178" s="5">
        <v>44327</v>
      </c>
      <c r="J178" s="1" t="s">
        <v>842</v>
      </c>
      <c r="K178" s="4">
        <v>0</v>
      </c>
      <c r="L178" s="6">
        <v>38000</v>
      </c>
      <c r="M178" s="4">
        <v>40</v>
      </c>
      <c r="N178" s="6">
        <v>950</v>
      </c>
      <c r="O178" s="1" t="s">
        <v>871</v>
      </c>
      <c r="P178" s="1" t="s">
        <v>480</v>
      </c>
      <c r="Q178" s="1" t="s">
        <v>788</v>
      </c>
      <c r="R178" s="1"/>
      <c r="S178" s="1"/>
      <c r="T178" s="1"/>
      <c r="U178" s="1"/>
      <c r="V178" s="1"/>
      <c r="W178" s="1"/>
      <c r="X178" s="2"/>
      <c r="Y178" s="1"/>
      <c r="Z178" s="1"/>
      <c r="AA178" s="1"/>
      <c r="AB178" s="1" t="s">
        <v>862</v>
      </c>
      <c r="AC178" s="1"/>
      <c r="AD178" s="1"/>
      <c r="AE178" s="1"/>
      <c r="AF178" s="1"/>
      <c r="AG178" s="1"/>
      <c r="AH178" s="1"/>
    </row>
    <row r="179" spans="1:34" hidden="1" x14ac:dyDescent="0.25">
      <c r="A179" s="4">
        <v>227</v>
      </c>
      <c r="B179" s="2" t="str">
        <f>HYPERLINK("https://my.zakupki.prom.ua/remote/dispatcher/state_purchase_view/7801570", "UA-2018-07-24-001335-b")</f>
        <v>UA-2018-07-24-001335-b</v>
      </c>
      <c r="C179" s="1" t="s">
        <v>712</v>
      </c>
      <c r="D179" s="1" t="s">
        <v>218</v>
      </c>
      <c r="E179" s="1" t="s">
        <v>552</v>
      </c>
      <c r="F179" s="1" t="s">
        <v>560</v>
      </c>
      <c r="G179" s="1" t="s">
        <v>290</v>
      </c>
      <c r="H179" s="1" t="s">
        <v>717</v>
      </c>
      <c r="I179" s="5">
        <v>43305</v>
      </c>
      <c r="J179" s="1" t="s">
        <v>840</v>
      </c>
      <c r="K179" s="4">
        <v>1</v>
      </c>
      <c r="L179" s="6">
        <v>346.98</v>
      </c>
      <c r="M179" s="4">
        <v>1</v>
      </c>
      <c r="N179" s="6">
        <v>346.98</v>
      </c>
      <c r="O179" s="1" t="s">
        <v>870</v>
      </c>
      <c r="P179" s="1" t="s">
        <v>480</v>
      </c>
      <c r="Q179" s="1" t="s">
        <v>788</v>
      </c>
      <c r="R179" s="6">
        <v>346.98</v>
      </c>
      <c r="S179" s="6">
        <v>346.98</v>
      </c>
      <c r="T179" s="1"/>
      <c r="U179" s="1"/>
      <c r="V179" s="1" t="s">
        <v>775</v>
      </c>
      <c r="W179" s="1" t="s">
        <v>234</v>
      </c>
      <c r="X179" s="2"/>
      <c r="Y179" s="1"/>
      <c r="Z179" s="1"/>
      <c r="AA179" s="1"/>
      <c r="AB179" s="1" t="s">
        <v>844</v>
      </c>
      <c r="AC179" s="7">
        <v>43305.619507479794</v>
      </c>
      <c r="AD179" s="1" t="s">
        <v>40</v>
      </c>
      <c r="AE179" s="6">
        <v>346.98</v>
      </c>
      <c r="AF179" s="7">
        <v>43465</v>
      </c>
      <c r="AG179" s="1" t="s">
        <v>867</v>
      </c>
      <c r="AH179" s="1" t="s">
        <v>7</v>
      </c>
    </row>
    <row r="180" spans="1:34" x14ac:dyDescent="0.25">
      <c r="A180" s="4">
        <v>228</v>
      </c>
      <c r="B180" s="2" t="str">
        <f>HYPERLINK("https://my.zakupki.prom.ua/remote/dispatcher/state_purchase_view/11359942", "UA-2019-04-18-002401-a")</f>
        <v>UA-2019-04-18-002401-a</v>
      </c>
      <c r="C180" s="1" t="s">
        <v>649</v>
      </c>
      <c r="D180" s="1" t="s">
        <v>470</v>
      </c>
      <c r="E180" s="1" t="s">
        <v>552</v>
      </c>
      <c r="F180" s="1" t="s">
        <v>560</v>
      </c>
      <c r="G180" s="1" t="s">
        <v>290</v>
      </c>
      <c r="H180" s="1" t="s">
        <v>717</v>
      </c>
      <c r="I180" s="5">
        <v>43573</v>
      </c>
      <c r="J180" s="1" t="s">
        <v>840</v>
      </c>
      <c r="K180" s="4">
        <v>1</v>
      </c>
      <c r="L180" s="6">
        <v>14324.12</v>
      </c>
      <c r="M180" s="4">
        <v>111</v>
      </c>
      <c r="N180" s="6">
        <v>129.05000000000001</v>
      </c>
      <c r="O180" s="1" t="s">
        <v>854</v>
      </c>
      <c r="P180" s="1" t="s">
        <v>480</v>
      </c>
      <c r="Q180" s="1" t="s">
        <v>788</v>
      </c>
      <c r="R180" s="6">
        <v>14324.12</v>
      </c>
      <c r="S180" s="6">
        <v>129.04612612612613</v>
      </c>
      <c r="T180" s="1"/>
      <c r="U180" s="1"/>
      <c r="V180" s="1" t="s">
        <v>562</v>
      </c>
      <c r="W180" s="1" t="s">
        <v>233</v>
      </c>
      <c r="X180" s="2"/>
      <c r="Y180" s="1"/>
      <c r="Z180" s="1"/>
      <c r="AA180" s="1"/>
      <c r="AB180" s="1" t="s">
        <v>844</v>
      </c>
      <c r="AC180" s="7">
        <v>43573.699017084444</v>
      </c>
      <c r="AD180" s="1" t="s">
        <v>589</v>
      </c>
      <c r="AE180" s="6">
        <v>14324.12</v>
      </c>
      <c r="AF180" s="7">
        <v>43830</v>
      </c>
      <c r="AG180" s="1" t="s">
        <v>867</v>
      </c>
      <c r="AH180" s="1" t="s">
        <v>7</v>
      </c>
    </row>
    <row r="181" spans="1:34" x14ac:dyDescent="0.25">
      <c r="A181" s="4">
        <v>229</v>
      </c>
      <c r="B181" s="2" t="str">
        <f>HYPERLINK("https://my.zakupki.prom.ua/remote/dispatcher/state_purchase_view/12263151", "UA-2019-07-17-001807-b")</f>
        <v>UA-2019-07-17-001807-b</v>
      </c>
      <c r="C181" s="1" t="s">
        <v>722</v>
      </c>
      <c r="D181" s="1" t="s">
        <v>101</v>
      </c>
      <c r="E181" s="1" t="s">
        <v>552</v>
      </c>
      <c r="F181" s="1" t="s">
        <v>560</v>
      </c>
      <c r="G181" s="1" t="s">
        <v>290</v>
      </c>
      <c r="H181" s="1" t="s">
        <v>717</v>
      </c>
      <c r="I181" s="5">
        <v>43663</v>
      </c>
      <c r="J181" s="1" t="s">
        <v>840</v>
      </c>
      <c r="K181" s="4">
        <v>1</v>
      </c>
      <c r="L181" s="6">
        <v>2724</v>
      </c>
      <c r="M181" s="4">
        <v>6</v>
      </c>
      <c r="N181" s="6">
        <v>454</v>
      </c>
      <c r="O181" s="1" t="s">
        <v>870</v>
      </c>
      <c r="P181" s="1" t="s">
        <v>480</v>
      </c>
      <c r="Q181" s="1" t="s">
        <v>613</v>
      </c>
      <c r="R181" s="6">
        <v>2724</v>
      </c>
      <c r="S181" s="6">
        <v>454</v>
      </c>
      <c r="T181" s="1"/>
      <c r="U181" s="1"/>
      <c r="V181" s="1" t="s">
        <v>514</v>
      </c>
      <c r="W181" s="1" t="s">
        <v>206</v>
      </c>
      <c r="X181" s="2"/>
      <c r="Y181" s="1"/>
      <c r="Z181" s="1"/>
      <c r="AA181" s="1"/>
      <c r="AB181" s="1" t="s">
        <v>844</v>
      </c>
      <c r="AC181" s="7">
        <v>43663.734131360681</v>
      </c>
      <c r="AD181" s="1" t="s">
        <v>50</v>
      </c>
      <c r="AE181" s="6">
        <v>2724</v>
      </c>
      <c r="AF181" s="7">
        <v>43830</v>
      </c>
      <c r="AG181" s="1" t="s">
        <v>867</v>
      </c>
      <c r="AH181" s="1" t="s">
        <v>7</v>
      </c>
    </row>
    <row r="182" spans="1:34" x14ac:dyDescent="0.25">
      <c r="A182" s="4">
        <v>230</v>
      </c>
      <c r="B182" s="2" t="str">
        <f>HYPERLINK("https://my.zakupki.prom.ua/remote/dispatcher/state_purchase_view/13197503", "UA-2019-10-16-003032-b")</f>
        <v>UA-2019-10-16-003032-b</v>
      </c>
      <c r="C182" s="1" t="s">
        <v>579</v>
      </c>
      <c r="D182" s="1" t="s">
        <v>327</v>
      </c>
      <c r="E182" s="1" t="s">
        <v>552</v>
      </c>
      <c r="F182" s="1" t="s">
        <v>560</v>
      </c>
      <c r="G182" s="1" t="s">
        <v>290</v>
      </c>
      <c r="H182" s="1" t="s">
        <v>715</v>
      </c>
      <c r="I182" s="5">
        <v>43754</v>
      </c>
      <c r="J182" s="1" t="s">
        <v>840</v>
      </c>
      <c r="K182" s="4">
        <v>1</v>
      </c>
      <c r="L182" s="6">
        <v>7176</v>
      </c>
      <c r="M182" s="4">
        <v>2</v>
      </c>
      <c r="N182" s="6">
        <v>3588</v>
      </c>
      <c r="O182" s="1" t="s">
        <v>870</v>
      </c>
      <c r="P182" s="1" t="s">
        <v>480</v>
      </c>
      <c r="Q182" s="1" t="s">
        <v>788</v>
      </c>
      <c r="R182" s="6">
        <v>7176</v>
      </c>
      <c r="S182" s="6">
        <v>3588</v>
      </c>
      <c r="T182" s="1"/>
      <c r="U182" s="1"/>
      <c r="V182" s="1" t="s">
        <v>633</v>
      </c>
      <c r="W182" s="1" t="s">
        <v>357</v>
      </c>
      <c r="X182" s="2"/>
      <c r="Y182" s="1"/>
      <c r="Z182" s="1"/>
      <c r="AA182" s="1"/>
      <c r="AB182" s="1" t="s">
        <v>844</v>
      </c>
      <c r="AC182" s="7">
        <v>43754.665149420463</v>
      </c>
      <c r="AD182" s="1" t="s">
        <v>92</v>
      </c>
      <c r="AE182" s="6">
        <v>7176</v>
      </c>
      <c r="AF182" s="7">
        <v>43830</v>
      </c>
      <c r="AG182" s="1" t="s">
        <v>867</v>
      </c>
      <c r="AH182" s="1" t="s">
        <v>7</v>
      </c>
    </row>
    <row r="183" spans="1:34" x14ac:dyDescent="0.25">
      <c r="A183" s="4">
        <v>233</v>
      </c>
      <c r="B183" s="2" t="str">
        <f>HYPERLINK("https://my.zakupki.prom.ua/remote/dispatcher/state_purchase_view/12708826", "UA-2019-09-03-001780-b")</f>
        <v>UA-2019-09-03-001780-b</v>
      </c>
      <c r="C183" s="1" t="s">
        <v>569</v>
      </c>
      <c r="D183" s="1" t="s">
        <v>200</v>
      </c>
      <c r="E183" s="1" t="s">
        <v>543</v>
      </c>
      <c r="F183" s="1" t="s">
        <v>560</v>
      </c>
      <c r="G183" s="1" t="s">
        <v>290</v>
      </c>
      <c r="H183" s="1" t="s">
        <v>715</v>
      </c>
      <c r="I183" s="5">
        <v>43711</v>
      </c>
      <c r="J183" s="7">
        <v>43721.533877314818</v>
      </c>
      <c r="K183" s="4">
        <v>3</v>
      </c>
      <c r="L183" s="6">
        <v>60000</v>
      </c>
      <c r="M183" s="4">
        <v>1</v>
      </c>
      <c r="N183" s="6">
        <v>60000</v>
      </c>
      <c r="O183" s="1" t="s">
        <v>850</v>
      </c>
      <c r="P183" s="1" t="s">
        <v>480</v>
      </c>
      <c r="Q183" s="1" t="s">
        <v>788</v>
      </c>
      <c r="R183" s="6">
        <v>42500</v>
      </c>
      <c r="S183" s="6">
        <v>42500</v>
      </c>
      <c r="T183" s="6">
        <v>17500</v>
      </c>
      <c r="U183" s="6">
        <v>0.29166666666666669</v>
      </c>
      <c r="V183" s="1" t="s">
        <v>741</v>
      </c>
      <c r="W183" s="1" t="s">
        <v>201</v>
      </c>
      <c r="X183" s="2" t="str">
        <f>HYPERLINK("https://auction.openprocurement.org/tenders/a3e5fce3dbdd46bbb1fcc6feaf3d80f3")</f>
        <v>https://auction.openprocurement.org/tenders/a3e5fce3dbdd46bbb1fcc6feaf3d80f3</v>
      </c>
      <c r="Y183" s="7">
        <v>43724.567307440542</v>
      </c>
      <c r="Z183" s="5">
        <v>43726</v>
      </c>
      <c r="AA183" s="5">
        <v>43747</v>
      </c>
      <c r="AB183" s="1" t="s">
        <v>844</v>
      </c>
      <c r="AC183" s="7">
        <v>43733.59214252411</v>
      </c>
      <c r="AD183" s="1" t="s">
        <v>83</v>
      </c>
      <c r="AE183" s="6">
        <v>42500</v>
      </c>
      <c r="AF183" s="7">
        <v>43830</v>
      </c>
      <c r="AG183" s="1" t="s">
        <v>867</v>
      </c>
      <c r="AH183" s="1" t="s">
        <v>202</v>
      </c>
    </row>
    <row r="184" spans="1:34" x14ac:dyDescent="0.25">
      <c r="A184" s="4">
        <v>234</v>
      </c>
      <c r="B184" s="2" t="str">
        <f>HYPERLINK("https://my.zakupki.prom.ua/remote/dispatcher/state_purchase_view/12659070", "UA-2019-08-28-001453-a")</f>
        <v>UA-2019-08-28-001453-a</v>
      </c>
      <c r="C184" s="1" t="s">
        <v>658</v>
      </c>
      <c r="D184" s="1" t="s">
        <v>453</v>
      </c>
      <c r="E184" s="1" t="s">
        <v>543</v>
      </c>
      <c r="F184" s="1" t="s">
        <v>560</v>
      </c>
      <c r="G184" s="1" t="s">
        <v>290</v>
      </c>
      <c r="H184" s="1" t="s">
        <v>715</v>
      </c>
      <c r="I184" s="5">
        <v>43705</v>
      </c>
      <c r="J184" s="1" t="s">
        <v>841</v>
      </c>
      <c r="K184" s="4">
        <v>1</v>
      </c>
      <c r="L184" s="6">
        <v>156000</v>
      </c>
      <c r="M184" s="4">
        <v>1</v>
      </c>
      <c r="N184" s="6">
        <v>156000</v>
      </c>
      <c r="O184" s="1" t="s">
        <v>850</v>
      </c>
      <c r="P184" s="1" t="s">
        <v>480</v>
      </c>
      <c r="Q184" s="1" t="s">
        <v>788</v>
      </c>
      <c r="R184" s="6">
        <v>156000</v>
      </c>
      <c r="S184" s="6">
        <v>156000</v>
      </c>
      <c r="T184" s="1"/>
      <c r="U184" s="1"/>
      <c r="V184" s="1" t="s">
        <v>757</v>
      </c>
      <c r="W184" s="1" t="s">
        <v>351</v>
      </c>
      <c r="X184" s="2"/>
      <c r="Y184" s="7">
        <v>43717.667581636386</v>
      </c>
      <c r="Z184" s="5">
        <v>43719</v>
      </c>
      <c r="AA184" s="5">
        <v>43740</v>
      </c>
      <c r="AB184" s="1" t="s">
        <v>844</v>
      </c>
      <c r="AC184" s="7">
        <v>43720.545423151329</v>
      </c>
      <c r="AD184" s="1" t="s">
        <v>465</v>
      </c>
      <c r="AE184" s="6">
        <v>156000</v>
      </c>
      <c r="AF184" s="7">
        <v>43830</v>
      </c>
      <c r="AG184" s="1" t="s">
        <v>867</v>
      </c>
      <c r="AH184" s="1" t="s">
        <v>352</v>
      </c>
    </row>
    <row r="185" spans="1:34" hidden="1" x14ac:dyDescent="0.25">
      <c r="A185" s="4">
        <v>237</v>
      </c>
      <c r="B185" s="2" t="str">
        <f>HYPERLINK("https://my.zakupki.prom.ua/remote/dispatcher/state_purchase_view/23589433", "UA-2021-02-03-005047-a")</f>
        <v>UA-2021-02-03-005047-a</v>
      </c>
      <c r="C185" s="1" t="s">
        <v>643</v>
      </c>
      <c r="D185" s="1" t="s">
        <v>99</v>
      </c>
      <c r="E185" s="1" t="s">
        <v>552</v>
      </c>
      <c r="F185" s="1" t="s">
        <v>560</v>
      </c>
      <c r="G185" s="1" t="s">
        <v>290</v>
      </c>
      <c r="H185" s="1" t="s">
        <v>714</v>
      </c>
      <c r="I185" s="5">
        <v>44230</v>
      </c>
      <c r="J185" s="1" t="s">
        <v>840</v>
      </c>
      <c r="K185" s="4">
        <v>1</v>
      </c>
      <c r="L185" s="6">
        <v>7650</v>
      </c>
      <c r="M185" s="4">
        <v>30</v>
      </c>
      <c r="N185" s="6">
        <v>255</v>
      </c>
      <c r="O185" s="1" t="s">
        <v>871</v>
      </c>
      <c r="P185" s="1" t="s">
        <v>480</v>
      </c>
      <c r="Q185" s="1" t="s">
        <v>788</v>
      </c>
      <c r="R185" s="6">
        <v>7650</v>
      </c>
      <c r="S185" s="6">
        <v>255</v>
      </c>
      <c r="T185" s="1"/>
      <c r="U185" s="1"/>
      <c r="V185" s="1" t="s">
        <v>775</v>
      </c>
      <c r="W185" s="1" t="s">
        <v>234</v>
      </c>
      <c r="X185" s="2"/>
      <c r="Y185" s="1"/>
      <c r="Z185" s="1"/>
      <c r="AA185" s="1"/>
      <c r="AB185" s="1" t="s">
        <v>844</v>
      </c>
      <c r="AC185" s="7">
        <v>44230.502163351062</v>
      </c>
      <c r="AD185" s="1" t="s">
        <v>118</v>
      </c>
      <c r="AE185" s="6">
        <v>7650</v>
      </c>
      <c r="AF185" s="7">
        <v>44561</v>
      </c>
      <c r="AG185" s="1" t="s">
        <v>867</v>
      </c>
      <c r="AH185" s="1" t="s">
        <v>7</v>
      </c>
    </row>
    <row r="186" spans="1:34" hidden="1" x14ac:dyDescent="0.25">
      <c r="A186" s="4">
        <v>238</v>
      </c>
      <c r="B186" s="2" t="str">
        <f>HYPERLINK("https://my.zakupki.prom.ua/remote/dispatcher/state_purchase_view/15650773", "UA-2020-03-06-001306-a")</f>
        <v>UA-2020-03-06-001306-a</v>
      </c>
      <c r="C186" s="1" t="s">
        <v>676</v>
      </c>
      <c r="D186" s="1" t="s">
        <v>470</v>
      </c>
      <c r="E186" s="1" t="s">
        <v>515</v>
      </c>
      <c r="F186" s="1" t="s">
        <v>560</v>
      </c>
      <c r="G186" s="1" t="s">
        <v>290</v>
      </c>
      <c r="H186" s="1" t="s">
        <v>715</v>
      </c>
      <c r="I186" s="5">
        <v>43896</v>
      </c>
      <c r="J186" s="7">
        <v>43913.635428240741</v>
      </c>
      <c r="K186" s="4">
        <v>2</v>
      </c>
      <c r="L186" s="6">
        <v>985720</v>
      </c>
      <c r="M186" s="4">
        <v>1</v>
      </c>
      <c r="N186" s="6">
        <v>985720</v>
      </c>
      <c r="O186" s="1" t="s">
        <v>863</v>
      </c>
      <c r="P186" s="1" t="s">
        <v>480</v>
      </c>
      <c r="Q186" s="1" t="s">
        <v>788</v>
      </c>
      <c r="R186" s="6">
        <v>875624.05</v>
      </c>
      <c r="S186" s="6">
        <v>875624.05</v>
      </c>
      <c r="T186" s="6">
        <v>110095.94999999995</v>
      </c>
      <c r="U186" s="6">
        <v>0.11169089599480578</v>
      </c>
      <c r="V186" s="1" t="s">
        <v>747</v>
      </c>
      <c r="W186" s="1" t="s">
        <v>374</v>
      </c>
      <c r="X186" s="2" t="str">
        <f>HYPERLINK("https://auction.openprocurement.org/tenders/26013d7157b94f42bfc44d9e538092d5")</f>
        <v>https://auction.openprocurement.org/tenders/26013d7157b94f42bfc44d9e538092d5</v>
      </c>
      <c r="Y186" s="7">
        <v>43915.506314679536</v>
      </c>
      <c r="Z186" s="5">
        <v>43926</v>
      </c>
      <c r="AA186" s="5">
        <v>43936</v>
      </c>
      <c r="AB186" s="1" t="s">
        <v>844</v>
      </c>
      <c r="AC186" s="7">
        <v>43928.726503627237</v>
      </c>
      <c r="AD186" s="1" t="s">
        <v>137</v>
      </c>
      <c r="AE186" s="6">
        <v>875624.05</v>
      </c>
      <c r="AF186" s="7">
        <v>44196</v>
      </c>
      <c r="AG186" s="1" t="s">
        <v>867</v>
      </c>
      <c r="AH186" s="1" t="s">
        <v>375</v>
      </c>
    </row>
    <row r="187" spans="1:34" hidden="1" x14ac:dyDescent="0.25">
      <c r="A187" s="4">
        <v>239</v>
      </c>
      <c r="B187" s="2" t="str">
        <f>HYPERLINK("https://my.zakupki.prom.ua/remote/dispatcher/state_purchase_view/17277535", "UA-2020-06-16-006065-c")</f>
        <v>UA-2020-06-16-006065-c</v>
      </c>
      <c r="C187" s="1" t="s">
        <v>679</v>
      </c>
      <c r="D187" s="1" t="s">
        <v>430</v>
      </c>
      <c r="E187" s="1" t="s">
        <v>552</v>
      </c>
      <c r="F187" s="1" t="s">
        <v>560</v>
      </c>
      <c r="G187" s="1" t="s">
        <v>290</v>
      </c>
      <c r="H187" s="1" t="s">
        <v>714</v>
      </c>
      <c r="I187" s="5">
        <v>43998</v>
      </c>
      <c r="J187" s="1" t="s">
        <v>840</v>
      </c>
      <c r="K187" s="4">
        <v>1</v>
      </c>
      <c r="L187" s="6">
        <v>99551.22</v>
      </c>
      <c r="M187" s="4">
        <v>2</v>
      </c>
      <c r="N187" s="6">
        <v>49775.61</v>
      </c>
      <c r="O187" s="1" t="s">
        <v>863</v>
      </c>
      <c r="P187" s="1" t="s">
        <v>480</v>
      </c>
      <c r="Q187" s="1" t="s">
        <v>788</v>
      </c>
      <c r="R187" s="6">
        <v>99551.22</v>
      </c>
      <c r="S187" s="6">
        <v>49775.61</v>
      </c>
      <c r="T187" s="1"/>
      <c r="U187" s="1"/>
      <c r="V187" s="1" t="s">
        <v>561</v>
      </c>
      <c r="W187" s="1" t="s">
        <v>22</v>
      </c>
      <c r="X187" s="2"/>
      <c r="Y187" s="1"/>
      <c r="Z187" s="1"/>
      <c r="AA187" s="1"/>
      <c r="AB187" s="1" t="s">
        <v>844</v>
      </c>
      <c r="AC187" s="7">
        <v>43998.634050842316</v>
      </c>
      <c r="AD187" s="1" t="s">
        <v>85</v>
      </c>
      <c r="AE187" s="6">
        <v>99551.22</v>
      </c>
      <c r="AF187" s="7">
        <v>44196</v>
      </c>
      <c r="AG187" s="1" t="s">
        <v>867</v>
      </c>
      <c r="AH187" s="1" t="s">
        <v>7</v>
      </c>
    </row>
    <row r="188" spans="1:34" hidden="1" x14ac:dyDescent="0.25">
      <c r="A188" s="4">
        <v>240</v>
      </c>
      <c r="B188" s="2" t="str">
        <f>HYPERLINK("https://my.zakupki.prom.ua/remote/dispatcher/state_purchase_view/19084359", "UA-2020-09-08-002861-b")</f>
        <v>UA-2020-09-08-002861-b</v>
      </c>
      <c r="C188" s="1" t="s">
        <v>647</v>
      </c>
      <c r="D188" s="1" t="s">
        <v>424</v>
      </c>
      <c r="E188" s="1" t="s">
        <v>552</v>
      </c>
      <c r="F188" s="1" t="s">
        <v>560</v>
      </c>
      <c r="G188" s="1" t="s">
        <v>290</v>
      </c>
      <c r="H188" s="1" t="s">
        <v>714</v>
      </c>
      <c r="I188" s="5">
        <v>44082</v>
      </c>
      <c r="J188" s="1" t="s">
        <v>840</v>
      </c>
      <c r="K188" s="4">
        <v>1</v>
      </c>
      <c r="L188" s="6">
        <v>1600</v>
      </c>
      <c r="M188" s="4">
        <v>1</v>
      </c>
      <c r="N188" s="6">
        <v>1600</v>
      </c>
      <c r="O188" s="1" t="s">
        <v>863</v>
      </c>
      <c r="P188" s="1" t="s">
        <v>480</v>
      </c>
      <c r="Q188" s="1" t="s">
        <v>613</v>
      </c>
      <c r="R188" s="6">
        <v>1600</v>
      </c>
      <c r="S188" s="6">
        <v>1600</v>
      </c>
      <c r="T188" s="1"/>
      <c r="U188" s="1"/>
      <c r="V188" s="1" t="s">
        <v>584</v>
      </c>
      <c r="W188" s="1" t="s">
        <v>222</v>
      </c>
      <c r="X188" s="2"/>
      <c r="Y188" s="1"/>
      <c r="Z188" s="1"/>
      <c r="AA188" s="1"/>
      <c r="AB188" s="1" t="s">
        <v>844</v>
      </c>
      <c r="AC188" s="7">
        <v>44082.470194832989</v>
      </c>
      <c r="AD188" s="1" t="s">
        <v>583</v>
      </c>
      <c r="AE188" s="6">
        <v>1600</v>
      </c>
      <c r="AF188" s="7">
        <v>44196</v>
      </c>
      <c r="AG188" s="1" t="s">
        <v>867</v>
      </c>
      <c r="AH188" s="1" t="s">
        <v>7</v>
      </c>
    </row>
    <row r="189" spans="1:34" hidden="1" x14ac:dyDescent="0.25">
      <c r="A189" s="4">
        <v>241</v>
      </c>
      <c r="B189" s="2" t="str">
        <f>HYPERLINK("https://my.zakupki.prom.ua/remote/dispatcher/state_purchase_view/18458706", "UA-2020-08-11-004969-a")</f>
        <v>UA-2020-08-11-004969-a</v>
      </c>
      <c r="C189" s="1" t="s">
        <v>596</v>
      </c>
      <c r="D189" s="1" t="s">
        <v>34</v>
      </c>
      <c r="E189" s="1" t="s">
        <v>552</v>
      </c>
      <c r="F189" s="1" t="s">
        <v>560</v>
      </c>
      <c r="G189" s="1" t="s">
        <v>290</v>
      </c>
      <c r="H189" s="1" t="s">
        <v>714</v>
      </c>
      <c r="I189" s="5">
        <v>44054</v>
      </c>
      <c r="J189" s="1" t="s">
        <v>840</v>
      </c>
      <c r="K189" s="4">
        <v>1</v>
      </c>
      <c r="L189" s="6">
        <v>1782</v>
      </c>
      <c r="M189" s="1" t="s">
        <v>849</v>
      </c>
      <c r="N189" s="1" t="s">
        <v>849</v>
      </c>
      <c r="O189" s="1" t="s">
        <v>849</v>
      </c>
      <c r="P189" s="1" t="s">
        <v>480</v>
      </c>
      <c r="Q189" s="1" t="s">
        <v>788</v>
      </c>
      <c r="R189" s="6">
        <v>1782</v>
      </c>
      <c r="S189" s="1" t="s">
        <v>849</v>
      </c>
      <c r="T189" s="1"/>
      <c r="U189" s="1"/>
      <c r="V189" s="1" t="s">
        <v>787</v>
      </c>
      <c r="W189" s="1" t="s">
        <v>76</v>
      </c>
      <c r="X189" s="2"/>
      <c r="Y189" s="1"/>
      <c r="Z189" s="1"/>
      <c r="AA189" s="1"/>
      <c r="AB189" s="1" t="s">
        <v>844</v>
      </c>
      <c r="AC189" s="7">
        <v>44054.590829017579</v>
      </c>
      <c r="AD189" s="1" t="s">
        <v>399</v>
      </c>
      <c r="AE189" s="6">
        <v>1782</v>
      </c>
      <c r="AF189" s="7">
        <v>44196</v>
      </c>
      <c r="AG189" s="1" t="s">
        <v>867</v>
      </c>
      <c r="AH189" s="1" t="s">
        <v>7</v>
      </c>
    </row>
    <row r="190" spans="1:34" hidden="1" x14ac:dyDescent="0.25">
      <c r="A190" s="4">
        <v>243</v>
      </c>
      <c r="B190" s="2" t="str">
        <f>HYPERLINK("https://my.zakupki.prom.ua/remote/dispatcher/state_purchase_view/25040241", "UA-2021-03-18-007333-a")</f>
        <v>UA-2021-03-18-007333-a</v>
      </c>
      <c r="C190" s="1" t="s">
        <v>668</v>
      </c>
      <c r="D190" s="1" t="s">
        <v>450</v>
      </c>
      <c r="E190" s="1" t="s">
        <v>552</v>
      </c>
      <c r="F190" s="1" t="s">
        <v>560</v>
      </c>
      <c r="G190" s="1" t="s">
        <v>290</v>
      </c>
      <c r="H190" s="1" t="s">
        <v>492</v>
      </c>
      <c r="I190" s="5">
        <v>44273</v>
      </c>
      <c r="J190" s="1" t="s">
        <v>840</v>
      </c>
      <c r="K190" s="4">
        <v>1</v>
      </c>
      <c r="L190" s="6">
        <v>49790.96</v>
      </c>
      <c r="M190" s="4">
        <v>136</v>
      </c>
      <c r="N190" s="6">
        <v>366.11</v>
      </c>
      <c r="O190" s="1" t="s">
        <v>843</v>
      </c>
      <c r="P190" s="1" t="s">
        <v>480</v>
      </c>
      <c r="Q190" s="1" t="s">
        <v>613</v>
      </c>
      <c r="R190" s="6">
        <v>49790.96</v>
      </c>
      <c r="S190" s="6">
        <v>366.11</v>
      </c>
      <c r="T190" s="1"/>
      <c r="U190" s="1"/>
      <c r="V190" s="1" t="s">
        <v>781</v>
      </c>
      <c r="W190" s="1" t="s">
        <v>383</v>
      </c>
      <c r="X190" s="2"/>
      <c r="Y190" s="1"/>
      <c r="Z190" s="1"/>
      <c r="AA190" s="1"/>
      <c r="AB190" s="1" t="s">
        <v>844</v>
      </c>
      <c r="AC190" s="7">
        <v>44273.745310730439</v>
      </c>
      <c r="AD190" s="1" t="s">
        <v>87</v>
      </c>
      <c r="AE190" s="6">
        <v>49790.96</v>
      </c>
      <c r="AF190" s="7">
        <v>44561</v>
      </c>
      <c r="AG190" s="1" t="s">
        <v>867</v>
      </c>
      <c r="AH190" s="1" t="s">
        <v>7</v>
      </c>
    </row>
    <row r="191" spans="1:34" hidden="1" x14ac:dyDescent="0.25">
      <c r="A191" s="4">
        <v>245</v>
      </c>
      <c r="B191" s="2" t="str">
        <f>HYPERLINK("https://my.zakupki.prom.ua/remote/dispatcher/state_purchase_view/25705990", "UA-2021-04-09-008565-a")</f>
        <v>UA-2021-04-09-008565-a</v>
      </c>
      <c r="C191" s="1" t="s">
        <v>548</v>
      </c>
      <c r="D191" s="1" t="s">
        <v>395</v>
      </c>
      <c r="E191" s="1" t="s">
        <v>552</v>
      </c>
      <c r="F191" s="1" t="s">
        <v>560</v>
      </c>
      <c r="G191" s="1" t="s">
        <v>290</v>
      </c>
      <c r="H191" s="1" t="s">
        <v>492</v>
      </c>
      <c r="I191" s="5">
        <v>44295</v>
      </c>
      <c r="J191" s="1" t="s">
        <v>840</v>
      </c>
      <c r="K191" s="4">
        <v>1</v>
      </c>
      <c r="L191" s="6">
        <v>1223.1500000000001</v>
      </c>
      <c r="M191" s="4">
        <v>5</v>
      </c>
      <c r="N191" s="6">
        <v>244.63</v>
      </c>
      <c r="O191" s="1" t="s">
        <v>871</v>
      </c>
      <c r="P191" s="1" t="s">
        <v>480</v>
      </c>
      <c r="Q191" s="1" t="s">
        <v>788</v>
      </c>
      <c r="R191" s="6">
        <v>1223.1500000000001</v>
      </c>
      <c r="S191" s="6">
        <v>244.63000000000002</v>
      </c>
      <c r="T191" s="1"/>
      <c r="U191" s="1"/>
      <c r="V191" s="1" t="s">
        <v>763</v>
      </c>
      <c r="W191" s="1" t="s">
        <v>146</v>
      </c>
      <c r="X191" s="2"/>
      <c r="Y191" s="1"/>
      <c r="Z191" s="1"/>
      <c r="AA191" s="1"/>
      <c r="AB191" s="1" t="s">
        <v>844</v>
      </c>
      <c r="AC191" s="7">
        <v>44295.911050154355</v>
      </c>
      <c r="AD191" s="1" t="s">
        <v>426</v>
      </c>
      <c r="AE191" s="6">
        <v>1223.1500000000001</v>
      </c>
      <c r="AF191" s="7">
        <v>44561</v>
      </c>
      <c r="AG191" s="1" t="s">
        <v>867</v>
      </c>
      <c r="AH191" s="1" t="s">
        <v>7</v>
      </c>
    </row>
    <row r="192" spans="1:34" hidden="1" x14ac:dyDescent="0.25">
      <c r="A192" s="4">
        <v>246</v>
      </c>
      <c r="B192" s="2" t="str">
        <f>HYPERLINK("https://my.zakupki.prom.ua/remote/dispatcher/state_purchase_view/26083795", "UA-2021-04-22-012858-a")</f>
        <v>UA-2021-04-22-012858-a</v>
      </c>
      <c r="C192" s="1" t="s">
        <v>521</v>
      </c>
      <c r="D192" s="1" t="s">
        <v>252</v>
      </c>
      <c r="E192" s="1" t="s">
        <v>552</v>
      </c>
      <c r="F192" s="1" t="s">
        <v>560</v>
      </c>
      <c r="G192" s="1" t="s">
        <v>290</v>
      </c>
      <c r="H192" s="1" t="s">
        <v>492</v>
      </c>
      <c r="I192" s="5">
        <v>44308</v>
      </c>
      <c r="J192" s="1" t="s">
        <v>840</v>
      </c>
      <c r="K192" s="4">
        <v>1</v>
      </c>
      <c r="L192" s="6">
        <v>35100</v>
      </c>
      <c r="M192" s="4">
        <v>9</v>
      </c>
      <c r="N192" s="6">
        <v>3900</v>
      </c>
      <c r="O192" s="1" t="s">
        <v>871</v>
      </c>
      <c r="P192" s="1" t="s">
        <v>480</v>
      </c>
      <c r="Q192" s="1" t="s">
        <v>613</v>
      </c>
      <c r="R192" s="6">
        <v>35100</v>
      </c>
      <c r="S192" s="6">
        <v>3900</v>
      </c>
      <c r="T192" s="1"/>
      <c r="U192" s="1"/>
      <c r="V192" s="1" t="s">
        <v>833</v>
      </c>
      <c r="W192" s="1" t="s">
        <v>178</v>
      </c>
      <c r="X192" s="2"/>
      <c r="Y192" s="1"/>
      <c r="Z192" s="1"/>
      <c r="AA192" s="1"/>
      <c r="AB192" s="1" t="s">
        <v>844</v>
      </c>
      <c r="AC192" s="7">
        <v>44308.866120359446</v>
      </c>
      <c r="AD192" s="1" t="s">
        <v>130</v>
      </c>
      <c r="AE192" s="6">
        <v>35100</v>
      </c>
      <c r="AF192" s="7">
        <v>44561</v>
      </c>
      <c r="AG192" s="1" t="s">
        <v>867</v>
      </c>
      <c r="AH192" s="1" t="s">
        <v>7</v>
      </c>
    </row>
    <row r="193" spans="1:34" hidden="1" x14ac:dyDescent="0.25">
      <c r="A193" s="4">
        <v>247</v>
      </c>
      <c r="B193" s="2" t="str">
        <f>HYPERLINK("https://my.zakupki.prom.ua/remote/dispatcher/state_purchase_view/25360266", "UA-2021-03-29-006479-b")</f>
        <v>UA-2021-03-29-006479-b</v>
      </c>
      <c r="C193" s="1" t="s">
        <v>501</v>
      </c>
      <c r="D193" s="1" t="s">
        <v>23</v>
      </c>
      <c r="E193" s="1" t="s">
        <v>543</v>
      </c>
      <c r="F193" s="1" t="s">
        <v>560</v>
      </c>
      <c r="G193" s="1" t="s">
        <v>290</v>
      </c>
      <c r="H193" s="1" t="s">
        <v>492</v>
      </c>
      <c r="I193" s="5">
        <v>44284</v>
      </c>
      <c r="J193" s="7">
        <v>44295.519583333335</v>
      </c>
      <c r="K193" s="4">
        <v>3</v>
      </c>
      <c r="L193" s="6">
        <v>7800</v>
      </c>
      <c r="M193" s="1" t="s">
        <v>849</v>
      </c>
      <c r="N193" s="1" t="s">
        <v>849</v>
      </c>
      <c r="O193" s="1" t="s">
        <v>849</v>
      </c>
      <c r="P193" s="1" t="s">
        <v>480</v>
      </c>
      <c r="Q193" s="1" t="s">
        <v>788</v>
      </c>
      <c r="R193" s="6">
        <v>2000</v>
      </c>
      <c r="S193" s="1" t="s">
        <v>849</v>
      </c>
      <c r="T193" s="6">
        <v>5800</v>
      </c>
      <c r="U193" s="6">
        <v>0.74358974358974361</v>
      </c>
      <c r="V193" s="1" t="s">
        <v>807</v>
      </c>
      <c r="W193" s="1" t="s">
        <v>271</v>
      </c>
      <c r="X193" s="2" t="str">
        <f>HYPERLINK("https://auction.openprocurement.org/tenders/88015c8e7beb4425a4c92fb763ae4567")</f>
        <v>https://auction.openprocurement.org/tenders/88015c8e7beb4425a4c92fb763ae4567</v>
      </c>
      <c r="Y193" s="7">
        <v>44302.491151549235</v>
      </c>
      <c r="Z193" s="5">
        <v>44307</v>
      </c>
      <c r="AA193" s="5">
        <v>44318</v>
      </c>
      <c r="AB193" s="1" t="s">
        <v>844</v>
      </c>
      <c r="AC193" s="7">
        <v>44309.665014615508</v>
      </c>
      <c r="AD193" s="1" t="s">
        <v>154</v>
      </c>
      <c r="AE193" s="6">
        <v>7600</v>
      </c>
      <c r="AF193" s="7">
        <v>44561</v>
      </c>
      <c r="AG193" s="1" t="s">
        <v>867</v>
      </c>
      <c r="AH193" s="1" t="s">
        <v>164</v>
      </c>
    </row>
    <row r="194" spans="1:34" hidden="1" x14ac:dyDescent="0.25">
      <c r="A194" s="4">
        <v>248</v>
      </c>
      <c r="B194" s="2" t="str">
        <f>HYPERLINK("https://my.zakupki.prom.ua/remote/dispatcher/state_purchase_view/26435905", "UA-2021-05-11-006664-b")</f>
        <v>UA-2021-05-11-006664-b</v>
      </c>
      <c r="C194" s="1" t="s">
        <v>578</v>
      </c>
      <c r="D194" s="1" t="s">
        <v>393</v>
      </c>
      <c r="E194" s="1" t="s">
        <v>543</v>
      </c>
      <c r="F194" s="1" t="s">
        <v>560</v>
      </c>
      <c r="G194" s="1" t="s">
        <v>290</v>
      </c>
      <c r="H194" s="1" t="s">
        <v>492</v>
      </c>
      <c r="I194" s="5">
        <v>44327</v>
      </c>
      <c r="J194" s="1" t="s">
        <v>842</v>
      </c>
      <c r="K194" s="4">
        <v>0</v>
      </c>
      <c r="L194" s="6">
        <v>12000</v>
      </c>
      <c r="M194" s="4">
        <v>1050</v>
      </c>
      <c r="N194" s="6">
        <v>11.43</v>
      </c>
      <c r="O194" s="1" t="s">
        <v>871</v>
      </c>
      <c r="P194" s="1" t="s">
        <v>480</v>
      </c>
      <c r="Q194" s="1" t="s">
        <v>788</v>
      </c>
      <c r="R194" s="1"/>
      <c r="S194" s="1"/>
      <c r="T194" s="1"/>
      <c r="U194" s="1"/>
      <c r="V194" s="1"/>
      <c r="W194" s="1"/>
      <c r="X194" s="2"/>
      <c r="Y194" s="1"/>
      <c r="Z194" s="1"/>
      <c r="AA194" s="1"/>
      <c r="AB194" s="1" t="s">
        <v>862</v>
      </c>
      <c r="AC194" s="1"/>
      <c r="AD194" s="1"/>
      <c r="AE194" s="1"/>
      <c r="AF194" s="1"/>
      <c r="AG194" s="1"/>
      <c r="AH194" s="1"/>
    </row>
    <row r="195" spans="1:34" hidden="1" x14ac:dyDescent="0.25">
      <c r="A195" s="4">
        <v>249</v>
      </c>
      <c r="B195" s="2" t="str">
        <f>HYPERLINK("https://my.zakupki.prom.ua/remote/dispatcher/state_purchase_view/26435401", "UA-2021-05-11-006490-b")</f>
        <v>UA-2021-05-11-006490-b</v>
      </c>
      <c r="C195" s="1" t="s">
        <v>648</v>
      </c>
      <c r="D195" s="1" t="s">
        <v>421</v>
      </c>
      <c r="E195" s="1" t="s">
        <v>552</v>
      </c>
      <c r="F195" s="1" t="s">
        <v>560</v>
      </c>
      <c r="G195" s="1" t="s">
        <v>290</v>
      </c>
      <c r="H195" s="1" t="s">
        <v>492</v>
      </c>
      <c r="I195" s="5">
        <v>44327</v>
      </c>
      <c r="J195" s="1" t="s">
        <v>840</v>
      </c>
      <c r="K195" s="4">
        <v>1</v>
      </c>
      <c r="L195" s="6">
        <v>49995</v>
      </c>
      <c r="M195" s="4">
        <v>12</v>
      </c>
      <c r="N195" s="6">
        <v>4166.25</v>
      </c>
      <c r="O195" s="1" t="s">
        <v>863</v>
      </c>
      <c r="P195" s="1" t="s">
        <v>480</v>
      </c>
      <c r="Q195" s="1" t="s">
        <v>788</v>
      </c>
      <c r="R195" s="6">
        <v>49995</v>
      </c>
      <c r="S195" s="6">
        <v>4166.25</v>
      </c>
      <c r="T195" s="1"/>
      <c r="U195" s="1"/>
      <c r="V195" s="1" t="s">
        <v>768</v>
      </c>
      <c r="W195" s="1" t="s">
        <v>381</v>
      </c>
      <c r="X195" s="2"/>
      <c r="Y195" s="1"/>
      <c r="Z195" s="1"/>
      <c r="AA195" s="1"/>
      <c r="AB195" s="1" t="s">
        <v>844</v>
      </c>
      <c r="AC195" s="7">
        <v>44327.779207762767</v>
      </c>
      <c r="AD195" s="1" t="s">
        <v>191</v>
      </c>
      <c r="AE195" s="6">
        <v>49995</v>
      </c>
      <c r="AF195" s="7">
        <v>44561</v>
      </c>
      <c r="AG195" s="1" t="s">
        <v>867</v>
      </c>
      <c r="AH195" s="1" t="s">
        <v>7</v>
      </c>
    </row>
    <row r="196" spans="1:34" hidden="1" x14ac:dyDescent="0.25">
      <c r="A196" s="4">
        <v>250</v>
      </c>
      <c r="B196" s="2" t="str">
        <f>HYPERLINK("https://my.zakupki.prom.ua/remote/dispatcher/state_purchase_view/2473134", "UA-2017-03-13-000592-b")</f>
        <v>UA-2017-03-13-000592-b</v>
      </c>
      <c r="C196" s="1" t="s">
        <v>511</v>
      </c>
      <c r="D196" s="1" t="s">
        <v>466</v>
      </c>
      <c r="E196" s="1" t="s">
        <v>641</v>
      </c>
      <c r="F196" s="1" t="s">
        <v>560</v>
      </c>
      <c r="G196" s="1" t="s">
        <v>290</v>
      </c>
      <c r="H196" s="1" t="s">
        <v>717</v>
      </c>
      <c r="I196" s="5">
        <v>42807</v>
      </c>
      <c r="J196" s="1" t="s">
        <v>840</v>
      </c>
      <c r="K196" s="4">
        <v>1</v>
      </c>
      <c r="L196" s="6">
        <v>6000</v>
      </c>
      <c r="M196" s="4">
        <v>2000</v>
      </c>
      <c r="N196" s="6">
        <v>3</v>
      </c>
      <c r="O196" s="1" t="s">
        <v>855</v>
      </c>
      <c r="P196" s="1" t="s">
        <v>480</v>
      </c>
      <c r="Q196" s="1" t="s">
        <v>788</v>
      </c>
      <c r="R196" s="6">
        <v>7200</v>
      </c>
      <c r="S196" s="6">
        <v>3.6</v>
      </c>
      <c r="T196" s="6">
        <v>-1200</v>
      </c>
      <c r="U196" s="6">
        <v>-0.2</v>
      </c>
      <c r="V196" s="1" t="s">
        <v>532</v>
      </c>
      <c r="W196" s="1" t="s">
        <v>292</v>
      </c>
      <c r="X196" s="2"/>
      <c r="Y196" s="1"/>
      <c r="Z196" s="5">
        <v>42814</v>
      </c>
      <c r="AA196" s="5">
        <v>42829</v>
      </c>
      <c r="AB196" s="1" t="s">
        <v>844</v>
      </c>
      <c r="AC196" s="7">
        <v>42816.482949061923</v>
      </c>
      <c r="AD196" s="1" t="s">
        <v>72</v>
      </c>
      <c r="AE196" s="6">
        <v>7200</v>
      </c>
      <c r="AF196" s="7">
        <v>43100</v>
      </c>
      <c r="AG196" s="1" t="s">
        <v>867</v>
      </c>
      <c r="AH196" s="1" t="s">
        <v>7</v>
      </c>
    </row>
    <row r="197" spans="1:34" x14ac:dyDescent="0.25">
      <c r="A197" s="4">
        <v>251</v>
      </c>
      <c r="B197" s="2" t="str">
        <f>HYPERLINK("https://my.zakupki.prom.ua/remote/dispatcher/state_purchase_view/11892749", "UA-2019-06-11-001672-b")</f>
        <v>UA-2019-06-11-001672-b</v>
      </c>
      <c r="C197" s="1" t="s">
        <v>827</v>
      </c>
      <c r="D197" s="1" t="s">
        <v>328</v>
      </c>
      <c r="E197" s="1" t="s">
        <v>552</v>
      </c>
      <c r="F197" s="1" t="s">
        <v>560</v>
      </c>
      <c r="G197" s="1" t="s">
        <v>290</v>
      </c>
      <c r="H197" s="1" t="s">
        <v>717</v>
      </c>
      <c r="I197" s="5">
        <v>43627</v>
      </c>
      <c r="J197" s="1" t="s">
        <v>840</v>
      </c>
      <c r="K197" s="4">
        <v>1</v>
      </c>
      <c r="L197" s="6">
        <v>2450</v>
      </c>
      <c r="M197" s="4">
        <v>1</v>
      </c>
      <c r="N197" s="6">
        <v>2450</v>
      </c>
      <c r="O197" s="1" t="s">
        <v>870</v>
      </c>
      <c r="P197" s="1" t="s">
        <v>480</v>
      </c>
      <c r="Q197" s="1" t="s">
        <v>788</v>
      </c>
      <c r="R197" s="6">
        <v>2450</v>
      </c>
      <c r="S197" s="6">
        <v>2450</v>
      </c>
      <c r="T197" s="1"/>
      <c r="U197" s="1"/>
      <c r="V197" s="1" t="s">
        <v>786</v>
      </c>
      <c r="W197" s="1" t="s">
        <v>299</v>
      </c>
      <c r="X197" s="2"/>
      <c r="Y197" s="1"/>
      <c r="Z197" s="1"/>
      <c r="AA197" s="1"/>
      <c r="AB197" s="1" t="s">
        <v>844</v>
      </c>
      <c r="AC197" s="7">
        <v>43627.55814519494</v>
      </c>
      <c r="AD197" s="1" t="s">
        <v>54</v>
      </c>
      <c r="AE197" s="6">
        <v>2450</v>
      </c>
      <c r="AF197" s="7">
        <v>43830</v>
      </c>
      <c r="AG197" s="1" t="s">
        <v>867</v>
      </c>
      <c r="AH197" s="1" t="s">
        <v>7</v>
      </c>
    </row>
    <row r="198" spans="1:34" x14ac:dyDescent="0.25">
      <c r="A198" s="4">
        <v>252</v>
      </c>
      <c r="B198" s="2" t="str">
        <f>HYPERLINK("https://my.zakupki.prom.ua/remote/dispatcher/state_purchase_view/12261997", "UA-2019-07-17-001608-b")</f>
        <v>UA-2019-07-17-001608-b</v>
      </c>
      <c r="C198" s="1" t="s">
        <v>832</v>
      </c>
      <c r="D198" s="1" t="s">
        <v>248</v>
      </c>
      <c r="E198" s="1" t="s">
        <v>552</v>
      </c>
      <c r="F198" s="1" t="s">
        <v>560</v>
      </c>
      <c r="G198" s="1" t="s">
        <v>290</v>
      </c>
      <c r="H198" s="1" t="s">
        <v>717</v>
      </c>
      <c r="I198" s="5">
        <v>43663</v>
      </c>
      <c r="J198" s="1" t="s">
        <v>840</v>
      </c>
      <c r="K198" s="4">
        <v>1</v>
      </c>
      <c r="L198" s="6">
        <v>6075</v>
      </c>
      <c r="M198" s="4">
        <v>1</v>
      </c>
      <c r="N198" s="6">
        <v>6075</v>
      </c>
      <c r="O198" s="1" t="s">
        <v>870</v>
      </c>
      <c r="P198" s="1" t="s">
        <v>480</v>
      </c>
      <c r="Q198" s="1" t="s">
        <v>788</v>
      </c>
      <c r="R198" s="6">
        <v>6075</v>
      </c>
      <c r="S198" s="6">
        <v>6075</v>
      </c>
      <c r="T198" s="1"/>
      <c r="U198" s="1"/>
      <c r="V198" s="1" t="s">
        <v>610</v>
      </c>
      <c r="W198" s="1" t="s">
        <v>210</v>
      </c>
      <c r="X198" s="2"/>
      <c r="Y198" s="1"/>
      <c r="Z198" s="1"/>
      <c r="AA198" s="1"/>
      <c r="AB198" s="1" t="s">
        <v>844</v>
      </c>
      <c r="AC198" s="7">
        <v>43663.650893550301</v>
      </c>
      <c r="AD198" s="1" t="s">
        <v>56</v>
      </c>
      <c r="AE198" s="6">
        <v>6075</v>
      </c>
      <c r="AF198" s="7">
        <v>43830</v>
      </c>
      <c r="AG198" s="1" t="s">
        <v>867</v>
      </c>
      <c r="AH198" s="1" t="s">
        <v>7</v>
      </c>
    </row>
    <row r="199" spans="1:34" x14ac:dyDescent="0.25">
      <c r="A199" s="4">
        <v>253</v>
      </c>
      <c r="B199" s="2" t="str">
        <f>HYPERLINK("https://my.zakupki.prom.ua/remote/dispatcher/state_purchase_view/12262560", "UA-2019-07-17-001697-b")</f>
        <v>UA-2019-07-17-001697-b</v>
      </c>
      <c r="C199" s="1" t="s">
        <v>661</v>
      </c>
      <c r="D199" s="1" t="s">
        <v>473</v>
      </c>
      <c r="E199" s="1" t="s">
        <v>552</v>
      </c>
      <c r="F199" s="1" t="s">
        <v>560</v>
      </c>
      <c r="G199" s="1" t="s">
        <v>290</v>
      </c>
      <c r="H199" s="1" t="s">
        <v>717</v>
      </c>
      <c r="I199" s="5">
        <v>43663</v>
      </c>
      <c r="J199" s="1" t="s">
        <v>840</v>
      </c>
      <c r="K199" s="4">
        <v>1</v>
      </c>
      <c r="L199" s="6">
        <v>164000</v>
      </c>
      <c r="M199" s="4">
        <v>265</v>
      </c>
      <c r="N199" s="6">
        <v>618.87</v>
      </c>
      <c r="O199" s="1" t="s">
        <v>863</v>
      </c>
      <c r="P199" s="1" t="s">
        <v>480</v>
      </c>
      <c r="Q199" s="1" t="s">
        <v>613</v>
      </c>
      <c r="R199" s="6">
        <v>164000</v>
      </c>
      <c r="S199" s="6">
        <v>618.86792452830184</v>
      </c>
      <c r="T199" s="1"/>
      <c r="U199" s="1"/>
      <c r="V199" s="1" t="s">
        <v>567</v>
      </c>
      <c r="W199" s="1" t="s">
        <v>249</v>
      </c>
      <c r="X199" s="2"/>
      <c r="Y199" s="1"/>
      <c r="Z199" s="1"/>
      <c r="AA199" s="1"/>
      <c r="AB199" s="1" t="s">
        <v>844</v>
      </c>
      <c r="AC199" s="7">
        <v>43663.662189798633</v>
      </c>
      <c r="AD199" s="1" t="s">
        <v>93</v>
      </c>
      <c r="AE199" s="6">
        <v>164000</v>
      </c>
      <c r="AF199" s="7">
        <v>43830</v>
      </c>
      <c r="AG199" s="1" t="s">
        <v>867</v>
      </c>
      <c r="AH199" s="1" t="s">
        <v>7</v>
      </c>
    </row>
    <row r="200" spans="1:34" x14ac:dyDescent="0.25">
      <c r="A200" s="4">
        <v>254</v>
      </c>
      <c r="B200" s="2" t="str">
        <f>HYPERLINK("https://my.zakupki.prom.ua/remote/dispatcher/state_purchase_view/12868645", "UA-2019-09-17-000498-b")</f>
        <v>UA-2019-09-17-000498-b</v>
      </c>
      <c r="C200" s="1" t="s">
        <v>623</v>
      </c>
      <c r="D200" s="1" t="s">
        <v>422</v>
      </c>
      <c r="E200" s="1" t="s">
        <v>552</v>
      </c>
      <c r="F200" s="1" t="s">
        <v>560</v>
      </c>
      <c r="G200" s="1" t="s">
        <v>290</v>
      </c>
      <c r="H200" s="1" t="s">
        <v>715</v>
      </c>
      <c r="I200" s="5">
        <v>43725</v>
      </c>
      <c r="J200" s="1" t="s">
        <v>840</v>
      </c>
      <c r="K200" s="4">
        <v>1</v>
      </c>
      <c r="L200" s="6">
        <v>70000</v>
      </c>
      <c r="M200" s="4">
        <v>1</v>
      </c>
      <c r="N200" s="6">
        <v>70000</v>
      </c>
      <c r="O200" s="1" t="s">
        <v>863</v>
      </c>
      <c r="P200" s="1" t="s">
        <v>480</v>
      </c>
      <c r="Q200" s="1" t="s">
        <v>613</v>
      </c>
      <c r="R200" s="6">
        <v>70000</v>
      </c>
      <c r="S200" s="6">
        <v>70000</v>
      </c>
      <c r="T200" s="1"/>
      <c r="U200" s="1"/>
      <c r="V200" s="1" t="s">
        <v>595</v>
      </c>
      <c r="W200" s="1" t="s">
        <v>107</v>
      </c>
      <c r="X200" s="2"/>
      <c r="Y200" s="1"/>
      <c r="Z200" s="1"/>
      <c r="AA200" s="1"/>
      <c r="AB200" s="1" t="s">
        <v>844</v>
      </c>
      <c r="AC200" s="7">
        <v>43725.496708462153</v>
      </c>
      <c r="AD200" s="1" t="s">
        <v>80</v>
      </c>
      <c r="AE200" s="6">
        <v>70000</v>
      </c>
      <c r="AF200" s="7">
        <v>43830</v>
      </c>
      <c r="AG200" s="1" t="s">
        <v>867</v>
      </c>
      <c r="AH200" s="1" t="s">
        <v>7</v>
      </c>
    </row>
    <row r="201" spans="1:34" hidden="1" x14ac:dyDescent="0.25">
      <c r="A201" s="4">
        <v>259</v>
      </c>
      <c r="B201" s="2" t="str">
        <f>HYPERLINK("https://my.zakupki.prom.ua/remote/dispatcher/state_purchase_view/59630", "UA-2016-02-15-000008-a")</f>
        <v>UA-2016-02-15-000008-a</v>
      </c>
      <c r="C201" s="1" t="s">
        <v>4</v>
      </c>
      <c r="D201" s="1" t="s">
        <v>443</v>
      </c>
      <c r="E201" s="1" t="s">
        <v>543</v>
      </c>
      <c r="F201" s="1" t="s">
        <v>560</v>
      </c>
      <c r="G201" s="1" t="s">
        <v>290</v>
      </c>
      <c r="H201" s="1" t="s">
        <v>718</v>
      </c>
      <c r="I201" s="5">
        <v>42427</v>
      </c>
      <c r="J201" s="1" t="s">
        <v>841</v>
      </c>
      <c r="K201" s="4">
        <v>1</v>
      </c>
      <c r="L201" s="6">
        <v>3000</v>
      </c>
      <c r="M201" s="4">
        <v>1</v>
      </c>
      <c r="N201" s="6">
        <v>3000</v>
      </c>
      <c r="O201" s="1" t="s">
        <v>863</v>
      </c>
      <c r="P201" s="1" t="s">
        <v>480</v>
      </c>
      <c r="Q201" s="1" t="s">
        <v>788</v>
      </c>
      <c r="R201" s="6">
        <v>3000</v>
      </c>
      <c r="S201" s="6">
        <v>3000</v>
      </c>
      <c r="T201" s="1"/>
      <c r="U201" s="1"/>
      <c r="V201" s="1" t="s">
        <v>758</v>
      </c>
      <c r="W201" s="1" t="s">
        <v>266</v>
      </c>
      <c r="X201" s="2"/>
      <c r="Y201" s="7">
        <v>42422.445629664653</v>
      </c>
      <c r="Z201" s="5">
        <v>42423</v>
      </c>
      <c r="AA201" s="5">
        <v>42447</v>
      </c>
      <c r="AB201" s="1" t="s">
        <v>844</v>
      </c>
      <c r="AC201" s="7">
        <v>42678.860848751588</v>
      </c>
      <c r="AD201" s="1"/>
      <c r="AE201" s="1"/>
      <c r="AF201" s="1"/>
      <c r="AG201" s="1" t="s">
        <v>867</v>
      </c>
      <c r="AH201" s="1" t="s">
        <v>267</v>
      </c>
    </row>
    <row r="202" spans="1:34" x14ac:dyDescent="0.25">
      <c r="A202" s="4">
        <v>261</v>
      </c>
      <c r="B202" s="2" t="str">
        <f>HYPERLINK("https://my.zakupki.prom.ua/remote/dispatcher/state_purchase_view/13006935", "UA-2019-09-27-001560-b")</f>
        <v>UA-2019-09-27-001560-b</v>
      </c>
      <c r="C202" s="1" t="s">
        <v>822</v>
      </c>
      <c r="D202" s="1" t="s">
        <v>394</v>
      </c>
      <c r="E202" s="1" t="s">
        <v>543</v>
      </c>
      <c r="F202" s="1" t="s">
        <v>560</v>
      </c>
      <c r="G202" s="1" t="s">
        <v>290</v>
      </c>
      <c r="H202" s="1" t="s">
        <v>715</v>
      </c>
      <c r="I202" s="5">
        <v>43735</v>
      </c>
      <c r="J202" s="7">
        <v>43746.527280092596</v>
      </c>
      <c r="K202" s="4">
        <v>3</v>
      </c>
      <c r="L202" s="6">
        <v>10000</v>
      </c>
      <c r="M202" s="4">
        <v>1</v>
      </c>
      <c r="N202" s="6">
        <v>10000</v>
      </c>
      <c r="O202" s="1" t="s">
        <v>850</v>
      </c>
      <c r="P202" s="1" t="s">
        <v>480</v>
      </c>
      <c r="Q202" s="1" t="s">
        <v>788</v>
      </c>
      <c r="R202" s="6">
        <v>5800</v>
      </c>
      <c r="S202" s="6">
        <v>5800</v>
      </c>
      <c r="T202" s="6">
        <v>4200</v>
      </c>
      <c r="U202" s="6">
        <v>0.42</v>
      </c>
      <c r="V202" s="1" t="s">
        <v>761</v>
      </c>
      <c r="W202" s="1" t="s">
        <v>379</v>
      </c>
      <c r="X202" s="2" t="str">
        <f>HYPERLINK("https://auction.openprocurement.org/tenders/2041fef4bd8949e38bbf85c6ffa2a0eb")</f>
        <v>https://auction.openprocurement.org/tenders/2041fef4bd8949e38bbf85c6ffa2a0eb</v>
      </c>
      <c r="Y202" s="7">
        <v>43754.654933879065</v>
      </c>
      <c r="Z202" s="5">
        <v>43756</v>
      </c>
      <c r="AA202" s="5">
        <v>43770</v>
      </c>
      <c r="AB202" s="1" t="s">
        <v>844</v>
      </c>
      <c r="AC202" s="7">
        <v>43762.439031770416</v>
      </c>
      <c r="AD202" s="1" t="s">
        <v>105</v>
      </c>
      <c r="AE202" s="6">
        <v>6764</v>
      </c>
      <c r="AF202" s="7">
        <v>43830</v>
      </c>
      <c r="AG202" s="1" t="s">
        <v>867</v>
      </c>
      <c r="AH202" s="1" t="s">
        <v>276</v>
      </c>
    </row>
    <row r="203" spans="1:34" x14ac:dyDescent="0.25">
      <c r="A203" s="4">
        <v>263</v>
      </c>
      <c r="B203" s="2" t="str">
        <f>HYPERLINK("https://my.zakupki.prom.ua/remote/dispatcher/state_purchase_view/13064324", "UA-2019-10-03-001567-b")</f>
        <v>UA-2019-10-03-001567-b</v>
      </c>
      <c r="C203" s="1" t="s">
        <v>608</v>
      </c>
      <c r="D203" s="1" t="s">
        <v>436</v>
      </c>
      <c r="E203" s="1" t="s">
        <v>515</v>
      </c>
      <c r="F203" s="1" t="s">
        <v>560</v>
      </c>
      <c r="G203" s="1" t="s">
        <v>290</v>
      </c>
      <c r="H203" s="1" t="s">
        <v>715</v>
      </c>
      <c r="I203" s="5">
        <v>43741</v>
      </c>
      <c r="J203" s="7">
        <v>43759.649664351855</v>
      </c>
      <c r="K203" s="4">
        <v>2</v>
      </c>
      <c r="L203" s="6">
        <v>1200000</v>
      </c>
      <c r="M203" s="4">
        <v>6</v>
      </c>
      <c r="N203" s="6">
        <v>200000</v>
      </c>
      <c r="O203" s="1" t="s">
        <v>863</v>
      </c>
      <c r="P203" s="1" t="s">
        <v>480</v>
      </c>
      <c r="Q203" s="1" t="s">
        <v>788</v>
      </c>
      <c r="R203" s="6">
        <v>1183948.24</v>
      </c>
      <c r="S203" s="6">
        <v>197324.70666666667</v>
      </c>
      <c r="T203" s="6">
        <v>16051.760000000009</v>
      </c>
      <c r="U203" s="6">
        <v>1.3376466666666675E-2</v>
      </c>
      <c r="V203" s="1" t="s">
        <v>767</v>
      </c>
      <c r="W203" s="1" t="s">
        <v>268</v>
      </c>
      <c r="X203" s="2" t="str">
        <f>HYPERLINK("https://auction.openprocurement.org/tenders/f58723265448403694eb8dd57bf7a417")</f>
        <v>https://auction.openprocurement.org/tenders/f58723265448403694eb8dd57bf7a417</v>
      </c>
      <c r="Y203" s="7">
        <v>43766.439330553643</v>
      </c>
      <c r="Z203" s="5">
        <v>43777</v>
      </c>
      <c r="AA203" s="5">
        <v>43787</v>
      </c>
      <c r="AB203" s="1" t="s">
        <v>844</v>
      </c>
      <c r="AC203" s="7">
        <v>43777.443352965507</v>
      </c>
      <c r="AD203" s="1" t="s">
        <v>119</v>
      </c>
      <c r="AE203" s="6">
        <v>1183948.24</v>
      </c>
      <c r="AF203" s="7">
        <v>43830</v>
      </c>
      <c r="AG203" s="1" t="s">
        <v>867</v>
      </c>
      <c r="AH203" s="1" t="s">
        <v>270</v>
      </c>
    </row>
    <row r="204" spans="1:34" x14ac:dyDescent="0.25">
      <c r="A204" s="4">
        <v>265</v>
      </c>
      <c r="B204" s="2" t="str">
        <f>HYPERLINK("https://my.zakupki.prom.ua/remote/dispatcher/state_purchase_view/12016157", "UA-2019-06-24-000051-a")</f>
        <v>UA-2019-06-24-000051-a</v>
      </c>
      <c r="C204" s="1" t="s">
        <v>598</v>
      </c>
      <c r="D204" s="1" t="s">
        <v>313</v>
      </c>
      <c r="E204" s="1" t="s">
        <v>543</v>
      </c>
      <c r="F204" s="1" t="s">
        <v>560</v>
      </c>
      <c r="G204" s="1" t="s">
        <v>290</v>
      </c>
      <c r="H204" s="1" t="s">
        <v>717</v>
      </c>
      <c r="I204" s="5">
        <v>43640</v>
      </c>
      <c r="J204" s="7">
        <v>43643.586226851854</v>
      </c>
      <c r="K204" s="4">
        <v>4</v>
      </c>
      <c r="L204" s="6">
        <v>44000</v>
      </c>
      <c r="M204" s="4">
        <v>18</v>
      </c>
      <c r="N204" s="6">
        <v>2444.44</v>
      </c>
      <c r="O204" s="1" t="s">
        <v>870</v>
      </c>
      <c r="P204" s="1" t="s">
        <v>480</v>
      </c>
      <c r="Q204" s="1" t="s">
        <v>788</v>
      </c>
      <c r="R204" s="6">
        <v>27840</v>
      </c>
      <c r="S204" s="6">
        <v>1546.6666666666667</v>
      </c>
      <c r="T204" s="6">
        <v>16160</v>
      </c>
      <c r="U204" s="6">
        <v>0.36727272727272725</v>
      </c>
      <c r="V204" s="1" t="s">
        <v>809</v>
      </c>
      <c r="W204" s="1" t="s">
        <v>213</v>
      </c>
      <c r="X204" s="2" t="str">
        <f>HYPERLINK("https://auction.openprocurement.org/tenders/2d40902ef4a2477aa2050efc00fca0c2")</f>
        <v>https://auction.openprocurement.org/tenders/2d40902ef4a2477aa2050efc00fca0c2</v>
      </c>
      <c r="Y204" s="7">
        <v>43643.656244838785</v>
      </c>
      <c r="Z204" s="5">
        <v>43648</v>
      </c>
      <c r="AA204" s="5">
        <v>43671</v>
      </c>
      <c r="AB204" s="1" t="s">
        <v>844</v>
      </c>
      <c r="AC204" s="7">
        <v>43677.329052481655</v>
      </c>
      <c r="AD204" s="1" t="s">
        <v>46</v>
      </c>
      <c r="AE204" s="6">
        <v>27840</v>
      </c>
      <c r="AF204" s="7">
        <v>43830</v>
      </c>
      <c r="AG204" s="1" t="s">
        <v>867</v>
      </c>
      <c r="AH204" s="1" t="s">
        <v>214</v>
      </c>
    </row>
    <row r="205" spans="1:34" hidden="1" x14ac:dyDescent="0.25">
      <c r="A205" s="4">
        <v>267</v>
      </c>
      <c r="B205" s="2" t="str">
        <f>HYPERLINK("https://my.zakupki.prom.ua/remote/dispatcher/state_purchase_view/16688879", "UA-2020-05-15-001494-b")</f>
        <v>UA-2020-05-15-001494-b</v>
      </c>
      <c r="C205" s="1" t="s">
        <v>527</v>
      </c>
      <c r="D205" s="1" t="s">
        <v>392</v>
      </c>
      <c r="E205" s="1" t="s">
        <v>543</v>
      </c>
      <c r="F205" s="1" t="s">
        <v>560</v>
      </c>
      <c r="G205" s="1" t="s">
        <v>290</v>
      </c>
      <c r="H205" s="1" t="s">
        <v>714</v>
      </c>
      <c r="I205" s="5">
        <v>43966</v>
      </c>
      <c r="J205" s="7">
        <v>43977.560706018521</v>
      </c>
      <c r="K205" s="4">
        <v>5</v>
      </c>
      <c r="L205" s="6">
        <v>9630</v>
      </c>
      <c r="M205" s="4">
        <v>1</v>
      </c>
      <c r="N205" s="6">
        <v>9630</v>
      </c>
      <c r="O205" s="1" t="s">
        <v>850</v>
      </c>
      <c r="P205" s="1" t="s">
        <v>480</v>
      </c>
      <c r="Q205" s="1" t="s">
        <v>788</v>
      </c>
      <c r="R205" s="6">
        <v>6800</v>
      </c>
      <c r="S205" s="6">
        <v>6800</v>
      </c>
      <c r="T205" s="6">
        <v>2830</v>
      </c>
      <c r="U205" s="6">
        <v>0.29387331256490135</v>
      </c>
      <c r="V205" s="1" t="s">
        <v>632</v>
      </c>
      <c r="W205" s="1" t="s">
        <v>279</v>
      </c>
      <c r="X205" s="2" t="str">
        <f>HYPERLINK("https://auction.openprocurement.org/tenders/d8a2c8117ac6404693b9432aad1d8bd2")</f>
        <v>https://auction.openprocurement.org/tenders/d8a2c8117ac6404693b9432aad1d8bd2</v>
      </c>
      <c r="Y205" s="7">
        <v>43983.540266939177</v>
      </c>
      <c r="Z205" s="5">
        <v>43985</v>
      </c>
      <c r="AA205" s="5">
        <v>44002</v>
      </c>
      <c r="AB205" s="1" t="s">
        <v>844</v>
      </c>
      <c r="AC205" s="7">
        <v>43992.573998428968</v>
      </c>
      <c r="AD205" s="1" t="s">
        <v>312</v>
      </c>
      <c r="AE205" s="6">
        <v>7579</v>
      </c>
      <c r="AF205" s="7">
        <v>44196</v>
      </c>
      <c r="AG205" s="1" t="s">
        <v>867</v>
      </c>
      <c r="AH205" s="1" t="s">
        <v>275</v>
      </c>
    </row>
    <row r="206" spans="1:34" x14ac:dyDescent="0.25">
      <c r="A206" s="4">
        <v>268</v>
      </c>
      <c r="B206" s="2" t="str">
        <f>HYPERLINK("https://my.zakupki.prom.ua/remote/dispatcher/state_purchase_view/14327900", "UA-2019-12-27-000625-b")</f>
        <v>UA-2019-12-27-000625-b</v>
      </c>
      <c r="C206" s="1" t="s">
        <v>569</v>
      </c>
      <c r="D206" s="1" t="s">
        <v>200</v>
      </c>
      <c r="E206" s="1" t="s">
        <v>543</v>
      </c>
      <c r="F206" s="1" t="s">
        <v>560</v>
      </c>
      <c r="G206" s="1" t="s">
        <v>290</v>
      </c>
      <c r="H206" s="1" t="s">
        <v>715</v>
      </c>
      <c r="I206" s="5">
        <v>43826</v>
      </c>
      <c r="J206" s="7">
        <v>43851.508958333332</v>
      </c>
      <c r="K206" s="4">
        <v>14</v>
      </c>
      <c r="L206" s="6">
        <v>26000</v>
      </c>
      <c r="M206" s="4">
        <v>1</v>
      </c>
      <c r="N206" s="6">
        <v>26000</v>
      </c>
      <c r="O206" s="1" t="s">
        <v>850</v>
      </c>
      <c r="P206" s="1" t="s">
        <v>480</v>
      </c>
      <c r="Q206" s="1" t="s">
        <v>788</v>
      </c>
      <c r="R206" s="6">
        <v>17600</v>
      </c>
      <c r="S206" s="6">
        <v>17600</v>
      </c>
      <c r="T206" s="6">
        <v>8400</v>
      </c>
      <c r="U206" s="6">
        <v>0.32307692307692309</v>
      </c>
      <c r="V206" s="1" t="s">
        <v>803</v>
      </c>
      <c r="W206" s="1" t="s">
        <v>171</v>
      </c>
      <c r="X206" s="2" t="str">
        <f>HYPERLINK("https://auction.openprocurement.org/tenders/15a240125820412d83c9f7d8cc6c38c0")</f>
        <v>https://auction.openprocurement.org/tenders/15a240125820412d83c9f7d8cc6c38c0</v>
      </c>
      <c r="Y206" s="7">
        <v>43853.560110966282</v>
      </c>
      <c r="Z206" s="5">
        <v>43857</v>
      </c>
      <c r="AA206" s="5">
        <v>43870</v>
      </c>
      <c r="AB206" s="1" t="s">
        <v>844</v>
      </c>
      <c r="AC206" s="7">
        <v>43859.462295185578</v>
      </c>
      <c r="AD206" s="1" t="s">
        <v>36</v>
      </c>
      <c r="AE206" s="6">
        <v>19244</v>
      </c>
      <c r="AF206" s="7">
        <v>44196</v>
      </c>
      <c r="AG206" s="1" t="s">
        <v>867</v>
      </c>
      <c r="AH206" s="1" t="s">
        <v>207</v>
      </c>
    </row>
    <row r="207" spans="1:34" hidden="1" x14ac:dyDescent="0.25">
      <c r="A207" s="4">
        <v>269</v>
      </c>
      <c r="B207" s="2" t="str">
        <f>HYPERLINK("https://my.zakupki.prom.ua/remote/dispatcher/state_purchase_view/19269426", "UA-2020-09-15-000995-a")</f>
        <v>UA-2020-09-15-000995-a</v>
      </c>
      <c r="C207" s="1" t="s">
        <v>667</v>
      </c>
      <c r="D207" s="1" t="s">
        <v>424</v>
      </c>
      <c r="E207" s="1" t="s">
        <v>552</v>
      </c>
      <c r="F207" s="1" t="s">
        <v>560</v>
      </c>
      <c r="G207" s="1" t="s">
        <v>290</v>
      </c>
      <c r="H207" s="1" t="s">
        <v>714</v>
      </c>
      <c r="I207" s="5">
        <v>44089</v>
      </c>
      <c r="J207" s="1" t="s">
        <v>840</v>
      </c>
      <c r="K207" s="4">
        <v>1</v>
      </c>
      <c r="L207" s="6">
        <v>500</v>
      </c>
      <c r="M207" s="4">
        <v>1</v>
      </c>
      <c r="N207" s="6">
        <v>500</v>
      </c>
      <c r="O207" s="1" t="s">
        <v>863</v>
      </c>
      <c r="P207" s="1" t="s">
        <v>480</v>
      </c>
      <c r="Q207" s="1" t="s">
        <v>613</v>
      </c>
      <c r="R207" s="6">
        <v>500</v>
      </c>
      <c r="S207" s="6">
        <v>500</v>
      </c>
      <c r="T207" s="1"/>
      <c r="U207" s="1"/>
      <c r="V207" s="1" t="s">
        <v>564</v>
      </c>
      <c r="W207" s="1" t="s">
        <v>220</v>
      </c>
      <c r="X207" s="2"/>
      <c r="Y207" s="1"/>
      <c r="Z207" s="1"/>
      <c r="AA207" s="1"/>
      <c r="AB207" s="1" t="s">
        <v>844</v>
      </c>
      <c r="AC207" s="7">
        <v>44089.403080092758</v>
      </c>
      <c r="AD207" s="1" t="s">
        <v>455</v>
      </c>
      <c r="AE207" s="6">
        <v>500</v>
      </c>
      <c r="AF207" s="7">
        <v>44196</v>
      </c>
      <c r="AG207" s="1" t="s">
        <v>867</v>
      </c>
      <c r="AH207" s="1" t="s">
        <v>7</v>
      </c>
    </row>
    <row r="208" spans="1:34" hidden="1" x14ac:dyDescent="0.25">
      <c r="A208" s="4">
        <v>270</v>
      </c>
      <c r="B208" s="2" t="str">
        <f>HYPERLINK("https://my.zakupki.prom.ua/remote/dispatcher/state_purchase_view/23090264", "UA-2021-01-22-001020-b")</f>
        <v>UA-2021-01-22-001020-b</v>
      </c>
      <c r="C208" s="1" t="s">
        <v>639</v>
      </c>
      <c r="D208" s="1" t="s">
        <v>196</v>
      </c>
      <c r="E208" s="1" t="s">
        <v>543</v>
      </c>
      <c r="F208" s="1" t="s">
        <v>560</v>
      </c>
      <c r="G208" s="1" t="s">
        <v>290</v>
      </c>
      <c r="H208" s="1" t="s">
        <v>714</v>
      </c>
      <c r="I208" s="5">
        <v>44218</v>
      </c>
      <c r="J208" s="7">
        <v>44232.466782407406</v>
      </c>
      <c r="K208" s="4">
        <v>5</v>
      </c>
      <c r="L208" s="6">
        <v>24517</v>
      </c>
      <c r="M208" s="1" t="s">
        <v>849</v>
      </c>
      <c r="N208" s="1" t="s">
        <v>849</v>
      </c>
      <c r="O208" s="1" t="s">
        <v>849</v>
      </c>
      <c r="P208" s="1" t="s">
        <v>480</v>
      </c>
      <c r="Q208" s="1" t="s">
        <v>788</v>
      </c>
      <c r="R208" s="6">
        <v>12830</v>
      </c>
      <c r="S208" s="1" t="s">
        <v>849</v>
      </c>
      <c r="T208" s="6">
        <v>11687</v>
      </c>
      <c r="U208" s="6">
        <v>0.47668964392054491</v>
      </c>
      <c r="V208" s="1" t="s">
        <v>810</v>
      </c>
      <c r="W208" s="1" t="s">
        <v>219</v>
      </c>
      <c r="X208" s="2" t="str">
        <f>HYPERLINK("https://auction.openprocurement.org/tenders/6c0423b5b49945f2be41de62860ae4b8")</f>
        <v>https://auction.openprocurement.org/tenders/6c0423b5b49945f2be41de62860ae4b8</v>
      </c>
      <c r="Y208" s="7">
        <v>44235.731361550694</v>
      </c>
      <c r="Z208" s="5">
        <v>44238</v>
      </c>
      <c r="AA208" s="5">
        <v>44254</v>
      </c>
      <c r="AB208" s="1" t="s">
        <v>844</v>
      </c>
      <c r="AC208" s="7">
        <v>44244.740665456135</v>
      </c>
      <c r="AD208" s="1" t="s">
        <v>420</v>
      </c>
      <c r="AE208" s="6">
        <v>12840</v>
      </c>
      <c r="AF208" s="7">
        <v>44561</v>
      </c>
      <c r="AG208" s="1" t="s">
        <v>867</v>
      </c>
      <c r="AH208" s="1" t="s">
        <v>161</v>
      </c>
    </row>
    <row r="209" spans="1:34" hidden="1" x14ac:dyDescent="0.25">
      <c r="A209" s="4">
        <v>271</v>
      </c>
      <c r="B209" s="2" t="str">
        <f>HYPERLINK("https://my.zakupki.prom.ua/remote/dispatcher/state_purchase_view/24413293", "UA-2021-02-25-009147-a")</f>
        <v>UA-2021-02-25-009147-a</v>
      </c>
      <c r="C209" s="1" t="s">
        <v>490</v>
      </c>
      <c r="D209" s="1" t="s">
        <v>82</v>
      </c>
      <c r="E209" s="1" t="s">
        <v>552</v>
      </c>
      <c r="F209" s="1" t="s">
        <v>560</v>
      </c>
      <c r="G209" s="1" t="s">
        <v>290</v>
      </c>
      <c r="H209" s="1" t="s">
        <v>492</v>
      </c>
      <c r="I209" s="5">
        <v>44252</v>
      </c>
      <c r="J209" s="1" t="s">
        <v>840</v>
      </c>
      <c r="K209" s="4">
        <v>1</v>
      </c>
      <c r="L209" s="6">
        <v>1388.4</v>
      </c>
      <c r="M209" s="4">
        <v>17</v>
      </c>
      <c r="N209" s="6">
        <v>81.67</v>
      </c>
      <c r="O209" s="1" t="s">
        <v>871</v>
      </c>
      <c r="P209" s="1" t="s">
        <v>480</v>
      </c>
      <c r="Q209" s="1" t="s">
        <v>788</v>
      </c>
      <c r="R209" s="6">
        <v>1388.4</v>
      </c>
      <c r="S209" s="6">
        <v>81.670588235294119</v>
      </c>
      <c r="T209" s="1"/>
      <c r="U209" s="1"/>
      <c r="V209" s="1" t="s">
        <v>775</v>
      </c>
      <c r="W209" s="1" t="s">
        <v>234</v>
      </c>
      <c r="X209" s="2"/>
      <c r="Y209" s="1"/>
      <c r="Z209" s="1"/>
      <c r="AA209" s="1"/>
      <c r="AB209" s="1" t="s">
        <v>844</v>
      </c>
      <c r="AC209" s="7">
        <v>44252.72221705861</v>
      </c>
      <c r="AD209" s="1" t="s">
        <v>58</v>
      </c>
      <c r="AE209" s="6">
        <v>1388.4</v>
      </c>
      <c r="AF209" s="7">
        <v>44561</v>
      </c>
      <c r="AG209" s="1" t="s">
        <v>867</v>
      </c>
      <c r="AH209" s="1" t="s">
        <v>7</v>
      </c>
    </row>
    <row r="210" spans="1:34" hidden="1" x14ac:dyDescent="0.25">
      <c r="A210" s="4">
        <v>272</v>
      </c>
      <c r="B210" s="2" t="str">
        <f>HYPERLINK("https://my.zakupki.prom.ua/remote/dispatcher/state_purchase_view/25041105", "UA-2021-03-18-007667-a")</f>
        <v>UA-2021-03-18-007667-a</v>
      </c>
      <c r="C210" s="1" t="s">
        <v>687</v>
      </c>
      <c r="D210" s="1" t="s">
        <v>406</v>
      </c>
      <c r="E210" s="1" t="s">
        <v>552</v>
      </c>
      <c r="F210" s="1" t="s">
        <v>560</v>
      </c>
      <c r="G210" s="1" t="s">
        <v>290</v>
      </c>
      <c r="H210" s="1" t="s">
        <v>492</v>
      </c>
      <c r="I210" s="5">
        <v>44273</v>
      </c>
      <c r="J210" s="1" t="s">
        <v>840</v>
      </c>
      <c r="K210" s="4">
        <v>1</v>
      </c>
      <c r="L210" s="6">
        <v>1000</v>
      </c>
      <c r="M210" s="4">
        <v>1</v>
      </c>
      <c r="N210" s="6">
        <v>1000</v>
      </c>
      <c r="O210" s="1" t="s">
        <v>863</v>
      </c>
      <c r="P210" s="1" t="s">
        <v>480</v>
      </c>
      <c r="Q210" s="1" t="s">
        <v>613</v>
      </c>
      <c r="R210" s="6">
        <v>1000</v>
      </c>
      <c r="S210" s="6">
        <v>1000</v>
      </c>
      <c r="T210" s="1"/>
      <c r="U210" s="1"/>
      <c r="V210" s="1" t="s">
        <v>815</v>
      </c>
      <c r="W210" s="1" t="s">
        <v>253</v>
      </c>
      <c r="X210" s="2"/>
      <c r="Y210" s="1"/>
      <c r="Z210" s="1"/>
      <c r="AA210" s="1"/>
      <c r="AB210" s="1" t="s">
        <v>844</v>
      </c>
      <c r="AC210" s="7">
        <v>44273.693058312478</v>
      </c>
      <c r="AD210" s="1" t="s">
        <v>129</v>
      </c>
      <c r="AE210" s="6">
        <v>1000</v>
      </c>
      <c r="AF210" s="7">
        <v>44561</v>
      </c>
      <c r="AG210" s="1" t="s">
        <v>867</v>
      </c>
      <c r="AH210" s="1" t="s">
        <v>7</v>
      </c>
    </row>
    <row r="211" spans="1:34" hidden="1" x14ac:dyDescent="0.25">
      <c r="A211" s="4">
        <v>273</v>
      </c>
      <c r="B211" s="2" t="str">
        <f>HYPERLINK("https://my.zakupki.prom.ua/remote/dispatcher/state_purchase_view/24595341", "UA-2021-03-04-003651-c")</f>
        <v>UA-2021-03-04-003651-c</v>
      </c>
      <c r="C211" s="1" t="s">
        <v>682</v>
      </c>
      <c r="D211" s="1" t="s">
        <v>445</v>
      </c>
      <c r="E211" s="1" t="s">
        <v>552</v>
      </c>
      <c r="F211" s="1" t="s">
        <v>560</v>
      </c>
      <c r="G211" s="1" t="s">
        <v>290</v>
      </c>
      <c r="H211" s="1" t="s">
        <v>714</v>
      </c>
      <c r="I211" s="5">
        <v>44259</v>
      </c>
      <c r="J211" s="1" t="s">
        <v>840</v>
      </c>
      <c r="K211" s="4">
        <v>1</v>
      </c>
      <c r="L211" s="6">
        <v>3000</v>
      </c>
      <c r="M211" s="4">
        <v>1</v>
      </c>
      <c r="N211" s="6">
        <v>3000</v>
      </c>
      <c r="O211" s="1" t="s">
        <v>863</v>
      </c>
      <c r="P211" s="1" t="s">
        <v>480</v>
      </c>
      <c r="Q211" s="1" t="s">
        <v>788</v>
      </c>
      <c r="R211" s="6">
        <v>3000</v>
      </c>
      <c r="S211" s="6">
        <v>3000</v>
      </c>
      <c r="T211" s="1"/>
      <c r="U211" s="1"/>
      <c r="V211" s="1" t="s">
        <v>530</v>
      </c>
      <c r="W211" s="1" t="s">
        <v>153</v>
      </c>
      <c r="X211" s="2"/>
      <c r="Y211" s="1"/>
      <c r="Z211" s="1"/>
      <c r="AA211" s="1"/>
      <c r="AB211" s="1" t="s">
        <v>844</v>
      </c>
      <c r="AC211" s="7">
        <v>44259.471481047163</v>
      </c>
      <c r="AD211" s="1" t="s">
        <v>448</v>
      </c>
      <c r="AE211" s="6">
        <v>3000</v>
      </c>
      <c r="AF211" s="7">
        <v>44561</v>
      </c>
      <c r="AG211" s="1" t="s">
        <v>867</v>
      </c>
      <c r="AH211" s="1" t="s">
        <v>7</v>
      </c>
    </row>
    <row r="212" spans="1:34" hidden="1" x14ac:dyDescent="0.25">
      <c r="A212" s="4">
        <v>274</v>
      </c>
      <c r="B212" s="2" t="str">
        <f>HYPERLINK("https://my.zakupki.prom.ua/remote/dispatcher/state_purchase_view/25361065", "UA-2021-03-29-006714-b")</f>
        <v>UA-2021-03-29-006714-b</v>
      </c>
      <c r="C212" s="1" t="s">
        <v>702</v>
      </c>
      <c r="D212" s="1" t="s">
        <v>397</v>
      </c>
      <c r="E212" s="1" t="s">
        <v>543</v>
      </c>
      <c r="F212" s="1" t="s">
        <v>560</v>
      </c>
      <c r="G212" s="1" t="s">
        <v>290</v>
      </c>
      <c r="H212" s="1" t="s">
        <v>492</v>
      </c>
      <c r="I212" s="5">
        <v>44284</v>
      </c>
      <c r="J212" s="7">
        <v>44295.632893518516</v>
      </c>
      <c r="K212" s="4">
        <v>3</v>
      </c>
      <c r="L212" s="6">
        <v>6400</v>
      </c>
      <c r="M212" s="1" t="s">
        <v>849</v>
      </c>
      <c r="N212" s="1" t="s">
        <v>849</v>
      </c>
      <c r="O212" s="1" t="s">
        <v>849</v>
      </c>
      <c r="P212" s="1" t="s">
        <v>480</v>
      </c>
      <c r="Q212" s="1" t="s">
        <v>788</v>
      </c>
      <c r="R212" s="6">
        <v>3099</v>
      </c>
      <c r="S212" s="1" t="s">
        <v>849</v>
      </c>
      <c r="T212" s="6">
        <v>3301</v>
      </c>
      <c r="U212" s="6">
        <v>0.51578124999999997</v>
      </c>
      <c r="V212" s="1" t="s">
        <v>558</v>
      </c>
      <c r="W212" s="1" t="s">
        <v>167</v>
      </c>
      <c r="X212" s="2" t="str">
        <f>HYPERLINK("https://auction.openprocurement.org/tenders/2c8c19512bc34bbdbc93af41c83cbd97")</f>
        <v>https://auction.openprocurement.org/tenders/2c8c19512bc34bbdbc93af41c83cbd97</v>
      </c>
      <c r="Y212" s="7">
        <v>44300.690366594587</v>
      </c>
      <c r="Z212" s="5">
        <v>44303</v>
      </c>
      <c r="AA212" s="5">
        <v>44318</v>
      </c>
      <c r="AB212" s="1" t="s">
        <v>844</v>
      </c>
      <c r="AC212" s="7">
        <v>44314.716838277986</v>
      </c>
      <c r="AD212" s="1" t="s">
        <v>175</v>
      </c>
      <c r="AE212" s="6">
        <v>3099</v>
      </c>
      <c r="AF212" s="7">
        <v>44561</v>
      </c>
      <c r="AG212" s="1" t="s">
        <v>867</v>
      </c>
      <c r="AH212" s="1" t="s">
        <v>168</v>
      </c>
    </row>
    <row r="213" spans="1:34" hidden="1" x14ac:dyDescent="0.25">
      <c r="A213" s="4">
        <v>275</v>
      </c>
      <c r="B213" s="2" t="str">
        <f>HYPERLINK("https://my.zakupki.prom.ua/remote/dispatcher/state_purchase_view/26187335", "UA-2021-04-27-005211-a")</f>
        <v>UA-2021-04-27-005211-a</v>
      </c>
      <c r="C213" s="1" t="s">
        <v>657</v>
      </c>
      <c r="D213" s="1" t="s">
        <v>413</v>
      </c>
      <c r="E213" s="1" t="s">
        <v>552</v>
      </c>
      <c r="F213" s="1" t="s">
        <v>560</v>
      </c>
      <c r="G213" s="1" t="s">
        <v>290</v>
      </c>
      <c r="H213" s="1" t="s">
        <v>492</v>
      </c>
      <c r="I213" s="5">
        <v>44313</v>
      </c>
      <c r="J213" s="1" t="s">
        <v>840</v>
      </c>
      <c r="K213" s="4">
        <v>1</v>
      </c>
      <c r="L213" s="6">
        <v>19450</v>
      </c>
      <c r="M213" s="4">
        <v>5</v>
      </c>
      <c r="N213" s="6">
        <v>3890</v>
      </c>
      <c r="O213" s="1" t="s">
        <v>863</v>
      </c>
      <c r="P213" s="1" t="s">
        <v>480</v>
      </c>
      <c r="Q213" s="1" t="s">
        <v>613</v>
      </c>
      <c r="R213" s="6">
        <v>19450</v>
      </c>
      <c r="S213" s="6">
        <v>3890</v>
      </c>
      <c r="T213" s="1"/>
      <c r="U213" s="1"/>
      <c r="V213" s="1" t="s">
        <v>559</v>
      </c>
      <c r="W213" s="1" t="s">
        <v>249</v>
      </c>
      <c r="X213" s="2"/>
      <c r="Y213" s="1"/>
      <c r="Z213" s="1"/>
      <c r="AA213" s="1"/>
      <c r="AB213" s="1" t="s">
        <v>844</v>
      </c>
      <c r="AC213" s="7">
        <v>44313.579024435268</v>
      </c>
      <c r="AD213" s="1" t="s">
        <v>60</v>
      </c>
      <c r="AE213" s="6">
        <v>19450</v>
      </c>
      <c r="AF213" s="7">
        <v>44561</v>
      </c>
      <c r="AG213" s="1" t="s">
        <v>867</v>
      </c>
      <c r="AH213" s="1" t="s">
        <v>7</v>
      </c>
    </row>
    <row r="214" spans="1:34" hidden="1" x14ac:dyDescent="0.25">
      <c r="A214" s="4">
        <v>276</v>
      </c>
      <c r="B214" s="2" t="str">
        <f>HYPERLINK("https://my.zakupki.prom.ua/remote/dispatcher/state_purchase_view/25705812", "UA-2021-04-09-008517-a")</f>
        <v>UA-2021-04-09-008517-a</v>
      </c>
      <c r="C214" s="1" t="s">
        <v>796</v>
      </c>
      <c r="D214" s="1" t="s">
        <v>385</v>
      </c>
      <c r="E214" s="1" t="s">
        <v>552</v>
      </c>
      <c r="F214" s="1" t="s">
        <v>560</v>
      </c>
      <c r="G214" s="1" t="s">
        <v>290</v>
      </c>
      <c r="H214" s="1" t="s">
        <v>492</v>
      </c>
      <c r="I214" s="5">
        <v>44295</v>
      </c>
      <c r="J214" s="1" t="s">
        <v>840</v>
      </c>
      <c r="K214" s="4">
        <v>1</v>
      </c>
      <c r="L214" s="6">
        <v>178.32</v>
      </c>
      <c r="M214" s="1" t="s">
        <v>849</v>
      </c>
      <c r="N214" s="1" t="s">
        <v>849</v>
      </c>
      <c r="O214" s="1" t="s">
        <v>849</v>
      </c>
      <c r="P214" s="1" t="s">
        <v>480</v>
      </c>
      <c r="Q214" s="1" t="s">
        <v>788</v>
      </c>
      <c r="R214" s="6">
        <v>178.32</v>
      </c>
      <c r="S214" s="1" t="s">
        <v>849</v>
      </c>
      <c r="T214" s="1"/>
      <c r="U214" s="1"/>
      <c r="V214" s="1" t="s">
        <v>775</v>
      </c>
      <c r="W214" s="1" t="s">
        <v>234</v>
      </c>
      <c r="X214" s="2"/>
      <c r="Y214" s="1"/>
      <c r="Z214" s="1"/>
      <c r="AA214" s="1"/>
      <c r="AB214" s="1" t="s">
        <v>844</v>
      </c>
      <c r="AC214" s="7">
        <v>44295.885656077618</v>
      </c>
      <c r="AD214" s="1" t="s">
        <v>104</v>
      </c>
      <c r="AE214" s="6">
        <v>178.32</v>
      </c>
      <c r="AF214" s="7">
        <v>44316</v>
      </c>
      <c r="AG214" s="1" t="s">
        <v>867</v>
      </c>
      <c r="AH214" s="1" t="s">
        <v>7</v>
      </c>
    </row>
    <row r="215" spans="1:34" hidden="1" x14ac:dyDescent="0.25">
      <c r="A215" s="4">
        <v>277</v>
      </c>
      <c r="B215" s="2" t="str">
        <f>HYPERLINK("https://my.zakupki.prom.ua/remote/dispatcher/state_purchase_view/25360508", "UA-2021-03-29-006554-b")</f>
        <v>UA-2021-03-29-006554-b</v>
      </c>
      <c r="C215" s="1" t="s">
        <v>547</v>
      </c>
      <c r="D215" s="1" t="s">
        <v>396</v>
      </c>
      <c r="E215" s="1" t="s">
        <v>543</v>
      </c>
      <c r="F215" s="1" t="s">
        <v>560</v>
      </c>
      <c r="G215" s="1" t="s">
        <v>290</v>
      </c>
      <c r="H215" s="1" t="s">
        <v>492</v>
      </c>
      <c r="I215" s="5">
        <v>44284</v>
      </c>
      <c r="J215" s="7">
        <v>44295.619328703702</v>
      </c>
      <c r="K215" s="4">
        <v>5</v>
      </c>
      <c r="L215" s="6">
        <v>39000</v>
      </c>
      <c r="M215" s="1" t="s">
        <v>849</v>
      </c>
      <c r="N215" s="1" t="s">
        <v>849</v>
      </c>
      <c r="O215" s="1" t="s">
        <v>849</v>
      </c>
      <c r="P215" s="1" t="s">
        <v>480</v>
      </c>
      <c r="Q215" s="1" t="s">
        <v>788</v>
      </c>
      <c r="R215" s="6">
        <v>20000</v>
      </c>
      <c r="S215" s="1" t="s">
        <v>849</v>
      </c>
      <c r="T215" s="6">
        <v>19000</v>
      </c>
      <c r="U215" s="6">
        <v>0.48717948717948717</v>
      </c>
      <c r="V215" s="1" t="s">
        <v>744</v>
      </c>
      <c r="W215" s="1" t="s">
        <v>234</v>
      </c>
      <c r="X215" s="2" t="str">
        <f>HYPERLINK("https://auction.openprocurement.org/tenders/fa4f97ac8ace467fa606b1a86f04d267")</f>
        <v>https://auction.openprocurement.org/tenders/fa4f97ac8ace467fa606b1a86f04d267</v>
      </c>
      <c r="Y215" s="7">
        <v>44301.846450688776</v>
      </c>
      <c r="Z215" s="5">
        <v>44306</v>
      </c>
      <c r="AA215" s="5">
        <v>44318</v>
      </c>
      <c r="AB215" s="1" t="s">
        <v>844</v>
      </c>
      <c r="AC215" s="7">
        <v>44309.454159887558</v>
      </c>
      <c r="AD215" s="1" t="s">
        <v>137</v>
      </c>
      <c r="AE215" s="6">
        <v>31517.46</v>
      </c>
      <c r="AF215" s="7">
        <v>44561</v>
      </c>
      <c r="AG215" s="1" t="s">
        <v>867</v>
      </c>
      <c r="AH215" s="1" t="s">
        <v>274</v>
      </c>
    </row>
    <row r="216" spans="1:34" hidden="1" x14ac:dyDescent="0.25">
      <c r="A216" s="4">
        <v>280</v>
      </c>
      <c r="B216" s="2" t="str">
        <f>HYPERLINK("https://my.zakupki.prom.ua/remote/dispatcher/state_purchase_view/26298319", "UA-2021-05-04-000143-c")</f>
        <v>UA-2021-05-04-000143-c</v>
      </c>
      <c r="C216" s="1" t="s">
        <v>609</v>
      </c>
      <c r="D216" s="1" t="s">
        <v>20</v>
      </c>
      <c r="E216" s="1" t="s">
        <v>543</v>
      </c>
      <c r="F216" s="1" t="s">
        <v>560</v>
      </c>
      <c r="G216" s="1" t="s">
        <v>290</v>
      </c>
      <c r="H216" s="1" t="s">
        <v>492</v>
      </c>
      <c r="I216" s="5">
        <v>44320</v>
      </c>
      <c r="J216" s="7">
        <v>44330.625821759262</v>
      </c>
      <c r="K216" s="4">
        <v>0</v>
      </c>
      <c r="L216" s="6">
        <v>12500</v>
      </c>
      <c r="M216" s="4">
        <v>100</v>
      </c>
      <c r="N216" s="6">
        <v>125</v>
      </c>
      <c r="O216" s="1" t="s">
        <v>848</v>
      </c>
      <c r="P216" s="1" t="s">
        <v>480</v>
      </c>
      <c r="Q216" s="1" t="s">
        <v>788</v>
      </c>
      <c r="R216" s="1"/>
      <c r="S216" s="1"/>
      <c r="T216" s="1"/>
      <c r="U216" s="1"/>
      <c r="V216" s="1"/>
      <c r="W216" s="1"/>
      <c r="X216" s="2"/>
      <c r="Y216" s="1"/>
      <c r="Z216" s="1"/>
      <c r="AA216" s="1"/>
      <c r="AB216" s="1" t="s">
        <v>865</v>
      </c>
      <c r="AC216" s="1"/>
      <c r="AD216" s="1"/>
      <c r="AE216" s="1"/>
      <c r="AF216" s="1"/>
      <c r="AG216" s="1"/>
      <c r="AH216" s="1"/>
    </row>
    <row r="217" spans="1:34" hidden="1" x14ac:dyDescent="0.25">
      <c r="A217" s="4">
        <v>281</v>
      </c>
      <c r="B217" s="2" t="str">
        <f>HYPERLINK("https://my.zakupki.prom.ua/remote/dispatcher/state_purchase_view/26125064", "UA-2021-04-25-000246-a")</f>
        <v>UA-2021-04-25-000246-a</v>
      </c>
      <c r="C217" s="1" t="s">
        <v>677</v>
      </c>
      <c r="D217" s="1" t="s">
        <v>449</v>
      </c>
      <c r="E217" s="1" t="s">
        <v>515</v>
      </c>
      <c r="F217" s="1" t="s">
        <v>560</v>
      </c>
      <c r="G217" s="1" t="s">
        <v>290</v>
      </c>
      <c r="H217" s="1" t="s">
        <v>492</v>
      </c>
      <c r="I217" s="5">
        <v>44311</v>
      </c>
      <c r="J217" s="7">
        <v>44328.579976851855</v>
      </c>
      <c r="K217" s="4">
        <v>2</v>
      </c>
      <c r="L217" s="6">
        <v>259356.82</v>
      </c>
      <c r="M217" s="4">
        <v>1</v>
      </c>
      <c r="N217" s="6">
        <v>259356.82</v>
      </c>
      <c r="O217" s="1" t="s">
        <v>863</v>
      </c>
      <c r="P217" s="1" t="s">
        <v>480</v>
      </c>
      <c r="Q217" s="1" t="s">
        <v>788</v>
      </c>
      <c r="R217" s="6">
        <v>257859.49</v>
      </c>
      <c r="S217" s="6">
        <v>257859.49</v>
      </c>
      <c r="T217" s="6">
        <v>1497.3300000000163</v>
      </c>
      <c r="U217" s="6">
        <v>5.7732432098759395E-3</v>
      </c>
      <c r="V217" s="1"/>
      <c r="W217" s="1"/>
      <c r="X217" s="2" t="str">
        <f>HYPERLINK("https://auction.openprocurement.org/tenders/bbef3f013d0c4d7f8545746c48fac1dd")</f>
        <v>https://auction.openprocurement.org/tenders/bbef3f013d0c4d7f8545746c48fac1dd</v>
      </c>
      <c r="Y217" s="1"/>
      <c r="Z217" s="1"/>
      <c r="AA217" s="1"/>
      <c r="AB217" s="1" t="s">
        <v>845</v>
      </c>
      <c r="AC217" s="1"/>
      <c r="AD217" s="1"/>
      <c r="AE217" s="1"/>
      <c r="AF217" s="1"/>
      <c r="AG217" s="1"/>
      <c r="AH217" s="1" t="s">
        <v>242</v>
      </c>
    </row>
    <row r="218" spans="1:34" x14ac:dyDescent="0.25">
      <c r="A218" s="4">
        <v>282</v>
      </c>
      <c r="B218" s="2" t="str">
        <f>HYPERLINK("https://my.zakupki.prom.ua/remote/dispatcher/state_purchase_view/12695941", "UA-2019-09-02-000605-a")</f>
        <v>UA-2019-09-02-000605-a</v>
      </c>
      <c r="C218" s="1" t="s">
        <v>665</v>
      </c>
      <c r="D218" s="1" t="s">
        <v>470</v>
      </c>
      <c r="E218" s="1" t="s">
        <v>552</v>
      </c>
      <c r="F218" s="1" t="s">
        <v>560</v>
      </c>
      <c r="G218" s="1" t="s">
        <v>290</v>
      </c>
      <c r="H218" s="1" t="s">
        <v>715</v>
      </c>
      <c r="I218" s="5">
        <v>43710</v>
      </c>
      <c r="J218" s="1" t="s">
        <v>840</v>
      </c>
      <c r="K218" s="4">
        <v>1</v>
      </c>
      <c r="L218" s="6">
        <v>48200</v>
      </c>
      <c r="M218" s="4">
        <v>1</v>
      </c>
      <c r="N218" s="6">
        <v>48200</v>
      </c>
      <c r="O218" s="1" t="s">
        <v>863</v>
      </c>
      <c r="P218" s="1" t="s">
        <v>480</v>
      </c>
      <c r="Q218" s="1" t="s">
        <v>613</v>
      </c>
      <c r="R218" s="6">
        <v>48200</v>
      </c>
      <c r="S218" s="6">
        <v>48200</v>
      </c>
      <c r="T218" s="1"/>
      <c r="U218" s="1"/>
      <c r="V218" s="1" t="s">
        <v>772</v>
      </c>
      <c r="W218" s="1" t="s">
        <v>372</v>
      </c>
      <c r="X218" s="2"/>
      <c r="Y218" s="1"/>
      <c r="Z218" s="1"/>
      <c r="AA218" s="1"/>
      <c r="AB218" s="1" t="s">
        <v>844</v>
      </c>
      <c r="AC218" s="7">
        <v>43710.523917734674</v>
      </c>
      <c r="AD218" s="1" t="s">
        <v>331</v>
      </c>
      <c r="AE218" s="6">
        <v>48200</v>
      </c>
      <c r="AF218" s="7">
        <v>43830</v>
      </c>
      <c r="AG218" s="1" t="s">
        <v>867</v>
      </c>
      <c r="AH218" s="1" t="s">
        <v>7</v>
      </c>
    </row>
    <row r="219" spans="1:34" x14ac:dyDescent="0.25">
      <c r="A219" s="4">
        <v>283</v>
      </c>
      <c r="B219" s="2" t="str">
        <f>HYPERLINK("https://my.zakupki.prom.ua/remote/dispatcher/state_purchase_view/12426960", "UA-2019-08-02-002964-b")</f>
        <v>UA-2019-08-02-002964-b</v>
      </c>
      <c r="C219" s="1" t="s">
        <v>659</v>
      </c>
      <c r="D219" s="1" t="s">
        <v>434</v>
      </c>
      <c r="E219" s="1" t="s">
        <v>552</v>
      </c>
      <c r="F219" s="1" t="s">
        <v>560</v>
      </c>
      <c r="G219" s="1" t="s">
        <v>290</v>
      </c>
      <c r="H219" s="1" t="s">
        <v>715</v>
      </c>
      <c r="I219" s="5">
        <v>43679</v>
      </c>
      <c r="J219" s="1" t="s">
        <v>840</v>
      </c>
      <c r="K219" s="4">
        <v>1</v>
      </c>
      <c r="L219" s="6">
        <v>78500</v>
      </c>
      <c r="M219" s="4">
        <v>1</v>
      </c>
      <c r="N219" s="6">
        <v>78500</v>
      </c>
      <c r="O219" s="1" t="s">
        <v>863</v>
      </c>
      <c r="P219" s="1" t="s">
        <v>480</v>
      </c>
      <c r="Q219" s="1" t="s">
        <v>613</v>
      </c>
      <c r="R219" s="6">
        <v>78500</v>
      </c>
      <c r="S219" s="6">
        <v>78500</v>
      </c>
      <c r="T219" s="1"/>
      <c r="U219" s="1"/>
      <c r="V219" s="1" t="s">
        <v>776</v>
      </c>
      <c r="W219" s="1" t="s">
        <v>356</v>
      </c>
      <c r="X219" s="2"/>
      <c r="Y219" s="1"/>
      <c r="Z219" s="1"/>
      <c r="AA219" s="1"/>
      <c r="AB219" s="1" t="s">
        <v>844</v>
      </c>
      <c r="AC219" s="7">
        <v>43679.75452240985</v>
      </c>
      <c r="AD219" s="1" t="s">
        <v>14</v>
      </c>
      <c r="AE219" s="6">
        <v>78500</v>
      </c>
      <c r="AF219" s="7">
        <v>43830</v>
      </c>
      <c r="AG219" s="1" t="s">
        <v>867</v>
      </c>
      <c r="AH219" s="1" t="s">
        <v>7</v>
      </c>
    </row>
    <row r="220" spans="1:34" x14ac:dyDescent="0.25">
      <c r="A220" s="4">
        <v>284</v>
      </c>
      <c r="B220" s="2" t="str">
        <f>HYPERLINK("https://my.zakupki.prom.ua/remote/dispatcher/state_purchase_view/13489074", "UA-2019-11-08-001360-b")</f>
        <v>UA-2019-11-08-001360-b</v>
      </c>
      <c r="C220" s="1" t="s">
        <v>607</v>
      </c>
      <c r="D220" s="1" t="s">
        <v>440</v>
      </c>
      <c r="E220" s="1" t="s">
        <v>552</v>
      </c>
      <c r="F220" s="1" t="s">
        <v>560</v>
      </c>
      <c r="G220" s="1" t="s">
        <v>290</v>
      </c>
      <c r="H220" s="1" t="s">
        <v>715</v>
      </c>
      <c r="I220" s="5">
        <v>43777</v>
      </c>
      <c r="J220" s="1" t="s">
        <v>840</v>
      </c>
      <c r="K220" s="4">
        <v>1</v>
      </c>
      <c r="L220" s="6">
        <v>34000</v>
      </c>
      <c r="M220" s="4">
        <v>1</v>
      </c>
      <c r="N220" s="6">
        <v>34000</v>
      </c>
      <c r="O220" s="1" t="s">
        <v>863</v>
      </c>
      <c r="P220" s="1" t="s">
        <v>480</v>
      </c>
      <c r="Q220" s="1" t="s">
        <v>788</v>
      </c>
      <c r="R220" s="6">
        <v>34000</v>
      </c>
      <c r="S220" s="6">
        <v>34000</v>
      </c>
      <c r="T220" s="1"/>
      <c r="U220" s="1"/>
      <c r="V220" s="1" t="s">
        <v>784</v>
      </c>
      <c r="W220" s="1" t="s">
        <v>260</v>
      </c>
      <c r="X220" s="2"/>
      <c r="Y220" s="1"/>
      <c r="Z220" s="1"/>
      <c r="AA220" s="1"/>
      <c r="AB220" s="1" t="s">
        <v>844</v>
      </c>
      <c r="AC220" s="7">
        <v>43777.503806968307</v>
      </c>
      <c r="AD220" s="1" t="s">
        <v>106</v>
      </c>
      <c r="AE220" s="6">
        <v>34000</v>
      </c>
      <c r="AF220" s="7">
        <v>43830</v>
      </c>
      <c r="AG220" s="1" t="s">
        <v>867</v>
      </c>
      <c r="AH220" s="1" t="s">
        <v>7</v>
      </c>
    </row>
    <row r="221" spans="1:34" x14ac:dyDescent="0.25">
      <c r="A221" s="4">
        <v>285</v>
      </c>
      <c r="B221" s="2" t="str">
        <f>HYPERLINK("https://my.zakupki.prom.ua/remote/dispatcher/state_purchase_view/12823993", "UA-2019-09-12-001194-b")</f>
        <v>UA-2019-09-12-001194-b</v>
      </c>
      <c r="C221" s="1" t="s">
        <v>663</v>
      </c>
      <c r="D221" s="1" t="s">
        <v>473</v>
      </c>
      <c r="E221" s="1" t="s">
        <v>552</v>
      </c>
      <c r="F221" s="1" t="s">
        <v>560</v>
      </c>
      <c r="G221" s="1" t="s">
        <v>290</v>
      </c>
      <c r="H221" s="1" t="s">
        <v>715</v>
      </c>
      <c r="I221" s="5">
        <v>43720</v>
      </c>
      <c r="J221" s="1" t="s">
        <v>840</v>
      </c>
      <c r="K221" s="4">
        <v>1</v>
      </c>
      <c r="L221" s="6">
        <v>12240</v>
      </c>
      <c r="M221" s="4">
        <v>1</v>
      </c>
      <c r="N221" s="6">
        <v>12240</v>
      </c>
      <c r="O221" s="1" t="s">
        <v>863</v>
      </c>
      <c r="P221" s="1" t="s">
        <v>480</v>
      </c>
      <c r="Q221" s="1" t="s">
        <v>613</v>
      </c>
      <c r="R221" s="6">
        <v>12240</v>
      </c>
      <c r="S221" s="6">
        <v>12240</v>
      </c>
      <c r="T221" s="1"/>
      <c r="U221" s="1"/>
      <c r="V221" s="1" t="s">
        <v>567</v>
      </c>
      <c r="W221" s="1" t="s">
        <v>249</v>
      </c>
      <c r="X221" s="2"/>
      <c r="Y221" s="1"/>
      <c r="Z221" s="1"/>
      <c r="AA221" s="1"/>
      <c r="AB221" s="1" t="s">
        <v>844</v>
      </c>
      <c r="AC221" s="7">
        <v>43720.580416396144</v>
      </c>
      <c r="AD221" s="1" t="s">
        <v>138</v>
      </c>
      <c r="AE221" s="6">
        <v>12240</v>
      </c>
      <c r="AF221" s="7">
        <v>43830</v>
      </c>
      <c r="AG221" s="1" t="s">
        <v>867</v>
      </c>
      <c r="AH221" s="1" t="s">
        <v>7</v>
      </c>
    </row>
    <row r="222" spans="1:34" x14ac:dyDescent="0.25">
      <c r="A222" s="4">
        <v>289</v>
      </c>
      <c r="B222" s="2" t="str">
        <f>HYPERLINK("https://my.zakupki.prom.ua/remote/dispatcher/state_purchase_view/13264279", "UA-2019-10-22-002191-b")</f>
        <v>UA-2019-10-22-002191-b</v>
      </c>
      <c r="C222" s="1" t="s">
        <v>568</v>
      </c>
      <c r="D222" s="1" t="s">
        <v>200</v>
      </c>
      <c r="E222" s="1" t="s">
        <v>543</v>
      </c>
      <c r="F222" s="1" t="s">
        <v>560</v>
      </c>
      <c r="G222" s="1" t="s">
        <v>290</v>
      </c>
      <c r="H222" s="1" t="s">
        <v>715</v>
      </c>
      <c r="I222" s="5">
        <v>43760</v>
      </c>
      <c r="J222" s="7">
        <v>43769.614571759259</v>
      </c>
      <c r="K222" s="4">
        <v>4</v>
      </c>
      <c r="L222" s="6">
        <v>78000</v>
      </c>
      <c r="M222" s="4">
        <v>1</v>
      </c>
      <c r="N222" s="6">
        <v>78000</v>
      </c>
      <c r="O222" s="1" t="s">
        <v>850</v>
      </c>
      <c r="P222" s="1" t="s">
        <v>480</v>
      </c>
      <c r="Q222" s="1" t="s">
        <v>788</v>
      </c>
      <c r="R222" s="6">
        <v>62122.2</v>
      </c>
      <c r="S222" s="6">
        <v>62122.2</v>
      </c>
      <c r="T222" s="6">
        <v>15877.800000000003</v>
      </c>
      <c r="U222" s="6">
        <v>0.20356153846153849</v>
      </c>
      <c r="V222" s="1" t="s">
        <v>738</v>
      </c>
      <c r="W222" s="1" t="s">
        <v>343</v>
      </c>
      <c r="X222" s="2" t="str">
        <f>HYPERLINK("https://auction.openprocurement.org/tenders/fa9da7adad4b40d09faaf2559c5b346d")</f>
        <v>https://auction.openprocurement.org/tenders/fa9da7adad4b40d09faaf2559c5b346d</v>
      </c>
      <c r="Y222" s="7">
        <v>43773.517535922838</v>
      </c>
      <c r="Z222" s="5">
        <v>43775</v>
      </c>
      <c r="AA222" s="5">
        <v>43793</v>
      </c>
      <c r="AB222" s="1" t="s">
        <v>844</v>
      </c>
      <c r="AC222" s="7">
        <v>43780.526306849919</v>
      </c>
      <c r="AD222" s="1" t="s">
        <v>125</v>
      </c>
      <c r="AE222" s="6">
        <v>62122.2</v>
      </c>
      <c r="AF222" s="7">
        <v>43830</v>
      </c>
      <c r="AG222" s="1" t="s">
        <v>867</v>
      </c>
      <c r="AH222" s="1" t="s">
        <v>344</v>
      </c>
    </row>
    <row r="223" spans="1:34" hidden="1" x14ac:dyDescent="0.25">
      <c r="A223" s="4">
        <v>290</v>
      </c>
      <c r="B223" s="2" t="str">
        <f>HYPERLINK("https://my.zakupki.prom.ua/remote/dispatcher/state_purchase_view/19301905", "UA-2020-09-15-010447-a")</f>
        <v>UA-2020-09-15-010447-a</v>
      </c>
      <c r="C223" s="1" t="s">
        <v>690</v>
      </c>
      <c r="D223" s="1" t="s">
        <v>286</v>
      </c>
      <c r="E223" s="1" t="s">
        <v>515</v>
      </c>
      <c r="F223" s="1" t="s">
        <v>560</v>
      </c>
      <c r="G223" s="1" t="s">
        <v>290</v>
      </c>
      <c r="H223" s="1" t="s">
        <v>714</v>
      </c>
      <c r="I223" s="5">
        <v>44089</v>
      </c>
      <c r="J223" s="7">
        <v>44105.631863425922</v>
      </c>
      <c r="K223" s="4">
        <v>2</v>
      </c>
      <c r="L223" s="6">
        <v>600000</v>
      </c>
      <c r="M223" s="4">
        <v>1</v>
      </c>
      <c r="N223" s="6">
        <v>600000</v>
      </c>
      <c r="O223" s="1" t="s">
        <v>846</v>
      </c>
      <c r="P223" s="1" t="s">
        <v>480</v>
      </c>
      <c r="Q223" s="1" t="s">
        <v>788</v>
      </c>
      <c r="R223" s="6">
        <v>592492.63</v>
      </c>
      <c r="S223" s="6">
        <v>592492.63</v>
      </c>
      <c r="T223" s="6">
        <v>7507.3699999999953</v>
      </c>
      <c r="U223" s="6">
        <v>1.2512283333333325E-2</v>
      </c>
      <c r="V223" s="1" t="s">
        <v>794</v>
      </c>
      <c r="W223" s="1" t="s">
        <v>225</v>
      </c>
      <c r="X223" s="2" t="str">
        <f>HYPERLINK("https://auction.openprocurement.org/tenders/a7a1364a22294dd692086b9634933252")</f>
        <v>https://auction.openprocurement.org/tenders/a7a1364a22294dd692086b9634933252</v>
      </c>
      <c r="Y223" s="7">
        <v>44105.794083213448</v>
      </c>
      <c r="Z223" s="5">
        <v>44116</v>
      </c>
      <c r="AA223" s="5">
        <v>44126</v>
      </c>
      <c r="AB223" s="1" t="s">
        <v>844</v>
      </c>
      <c r="AC223" s="7">
        <v>44120.55414858531</v>
      </c>
      <c r="AD223" s="1" t="s">
        <v>75</v>
      </c>
      <c r="AE223" s="6">
        <v>592492.63</v>
      </c>
      <c r="AF223" s="7">
        <v>44196</v>
      </c>
      <c r="AG223" s="1" t="s">
        <v>867</v>
      </c>
      <c r="AH223" s="1" t="s">
        <v>226</v>
      </c>
    </row>
    <row r="224" spans="1:34" hidden="1" x14ac:dyDescent="0.25">
      <c r="A224" s="4">
        <v>291</v>
      </c>
      <c r="B224" s="2" t="str">
        <f>HYPERLINK("https://my.zakupki.prom.ua/remote/dispatcher/state_purchase_view/18074384", "UA-2020-07-23-004892-b")</f>
        <v>UA-2020-07-23-004892-b</v>
      </c>
      <c r="C224" s="1" t="s">
        <v>646</v>
      </c>
      <c r="D224" s="1" t="s">
        <v>444</v>
      </c>
      <c r="E224" s="1" t="s">
        <v>552</v>
      </c>
      <c r="F224" s="1" t="s">
        <v>560</v>
      </c>
      <c r="G224" s="1" t="s">
        <v>290</v>
      </c>
      <c r="H224" s="1" t="s">
        <v>714</v>
      </c>
      <c r="I224" s="5">
        <v>44035</v>
      </c>
      <c r="J224" s="1" t="s">
        <v>840</v>
      </c>
      <c r="K224" s="4">
        <v>1</v>
      </c>
      <c r="L224" s="6">
        <v>92</v>
      </c>
      <c r="M224" s="4">
        <v>1</v>
      </c>
      <c r="N224" s="6">
        <v>92</v>
      </c>
      <c r="O224" s="1" t="s">
        <v>863</v>
      </c>
      <c r="P224" s="1" t="s">
        <v>480</v>
      </c>
      <c r="Q224" s="1" t="s">
        <v>788</v>
      </c>
      <c r="R224" s="6">
        <v>92</v>
      </c>
      <c r="S224" s="6">
        <v>92</v>
      </c>
      <c r="T224" s="1"/>
      <c r="U224" s="1"/>
      <c r="V224" s="1" t="s">
        <v>785</v>
      </c>
      <c r="W224" s="1" t="s">
        <v>280</v>
      </c>
      <c r="X224" s="2"/>
      <c r="Y224" s="1"/>
      <c r="Z224" s="1"/>
      <c r="AA224" s="1"/>
      <c r="AB224" s="1" t="s">
        <v>844</v>
      </c>
      <c r="AC224" s="7">
        <v>44035.588985642455</v>
      </c>
      <c r="AD224" s="1" t="s">
        <v>290</v>
      </c>
      <c r="AE224" s="6">
        <v>92</v>
      </c>
      <c r="AF224" s="7">
        <v>44196</v>
      </c>
      <c r="AG224" s="1" t="s">
        <v>867</v>
      </c>
      <c r="AH224" s="1" t="s">
        <v>7</v>
      </c>
    </row>
    <row r="225" spans="1:34" hidden="1" x14ac:dyDescent="0.25">
      <c r="A225" s="4">
        <v>292</v>
      </c>
      <c r="B225" s="2" t="str">
        <f>HYPERLINK("https://my.zakupki.prom.ua/remote/dispatcher/state_purchase_view/22892778", "UA-2021-01-11-000288-b")</f>
        <v>UA-2021-01-11-000288-b</v>
      </c>
      <c r="C225" s="1" t="s">
        <v>789</v>
      </c>
      <c r="D225" s="1" t="s">
        <v>410</v>
      </c>
      <c r="E225" s="1" t="s">
        <v>552</v>
      </c>
      <c r="F225" s="1" t="s">
        <v>560</v>
      </c>
      <c r="G225" s="1" t="s">
        <v>290</v>
      </c>
      <c r="H225" s="1" t="s">
        <v>714</v>
      </c>
      <c r="I225" s="5">
        <v>44207</v>
      </c>
      <c r="J225" s="1" t="s">
        <v>840</v>
      </c>
      <c r="K225" s="4">
        <v>1</v>
      </c>
      <c r="L225" s="6">
        <v>2900</v>
      </c>
      <c r="M225" s="4">
        <v>1</v>
      </c>
      <c r="N225" s="6">
        <v>2900</v>
      </c>
      <c r="O225" s="1" t="s">
        <v>863</v>
      </c>
      <c r="P225" s="1" t="s">
        <v>480</v>
      </c>
      <c r="Q225" s="1" t="s">
        <v>613</v>
      </c>
      <c r="R225" s="6">
        <v>2900</v>
      </c>
      <c r="S225" s="6">
        <v>2900</v>
      </c>
      <c r="T225" s="1"/>
      <c r="U225" s="1"/>
      <c r="V225" s="1" t="s">
        <v>590</v>
      </c>
      <c r="W225" s="1" t="s">
        <v>100</v>
      </c>
      <c r="X225" s="2"/>
      <c r="Y225" s="1"/>
      <c r="Z225" s="1"/>
      <c r="AA225" s="1"/>
      <c r="AB225" s="1" t="s">
        <v>844</v>
      </c>
      <c r="AC225" s="7">
        <v>44207.418832057156</v>
      </c>
      <c r="AD225" s="1" t="s">
        <v>36</v>
      </c>
      <c r="AE225" s="6">
        <v>2900</v>
      </c>
      <c r="AF225" s="7">
        <v>44561</v>
      </c>
      <c r="AG225" s="1" t="s">
        <v>867</v>
      </c>
      <c r="AH225" s="1" t="s">
        <v>7</v>
      </c>
    </row>
    <row r="226" spans="1:34" hidden="1" x14ac:dyDescent="0.25">
      <c r="A226" s="4">
        <v>293</v>
      </c>
      <c r="B226" s="2" t="str">
        <f>HYPERLINK("https://my.zakupki.prom.ua/remote/dispatcher/state_purchase_view/15954132", "UA-2020-03-25-001494-b")</f>
        <v>UA-2020-03-25-001494-b</v>
      </c>
      <c r="C226" s="1" t="s">
        <v>674</v>
      </c>
      <c r="D226" s="1" t="s">
        <v>440</v>
      </c>
      <c r="E226" s="1" t="s">
        <v>552</v>
      </c>
      <c r="F226" s="1" t="s">
        <v>560</v>
      </c>
      <c r="G226" s="1" t="s">
        <v>290</v>
      </c>
      <c r="H226" s="1" t="s">
        <v>715</v>
      </c>
      <c r="I226" s="5">
        <v>43915</v>
      </c>
      <c r="J226" s="1" t="s">
        <v>840</v>
      </c>
      <c r="K226" s="4">
        <v>1</v>
      </c>
      <c r="L226" s="6">
        <v>7200</v>
      </c>
      <c r="M226" s="4">
        <v>1</v>
      </c>
      <c r="N226" s="6">
        <v>7200</v>
      </c>
      <c r="O226" s="1" t="s">
        <v>863</v>
      </c>
      <c r="P226" s="1" t="s">
        <v>480</v>
      </c>
      <c r="Q226" s="1" t="s">
        <v>788</v>
      </c>
      <c r="R226" s="6">
        <v>7200</v>
      </c>
      <c r="S226" s="6">
        <v>7200</v>
      </c>
      <c r="T226" s="1"/>
      <c r="U226" s="1"/>
      <c r="V226" s="1" t="s">
        <v>784</v>
      </c>
      <c r="W226" s="1" t="s">
        <v>260</v>
      </c>
      <c r="X226" s="2"/>
      <c r="Y226" s="1"/>
      <c r="Z226" s="1"/>
      <c r="AA226" s="1"/>
      <c r="AB226" s="1" t="s">
        <v>844</v>
      </c>
      <c r="AC226" s="7">
        <v>43915.517848309246</v>
      </c>
      <c r="AD226" s="1" t="s">
        <v>120</v>
      </c>
      <c r="AE226" s="6">
        <v>7200</v>
      </c>
      <c r="AF226" s="7">
        <v>44196</v>
      </c>
      <c r="AG226" s="1" t="s">
        <v>867</v>
      </c>
      <c r="AH226" s="1" t="s">
        <v>7</v>
      </c>
    </row>
    <row r="227" spans="1:34" hidden="1" x14ac:dyDescent="0.25">
      <c r="A227" s="4">
        <v>294</v>
      </c>
      <c r="B227" s="2" t="str">
        <f>HYPERLINK("https://my.zakupki.prom.ua/remote/dispatcher/state_purchase_view/20901888", "UA-2020-11-09-010041-c")</f>
        <v>UA-2020-11-09-010041-c</v>
      </c>
      <c r="C227" s="1" t="s">
        <v>545</v>
      </c>
      <c r="D227" s="1" t="s">
        <v>35</v>
      </c>
      <c r="E227" s="1" t="s">
        <v>725</v>
      </c>
      <c r="F227" s="1" t="s">
        <v>560</v>
      </c>
      <c r="G227" s="1" t="s">
        <v>290</v>
      </c>
      <c r="H227" s="1" t="s">
        <v>714</v>
      </c>
      <c r="I227" s="5">
        <v>44144</v>
      </c>
      <c r="J227" s="7">
        <v>44160.613900462966</v>
      </c>
      <c r="K227" s="4">
        <v>3</v>
      </c>
      <c r="L227" s="6">
        <v>195000</v>
      </c>
      <c r="M227" s="4">
        <v>64624</v>
      </c>
      <c r="N227" s="6">
        <v>3.02</v>
      </c>
      <c r="O227" s="1" t="s">
        <v>847</v>
      </c>
      <c r="P227" s="1" t="s">
        <v>480</v>
      </c>
      <c r="Q227" s="1" t="s">
        <v>788</v>
      </c>
      <c r="R227" s="6">
        <v>169600</v>
      </c>
      <c r="S227" s="6">
        <v>2.6244119831641495</v>
      </c>
      <c r="T227" s="6">
        <v>25400</v>
      </c>
      <c r="U227" s="6">
        <v>0.13025641025641024</v>
      </c>
      <c r="V227" s="1" t="s">
        <v>774</v>
      </c>
      <c r="W227" s="1" t="s">
        <v>250</v>
      </c>
      <c r="X227" s="2" t="str">
        <f>HYPERLINK("https://auction.openprocurement.org/tenders/db23f08325ae44e9bdefdbe8d7465ecc")</f>
        <v>https://auction.openprocurement.org/tenders/db23f08325ae44e9bdefdbe8d7465ecc</v>
      </c>
      <c r="Y227" s="7">
        <v>44162.421096753809</v>
      </c>
      <c r="Z227" s="5">
        <v>44167</v>
      </c>
      <c r="AA227" s="5">
        <v>44178</v>
      </c>
      <c r="AB227" s="1" t="s">
        <v>844</v>
      </c>
      <c r="AC227" s="7">
        <v>44174.471019656725</v>
      </c>
      <c r="AD227" s="1" t="s">
        <v>418</v>
      </c>
      <c r="AE227" s="6">
        <v>169600</v>
      </c>
      <c r="AF227" s="7">
        <v>44561</v>
      </c>
      <c r="AG227" s="1" t="s">
        <v>867</v>
      </c>
      <c r="AH227" s="1" t="s">
        <v>251</v>
      </c>
    </row>
    <row r="228" spans="1:34" hidden="1" x14ac:dyDescent="0.25">
      <c r="A228" s="4">
        <v>295</v>
      </c>
      <c r="B228" s="2" t="str">
        <f>HYPERLINK("https://my.zakupki.prom.ua/remote/dispatcher/state_purchase_view/26123691", "UA-2021-04-24-000180-a")</f>
        <v>UA-2021-04-24-000180-a</v>
      </c>
      <c r="C228" s="1" t="s">
        <v>680</v>
      </c>
      <c r="D228" s="1" t="s">
        <v>452</v>
      </c>
      <c r="E228" s="1" t="s">
        <v>552</v>
      </c>
      <c r="F228" s="1" t="s">
        <v>560</v>
      </c>
      <c r="G228" s="1" t="s">
        <v>290</v>
      </c>
      <c r="H228" s="1" t="s">
        <v>492</v>
      </c>
      <c r="I228" s="5">
        <v>44310</v>
      </c>
      <c r="J228" s="1" t="s">
        <v>840</v>
      </c>
      <c r="K228" s="4">
        <v>1</v>
      </c>
      <c r="L228" s="6">
        <v>4279</v>
      </c>
      <c r="M228" s="4">
        <v>1</v>
      </c>
      <c r="N228" s="6">
        <v>4279</v>
      </c>
      <c r="O228" s="1" t="s">
        <v>863</v>
      </c>
      <c r="P228" s="1" t="s">
        <v>480</v>
      </c>
      <c r="Q228" s="1" t="s">
        <v>788</v>
      </c>
      <c r="R228" s="6">
        <v>4279</v>
      </c>
      <c r="S228" s="6">
        <v>4279</v>
      </c>
      <c r="T228" s="1"/>
      <c r="U228" s="1"/>
      <c r="V228" s="1" t="s">
        <v>634</v>
      </c>
      <c r="W228" s="1" t="s">
        <v>247</v>
      </c>
      <c r="X228" s="2"/>
      <c r="Y228" s="1"/>
      <c r="Z228" s="1"/>
      <c r="AA228" s="1"/>
      <c r="AB228" s="1" t="s">
        <v>844</v>
      </c>
      <c r="AC228" s="7">
        <v>44310.682765242906</v>
      </c>
      <c r="AD228" s="1" t="s">
        <v>505</v>
      </c>
      <c r="AE228" s="6">
        <v>4279</v>
      </c>
      <c r="AF228" s="7">
        <v>44561</v>
      </c>
      <c r="AG228" s="1" t="s">
        <v>867</v>
      </c>
      <c r="AH228" s="1" t="s">
        <v>7</v>
      </c>
    </row>
    <row r="229" spans="1:34" hidden="1" x14ac:dyDescent="0.25">
      <c r="A229" s="4">
        <v>296</v>
      </c>
      <c r="B229" s="2" t="str">
        <f>HYPERLINK("https://my.zakupki.prom.ua/remote/dispatcher/state_purchase_view/25705928", "UA-2021-04-09-008555-a")</f>
        <v>UA-2021-04-09-008555-a</v>
      </c>
      <c r="C229" s="1" t="s">
        <v>551</v>
      </c>
      <c r="D229" s="1" t="s">
        <v>392</v>
      </c>
      <c r="E229" s="1" t="s">
        <v>552</v>
      </c>
      <c r="F229" s="1" t="s">
        <v>560</v>
      </c>
      <c r="G229" s="1" t="s">
        <v>290</v>
      </c>
      <c r="H229" s="1" t="s">
        <v>492</v>
      </c>
      <c r="I229" s="5">
        <v>44295</v>
      </c>
      <c r="J229" s="1" t="s">
        <v>840</v>
      </c>
      <c r="K229" s="4">
        <v>1</v>
      </c>
      <c r="L229" s="6">
        <v>420.36</v>
      </c>
      <c r="M229" s="4">
        <v>5</v>
      </c>
      <c r="N229" s="6">
        <v>84.07</v>
      </c>
      <c r="O229" s="1" t="s">
        <v>871</v>
      </c>
      <c r="P229" s="1" t="s">
        <v>480</v>
      </c>
      <c r="Q229" s="1" t="s">
        <v>788</v>
      </c>
      <c r="R229" s="6">
        <v>420.36</v>
      </c>
      <c r="S229" s="6">
        <v>84.072000000000003</v>
      </c>
      <c r="T229" s="1"/>
      <c r="U229" s="1"/>
      <c r="V229" s="1" t="s">
        <v>775</v>
      </c>
      <c r="W229" s="1" t="s">
        <v>234</v>
      </c>
      <c r="X229" s="2"/>
      <c r="Y229" s="1"/>
      <c r="Z229" s="1"/>
      <c r="AA229" s="1"/>
      <c r="AB229" s="1" t="s">
        <v>844</v>
      </c>
      <c r="AC229" s="7">
        <v>44295.903584682797</v>
      </c>
      <c r="AD229" s="1" t="s">
        <v>124</v>
      </c>
      <c r="AE229" s="6">
        <v>420.36</v>
      </c>
      <c r="AF229" s="7">
        <v>44561</v>
      </c>
      <c r="AG229" s="1" t="s">
        <v>867</v>
      </c>
      <c r="AH229" s="1" t="s">
        <v>7</v>
      </c>
    </row>
    <row r="230" spans="1:34" hidden="1" x14ac:dyDescent="0.25">
      <c r="A230" s="4">
        <v>297</v>
      </c>
      <c r="B230" s="2" t="str">
        <f>HYPERLINK("https://my.zakupki.prom.ua/remote/dispatcher/state_purchase_view/26083693", "UA-2021-04-22-012812-a")</f>
        <v>UA-2021-04-22-012812-a</v>
      </c>
      <c r="C230" s="1" t="s">
        <v>604</v>
      </c>
      <c r="D230" s="1" t="s">
        <v>114</v>
      </c>
      <c r="E230" s="1" t="s">
        <v>552</v>
      </c>
      <c r="F230" s="1" t="s">
        <v>560</v>
      </c>
      <c r="G230" s="1" t="s">
        <v>290</v>
      </c>
      <c r="H230" s="1" t="s">
        <v>492</v>
      </c>
      <c r="I230" s="5">
        <v>44308</v>
      </c>
      <c r="J230" s="1" t="s">
        <v>840</v>
      </c>
      <c r="K230" s="4">
        <v>1</v>
      </c>
      <c r="L230" s="6">
        <v>48150</v>
      </c>
      <c r="M230" s="1" t="s">
        <v>849</v>
      </c>
      <c r="N230" s="1" t="s">
        <v>849</v>
      </c>
      <c r="O230" s="1" t="s">
        <v>849</v>
      </c>
      <c r="P230" s="1" t="s">
        <v>480</v>
      </c>
      <c r="Q230" s="1" t="s">
        <v>613</v>
      </c>
      <c r="R230" s="6">
        <v>48150</v>
      </c>
      <c r="S230" s="1" t="s">
        <v>849</v>
      </c>
      <c r="T230" s="1"/>
      <c r="U230" s="1"/>
      <c r="V230" s="1" t="s">
        <v>833</v>
      </c>
      <c r="W230" s="1" t="s">
        <v>178</v>
      </c>
      <c r="X230" s="2"/>
      <c r="Y230" s="1"/>
      <c r="Z230" s="1"/>
      <c r="AA230" s="1"/>
      <c r="AB230" s="1" t="s">
        <v>844</v>
      </c>
      <c r="AC230" s="7">
        <v>44308.854511298887</v>
      </c>
      <c r="AD230" s="1" t="s">
        <v>125</v>
      </c>
      <c r="AE230" s="6">
        <v>48150</v>
      </c>
      <c r="AF230" s="7">
        <v>44561</v>
      </c>
      <c r="AG230" s="1" t="s">
        <v>867</v>
      </c>
      <c r="AH230" s="1" t="s">
        <v>7</v>
      </c>
    </row>
    <row r="231" spans="1:34" hidden="1" x14ac:dyDescent="0.25">
      <c r="A231" s="4">
        <v>298</v>
      </c>
      <c r="B231" s="2" t="str">
        <f>HYPERLINK("https://my.zakupki.prom.ua/remote/dispatcher/state_purchase_view/26435934", "UA-2021-05-11-006675-b")</f>
        <v>UA-2021-05-11-006675-b</v>
      </c>
      <c r="C231" s="1" t="s">
        <v>706</v>
      </c>
      <c r="D231" s="1" t="s">
        <v>369</v>
      </c>
      <c r="E231" s="1" t="s">
        <v>543</v>
      </c>
      <c r="F231" s="1" t="s">
        <v>560</v>
      </c>
      <c r="G231" s="1" t="s">
        <v>290</v>
      </c>
      <c r="H231" s="1" t="s">
        <v>492</v>
      </c>
      <c r="I231" s="5">
        <v>44327</v>
      </c>
      <c r="J231" s="1" t="s">
        <v>842</v>
      </c>
      <c r="K231" s="4">
        <v>0</v>
      </c>
      <c r="L231" s="6">
        <v>6000</v>
      </c>
      <c r="M231" s="4">
        <v>3</v>
      </c>
      <c r="N231" s="6">
        <v>2000</v>
      </c>
      <c r="O231" s="1" t="s">
        <v>871</v>
      </c>
      <c r="P231" s="1" t="s">
        <v>480</v>
      </c>
      <c r="Q231" s="1" t="s">
        <v>788</v>
      </c>
      <c r="R231" s="1"/>
      <c r="S231" s="1"/>
      <c r="T231" s="1"/>
      <c r="U231" s="1"/>
      <c r="V231" s="1"/>
      <c r="W231" s="1"/>
      <c r="X231" s="2"/>
      <c r="Y231" s="1"/>
      <c r="Z231" s="1"/>
      <c r="AA231" s="1"/>
      <c r="AB231" s="1" t="s">
        <v>862</v>
      </c>
      <c r="AC231" s="1"/>
      <c r="AD231" s="1"/>
      <c r="AE231" s="1"/>
      <c r="AF231" s="1"/>
      <c r="AG231" s="1"/>
      <c r="AH231" s="1"/>
    </row>
    <row r="232" spans="1:34" hidden="1" x14ac:dyDescent="0.25">
      <c r="A232" s="4">
        <v>299</v>
      </c>
      <c r="B232" s="2" t="str">
        <f>HYPERLINK("https://my.zakupki.prom.ua/remote/dispatcher/state_purchase_view/26298295", "UA-2021-05-04-000139-c")</f>
        <v>UA-2021-05-04-000139-c</v>
      </c>
      <c r="C232" s="1" t="s">
        <v>557</v>
      </c>
      <c r="D232" s="1" t="s">
        <v>392</v>
      </c>
      <c r="E232" s="1" t="s">
        <v>725</v>
      </c>
      <c r="F232" s="1" t="s">
        <v>560</v>
      </c>
      <c r="G232" s="1" t="s">
        <v>290</v>
      </c>
      <c r="H232" s="1" t="s">
        <v>492</v>
      </c>
      <c r="I232" s="5">
        <v>44320</v>
      </c>
      <c r="J232" s="7">
        <v>44330.500462962962</v>
      </c>
      <c r="K232" s="4">
        <v>0</v>
      </c>
      <c r="L232" s="6">
        <v>102000</v>
      </c>
      <c r="M232" s="4">
        <v>1346</v>
      </c>
      <c r="N232" s="6">
        <v>75.78</v>
      </c>
      <c r="O232" s="1" t="s">
        <v>871</v>
      </c>
      <c r="P232" s="1" t="s">
        <v>480</v>
      </c>
      <c r="Q232" s="1" t="s">
        <v>788</v>
      </c>
      <c r="R232" s="1"/>
      <c r="S232" s="1"/>
      <c r="T232" s="1"/>
      <c r="U232" s="1"/>
      <c r="V232" s="1"/>
      <c r="W232" s="1"/>
      <c r="X232" s="2"/>
      <c r="Y232" s="1"/>
      <c r="Z232" s="1"/>
      <c r="AA232" s="1"/>
      <c r="AB232" s="1" t="s">
        <v>865</v>
      </c>
      <c r="AC232" s="1"/>
      <c r="AD232" s="1"/>
      <c r="AE232" s="1"/>
      <c r="AF232" s="1"/>
      <c r="AG232" s="1"/>
      <c r="AH232" s="1"/>
    </row>
    <row r="233" spans="1:34" hidden="1" x14ac:dyDescent="0.25">
      <c r="A233" s="1" t="s">
        <v>555</v>
      </c>
    </row>
  </sheetData>
  <autoFilter ref="A5:AH233">
    <filterColumn colId="8">
      <filters>
        <dateGroupItem year="2019" dateTimeGrouping="year"/>
      </filters>
    </filterColumn>
  </autoFilter>
  <hyperlinks>
    <hyperlink ref="A2" r:id="rId1" display="mailto:report.zakupki@prom.ua"/>
    <hyperlink ref="B6" r:id="rId2" display="https://my.zakupki.prom.ua/remote/dispatcher/state_purchase_view/2367533"/>
    <hyperlink ref="B7" r:id="rId3" display="https://my.zakupki.prom.ua/remote/dispatcher/state_purchase_view/11860976"/>
    <hyperlink ref="B8" r:id="rId4" display="https://my.zakupki.prom.ua/remote/dispatcher/state_purchase_view/12265025"/>
    <hyperlink ref="B9" r:id="rId5" display="https://my.zakupki.prom.ua/remote/dispatcher/state_purchase_view/11225723"/>
    <hyperlink ref="B10" r:id="rId6" display="https://my.zakupki.prom.ua/remote/dispatcher/state_purchase_view/20007360"/>
    <hyperlink ref="B11" r:id="rId7" display="https://my.zakupki.prom.ua/remote/dispatcher/state_purchase_view/12439665"/>
    <hyperlink ref="X11" r:id="rId8" display="https://auction.openprocurement.org/tenders/6f3c4846d7624beead0ced640a7e2e1e"/>
    <hyperlink ref="B12" r:id="rId9" display="https://my.zakupki.prom.ua/remote/dispatcher/state_purchase_view/13976443"/>
    <hyperlink ref="B13" r:id="rId10" display="https://my.zakupki.prom.ua/remote/dispatcher/state_purchase_view/13064466"/>
    <hyperlink ref="X13" r:id="rId11" display="https://auction.openprocurement.org/tenders/c83d3580b2bb49f08b715839ae698363"/>
    <hyperlink ref="B14" r:id="rId12" display="https://my.zakupki.prom.ua/remote/dispatcher/state_purchase_view/13165246"/>
    <hyperlink ref="X14" r:id="rId13" display="https://auction.openprocurement.org/tenders/553b05cc8493455ca4f880effcd688a8"/>
    <hyperlink ref="B15" r:id="rId14" display="https://my.zakupki.prom.ua/remote/dispatcher/state_purchase_view/14408629"/>
    <hyperlink ref="B16" r:id="rId15" display="https://my.zakupki.prom.ua/remote/dispatcher/state_purchase_view/14700908"/>
    <hyperlink ref="B17" r:id="rId16" display="https://my.zakupki.prom.ua/remote/dispatcher/state_purchase_view/18922315"/>
    <hyperlink ref="B18" r:id="rId17" display="https://my.zakupki.prom.ua/remote/dispatcher/state_purchase_view/15770720"/>
    <hyperlink ref="B19" r:id="rId18" display="https://my.zakupki.prom.ua/remote/dispatcher/state_purchase_view/15552874"/>
    <hyperlink ref="B20" r:id="rId19" display="https://my.zakupki.prom.ua/remote/dispatcher/state_purchase_view/17947743"/>
    <hyperlink ref="B21" r:id="rId20" display="https://my.zakupki.prom.ua/remote/dispatcher/state_purchase_view/20615081"/>
    <hyperlink ref="B22" r:id="rId21" display="https://my.zakupki.prom.ua/remote/dispatcher/state_purchase_view/20415847"/>
    <hyperlink ref="B23" r:id="rId22" display="https://my.zakupki.prom.ua/remote/dispatcher/state_purchase_view/23592573"/>
    <hyperlink ref="B24" r:id="rId23" display="https://my.zakupki.prom.ua/remote/dispatcher/state_purchase_view/24611951"/>
    <hyperlink ref="B25" r:id="rId24" display="https://my.zakupki.prom.ua/remote/dispatcher/state_purchase_view/23926086"/>
    <hyperlink ref="B26" r:id="rId25" display="https://my.zakupki.prom.ua/remote/dispatcher/state_purchase_view/23948828"/>
    <hyperlink ref="B27" r:id="rId26" display="https://my.zakupki.prom.ua/remote/dispatcher/state_purchase_view/26297271"/>
    <hyperlink ref="B28" r:id="rId27" display="https://my.zakupki.prom.ua/remote/dispatcher/state_purchase_view/25360613"/>
    <hyperlink ref="X28" r:id="rId28" display="https://auction.openprocurement.org/tenders/25e41efe2c654266a7f277549cf525da"/>
    <hyperlink ref="B29" r:id="rId29" display="https://my.zakupki.prom.ua/remote/dispatcher/state_purchase_view/2237149"/>
    <hyperlink ref="X29" r:id="rId30" display="https://auction.openprocurement.org/tenders/1eea076f4c054c248ec3b322c2c11f8a"/>
    <hyperlink ref="B30" r:id="rId31" display="https://my.zakupki.prom.ua/remote/dispatcher/state_purchase_view/2285938"/>
    <hyperlink ref="X30" r:id="rId32" display="https://auction.openprocurement.org/tenders/7cb4c01db2c74d32919e2742b399ad15"/>
    <hyperlink ref="B31" r:id="rId33" display="https://my.zakupki.prom.ua/remote/dispatcher/state_purchase_view/59620"/>
    <hyperlink ref="X31" r:id="rId34" display="https://auction.openprocurement.org/tenders/3e440e4b7f3641d0a74cd82eb4d31ca5"/>
    <hyperlink ref="B32" r:id="rId35" display="https://my.zakupki.prom.ua/remote/dispatcher/state_purchase_view/13218995"/>
    <hyperlink ref="B33" r:id="rId36" display="https://my.zakupki.prom.ua/remote/dispatcher/state_purchase_view/12261117"/>
    <hyperlink ref="B34" r:id="rId37" display="https://my.zakupki.prom.ua/remote/dispatcher/state_purchase_view/1381640"/>
    <hyperlink ref="B35" r:id="rId38" display="https://my.zakupki.prom.ua/remote/dispatcher/state_purchase_view/8762484"/>
    <hyperlink ref="B36" r:id="rId39" display="https://my.zakupki.prom.ua/remote/dispatcher/state_purchase_view/7834832"/>
    <hyperlink ref="B37" r:id="rId40" display="https://my.zakupki.prom.ua/remote/dispatcher/state_purchase_view/16961429"/>
    <hyperlink ref="X37" r:id="rId41" display="https://auction.openprocurement.org/tenders/a9db74d7121140638ce0638104e96c65"/>
    <hyperlink ref="B38" r:id="rId42" display="https://my.zakupki.prom.ua/remote/dispatcher/state_purchase_view/16022106"/>
    <hyperlink ref="X38" r:id="rId43" display="https://auction.openprocurement.org/tenders/d9d15f5eda00418babe2fecc225f6523"/>
    <hyperlink ref="B39" r:id="rId44" display="https://my.zakupki.prom.ua/remote/dispatcher/state_purchase_view/15488259"/>
    <hyperlink ref="B40" r:id="rId45" display="https://my.zakupki.prom.ua/remote/dispatcher/state_purchase_view/15907432"/>
    <hyperlink ref="X40" r:id="rId46" display="https://auction.openprocurement.org/tenders/1267552d2f13493b90df307cd9219312"/>
    <hyperlink ref="B41" r:id="rId47" display="https://my.zakupki.prom.ua/remote/dispatcher/state_purchase_view/18073337"/>
    <hyperlink ref="B42" r:id="rId48" display="https://my.zakupki.prom.ua/remote/dispatcher/state_purchase_view/17307451"/>
    <hyperlink ref="B43" r:id="rId49" display="https://my.zakupki.prom.ua/remote/dispatcher/state_purchase_view/24235491"/>
    <hyperlink ref="B44" r:id="rId50" display="https://my.zakupki.prom.ua/remote/dispatcher/state_purchase_view/12876258"/>
    <hyperlink ref="X44" r:id="rId51" display="https://auction.openprocurement.org/tenders/60488ee23c6f448b87a0ec6ff0dd4471"/>
    <hyperlink ref="B45" r:id="rId52" display="https://my.zakupki.prom.ua/remote/dispatcher/state_purchase_view/26165081"/>
    <hyperlink ref="B46" r:id="rId53" display="https://my.zakupki.prom.ua/remote/dispatcher/state_purchase_view/25360030"/>
    <hyperlink ref="X46" r:id="rId54" display="https://auction.openprocurement.org/tenders/0a3f1c006d0e4998aff462a77aa52c28"/>
    <hyperlink ref="B47" r:id="rId55" display="https://my.zakupki.prom.ua/remote/dispatcher/state_purchase_view/25706082"/>
    <hyperlink ref="B48" r:id="rId56" display="https://my.zakupki.prom.ua/remote/dispatcher/state_purchase_view/26435892"/>
    <hyperlink ref="B49" r:id="rId57" display="https://my.zakupki.prom.ua/remote/dispatcher/state_purchase_view/26435944"/>
    <hyperlink ref="B50" r:id="rId58" display="https://my.zakupki.prom.ua/remote/dispatcher/state_purchase_view/26298320"/>
    <hyperlink ref="B51" r:id="rId59" display="https://my.zakupki.prom.ua/remote/dispatcher/state_purchase_view/3782435"/>
    <hyperlink ref="X51" r:id="rId60" display="https://auction.openprocurement.org/tenders/67ebbe4d76454104837415723fab0971"/>
    <hyperlink ref="B52" r:id="rId61" display="https://my.zakupki.prom.ua/remote/dispatcher/state_purchase_view/9684200"/>
    <hyperlink ref="B53" r:id="rId62" display="https://my.zakupki.prom.ua/remote/dispatcher/state_purchase_view/12780419"/>
    <hyperlink ref="B54" r:id="rId63" display="https://my.zakupki.prom.ua/remote/dispatcher/state_purchase_view/11458917"/>
    <hyperlink ref="B55" r:id="rId64" display="https://my.zakupki.prom.ua/remote/dispatcher/state_purchase_view/12794352"/>
    <hyperlink ref="B56" r:id="rId65" display="https://my.zakupki.prom.ua/remote/dispatcher/state_purchase_view/12263698"/>
    <hyperlink ref="B57" r:id="rId66" display="https://my.zakupki.prom.ua/remote/dispatcher/state_purchase_view/380287"/>
    <hyperlink ref="B58" r:id="rId67" display="https://my.zakupki.prom.ua/remote/dispatcher/state_purchase_view/12576678"/>
    <hyperlink ref="X58" r:id="rId68" display="https://auction.openprocurement.org/tenders/fb473d053e1b48919be3268188572538"/>
    <hyperlink ref="B59" r:id="rId69" display="https://my.zakupki.prom.ua/remote/dispatcher/state_purchase_view/15598404"/>
    <hyperlink ref="X59" r:id="rId70" display="https://auction.openprocurement.org/tenders/a47b0da633da465686e41eb6edff48b5"/>
    <hyperlink ref="B60" r:id="rId71" display="https://my.zakupki.prom.ua/remote/dispatcher/state_purchase_view/16098725"/>
    <hyperlink ref="X60" r:id="rId72" display="https://auction.openprocurement.org/tenders/0693bf03b5644293bed485c37fdac072"/>
    <hyperlink ref="B61" r:id="rId73" display="https://my.zakupki.prom.ua/remote/dispatcher/state_purchase_view/18160919"/>
    <hyperlink ref="B62" r:id="rId74" display="https://my.zakupki.prom.ua/remote/dispatcher/state_purchase_view/18136545"/>
    <hyperlink ref="B63" r:id="rId75" display="https://my.zakupki.prom.ua/remote/dispatcher/state_purchase_view/21693943"/>
    <hyperlink ref="B64" r:id="rId76" display="https://my.zakupki.prom.ua/remote/dispatcher/state_purchase_view/24234440"/>
    <hyperlink ref="B65" r:id="rId77" display="https://my.zakupki.prom.ua/remote/dispatcher/state_purchase_view/26165006"/>
    <hyperlink ref="B66" r:id="rId78" display="https://my.zakupki.prom.ua/remote/dispatcher/state_purchase_view/26298300"/>
    <hyperlink ref="B67" r:id="rId79" display="https://my.zakupki.prom.ua/remote/dispatcher/state_purchase_view/26298292"/>
    <hyperlink ref="B68" r:id="rId80" display="https://my.zakupki.prom.ua/remote/dispatcher/state_purchase_view/26298315"/>
    <hyperlink ref="B69" r:id="rId81" display="https://my.zakupki.prom.ua/remote/dispatcher/state_purchase_view/7804155"/>
    <hyperlink ref="B70" r:id="rId82" display="https://my.zakupki.prom.ua/remote/dispatcher/state_purchase_view/7836951"/>
    <hyperlink ref="X70" r:id="rId83" display="https://auction.openprocurement.org/tenders/29c9e1b69efc4897afa203607c263a31"/>
    <hyperlink ref="B71" r:id="rId84" display="https://my.zakupki.prom.ua/remote/dispatcher/state_purchase_view/7423119"/>
    <hyperlink ref="X71" r:id="rId85" display="https://auction.openprocurement.org/tenders/3fc46df5e0b04e1f988741c504ab636c"/>
    <hyperlink ref="B72" r:id="rId86" display="https://my.zakupki.prom.ua/remote/dispatcher/state_purchase_view/8728310"/>
    <hyperlink ref="X72" r:id="rId87" display="https://auction.openprocurement.org/tenders/20292053c2934bdc9a25d54e85916fcc"/>
    <hyperlink ref="B73" r:id="rId88" display="https://my.zakupki.prom.ua/remote/dispatcher/state_purchase_view/13604293"/>
    <hyperlink ref="B74" r:id="rId89" display="https://my.zakupki.prom.ua/remote/dispatcher/state_purchase_view/15182025"/>
    <hyperlink ref="B75" r:id="rId90" display="https://my.zakupki.prom.ua/remote/dispatcher/state_purchase_view/12261578"/>
    <hyperlink ref="B76" r:id="rId91" display="https://my.zakupki.prom.ua/remote/dispatcher/state_purchase_view/12604947"/>
    <hyperlink ref="B77" r:id="rId92" display="https://my.zakupki.prom.ua/remote/dispatcher/state_purchase_view/13197887"/>
    <hyperlink ref="B78" r:id="rId93" display="https://my.zakupki.prom.ua/remote/dispatcher/state_purchase_view/10406630"/>
    <hyperlink ref="B79" r:id="rId94" display="https://my.zakupki.prom.ua/remote/dispatcher/state_purchase_view/11176507"/>
    <hyperlink ref="B80" r:id="rId95" display="https://my.zakupki.prom.ua/remote/dispatcher/state_purchase_view/12016046"/>
    <hyperlink ref="X80" r:id="rId96" display="https://auction.openprocurement.org/tenders/5aea376a55c04ef28ed129abd0e27bd8"/>
    <hyperlink ref="B81" r:id="rId97" display="https://my.zakupki.prom.ua/remote/dispatcher/state_purchase_view/17548526"/>
    <hyperlink ref="B82" r:id="rId98" display="https://my.zakupki.prom.ua/remote/dispatcher/state_purchase_view/15911973"/>
    <hyperlink ref="B83" r:id="rId99" display="https://my.zakupki.prom.ua/remote/dispatcher/state_purchase_view/19224694"/>
    <hyperlink ref="B84" r:id="rId100" display="https://my.zakupki.prom.ua/remote/dispatcher/state_purchase_view/23659832"/>
    <hyperlink ref="B85" r:id="rId101" display="https://my.zakupki.prom.ua/remote/dispatcher/state_purchase_view/76189"/>
    <hyperlink ref="X85" r:id="rId102" display="https://auction.openprocurement.org/tenders/35f88040f5674eadb6928a5bd6458563"/>
    <hyperlink ref="B86" r:id="rId103" display="https://my.zakupki.prom.ua/remote/dispatcher/state_purchase_view/26083553"/>
    <hyperlink ref="B87" r:id="rId104" display="https://my.zakupki.prom.ua/remote/dispatcher/state_purchase_view/1346827"/>
    <hyperlink ref="B88" r:id="rId105" display="https://my.zakupki.prom.ua/remote/dispatcher/state_purchase_view/2472923"/>
    <hyperlink ref="B89" r:id="rId106" display="https://my.zakupki.prom.ua/remote/dispatcher/state_purchase_view/11860719"/>
    <hyperlink ref="B90" r:id="rId107" display="https://my.zakupki.prom.ua/remote/dispatcher/state_purchase_view/13323431"/>
    <hyperlink ref="B91" r:id="rId108" display="https://my.zakupki.prom.ua/remote/dispatcher/state_purchase_view/12697457"/>
    <hyperlink ref="B92" r:id="rId109" display="https://my.zakupki.prom.ua/remote/dispatcher/state_purchase_view/11405220"/>
    <hyperlink ref="B93" r:id="rId110" display="https://my.zakupki.prom.ua/remote/dispatcher/state_purchase_view/11225842"/>
    <hyperlink ref="B94" r:id="rId111" display="https://my.zakupki.prom.ua/remote/dispatcher/state_purchase_view/4452007"/>
    <hyperlink ref="B95" r:id="rId112" display="https://my.zakupki.prom.ua/remote/dispatcher/state_purchase_view/13666410"/>
    <hyperlink ref="B96" r:id="rId113" display="https://my.zakupki.prom.ua/remote/dispatcher/state_purchase_view/7341939"/>
    <hyperlink ref="X96" r:id="rId114" display="https://auction.openprocurement.org/tenders/1d50d65f90a24c09b327c37ec2d1ebe4"/>
    <hyperlink ref="B97" r:id="rId115" display="https://my.zakupki.prom.ua/remote/dispatcher/state_purchase_view/12466149"/>
    <hyperlink ref="B98" r:id="rId116" display="https://my.zakupki.prom.ua/remote/dispatcher/state_purchase_view/11314686"/>
    <hyperlink ref="B99" r:id="rId117" display="https://my.zakupki.prom.ua/remote/dispatcher/state_purchase_view/2232579"/>
    <hyperlink ref="X99" r:id="rId118" display="https://auction.openprocurement.org/tenders/52d6ec78b9b043f88fb969d9dbc91521"/>
    <hyperlink ref="B100" r:id="rId119" display="https://my.zakupki.prom.ua/remote/dispatcher/state_purchase_view/15673757"/>
    <hyperlink ref="X100" r:id="rId120" display="https://auction.openprocurement.org/tenders/b56920142472458bb42bdce97bcc1241"/>
    <hyperlink ref="B101" r:id="rId121" display="https://my.zakupki.prom.ua/remote/dispatcher/state_purchase_view/16183581"/>
    <hyperlink ref="X101" r:id="rId122" display="https://auction.openprocurement.org/tenders/c49153626b7b4bc3b12bd989cc4dd662"/>
    <hyperlink ref="B102" r:id="rId123" display="https://my.zakupki.prom.ua/remote/dispatcher/state_purchase_view/16182462"/>
    <hyperlink ref="B103" r:id="rId124" display="https://my.zakupki.prom.ua/remote/dispatcher/state_purchase_view/16668551"/>
    <hyperlink ref="X103" r:id="rId125" display="https://auction.openprocurement.org/tenders/fc6688a9cdd04e1f90f5b013a17f9f28"/>
    <hyperlink ref="B104" r:id="rId126" display="https://my.zakupki.prom.ua/remote/dispatcher/state_purchase_view/23841279"/>
    <hyperlink ref="B105" r:id="rId127" display="https://my.zakupki.prom.ua/remote/dispatcher/state_purchase_view/25705763"/>
    <hyperlink ref="B106" r:id="rId128" display="https://my.zakupki.prom.ua/remote/dispatcher/state_purchase_view/26240874"/>
    <hyperlink ref="B107" r:id="rId129" display="https://my.zakupki.prom.ua/remote/dispatcher/state_purchase_view/26399557"/>
    <hyperlink ref="B108" r:id="rId130" display="https://my.zakupki.prom.ua/remote/dispatcher/state_purchase_view/6507484"/>
    <hyperlink ref="B109" r:id="rId131" display="https://my.zakupki.prom.ua/remote/dispatcher/state_purchase_view/11859893"/>
    <hyperlink ref="B110" r:id="rId132" display="https://my.zakupki.prom.ua/remote/dispatcher/state_purchase_view/12712703"/>
    <hyperlink ref="B111" r:id="rId133" display="https://my.zakupki.prom.ua/remote/dispatcher/state_purchase_view/12713259"/>
    <hyperlink ref="B112" r:id="rId134" display="https://my.zakupki.prom.ua/remote/dispatcher/state_purchase_view/23782934"/>
    <hyperlink ref="B113" r:id="rId135" display="https://my.zakupki.prom.ua/remote/dispatcher/state_purchase_view/12466097"/>
    <hyperlink ref="X113" r:id="rId136" display="https://auction.openprocurement.org/tenders/a6f1fb760f964ac686e0079c768ce327"/>
    <hyperlink ref="B114" r:id="rId137" display="https://my.zakupki.prom.ua/remote/dispatcher/state_purchase_view/12623954"/>
    <hyperlink ref="B115" r:id="rId138" display="https://my.zakupki.prom.ua/remote/dispatcher/state_purchase_view/18326101"/>
    <hyperlink ref="X115" r:id="rId139" display="https://auction.openprocurement.org/tenders/75206d6be60143eba6bafd835361d963"/>
    <hyperlink ref="B116" r:id="rId140" display="https://my.zakupki.prom.ua/remote/dispatcher/state_purchase_view/15955385"/>
    <hyperlink ref="B117" r:id="rId141" display="https://my.zakupki.prom.ua/remote/dispatcher/state_purchase_view/16496687"/>
    <hyperlink ref="B118" r:id="rId142" display="https://my.zakupki.prom.ua/remote/dispatcher/state_purchase_view/17945472"/>
    <hyperlink ref="B119" r:id="rId143" display="https://my.zakupki.prom.ua/remote/dispatcher/state_purchase_view/24128211"/>
    <hyperlink ref="B120" r:id="rId144" display="https://my.zakupki.prom.ua/remote/dispatcher/state_purchase_view/2253794"/>
    <hyperlink ref="X120" r:id="rId145" display="https://auction.openprocurement.org/tenders/e2ad556bcb82454ab1a6a12858f3ecef"/>
    <hyperlink ref="B121" r:id="rId146" display="https://my.zakupki.prom.ua/remote/dispatcher/state_purchase_view/7802972"/>
    <hyperlink ref="B122" r:id="rId147" display="https://my.zakupki.prom.ua/remote/dispatcher/state_purchase_view/7802341"/>
    <hyperlink ref="B123" r:id="rId148" display="https://my.zakupki.prom.ua/remote/dispatcher/state_purchase_view/20007309"/>
    <hyperlink ref="B124" r:id="rId149" display="https://my.zakupki.prom.ua/remote/dispatcher/state_purchase_view/12264827"/>
    <hyperlink ref="B125" r:id="rId150" display="https://my.zakupki.prom.ua/remote/dispatcher/state_purchase_view/11860286"/>
    <hyperlink ref="B126" r:id="rId151" display="https://my.zakupki.prom.ua/remote/dispatcher/state_purchase_view/11250436"/>
    <hyperlink ref="B127" r:id="rId152" display="https://my.zakupki.prom.ua/remote/dispatcher/state_purchase_view/13622933"/>
    <hyperlink ref="X127" r:id="rId153" display="https://auction.openprocurement.org/tenders/1a45c006a1ca4e4ba6802e0102b64923"/>
    <hyperlink ref="B128" r:id="rId154" display="https://my.zakupki.prom.ua/remote/dispatcher/state_purchase_view/12876634"/>
    <hyperlink ref="X128" r:id="rId155" display="https://auction.openprocurement.org/tenders/06d8346d5a1a4873ab856c17b0c0288c"/>
    <hyperlink ref="B129" r:id="rId156" display="https://my.zakupki.prom.ua/remote/dispatcher/state_purchase_view/16022859"/>
    <hyperlink ref="X129" r:id="rId157" display="https://auction.openprocurement.org/tenders/5f55a0b14e654250aa85621715af3e31"/>
    <hyperlink ref="B130" r:id="rId158" display="https://my.zakupki.prom.ua/remote/dispatcher/state_purchase_view/15672250"/>
    <hyperlink ref="X130" r:id="rId159" display="https://auction.openprocurement.org/tenders/32f03230f7d548438e3e4cf1c8bc280f"/>
    <hyperlink ref="B131" r:id="rId160" display="https://my.zakupki.prom.ua/remote/dispatcher/state_purchase_view/15493303"/>
    <hyperlink ref="X131" r:id="rId161" display="https://auction.openprocurement.org/tenders/8c537508aa5f41af90aada57aac1ee96"/>
    <hyperlink ref="B132" r:id="rId162" display="https://my.zakupki.prom.ua/remote/dispatcher/state_purchase_view/15399486"/>
    <hyperlink ref="B133" r:id="rId163" display="https://my.zakupki.prom.ua/remote/dispatcher/state_purchase_view/17859628"/>
    <hyperlink ref="B134" r:id="rId164" display="https://my.zakupki.prom.ua/remote/dispatcher/state_purchase_view/17555049"/>
    <hyperlink ref="B135" r:id="rId165" display="https://my.zakupki.prom.ua/remote/dispatcher/state_purchase_view/16616768"/>
    <hyperlink ref="X135" r:id="rId166" display="https://auction.openprocurement.org/tenders/269879958e31452b998403f295bee6fc"/>
    <hyperlink ref="B136" r:id="rId167" display="https://my.zakupki.prom.ua/remote/dispatcher/state_purchase_view/18486161"/>
    <hyperlink ref="B137" r:id="rId168" display="https://my.zakupki.prom.ua/remote/dispatcher/state_purchase_view/19195219"/>
    <hyperlink ref="B138" r:id="rId169" display="https://my.zakupki.prom.ua/remote/dispatcher/state_purchase_view/59636"/>
    <hyperlink ref="X138" r:id="rId170" display="https://auction.openprocurement.org/tenders/273fbb68c2464152844ca24b29126e5b"/>
    <hyperlink ref="B139" r:id="rId171" display="https://my.zakupki.prom.ua/remote/dispatcher/state_purchase_view/26123710"/>
    <hyperlink ref="B140" r:id="rId172" display="https://my.zakupki.prom.ua/remote/dispatcher/state_purchase_view/25268037"/>
    <hyperlink ref="X140" r:id="rId173" display="https://auction.openprocurement.org/tenders/fdfc8e0d511c4695b66b9e70b559f23a"/>
    <hyperlink ref="B141" r:id="rId174" display="https://my.zakupki.prom.ua/remote/dispatcher/state_purchase_view/7803501"/>
    <hyperlink ref="B142" r:id="rId175" display="https://my.zakupki.prom.ua/remote/dispatcher/state_purchase_view/6507669"/>
    <hyperlink ref="B143" r:id="rId176" display="https://my.zakupki.prom.ua/remote/dispatcher/state_purchase_view/282618"/>
    <hyperlink ref="X143" r:id="rId177" display="https://auction.openprocurement.org/tenders/3f7dadd30c024f59ac8097ea040a104c"/>
    <hyperlink ref="B144" r:id="rId178" display="https://my.zakupki.prom.ua/remote/dispatcher/state_purchase_view/840487"/>
    <hyperlink ref="X144" r:id="rId179" display="https://auction.openprocurement.org/tenders/ed3c7088fb5048fc9c7226a3326ab169"/>
    <hyperlink ref="B145" r:id="rId180" display="https://my.zakupki.prom.ua/remote/dispatcher/state_purchase_view/19223737"/>
    <hyperlink ref="B146" r:id="rId181" display="https://my.zakupki.prom.ua/remote/dispatcher/state_purchase_view/19657831"/>
    <hyperlink ref="B147" r:id="rId182" display="https://my.zakupki.prom.ua/remote/dispatcher/state_purchase_view/15302227"/>
    <hyperlink ref="B148" r:id="rId183" display="https://my.zakupki.prom.ua/remote/dispatcher/state_purchase_view/16946932"/>
    <hyperlink ref="X148" r:id="rId184" display="https://auction.openprocurement.org/tenders/e62ffd5c958d45e29aaeff2d0a186f76"/>
    <hyperlink ref="B149" r:id="rId185" display="https://my.zakupki.prom.ua/remote/dispatcher/state_purchase_view/24612579"/>
    <hyperlink ref="B150" r:id="rId186" display="https://my.zakupki.prom.ua/remote/dispatcher/state_purchase_view/23271217"/>
    <hyperlink ref="B151" r:id="rId187" display="https://my.zakupki.prom.ua/remote/dispatcher/state_purchase_view/24415016"/>
    <hyperlink ref="B152" r:id="rId188" display="https://my.zakupki.prom.ua/remote/dispatcher/state_purchase_view/25382854"/>
    <hyperlink ref="X152" r:id="rId189" display="https://auction.openprocurement.org/tenders/445493a2a9c048cf8c1e553893243219"/>
    <hyperlink ref="B153" r:id="rId190" display="https://my.zakupki.prom.ua/remote/dispatcher/state_purchase_view/24564117"/>
    <hyperlink ref="B154" r:id="rId191" display="https://my.zakupki.prom.ua/remote/dispatcher/state_purchase_view/25705863"/>
    <hyperlink ref="B155" r:id="rId192" display="https://my.zakupki.prom.ua/remote/dispatcher/state_purchase_view/26435918"/>
    <hyperlink ref="B156" r:id="rId193" display="https://my.zakupki.prom.ua/remote/dispatcher/state_purchase_view/26125052"/>
    <hyperlink ref="X156" r:id="rId194" display="https://auction.openprocurement.org/tenders/59129afa715b4871a44595b771d2f73f"/>
    <hyperlink ref="B157" r:id="rId195" display="https://my.zakupki.prom.ua/remote/dispatcher/state_purchase_view/7801167"/>
    <hyperlink ref="B158" r:id="rId196" display="https://my.zakupki.prom.ua/remote/dispatcher/state_purchase_view/13488403"/>
    <hyperlink ref="B159" r:id="rId197" display="https://my.zakupki.prom.ua/remote/dispatcher/state_purchase_view/12858276"/>
    <hyperlink ref="B160" r:id="rId198" display="https://my.zakupki.prom.ua/remote/dispatcher/state_purchase_view/12713953"/>
    <hyperlink ref="B161" r:id="rId199" display="https://my.zakupki.prom.ua/remote/dispatcher/state_purchase_view/13018694"/>
    <hyperlink ref="X161" r:id="rId200" display="https://auction.openprocurement.org/tenders/9b91230dd3de4b7c8871cf116c9d9fa5"/>
    <hyperlink ref="B162" r:id="rId201" display="https://my.zakupki.prom.ua/remote/dispatcher/state_purchase_view/12577848"/>
    <hyperlink ref="X162" r:id="rId202" display="https://auction.openprocurement.org/tenders/1c1bba9cf71f424b9d19e48c118acffa"/>
    <hyperlink ref="B163" r:id="rId203" display="https://my.zakupki.prom.ua/remote/dispatcher/state_purchase_view/12521868"/>
    <hyperlink ref="X163" r:id="rId204" display="https://auction.openprocurement.org/tenders/be173204edde42b880e6c86fdf592728"/>
    <hyperlink ref="B164" r:id="rId205" display="https://my.zakupki.prom.ua/remote/dispatcher/state_purchase_view/7363500"/>
    <hyperlink ref="X164" r:id="rId206" display="https://auction.openprocurement.org/tenders/9d02e25acf284442abd9b575c876cc9d"/>
    <hyperlink ref="B165" r:id="rId207" display="https://my.zakupki.prom.ua/remote/dispatcher/state_purchase_view/282577"/>
    <hyperlink ref="X165" r:id="rId208" display="https://auction.openprocurement.org/tenders/04b69ba069f641c68d39305b9a701a63"/>
    <hyperlink ref="B166" r:id="rId209" display="https://my.zakupki.prom.ua/remote/dispatcher/state_purchase_view/5348131"/>
    <hyperlink ref="B167" r:id="rId210" display="https://my.zakupki.prom.ua/remote/dispatcher/state_purchase_view/8106454"/>
    <hyperlink ref="B168" r:id="rId211" display="https://my.zakupki.prom.ua/remote/dispatcher/state_purchase_view/16497401"/>
    <hyperlink ref="B169" r:id="rId212" display="https://my.zakupki.prom.ua/remote/dispatcher/state_purchase_view/16921398"/>
    <hyperlink ref="B170" r:id="rId213" display="https://my.zakupki.prom.ua/remote/dispatcher/state_purchase_view/15388741"/>
    <hyperlink ref="B171" r:id="rId214" display="https://my.zakupki.prom.ua/remote/dispatcher/state_purchase_view/18724293"/>
    <hyperlink ref="B172" r:id="rId215" display="https://my.zakupki.prom.ua/remote/dispatcher/state_purchase_view/19173068"/>
    <hyperlink ref="B173" r:id="rId216" display="https://my.zakupki.prom.ua/remote/dispatcher/state_purchase_view/20885632"/>
    <hyperlink ref="B174" r:id="rId217" display="https://my.zakupki.prom.ua/remote/dispatcher/state_purchase_view/24414607"/>
    <hyperlink ref="B175" r:id="rId218" display="https://my.zakupki.prom.ua/remote/dispatcher/state_purchase_view/24127982"/>
    <hyperlink ref="B176" r:id="rId219" display="https://my.zakupki.prom.ua/remote/dispatcher/state_purchase_view/25706107"/>
    <hyperlink ref="B177" r:id="rId220" display="https://my.zakupki.prom.ua/remote/dispatcher/state_purchase_view/26123718"/>
    <hyperlink ref="B178" r:id="rId221" display="https://my.zakupki.prom.ua/remote/dispatcher/state_purchase_view/26435942"/>
    <hyperlink ref="B179" r:id="rId222" display="https://my.zakupki.prom.ua/remote/dispatcher/state_purchase_view/7801570"/>
    <hyperlink ref="B180" r:id="rId223" display="https://my.zakupki.prom.ua/remote/dispatcher/state_purchase_view/11359942"/>
    <hyperlink ref="B181" r:id="rId224" display="https://my.zakupki.prom.ua/remote/dispatcher/state_purchase_view/12263151"/>
    <hyperlink ref="B182" r:id="rId225" display="https://my.zakupki.prom.ua/remote/dispatcher/state_purchase_view/13197503"/>
    <hyperlink ref="B183" r:id="rId226" display="https://my.zakupki.prom.ua/remote/dispatcher/state_purchase_view/12708826"/>
    <hyperlink ref="X183" r:id="rId227" display="https://auction.openprocurement.org/tenders/a3e5fce3dbdd46bbb1fcc6feaf3d80f3"/>
    <hyperlink ref="B184" r:id="rId228" display="https://my.zakupki.prom.ua/remote/dispatcher/state_purchase_view/12659070"/>
    <hyperlink ref="B185" r:id="rId229" display="https://my.zakupki.prom.ua/remote/dispatcher/state_purchase_view/23589433"/>
    <hyperlink ref="B186" r:id="rId230" display="https://my.zakupki.prom.ua/remote/dispatcher/state_purchase_view/15650773"/>
    <hyperlink ref="X186" r:id="rId231" display="https://auction.openprocurement.org/tenders/26013d7157b94f42bfc44d9e538092d5"/>
    <hyperlink ref="B187" r:id="rId232" display="https://my.zakupki.prom.ua/remote/dispatcher/state_purchase_view/17277535"/>
    <hyperlink ref="B188" r:id="rId233" display="https://my.zakupki.prom.ua/remote/dispatcher/state_purchase_view/19084359"/>
    <hyperlink ref="B189" r:id="rId234" display="https://my.zakupki.prom.ua/remote/dispatcher/state_purchase_view/18458706"/>
    <hyperlink ref="B190" r:id="rId235" display="https://my.zakupki.prom.ua/remote/dispatcher/state_purchase_view/25040241"/>
    <hyperlink ref="B191" r:id="rId236" display="https://my.zakupki.prom.ua/remote/dispatcher/state_purchase_view/25705990"/>
    <hyperlink ref="B192" r:id="rId237" display="https://my.zakupki.prom.ua/remote/dispatcher/state_purchase_view/26083795"/>
    <hyperlink ref="B193" r:id="rId238" display="https://my.zakupki.prom.ua/remote/dispatcher/state_purchase_view/25360266"/>
    <hyperlink ref="X193" r:id="rId239" display="https://auction.openprocurement.org/tenders/88015c8e7beb4425a4c92fb763ae4567"/>
    <hyperlink ref="B194" r:id="rId240" display="https://my.zakupki.prom.ua/remote/dispatcher/state_purchase_view/26435905"/>
    <hyperlink ref="B195" r:id="rId241" display="https://my.zakupki.prom.ua/remote/dispatcher/state_purchase_view/26435401"/>
    <hyperlink ref="B196" r:id="rId242" display="https://my.zakupki.prom.ua/remote/dispatcher/state_purchase_view/2473134"/>
    <hyperlink ref="B197" r:id="rId243" display="https://my.zakupki.prom.ua/remote/dispatcher/state_purchase_view/11892749"/>
    <hyperlink ref="B198" r:id="rId244" display="https://my.zakupki.prom.ua/remote/dispatcher/state_purchase_view/12261997"/>
    <hyperlink ref="B199" r:id="rId245" display="https://my.zakupki.prom.ua/remote/dispatcher/state_purchase_view/12262560"/>
    <hyperlink ref="B200" r:id="rId246" display="https://my.zakupki.prom.ua/remote/dispatcher/state_purchase_view/12868645"/>
    <hyperlink ref="B201" r:id="rId247" display="https://my.zakupki.prom.ua/remote/dispatcher/state_purchase_view/59630"/>
    <hyperlink ref="B202" r:id="rId248" display="https://my.zakupki.prom.ua/remote/dispatcher/state_purchase_view/13006935"/>
    <hyperlink ref="X202" r:id="rId249" display="https://auction.openprocurement.org/tenders/2041fef4bd8949e38bbf85c6ffa2a0eb"/>
    <hyperlink ref="B203" r:id="rId250" display="https://my.zakupki.prom.ua/remote/dispatcher/state_purchase_view/13064324"/>
    <hyperlink ref="X203" r:id="rId251" display="https://auction.openprocurement.org/tenders/f58723265448403694eb8dd57bf7a417"/>
    <hyperlink ref="B204" r:id="rId252" display="https://my.zakupki.prom.ua/remote/dispatcher/state_purchase_view/12016157"/>
    <hyperlink ref="X204" r:id="rId253" display="https://auction.openprocurement.org/tenders/2d40902ef4a2477aa2050efc00fca0c2"/>
    <hyperlink ref="B205" r:id="rId254" display="https://my.zakupki.prom.ua/remote/dispatcher/state_purchase_view/16688879"/>
    <hyperlink ref="X205" r:id="rId255" display="https://auction.openprocurement.org/tenders/d8a2c8117ac6404693b9432aad1d8bd2"/>
    <hyperlink ref="B206" r:id="rId256" display="https://my.zakupki.prom.ua/remote/dispatcher/state_purchase_view/14327900"/>
    <hyperlink ref="X206" r:id="rId257" display="https://auction.openprocurement.org/tenders/15a240125820412d83c9f7d8cc6c38c0"/>
    <hyperlink ref="B207" r:id="rId258" display="https://my.zakupki.prom.ua/remote/dispatcher/state_purchase_view/19269426"/>
    <hyperlink ref="B208" r:id="rId259" display="https://my.zakupki.prom.ua/remote/dispatcher/state_purchase_view/23090264"/>
    <hyperlink ref="X208" r:id="rId260" display="https://auction.openprocurement.org/tenders/6c0423b5b49945f2be41de62860ae4b8"/>
    <hyperlink ref="B209" r:id="rId261" display="https://my.zakupki.prom.ua/remote/dispatcher/state_purchase_view/24413293"/>
    <hyperlink ref="B210" r:id="rId262" display="https://my.zakupki.prom.ua/remote/dispatcher/state_purchase_view/25041105"/>
    <hyperlink ref="B211" r:id="rId263" display="https://my.zakupki.prom.ua/remote/dispatcher/state_purchase_view/24595341"/>
    <hyperlink ref="B212" r:id="rId264" display="https://my.zakupki.prom.ua/remote/dispatcher/state_purchase_view/25361065"/>
    <hyperlink ref="X212" r:id="rId265" display="https://auction.openprocurement.org/tenders/2c8c19512bc34bbdbc93af41c83cbd97"/>
    <hyperlink ref="B213" r:id="rId266" display="https://my.zakupki.prom.ua/remote/dispatcher/state_purchase_view/26187335"/>
    <hyperlink ref="B214" r:id="rId267" display="https://my.zakupki.prom.ua/remote/dispatcher/state_purchase_view/25705812"/>
    <hyperlink ref="B215" r:id="rId268" display="https://my.zakupki.prom.ua/remote/dispatcher/state_purchase_view/25360508"/>
    <hyperlink ref="X215" r:id="rId269" display="https://auction.openprocurement.org/tenders/fa4f97ac8ace467fa606b1a86f04d267"/>
    <hyperlink ref="B216" r:id="rId270" display="https://my.zakupki.prom.ua/remote/dispatcher/state_purchase_view/26298319"/>
    <hyperlink ref="B217" r:id="rId271" display="https://my.zakupki.prom.ua/remote/dispatcher/state_purchase_view/26125064"/>
    <hyperlink ref="X217" r:id="rId272" display="https://auction.openprocurement.org/tenders/bbef3f013d0c4d7f8545746c48fac1dd"/>
    <hyperlink ref="B218" r:id="rId273" display="https://my.zakupki.prom.ua/remote/dispatcher/state_purchase_view/12695941"/>
    <hyperlink ref="B219" r:id="rId274" display="https://my.zakupki.prom.ua/remote/dispatcher/state_purchase_view/12426960"/>
    <hyperlink ref="B220" r:id="rId275" display="https://my.zakupki.prom.ua/remote/dispatcher/state_purchase_view/13489074"/>
    <hyperlink ref="B221" r:id="rId276" display="https://my.zakupki.prom.ua/remote/dispatcher/state_purchase_view/12823993"/>
    <hyperlink ref="B222" r:id="rId277" display="https://my.zakupki.prom.ua/remote/dispatcher/state_purchase_view/13264279"/>
    <hyperlink ref="X222" r:id="rId278" display="https://auction.openprocurement.org/tenders/fa9da7adad4b40d09faaf2559c5b346d"/>
    <hyperlink ref="B223" r:id="rId279" display="https://my.zakupki.prom.ua/remote/dispatcher/state_purchase_view/19301905"/>
    <hyperlink ref="X223" r:id="rId280" display="https://auction.openprocurement.org/tenders/a7a1364a22294dd692086b9634933252"/>
    <hyperlink ref="B224" r:id="rId281" display="https://my.zakupki.prom.ua/remote/dispatcher/state_purchase_view/18074384"/>
    <hyperlink ref="B225" r:id="rId282" display="https://my.zakupki.prom.ua/remote/dispatcher/state_purchase_view/22892778"/>
    <hyperlink ref="B226" r:id="rId283" display="https://my.zakupki.prom.ua/remote/dispatcher/state_purchase_view/15954132"/>
    <hyperlink ref="B227" r:id="rId284" display="https://my.zakupki.prom.ua/remote/dispatcher/state_purchase_view/20901888"/>
    <hyperlink ref="X227" r:id="rId285" display="https://auction.openprocurement.org/tenders/db23f08325ae44e9bdefdbe8d7465ecc"/>
    <hyperlink ref="B228" r:id="rId286" display="https://my.zakupki.prom.ua/remote/dispatcher/state_purchase_view/26123691"/>
    <hyperlink ref="B229" r:id="rId287" display="https://my.zakupki.prom.ua/remote/dispatcher/state_purchase_view/25705928"/>
    <hyperlink ref="B230" r:id="rId288" display="https://my.zakupki.prom.ua/remote/dispatcher/state_purchase_view/26083693"/>
    <hyperlink ref="B231" r:id="rId289" display="https://my.zakupki.prom.ua/remote/dispatcher/state_purchase_view/26435934"/>
    <hyperlink ref="B232" r:id="rId290" display="https://my.zakupki.prom.ua/remote/dispatcher/state_purchase_view/26298295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2021-05-12T15:40:01Z</dcterms:created>
  <dcterms:modified xsi:type="dcterms:W3CDTF">2021-05-13T10:26:30Z</dcterms:modified>
  <cp:category/>
</cp:coreProperties>
</file>