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1340" windowHeight="8115" tabRatio="538" firstSheet="3" activeTab="3"/>
  </bookViews>
  <sheets>
    <sheet name="1" sheetId="1" state="hidden" r:id="rId1"/>
    <sheet name="2016,05" sheetId="2" state="hidden" r:id="rId2"/>
    <sheet name=",2016,03" sheetId="3" state="hidden" r:id="rId3"/>
    <sheet name="01.07.19" sheetId="4" r:id="rId4"/>
  </sheets>
  <definedNames/>
  <calcPr fullCalcOnLoad="1"/>
</workbook>
</file>

<file path=xl/sharedStrings.xml><?xml version="1.0" encoding="utf-8"?>
<sst xmlns="http://schemas.openxmlformats.org/spreadsheetml/2006/main" count="1352" uniqueCount="533">
  <si>
    <t>ЗАТВЕРДЖУЮ</t>
  </si>
  <si>
    <t>ШТАТНИЙ РОЗПИС</t>
  </si>
  <si>
    <t>№ п/п</t>
  </si>
  <si>
    <t>Найменування структурних підрозділів та посад</t>
  </si>
  <si>
    <t>Директор</t>
  </si>
  <si>
    <t>Головний інженер</t>
  </si>
  <si>
    <t>згідно контракту</t>
  </si>
  <si>
    <t>Головний бухгалтер</t>
  </si>
  <si>
    <t>Провідний економіст</t>
  </si>
  <si>
    <t>Технік 1 кат.</t>
  </si>
  <si>
    <t>Начальник цеха</t>
  </si>
  <si>
    <t>Охоронець території</t>
  </si>
  <si>
    <t>Прибиральник території</t>
  </si>
  <si>
    <t xml:space="preserve">Прибиральник службових та виробничих приміщень </t>
  </si>
  <si>
    <t>ДИСПЕТЧЕРСЬКА СЛУЖБА</t>
  </si>
  <si>
    <t>ЦЕХ ПО РЕМОНТУ ЕЛЕКТРООБЛАДНАННЯ</t>
  </si>
  <si>
    <t>Заступник головного бухгалтера</t>
  </si>
  <si>
    <t>Інспектор з кадрів</t>
  </si>
  <si>
    <t>ПОГОДЖЕНО</t>
  </si>
  <si>
    <t>місячний фонд заробітної плати</t>
  </si>
  <si>
    <t>УЧАСТОК РЕМОНТУ</t>
  </si>
  <si>
    <t>Інженер</t>
  </si>
  <si>
    <t>Провідний інженер</t>
  </si>
  <si>
    <t>Шведовская</t>
  </si>
  <si>
    <t>Разом по підприємству:</t>
  </si>
  <si>
    <t>Електромонтер по ремонту та експлуатації мереж 2 роз.</t>
  </si>
  <si>
    <t xml:space="preserve">1838*(1,48-1,53)                         </t>
  </si>
  <si>
    <t>Інженер І кат.</t>
  </si>
  <si>
    <t>К. П. Репічева</t>
  </si>
  <si>
    <t>витютнев</t>
  </si>
  <si>
    <t>1838*(1,44-1,59)/1,445</t>
  </si>
  <si>
    <t>Токар 5роз.</t>
  </si>
  <si>
    <t>1210.1</t>
  </si>
  <si>
    <t>2149.2</t>
  </si>
  <si>
    <t>2419.3</t>
  </si>
  <si>
    <t>1222.2</t>
  </si>
  <si>
    <t>1226.2</t>
  </si>
  <si>
    <t>Секретар керівника</t>
  </si>
  <si>
    <t xml:space="preserve">1223.1 </t>
  </si>
  <si>
    <t>Фахівець із цивільної оборони</t>
  </si>
  <si>
    <t>Юристконсульт</t>
  </si>
  <si>
    <t>Провідний спеціаліст- бухгалтер</t>
  </si>
  <si>
    <t>Інженер з комплектації устаткування і матеріалів</t>
  </si>
  <si>
    <t>Завідувач центральним складом</t>
  </si>
  <si>
    <t>Начальник гаража</t>
  </si>
  <si>
    <t>7241(62)</t>
  </si>
  <si>
    <t>7241(1)</t>
  </si>
  <si>
    <t>7231(42)</t>
  </si>
  <si>
    <t>8331(1)</t>
  </si>
  <si>
    <t>Електромонтер диспечерського устаткування та телеавтоматики 4 роз.</t>
  </si>
  <si>
    <t>Електромонтер оперативно-виїзної бригади 4 роз.</t>
  </si>
  <si>
    <t>2441.2</t>
  </si>
  <si>
    <t>Водій ГАЗ -53 АП-17-1од.,ГАЗ -3307,ГАЗ 3309 АП-18 2од., (вантажопідйомність від1,5-5,0 тн.)</t>
  </si>
  <si>
    <t>Електромонтер з випробувань та вимірювань 4роз.</t>
  </si>
  <si>
    <r>
      <t>Електромонтер з ремонту та обслуговування апаратури та пристроїв зв</t>
    </r>
    <r>
      <rPr>
        <sz val="9"/>
        <rFont val="Arial"/>
        <family val="2"/>
      </rPr>
      <t>´</t>
    </r>
    <r>
      <rPr>
        <sz val="9"/>
        <rFont val="Arial Cyr"/>
        <family val="0"/>
      </rPr>
      <t>язку 3роз.</t>
    </r>
  </si>
  <si>
    <t>-</t>
  </si>
  <si>
    <t>Електромонтер з ремонту  та монтажу кабельної лінії 4 роз.</t>
  </si>
  <si>
    <t>Електромонтер з ремонту  та монтажу кабельної лінії 3 роз.</t>
  </si>
  <si>
    <t>Електромонтер по ремонту та обслуговування електроустаткування 3 роз.</t>
  </si>
  <si>
    <t>Електромонтер по ремонту та обслуговування електроустаткування 4 роз.</t>
  </si>
  <si>
    <t>ЗКППТР</t>
  </si>
  <si>
    <t xml:space="preserve">7241(1) </t>
  </si>
  <si>
    <t xml:space="preserve">7241(66) </t>
  </si>
  <si>
    <t>8211(42)</t>
  </si>
  <si>
    <t>Слюсар зі складання  металевих конструкцій 4роз.</t>
  </si>
  <si>
    <t>Електрозварник ручного зварювання 4роз.</t>
  </si>
  <si>
    <t>7212          (42,64)</t>
  </si>
  <si>
    <t>19260          19258</t>
  </si>
  <si>
    <t>Слюсар з ремонту автомобілів 4роз.</t>
  </si>
  <si>
    <t>Слюсар з ремонту автомобілів 3роз.</t>
  </si>
  <si>
    <t>ВСЬОГО:</t>
  </si>
  <si>
    <t>ЕКСПЛУАТАЦІЙНО -ТЕХНІЧНИЙ РАЙОН № 1</t>
  </si>
  <si>
    <t>ЕКСПЛУАТАЦІЙНО -ТЕХНІЧНИЙ РАЙОН № 3</t>
  </si>
  <si>
    <t>Начальник ПЕВ</t>
  </si>
  <si>
    <t>Електромонтер з ремонту  та монтажу кабельних ліній 4 роз.</t>
  </si>
  <si>
    <t>Електромонтер з ремонту  та монтажу кабельних ліній 3 роз.</t>
  </si>
  <si>
    <t>Електромонтер з експлуатації розподільних  мереж  4 роз.</t>
  </si>
  <si>
    <t>Електромонтер з експлуатації розподільних  мереж  3 роз.</t>
  </si>
  <si>
    <t>Абрамов І. М.</t>
  </si>
  <si>
    <t>Ігнатьєва ІІ к.- 2575,00</t>
  </si>
  <si>
    <t>Стаднік С.Ф.</t>
  </si>
  <si>
    <t>Колісник Г.М.</t>
  </si>
  <si>
    <t>Приходько О.М.</t>
  </si>
  <si>
    <t>Міняйло В.Я.</t>
  </si>
  <si>
    <t>Горбенко В.В.</t>
  </si>
  <si>
    <t>від директора мінус 10%</t>
  </si>
  <si>
    <t>Коваленко І. І.</t>
  </si>
  <si>
    <t>Шведовська Л. П.</t>
  </si>
  <si>
    <t>Твердохліб Є. А.</t>
  </si>
  <si>
    <t>Свистун В. О.</t>
  </si>
  <si>
    <t>Должиков О. І.</t>
  </si>
  <si>
    <t>Полончук М. Т.</t>
  </si>
  <si>
    <t>Бабенко І. В.</t>
  </si>
  <si>
    <t>Горбатова О. О.</t>
  </si>
  <si>
    <t>Козюра О. О.</t>
  </si>
  <si>
    <t>Олефіренко О. А.</t>
  </si>
  <si>
    <t>Прокопенко М. П.</t>
  </si>
  <si>
    <t>Репічева Т. В.</t>
  </si>
  <si>
    <t xml:space="preserve">Пиріг Т. І. </t>
  </si>
  <si>
    <t>Пехота І. В.</t>
  </si>
  <si>
    <t>Репічева К. П.</t>
  </si>
  <si>
    <t>Лановенко О. Е.</t>
  </si>
  <si>
    <t>Діденко С. М.</t>
  </si>
  <si>
    <t>Біжко В. Г., Нальота А. І., Анненков С. С., Візір І. П.</t>
  </si>
  <si>
    <t>Гужва О. В., Литвиненко В. А., Харитонов О. В, Миколайко Ю. О., Хмара М. С, Антонець П. А., Давиденко М. С. - кран, Бабій Ю. І. - сид. тягач</t>
  </si>
  <si>
    <t>Мазан С. М.</t>
  </si>
  <si>
    <t>Пильов М. В.</t>
  </si>
  <si>
    <t>Алексеєв А. Г.</t>
  </si>
  <si>
    <t>Череута М. О., Лебедєв Ф. Т.</t>
  </si>
  <si>
    <t>Волошин В. В., Драмарецький В. А.</t>
  </si>
  <si>
    <t>Код КП</t>
  </si>
  <si>
    <t>Тарифна ставка</t>
  </si>
  <si>
    <t>Кількість штатних одиниць</t>
  </si>
  <si>
    <t>Місячний оклад або тарифна ставка</t>
  </si>
  <si>
    <t>Місячний фонд заробітньої плати</t>
  </si>
  <si>
    <t>Персональні надбавки</t>
  </si>
  <si>
    <t>Примітки               галузева угода/факт</t>
  </si>
  <si>
    <t>ЕКСПЛУАТАЦІЙНО - ТЕХНІЧНИЙ РАЙОН № 2</t>
  </si>
  <si>
    <t xml:space="preserve">Червоноштан Ю. О. </t>
  </si>
  <si>
    <t>2144.2</t>
  </si>
  <si>
    <t>Сестра медична</t>
  </si>
  <si>
    <t>Директор КП "Міськсвітло"</t>
  </si>
  <si>
    <t>Спеціаліст  -бухгалтер І кат.</t>
  </si>
  <si>
    <t>Інженер  з охорони праці І кат.</t>
  </si>
  <si>
    <t>Інженер- електронік 1кат.</t>
  </si>
  <si>
    <t>Коротушенко О.Б.</t>
  </si>
  <si>
    <t>Турчаненко А.П., Листопад А. М. (3 розряд - 1,64)</t>
  </si>
  <si>
    <t>экономия по окладам</t>
  </si>
  <si>
    <t>по вакансиям</t>
  </si>
  <si>
    <t>месячный ФОТ</t>
  </si>
  <si>
    <t>месячный ФОТ с начисл.</t>
  </si>
  <si>
    <t>годовой ФОТ с начисл.</t>
  </si>
  <si>
    <t>Всього місячний фонд заробітньої плати</t>
  </si>
  <si>
    <t>2046,24*(2,0-2,3)/2,0</t>
  </si>
  <si>
    <t>2046,24*(1,25-1,4)/1,3</t>
  </si>
  <si>
    <t>2046,24*(1,50-1,52)/1,5</t>
  </si>
  <si>
    <t>2046,24*(2,2-2,5)/2,2</t>
  </si>
  <si>
    <t>2046,24*(1,72-1,75)/1,72</t>
  </si>
  <si>
    <t>2046,24*(1,85-1,96)/1,85                      16% проф. майстерність</t>
  </si>
  <si>
    <t>2046,24*(1,65-1,74)/1,65                         12% проф. майстерність</t>
  </si>
  <si>
    <t>Підскребаєв О. М. 2роз. - 19,25</t>
  </si>
  <si>
    <t>2046,24*(3,0-3,3)/3,1</t>
  </si>
  <si>
    <t>2046,24*(1,85-1,96)/1,96                  16% проф. майстерність</t>
  </si>
  <si>
    <t>2046,24*(1,65-1,74)/1,74                    12% проф. майстерність</t>
  </si>
  <si>
    <t>2046,24*(2,0-2,6)/2,45</t>
  </si>
  <si>
    <t>2046,24*(2,3-2,6)2,4</t>
  </si>
  <si>
    <t>2046,24*(2,2-2,5)2,25</t>
  </si>
  <si>
    <t>2046,24*(2,05-2,4)/2,1</t>
  </si>
  <si>
    <t>2046,24*(2,3-2,6)/2,4</t>
  </si>
  <si>
    <t>2046,24*(1,85-1,96)/1,87                      16% проф. майстерність</t>
  </si>
  <si>
    <t>2046,24*(1,65-1,74)/1,7                         12% проф. майстерність</t>
  </si>
  <si>
    <t>2046,24*(1,85-1,96)/1,86                      16% проф. майстерність</t>
  </si>
  <si>
    <t>1218*1,2*(1,2-1,35)/1,3</t>
  </si>
  <si>
    <t>Маляр 4роз.</t>
  </si>
  <si>
    <t xml:space="preserve">2046,24*(1,89-1,96)/1,89         8% за шкідливі умови праці </t>
  </si>
  <si>
    <t>Водій авт."соболь", водій  ВАЗ 212140 (об´єм двигуна до 1,8л)</t>
  </si>
  <si>
    <t xml:space="preserve">Кулик Д. І. </t>
  </si>
  <si>
    <t>Тракторист</t>
  </si>
  <si>
    <t>2046,24*(2,35-2,7)2,5</t>
  </si>
  <si>
    <t>Давиденко М. С, Василіцин М.В,</t>
  </si>
  <si>
    <t>Ковтун В. М.</t>
  </si>
  <si>
    <t>Діброва В. Г., Репічев В. В., Візір Л.І.</t>
  </si>
  <si>
    <t>Керівники</t>
  </si>
  <si>
    <t>Професіонали</t>
  </si>
  <si>
    <t>ВСЬОГО</t>
  </si>
  <si>
    <t>Фахівці</t>
  </si>
  <si>
    <t>Технічні службовці</t>
  </si>
  <si>
    <t>Власкін Е. А.</t>
  </si>
  <si>
    <t>Начальник відділу ВТС</t>
  </si>
  <si>
    <t>Начальник відділу ПЕВ</t>
  </si>
  <si>
    <t>Начальник району № 1</t>
  </si>
  <si>
    <t>Начальник району № 2</t>
  </si>
  <si>
    <t>Начальник району № 3</t>
  </si>
  <si>
    <t>Начальник ДС</t>
  </si>
  <si>
    <t>Електромонтери</t>
  </si>
  <si>
    <t>Інші робочі</t>
  </si>
  <si>
    <t>Обслуговуючий персонал</t>
  </si>
  <si>
    <t>Водії (АВТОТРАНСПОРТНИЙ ГАРАЖ)</t>
  </si>
  <si>
    <t>Начальник участка ремонту</t>
  </si>
  <si>
    <t>Інженер 2 кат. ВТС</t>
  </si>
  <si>
    <t>Інженер 1 кат. ВТС</t>
  </si>
  <si>
    <t xml:space="preserve">Електромонтери </t>
  </si>
  <si>
    <t>Водії</t>
  </si>
  <si>
    <t>Фахівці, технічні службовці</t>
  </si>
  <si>
    <t>Інші робочі та обслуговуючий персонал</t>
  </si>
  <si>
    <t>Посадові оклади, тарифні ставки робітників підприємства  розраховані з мінімальної ставки робітника 1 розряду основної професії 2046,24 грн. до мінімальної заробітної плати встановленої Законом про Державний бюджет України з 01 січня 2014 року у сумі 1218</t>
  </si>
  <si>
    <t>2046,24*(2,35-2,7)/2,7</t>
  </si>
  <si>
    <t>2046,24* (2,35-2,7)/2,65</t>
  </si>
  <si>
    <t>2046,24* (2,35-2,7)/2,6</t>
  </si>
  <si>
    <t>2046,24*(2,35-2,7)2,6</t>
  </si>
  <si>
    <t>2046,24*(2,35-2,7)/2,64</t>
  </si>
  <si>
    <t>2046,24*(2,6-2,8)/2,6</t>
  </si>
  <si>
    <t>2046,24* (2,2-2,5)/2,2</t>
  </si>
  <si>
    <t>Оператор диспетчерської служби</t>
  </si>
  <si>
    <t>2046,24*(2,00-2,3)/2,0</t>
  </si>
  <si>
    <t>24215 </t>
  </si>
  <si>
    <t>Електромонтер з ескізування трас ліній електропередачі 3 роз.</t>
  </si>
  <si>
    <t>2046,24*(1,5-1,56)/1,5</t>
  </si>
  <si>
    <t>Згідно Галузевої угоди, тарифна ставка 1 розряду основної професії (електромонтера) -1218*1,2*1,40=2046,24грн.,де 1,4 - коефіцієнт співвідношень мінімальної тарифної ставки робітника 1 розряду,тарифна ставка електромонтера 4 розряду 2046,24*(1,85-1,92) = 22,69</t>
  </si>
  <si>
    <t>2046,24*(2,2-2,5)/2,3</t>
  </si>
  <si>
    <t>2210*(1,43-1,47)*1,47                    25% класність</t>
  </si>
  <si>
    <t>2210*(1,49-1,51)*1,49                    25% класність,</t>
  </si>
  <si>
    <t>2210*(1,51-1,59)/1,51                   25% класність,</t>
  </si>
  <si>
    <t>2210*(1,51-1,59)/1,59                  25% класність,</t>
  </si>
  <si>
    <t xml:space="preserve">2046,24*(1,82-2,4)/2,2 </t>
  </si>
  <si>
    <r>
      <t>Водій легк. авт-ля Опель(об</t>
    </r>
    <r>
      <rPr>
        <sz val="10"/>
        <rFont val="Arial"/>
        <family val="2"/>
      </rPr>
      <t>´</t>
    </r>
    <r>
      <rPr>
        <sz val="10"/>
        <rFont val="Arial Cyr"/>
        <family val="0"/>
      </rPr>
      <t>єм двигуна від 1,8-до 3,5л)</t>
    </r>
  </si>
  <si>
    <r>
      <t>Водій легк. авт-ля Волга 31029(об</t>
    </r>
    <r>
      <rPr>
        <sz val="10"/>
        <rFont val="Arial"/>
        <family val="2"/>
      </rPr>
      <t>´</t>
    </r>
    <r>
      <rPr>
        <sz val="10"/>
        <rFont val="Arial Cyr"/>
        <family val="0"/>
      </rPr>
      <t>єм двигуна від 1,8-до 3,5л)</t>
    </r>
  </si>
  <si>
    <t>2210*(1,43-1,47)*1,43                    25% класність</t>
  </si>
  <si>
    <t>Водій ГАЗ 53 ОМС грузов.автом.(вантажопідйомність від 3,0-5,0тн.)</t>
  </si>
  <si>
    <t>2210*(1,59-1,66)*1,60                     25% класність</t>
  </si>
  <si>
    <t>2210*(1,43-1,50)*1,50                    25% класність</t>
  </si>
  <si>
    <t>2046,24(2,1-2,18)/2,1 профмастерство 16%</t>
  </si>
  <si>
    <t>2046,24(1,84-1,91)/1,85 8% за шкідливі умови праці</t>
  </si>
  <si>
    <t>2046,24*(1,4-1,52)/1,4</t>
  </si>
  <si>
    <t>1218*1,2(1,15-1,2)/1,15</t>
  </si>
  <si>
    <t>від гол.бух-10-30%( 15%)</t>
  </si>
  <si>
    <t>2046,24*(1,25-1,35)/1,25</t>
  </si>
  <si>
    <t>від директора 10-30%(15%)</t>
  </si>
  <si>
    <t>Хмара М.С.., Калина В. А.,Багатіков А.А.</t>
  </si>
  <si>
    <t>, Воробей Л.О.</t>
  </si>
  <si>
    <t>2046,24*(1,5-1,56)1,5   12% профмастерство</t>
  </si>
  <si>
    <t>Водій ГАЗ 52 -4 одТВГ-15(  1,5-3,0тн.)</t>
  </si>
  <si>
    <t>Водій ГАЗ-53 ТВГ-15- 1од. ТВГ-15,          (вантажопідйомність від1,5-5,0 тн.)</t>
  </si>
  <si>
    <t>Водій ЗІЛ- АП- 17-1од.,ЗІЛ-130(сідельний тягач)- 1од.,крана автомобильного-1од. (вантажопідйомність від 5,0-7,0) ЗИЛ 431 АП-17- 1 од. ЗИЛ-433 АП-18_1од.</t>
  </si>
  <si>
    <t>1218*1,2*1,25 (1,69-1,76) 1,69  12% профмас</t>
  </si>
  <si>
    <t xml:space="preserve">1218*1,2*1,25 (1,69-1,76) 1,69  </t>
  </si>
  <si>
    <t xml:space="preserve">1218*1,2*1,25 (1,5-1,56) 1,56 </t>
  </si>
  <si>
    <t>Аккумуляторник 5 роз.</t>
  </si>
  <si>
    <t xml:space="preserve">1218*1,2*1,25 (1,93-2,1) 1,93  </t>
  </si>
  <si>
    <t xml:space="preserve">1218*1,2*(1,2-1,45)/1,4    </t>
  </si>
  <si>
    <t>1218*1,2*1,25*(1,69-1,76)/1,71           16% проф. майстерність</t>
  </si>
  <si>
    <t>Майстер цеху</t>
  </si>
  <si>
    <t xml:space="preserve">2046,24*(2,1-2,2)/2,2                         </t>
  </si>
  <si>
    <t>Комунальне підприємство "Міськсвітло" Дніпропетровської міської ради  на 2015 рік</t>
  </si>
  <si>
    <t>_______________ О. А. Олефіренко</t>
  </si>
  <si>
    <t xml:space="preserve">В. о. заступника міського голови,
директора департаменту КГ та КБ 
</t>
  </si>
  <si>
    <t>Завідуючий господарством</t>
  </si>
  <si>
    <t>2046,24*1,55</t>
  </si>
  <si>
    <t>Бондаренко О. В.</t>
  </si>
  <si>
    <t>Ярличенко О.Г.  Бабенко І.В.</t>
  </si>
  <si>
    <t>Пенжуляк М. С</t>
  </si>
  <si>
    <t>Гатило С.П., Грибков О. Л(3р)., Мучкін С. М., Ніколаєв В. І. Шибка Р.О.(3р)</t>
  </si>
  <si>
    <t>Сидоренко А. С., Єрмолаєв С. В., Марченко В. І., Левченко А. П., Чуприна С. Д., Загинайло С. І. (3р)</t>
  </si>
  <si>
    <t>Електромонтер диспечерського устаткування та телеавтоматики 3 роз.</t>
  </si>
  <si>
    <t xml:space="preserve"> Сидоренко Л. В., Баранова Л. В., Худік О. О., Толпекіна Л. Є.</t>
  </si>
  <si>
    <t xml:space="preserve">2046,24*(1,65-1,74)/1,65                   </t>
  </si>
  <si>
    <t xml:space="preserve">Гончар Ю. Г.        Анненков,А.С. (3р)  </t>
  </si>
  <si>
    <t>Понаровський С. І. Алексієнко О.В.</t>
  </si>
  <si>
    <t>Давлатов Р. С.(3р)Онушко А.А.</t>
  </si>
  <si>
    <t>Панченко О.Н. (2р)</t>
  </si>
  <si>
    <t>2046,24*(1,69-1,76)/1,69                         16% проф. майстерність</t>
  </si>
  <si>
    <t>Вязовська Н.В.</t>
  </si>
  <si>
    <t>Петрочук М.А.</t>
  </si>
  <si>
    <t>Лукяненко Е.І</t>
  </si>
  <si>
    <t>вокансія</t>
  </si>
  <si>
    <t>Парасовченко О.В.</t>
  </si>
  <si>
    <t>Нагорний В. П., Манойленко В.І. Максименко В.В.</t>
  </si>
  <si>
    <t>Кулик Д. І. - 19,39,   2 р</t>
  </si>
  <si>
    <t>Скороход О. О.   Кравченко К.С.     Лук,яненко А.В.</t>
  </si>
  <si>
    <t>Савінов А.В., Кузьменко О.Г..,  Безматерних</t>
  </si>
  <si>
    <t>Вітютнєв Г. О. - 3069,36   (2046,24*1,5/166,833)=18,40  3-р</t>
  </si>
  <si>
    <t>Андрущенко М. О., Ярема С. Т.- 0,5</t>
  </si>
  <si>
    <t xml:space="preserve">Жиленко О. Г. </t>
  </si>
  <si>
    <t>Шейко О. М. - 3160,00  Дідюк С.А.</t>
  </si>
  <si>
    <t>Водоп,ян А.О.</t>
  </si>
  <si>
    <r>
      <t>Бруєв В. В-0,5., Снітко В. І.</t>
    </r>
    <r>
      <rPr>
        <sz val="10"/>
        <color indexed="62"/>
        <rFont val="Times New Roman"/>
        <family val="1"/>
      </rPr>
      <t xml:space="preserve"> 1- вокансія</t>
    </r>
  </si>
  <si>
    <r>
      <t xml:space="preserve">Чернишов. І.   3 р            </t>
    </r>
    <r>
      <rPr>
        <sz val="10"/>
        <color indexed="62"/>
        <rFont val="Times New Roman"/>
        <family val="1"/>
      </rPr>
      <t xml:space="preserve"> 1- вокансія</t>
    </r>
  </si>
  <si>
    <r>
      <t xml:space="preserve">Дубакін О. А., Чернишов Р. Г.,   </t>
    </r>
    <r>
      <rPr>
        <sz val="10"/>
        <color indexed="62"/>
        <rFont val="Times New Roman"/>
        <family val="1"/>
      </rPr>
      <t xml:space="preserve"> </t>
    </r>
    <r>
      <rPr>
        <sz val="10"/>
        <rFont val="Times New Roman"/>
        <family val="1"/>
      </rPr>
      <t>Старченко Р.В. ( 3 р)</t>
    </r>
  </si>
  <si>
    <t xml:space="preserve">           вводиться з "__01___"  __листопада___ 2015 року</t>
  </si>
  <si>
    <t xml:space="preserve"> ___________________В. В. Грицай</t>
  </si>
  <si>
    <t>О. В. Роговенко</t>
  </si>
  <si>
    <t>559205 грн. (п,ятсот п,ятдесят дев,ять  тисячі двісті пять три  гривень)</t>
  </si>
  <si>
    <t>Штат в кількості 133одиниці</t>
  </si>
  <si>
    <t>Штат в кількості 133 одиниці</t>
  </si>
  <si>
    <t>Комунальне підприємство "Міськсвітло" Дніпропетровської міської ради</t>
  </si>
  <si>
    <t>№ 3/п</t>
  </si>
  <si>
    <t>Підрозділ,  посада</t>
  </si>
  <si>
    <t>Посадовий оклад,грн.</t>
  </si>
  <si>
    <t>Доплати*,грн.(%)</t>
  </si>
  <si>
    <t>011</t>
  </si>
  <si>
    <t>038</t>
  </si>
  <si>
    <t>012</t>
  </si>
  <si>
    <t>Надбавки*,грн.(%)</t>
  </si>
  <si>
    <t>023</t>
  </si>
  <si>
    <t>027</t>
  </si>
  <si>
    <t>036</t>
  </si>
  <si>
    <t>Місячний фонд зарплати,грн.</t>
  </si>
  <si>
    <t xml:space="preserve">Примітки              </t>
  </si>
  <si>
    <t>Кравець</t>
  </si>
  <si>
    <t>Роговенко О.В.</t>
  </si>
  <si>
    <t>вакансия</t>
  </si>
  <si>
    <t>Сокуренко С.</t>
  </si>
  <si>
    <t>Бабенко І.В.</t>
  </si>
  <si>
    <t>Майстер участку ремонта ілюмінаційного обладнання</t>
  </si>
  <si>
    <t>25,66 грн./год. (4283)</t>
  </si>
  <si>
    <t>20,80 грн./год. (3472)</t>
  </si>
  <si>
    <t>22,88грн./год. (3820)</t>
  </si>
  <si>
    <t>Електромонтер з ремонту та обслуговування апаратури та пристроїв зв´язку 3роз.</t>
  </si>
  <si>
    <t>25,66 грн./год (4283)</t>
  </si>
  <si>
    <t>27,18 грн./год (4537)</t>
  </si>
  <si>
    <t>24,13 грн./год. (4028)</t>
  </si>
  <si>
    <t xml:space="preserve">ЦЕХ ПО РЕМОНТУ ЕЛЕКТРООБЛАДНАННЯ </t>
  </si>
  <si>
    <t>23,44 грн./год. (3912)</t>
  </si>
  <si>
    <t>Електромонтер з ремонту та обслуговування електроустаткування, безпосередньо зайнятий ремонтом ілюмінаційного обладнання 4 роз.</t>
  </si>
  <si>
    <t xml:space="preserve">Разом </t>
  </si>
  <si>
    <t>Разом</t>
  </si>
  <si>
    <t>Водій автотранспорту ГАЗ-53 ТВГ-15- 1од. ТВГ-15,          (вантажопідйомність від1,5-5,0 тн.)</t>
  </si>
  <si>
    <t>Водій автотранспорту ГАЗ 53 ОМС грузов.автом.(вантажопідйомність від 3,0-5,0тн.)</t>
  </si>
  <si>
    <t>22,29 гр./год. (3721)</t>
  </si>
  <si>
    <t>22,59грн./год. (3770)</t>
  </si>
  <si>
    <t>23,78 грн./год. (3970)</t>
  </si>
  <si>
    <t>22,59 грн./год. (3770)</t>
  </si>
  <si>
    <t>Водій ЗІЛ- АП- 17-1од.,ЗІЛ-130(сідельний тягач)- 1од.,крана автомобильного-1од. (вантажопідйомність від 5,0-7,0) ЗИЛ 431 АП-17- 1 од. ЗИЛ-433 АП-18 1од.</t>
  </si>
  <si>
    <t>12,88 грн./год. (2150)</t>
  </si>
  <si>
    <t>26,21 грн./год.  (4375)</t>
  </si>
  <si>
    <t>ОСНОВНЕ ВИРОБНИЦТВО</t>
  </si>
  <si>
    <t>Водій автотранспорту ГАЗ 52 -4 од ТВГ-15(  1,5-3,0тн.)</t>
  </si>
  <si>
    <t>Водій автотранспорту ГАЗ -53 АП-17-1од.,ГАЗ -3307-1 од.,ГАЗ 3309 АП-18 -8 од., (вантажопідйомність від1,5-5,0 тн.)</t>
  </si>
  <si>
    <t>Водій автотранспорту легк. авт-ля Волга 31029, Форд Транзит (об´єм двигуна від 1,8-до 3,5л)</t>
  </si>
  <si>
    <r>
      <t>Бруєв В. В-0,5., Снітко В. І.</t>
    </r>
    <r>
      <rPr>
        <sz val="10.5"/>
        <color indexed="62"/>
        <rFont val="Times New Roman"/>
        <family val="1"/>
      </rPr>
      <t xml:space="preserve"> 1- вокансія</t>
    </r>
  </si>
  <si>
    <r>
      <t xml:space="preserve">Дубакін О. А., Чернишов Р. Г.,   </t>
    </r>
    <r>
      <rPr>
        <sz val="10.5"/>
        <color indexed="62"/>
        <rFont val="Times New Roman"/>
        <family val="1"/>
      </rPr>
      <t xml:space="preserve"> </t>
    </r>
    <r>
      <rPr>
        <sz val="10.5"/>
        <rFont val="Times New Roman"/>
        <family val="1"/>
      </rPr>
      <t>Старченко Р.В. ( 3 р)</t>
    </r>
  </si>
  <si>
    <r>
      <t xml:space="preserve">Чернишов. І.   3 р            </t>
    </r>
    <r>
      <rPr>
        <sz val="10.5"/>
        <color indexed="62"/>
        <rFont val="Times New Roman"/>
        <family val="1"/>
      </rPr>
      <t xml:space="preserve"> 1- вокансія</t>
    </r>
  </si>
  <si>
    <t>доплата за роботу  у важких і шкідливих та особливо важких і особливо шкідливих умовах праці</t>
  </si>
  <si>
    <t>надбавка за класність водіям за високу професійну майстерність</t>
  </si>
  <si>
    <t>надбавка за високі досягнення у праці</t>
  </si>
  <si>
    <t>доплата за керівництво бригадою</t>
  </si>
  <si>
    <t>за контрактом надбавка за інтенсивність праці</t>
  </si>
  <si>
    <t>Всього</t>
  </si>
  <si>
    <t>Всього:</t>
  </si>
  <si>
    <t>Всьго:</t>
  </si>
  <si>
    <t xml:space="preserve"> ШТАТНИЙ РОЗПИС</t>
  </si>
  <si>
    <t>Премія за виконання виробничого плану до 35%</t>
  </si>
  <si>
    <t>10% від директора</t>
  </si>
  <si>
    <t>доплата за профмайстерність</t>
  </si>
  <si>
    <t>Фахівець з питань цивільного захисту</t>
  </si>
  <si>
    <t>Посадові оклади, тарифні ставки робітників підприємства  на 2016 рік  розраховані з мінімальної ставки робітника 1 розряду основної професії 2315,04 грн. до мінімальної заробітної плати встановленої Законом про Державний бюджет України з 31 січня 2016 року у сумі 1378</t>
  </si>
  <si>
    <t>Згідно Галузевої угоди, тарифна ставка 1 розряду основної професії (електромонтера) -1378*1,2*1,40=2315,04 грн.,де 1,4 - коефіцієнт співвідношень мінімальної тарифної ставки робітника 1 розряду,тарифна ставка електромонтера 4 розряду у середньому 2315,04*(1,85-1,92) = 26,14</t>
  </si>
  <si>
    <t>Перший заступник міського голови Дніпропетровської міської ради</t>
  </si>
  <si>
    <t>22,88 грн./год. (3820)</t>
  </si>
  <si>
    <t>23,93 грн./год. (3994)</t>
  </si>
  <si>
    <t>перший заступник директора</t>
  </si>
  <si>
    <t>заступник директора</t>
  </si>
  <si>
    <t>25% від директора</t>
  </si>
  <si>
    <t>10% від заступника директора</t>
  </si>
  <si>
    <t>9% від директора</t>
  </si>
  <si>
    <t>_________________М.О. Лисенко</t>
  </si>
  <si>
    <t>_______________ Д.Ф.Старовойиов</t>
  </si>
  <si>
    <t>І.В. Бабенко</t>
  </si>
  <si>
    <t xml:space="preserve">  нз 01 травня  2016 року</t>
  </si>
  <si>
    <t>Згідно Галузевої угоди, тарифна ставка 1 розряду основної професії (електромонтера) -1450*1,2*1,40=2436,00 грн.,де 1,4 - коефіцієнт співвідношень мінімальної тарифної ставки робітника 1 розряду,тарифна ставка електромонтера 4 розряду у середньому 2436,00*(1,85-1,92) = ( 166,92годовой фонд времени на 2016год)- часовая тарифная ставка-27,00-28,01</t>
  </si>
  <si>
    <t>Посадові оклади, тарифні ставки робітників підприємства  на 2016 рік  розраховані з мінімальної ставки робітника 1 розряду основної професії 2436,00 грн. до мінімальної заробітної плати встановленої Законом про Державний бюджет України з 01 травня 2016 року у сумі 1450</t>
  </si>
  <si>
    <t>12% від директора</t>
  </si>
  <si>
    <t>за контрактом</t>
  </si>
  <si>
    <t>20% от оклада директора</t>
  </si>
  <si>
    <t>20% від  директора</t>
  </si>
  <si>
    <t>20% від директора</t>
  </si>
  <si>
    <t>25% от оклада гл.бухгалтера</t>
  </si>
  <si>
    <t>25% від головного бухгалтера</t>
  </si>
  <si>
    <t>1450*1,2*1,4*3,3</t>
  </si>
  <si>
    <t>Нікіта</t>
  </si>
  <si>
    <t>2436*1,55</t>
  </si>
  <si>
    <t>1450*1,2(1,15-1,2)/1,15</t>
  </si>
  <si>
    <t>2436*(1,85-1,96)/1,85                   16% проф. майстерність</t>
  </si>
  <si>
    <t>2436*(1,65-1,74)/1,65                         12% проф. майстерність</t>
  </si>
  <si>
    <t>24,08 грн./год. (4020)</t>
  </si>
  <si>
    <t>2262*(1,5-1,56)/1,5</t>
  </si>
  <si>
    <t>20,33 грн./год. (3393)</t>
  </si>
  <si>
    <t>2436*(1,85-1,96)/1,85                      16% проф. майстерність</t>
  </si>
  <si>
    <t>2436*(1,65-1,74)/1,74                    12% проф. майстерність</t>
  </si>
  <si>
    <t>2436* (2,35-2,7)/2,65</t>
  </si>
  <si>
    <t>2436* (2,35-2,7)/2,6</t>
  </si>
  <si>
    <t>2436*(2,35-2,7)/2,7</t>
  </si>
  <si>
    <t>2436*(2,35-2,7)2,6</t>
  </si>
  <si>
    <t>2436*(2,6-2,8)/2,6</t>
  </si>
  <si>
    <t>2436*(2,35-2,7)/2,64</t>
  </si>
  <si>
    <t>2436*(2,35-2,7)2,5</t>
  </si>
  <si>
    <t xml:space="preserve">2436*(2,1-2,2)/2,2                         </t>
  </si>
  <si>
    <t>2436(2,2-2,5)/2,2</t>
  </si>
  <si>
    <t>2436*(2,0-2,3)/2,0</t>
  </si>
  <si>
    <t>2436*(2,3-2,6)2,4</t>
  </si>
  <si>
    <t>2436*(2,05-2,4)/2,1</t>
  </si>
  <si>
    <t>2436*(2,2-2,5)2,25</t>
  </si>
  <si>
    <t>2436* (2,2-2,5)/2,2</t>
  </si>
  <si>
    <t>2436*(2,2-2,5)/2,2</t>
  </si>
  <si>
    <t>2436*(2,2-2,5)/2,3</t>
  </si>
  <si>
    <t>2436*(2,3-2,6)/2,4</t>
  </si>
  <si>
    <t>2436*(2,00-2,3)/2,0</t>
  </si>
  <si>
    <t>2436*2,6</t>
  </si>
  <si>
    <t>2436*(1,25-1,4)/1,3</t>
  </si>
  <si>
    <t>2436*(1,4-1,52)/1,4</t>
  </si>
  <si>
    <t>26,99 грн./год (4506,6)</t>
  </si>
  <si>
    <t>2436*(1,85-1,96)/1,9                16% проф. майстерність</t>
  </si>
  <si>
    <t>27,73 грн./год (4628,4)</t>
  </si>
  <si>
    <t>25,39 грн./год. (4238,6)</t>
  </si>
  <si>
    <t>2436*(1,65-1,74)/1,65                    12% проф. майстерність</t>
  </si>
  <si>
    <t>Електромонтер з випробувань та вимірювань3роз.</t>
  </si>
  <si>
    <t>21,14 грн./год (3528)</t>
  </si>
  <si>
    <t>1450*1,2*1,3*(1,5-1,56)/1,56           12% проф. майстерність</t>
  </si>
  <si>
    <t>1450*1,2*1,3*(1,69-1,76)/1,73                         16% проф. майстерність</t>
  </si>
  <si>
    <t>23,75 грн./год. (3965)</t>
  </si>
  <si>
    <t>Водій автотранспорту легк. авт-ля Ланос Пікап об´єм двигуна до 1,8</t>
  </si>
  <si>
    <t>Водій автотроанспорту авт.Опєль,"соболь", водій  ВАЗ, 212140 (об´єм двигуна от 1,8л-3,5)</t>
  </si>
  <si>
    <t>1450*1,2*(1,48-1,57)=1,55=2698*1,43                    25% класність</t>
  </si>
  <si>
    <t>23,10 грн./год. (3858)</t>
  </si>
  <si>
    <t>1450*1,2*(1,48-1,57)=1,55=2698*1,47                    25% класність</t>
  </si>
  <si>
    <t>24,07 гр./год. (4018)</t>
  </si>
  <si>
    <t>2697(1,49-1,51)*1,49                    25% класність,</t>
  </si>
  <si>
    <t>2697(1,49-1,51)*1,5                    25% класність,</t>
  </si>
  <si>
    <t>24,23 гр./год. (4045)</t>
  </si>
  <si>
    <t>2697*(1,51-1,59)/1,57                  25% класність,</t>
  </si>
  <si>
    <t>25,37 грн./год. (4235)</t>
  </si>
  <si>
    <t>2697*(1,51-1,59)/1,51                   25% класність,</t>
  </si>
  <si>
    <t>24,40 грн./год. (4072)</t>
  </si>
  <si>
    <t>2697*(1,59-1,66)*1,60                     25% класність</t>
  </si>
  <si>
    <t>25,85 грн./год. (4315)</t>
  </si>
  <si>
    <t>1450*1,2*1,36*(2,1-2,18)/2,1 профмастерство 16%</t>
  </si>
  <si>
    <t>29,77 грн./год. (4969)</t>
  </si>
  <si>
    <t>1450*1,2*1,3 (1,69-1,76) 1,75  12% профмас</t>
  </si>
  <si>
    <t>23,71 грн./год. (3958)</t>
  </si>
  <si>
    <t>1450*1,2*1,4*(1,84-1,91)/1,85 8% за шкідливі умови праці</t>
  </si>
  <si>
    <t>27,00 грн./год. (4506)</t>
  </si>
  <si>
    <t xml:space="preserve">1450*1,2*1,4**(1,89-1,96)/1,89         8% за шкідливі умови праці </t>
  </si>
  <si>
    <t>27,58 грн./год.  (4604)</t>
  </si>
  <si>
    <t xml:space="preserve">1450*1,2*1,3 (1,69-1,76) 1,69  </t>
  </si>
  <si>
    <t>22,90 грн./год. (3822)</t>
  </si>
  <si>
    <t xml:space="preserve">1450*1,2*1,3 (1,93-2,1) 1,93  </t>
  </si>
  <si>
    <t>26,15 грн./год. (4365)</t>
  </si>
  <si>
    <t>1450*1,2*(1,25-1,35)/1,35</t>
  </si>
  <si>
    <t xml:space="preserve">1450*1,2*1,3 (1,50-1,56) 1,52  </t>
  </si>
  <si>
    <t>20,60 грн./год.   (3438)</t>
  </si>
  <si>
    <t>1450*1,2*(1,2-1,35)/1,35</t>
  </si>
  <si>
    <t>14,07 грн./год. (2349)</t>
  </si>
  <si>
    <t>1450*1,2*(1,2-1,35)/1,3</t>
  </si>
  <si>
    <t>13,55 грн./год. (2262)</t>
  </si>
  <si>
    <t>20,08 грн./год (3353)</t>
  </si>
  <si>
    <t>20,80 грн./год. (3353)</t>
  </si>
  <si>
    <t>21,50 грн./год. (3588)</t>
  </si>
  <si>
    <t>1378*1,2*(1,48-1,57)=1,55=2563,08*1,43                    25% класність</t>
  </si>
  <si>
    <t>1378*1,2*(1,48-1,57)=1,55=2563,08*1,47                    25% класність</t>
  </si>
  <si>
    <t>1378*1,2*(1,48-1,57)=1,55=2563*1,47                    25% класність</t>
  </si>
  <si>
    <t>22,57 грн./год. (3767,74)</t>
  </si>
  <si>
    <t>22,57 грн./год. (3767,73)</t>
  </si>
  <si>
    <t>28,3 грн./год. (4723)</t>
  </si>
  <si>
    <t>1378*1,2*1,36*(2,1-2,18)/2,1 профмастерство 16%</t>
  </si>
  <si>
    <t>1378*1,2*1,3 (1,69-1,76) 1,75  12% профмас</t>
  </si>
  <si>
    <t>22,53грн/год(3762)</t>
  </si>
  <si>
    <t>1378*1,2*1,4*(1,84-1,91)/1,85 8% за шкідливі умови праці</t>
  </si>
  <si>
    <t xml:space="preserve">1378*1,2*1,4**(1,89-1,96)/1,89         8% за шкідливі умови праці </t>
  </si>
  <si>
    <t xml:space="preserve">1378*1,2*1,3 (1,69-1,76) 1,69  </t>
  </si>
  <si>
    <t>221,76 грн./год. (3632)</t>
  </si>
  <si>
    <t xml:space="preserve">1378*1,2*1,3 (1,93-2,1) 1,93  </t>
  </si>
  <si>
    <t>24,85 грн./год. (4148)</t>
  </si>
  <si>
    <t>1378*1,2*(1,25-1,35)/1,35</t>
  </si>
  <si>
    <t xml:space="preserve">1378*1,2*1,3 (1,50-1,56) 1,52  </t>
  </si>
  <si>
    <t>19,57 грн./год.   (3267)</t>
  </si>
  <si>
    <t>1378*1,2*(1,2-1,35)/1,35</t>
  </si>
  <si>
    <t>13,37 грн./год. (2232)</t>
  </si>
  <si>
    <t>1378*1,2*(1,2-1,35)/1,3</t>
  </si>
  <si>
    <t>Заступник міського голови Дніпропетровської міської ради</t>
  </si>
  <si>
    <t xml:space="preserve">  на 01 вересня  2016 року</t>
  </si>
  <si>
    <t>_______________ Д.В.Костогриз</t>
  </si>
  <si>
    <t>2419.2</t>
  </si>
  <si>
    <t>2436*(1,50-1,52)/1,52</t>
  </si>
  <si>
    <t>Старший інспектор з кадрів</t>
  </si>
  <si>
    <r>
      <t>ЗАТВЕРДЖЕНО</t>
    </r>
    <r>
      <rPr>
        <sz val="8"/>
        <color indexed="8"/>
        <rFont val="Times New Roman"/>
        <family val="1"/>
      </rPr>
      <t> </t>
    </r>
  </si>
  <si>
    <r>
      <t>Наказ Міністерства фінансів України28.01.2002 № 57 </t>
    </r>
    <r>
      <rPr>
        <sz val="8"/>
        <color indexed="8"/>
        <rFont val="Times New Roman"/>
        <family val="1"/>
      </rPr>
      <t> (у редакції наказу Міністерства фінансів України від 26.11.2012 № 1220)</t>
    </r>
  </si>
  <si>
    <t>24,08грн./год.   (4020)</t>
  </si>
  <si>
    <t>штат у кількості _______ штатних одиниць з місячним фондом заробітної плати _____ гривень </t>
  </si>
  <si>
    <t>Перший заступник директора</t>
  </si>
  <si>
    <t>Заступник директора</t>
  </si>
  <si>
    <t>Завідувач центрального складу</t>
  </si>
  <si>
    <t>Юрисконсульт</t>
  </si>
  <si>
    <t>Електромонтер з ремонту та обслуговування електроустаткування 3 роз.</t>
  </si>
  <si>
    <t>Електромонтер з ремонту та обслуговування електроустаткування 4 роз.</t>
  </si>
  <si>
    <t>Водій автотранспортних засобів легк. авт-ля Ланос Пікап об´єм двигуна до 1,8</t>
  </si>
  <si>
    <t>Водій автотранспортних засобів легк. авт-ля Волга 31029, Форд Транзит (об´єм двигуна від 1,8-до 3,5л)</t>
  </si>
  <si>
    <t>Водій автотранспортних засобів ГАЗ-53 ТВГ-15- 1од. ТВГ-15,          (вантажопідйомність від1,5-3,0 тн.)</t>
  </si>
  <si>
    <t>Водій автотранспортних засобівЗІЛ- АП- 17-1од.,ЗІЛ-130(сідельний тягач)- 1од.,крана автомобильного-1од. (вантажопідйомність від 5,0-7,0) ЗИЛ 431 АП-17- 1 од. ЗИЛ-433 АП-18 1од.</t>
  </si>
  <si>
    <t>Водій автотранспортних засобів авт.Опєль,"соболь", водій  ВАЗ, 212140 (об´єм двигуна от 1,8л-3,5)</t>
  </si>
  <si>
    <t>Слюсар із складання  металевих конструкцій 4роз.</t>
  </si>
  <si>
    <t>Акумуляторник 5 роз.</t>
  </si>
  <si>
    <r>
      <rPr>
        <sz val="10.5"/>
        <color indexed="17"/>
        <rFont val="Times New Roman"/>
        <family val="1"/>
      </rPr>
      <t>Діброва В. Г.</t>
    </r>
    <r>
      <rPr>
        <sz val="10.5"/>
        <rFont val="Times New Roman"/>
        <family val="1"/>
      </rPr>
      <t xml:space="preserve">, </t>
    </r>
    <r>
      <rPr>
        <sz val="10.5"/>
        <color indexed="17"/>
        <rFont val="Times New Roman"/>
        <family val="1"/>
      </rPr>
      <t>Репічев В. В</t>
    </r>
    <r>
      <rPr>
        <sz val="10.5"/>
        <rFont val="Times New Roman"/>
        <family val="1"/>
      </rPr>
      <t xml:space="preserve">., </t>
    </r>
    <r>
      <rPr>
        <sz val="10.5"/>
        <color indexed="17"/>
        <rFont val="Times New Roman"/>
        <family val="1"/>
      </rPr>
      <t>Візір Л.І. Воробєй Л.О</t>
    </r>
  </si>
  <si>
    <r>
      <rPr>
        <sz val="10.5"/>
        <color indexed="17"/>
        <rFont val="Times New Roman"/>
        <family val="1"/>
      </rPr>
      <t>Савінов А.В</t>
    </r>
    <r>
      <rPr>
        <sz val="10.5"/>
        <rFont val="Times New Roman"/>
        <family val="1"/>
      </rPr>
      <t xml:space="preserve">., </t>
    </r>
    <r>
      <rPr>
        <sz val="10.5"/>
        <color indexed="10"/>
        <rFont val="Times New Roman"/>
        <family val="1"/>
      </rPr>
      <t xml:space="preserve">вокансия </t>
    </r>
  </si>
  <si>
    <r>
      <rPr>
        <sz val="9"/>
        <color indexed="17"/>
        <rFont val="Times New Roman"/>
        <family val="1"/>
      </rPr>
      <t>Хмара М.С</t>
    </r>
    <r>
      <rPr>
        <sz val="9"/>
        <rFont val="Times New Roman"/>
        <family val="1"/>
      </rPr>
      <t>..,</t>
    </r>
    <r>
      <rPr>
        <sz val="9"/>
        <color indexed="17"/>
        <rFont val="Times New Roman"/>
        <family val="1"/>
      </rPr>
      <t xml:space="preserve"> Калина В. А.</t>
    </r>
    <r>
      <rPr>
        <sz val="9"/>
        <rFont val="Times New Roman"/>
        <family val="1"/>
      </rPr>
      <t>,</t>
    </r>
    <r>
      <rPr>
        <sz val="9"/>
        <color indexed="17"/>
        <rFont val="Times New Roman"/>
        <family val="1"/>
      </rPr>
      <t>Багатіков А.А. Бабій Ю.І Ковтун В.М.   Миколайко Ю.О.</t>
    </r>
  </si>
  <si>
    <r>
      <rPr>
        <sz val="10.5"/>
        <color indexed="17"/>
        <rFont val="Times New Roman"/>
        <family val="1"/>
      </rPr>
      <t xml:space="preserve">Гужва О. </t>
    </r>
    <r>
      <rPr>
        <sz val="10.5"/>
        <rFont val="Times New Roman"/>
        <family val="1"/>
      </rPr>
      <t xml:space="preserve">В., </t>
    </r>
    <r>
      <rPr>
        <sz val="10.5"/>
        <color indexed="17"/>
        <rFont val="Times New Roman"/>
        <family val="1"/>
      </rPr>
      <t>Литвиненко В. А</t>
    </r>
    <r>
      <rPr>
        <sz val="10.5"/>
        <rFont val="Times New Roman"/>
        <family val="1"/>
      </rPr>
      <t xml:space="preserve">., </t>
    </r>
    <r>
      <rPr>
        <sz val="10.5"/>
        <color indexed="17"/>
        <rFont val="Times New Roman"/>
        <family val="1"/>
      </rPr>
      <t>Харитонов О.</t>
    </r>
    <r>
      <rPr>
        <sz val="10.5"/>
        <rFont val="Times New Roman"/>
        <family val="1"/>
      </rPr>
      <t xml:space="preserve"> В,</t>
    </r>
    <r>
      <rPr>
        <sz val="10.5"/>
        <color indexed="17"/>
        <rFont val="Times New Roman"/>
        <family val="1"/>
      </rPr>
      <t xml:space="preserve"> Антонець П. А.</t>
    </r>
    <r>
      <rPr>
        <sz val="10.5"/>
        <rFont val="Times New Roman"/>
        <family val="1"/>
      </rPr>
      <t xml:space="preserve">, </t>
    </r>
    <r>
      <rPr>
        <sz val="10.5"/>
        <color indexed="17"/>
        <rFont val="Times New Roman"/>
        <family val="1"/>
      </rPr>
      <t>Давиденко М. С. - кран-0,5; Павленко Л.В.- 0,5; Петроченко М.П. Старишко С.В.</t>
    </r>
  </si>
  <si>
    <r>
      <rPr>
        <sz val="10.5"/>
        <color indexed="17"/>
        <rFont val="Times New Roman"/>
        <family val="1"/>
      </rPr>
      <t>Давиденко М. С- 0,5</t>
    </r>
    <r>
      <rPr>
        <sz val="10.5"/>
        <rFont val="Times New Roman"/>
        <family val="1"/>
      </rPr>
      <t xml:space="preserve"> , </t>
    </r>
    <r>
      <rPr>
        <sz val="10.5"/>
        <color indexed="17"/>
        <rFont val="Times New Roman"/>
        <family val="1"/>
      </rPr>
      <t>Василіцин М.В,</t>
    </r>
  </si>
  <si>
    <t>Павленко -0,5</t>
  </si>
  <si>
    <t>вокансия</t>
  </si>
  <si>
    <t>Водій автотранспортних засобів ГАЗ 52 -3 од ТВГ-15(  1,5-3,0тн.)</t>
  </si>
  <si>
    <r>
      <rPr>
        <sz val="10.5"/>
        <color indexed="17"/>
        <rFont val="Times New Roman"/>
        <family val="1"/>
      </rPr>
      <t xml:space="preserve"> Кузьменко О.Г..</t>
    </r>
    <r>
      <rPr>
        <sz val="10.5"/>
        <rFont val="Times New Roman"/>
        <family val="1"/>
      </rPr>
      <t xml:space="preserve">,  </t>
    </r>
    <r>
      <rPr>
        <sz val="10.5"/>
        <color indexed="17"/>
        <rFont val="Times New Roman"/>
        <family val="1"/>
      </rPr>
      <t>Безматерних</t>
    </r>
    <r>
      <rPr>
        <sz val="10.5"/>
        <color indexed="10"/>
        <rFont val="Times New Roman"/>
        <family val="1"/>
      </rPr>
      <t xml:space="preserve"> вокансии-2</t>
    </r>
  </si>
  <si>
    <t>2436*(2,4-2,58)2,5</t>
  </si>
  <si>
    <t>Скрипник Ю.М без ктагорії</t>
  </si>
  <si>
    <t>2436*(2,2-2,25)2,0 /2,25*2436=5481-1 кат.</t>
  </si>
  <si>
    <r>
      <t>Бруєв В. В-0,5., Снітко В. І.</t>
    </r>
    <r>
      <rPr>
        <sz val="10.5"/>
        <color indexed="62"/>
        <rFont val="Times New Roman"/>
        <family val="1"/>
      </rPr>
      <t xml:space="preserve"> Нагорний В.П.Манойленко В.І</t>
    </r>
  </si>
  <si>
    <r>
      <t xml:space="preserve"> Максименко В.В.     </t>
    </r>
    <r>
      <rPr>
        <sz val="10.5"/>
        <color indexed="10"/>
        <rFont val="Times New Roman"/>
        <family val="1"/>
      </rPr>
      <t xml:space="preserve"> 2 вокансії</t>
    </r>
  </si>
  <si>
    <t xml:space="preserve">Сидоренко А. С., Єрмолаєв С. В., Марченко В. І., Левченко А. П., Чуприна С. Д., Загинайло С. І. </t>
  </si>
  <si>
    <t xml:space="preserve">Фахівець з публічних закупівель </t>
  </si>
  <si>
    <r>
      <t xml:space="preserve">Бубнов </t>
    </r>
    <r>
      <rPr>
        <sz val="10.5"/>
        <color indexed="10"/>
        <rFont val="Times New Roman"/>
        <family val="1"/>
      </rPr>
      <t xml:space="preserve">вокансія </t>
    </r>
  </si>
  <si>
    <r>
      <t xml:space="preserve">Череута М. О., Лебедєв Ф. Т.   </t>
    </r>
    <r>
      <rPr>
        <sz val="10.5"/>
        <color indexed="10"/>
        <rFont val="Times New Roman"/>
        <family val="1"/>
      </rPr>
      <t>вокансія</t>
    </r>
  </si>
  <si>
    <r>
      <t xml:space="preserve">Гончар Ю. Г.     </t>
    </r>
    <r>
      <rPr>
        <sz val="10.5"/>
        <color indexed="10"/>
        <rFont val="Times New Roman"/>
        <family val="1"/>
      </rPr>
      <t xml:space="preserve">вокансія   </t>
    </r>
  </si>
  <si>
    <t>Водій автотранспортних засобів легк. авт-ля Волга 31029, Форд Транзит, Опєль,"Соболь",   ВАЗ, 212140 (об´єм двигуна від 1,8-до 3,5л)</t>
  </si>
  <si>
    <t>Заступник міського голови з питань діяльності виконавчих органів,  директор  департаменту благоустрою та інфраструктури Дніпровської міської ради</t>
  </si>
  <si>
    <t>Електрозварник ручного зварювання 5 роз.</t>
  </si>
  <si>
    <t>Електрозварник ручного зварювання 4 роз.</t>
  </si>
  <si>
    <t>Директор КП "Міськсвітло" ДМР</t>
  </si>
  <si>
    <t>Комунальне підприємство "Міськсвітло" Дніпровської міської ради</t>
  </si>
  <si>
    <t>Начальник планово-економічного відділу</t>
  </si>
  <si>
    <t xml:space="preserve">Начальник виробничо-технічного відділу </t>
  </si>
  <si>
    <t>Начальник дільниці ремонту</t>
  </si>
  <si>
    <t>Начальник диспетчерської служби</t>
  </si>
  <si>
    <t>Начальник цеху</t>
  </si>
  <si>
    <t>Майстер дільниці ремонта ілюмінаційного обладнання</t>
  </si>
  <si>
    <t>Завідувач господарствома</t>
  </si>
  <si>
    <t>Інженер І  кат. ВТВ</t>
  </si>
  <si>
    <t>Інженер-електронік І кат.</t>
  </si>
  <si>
    <t>Спеціаліст-бухгалтер І кат.</t>
  </si>
  <si>
    <t>Фахівець з публічних закупівель І категорії</t>
  </si>
  <si>
    <t>Інженер з комплектації устаткування й матеріалів</t>
  </si>
  <si>
    <t>Технік І кат.</t>
  </si>
  <si>
    <t>Електромонтер з випробувань та вимірювань 3роз.</t>
  </si>
  <si>
    <t>Водій автотранспортних засобів ГАЗ 52, 53 ТВГ-15 (1,5-3,0 тн.)</t>
  </si>
  <si>
    <t>Водій автотранспортних засобів КС МАЗ (вантажопідйомність від 10,0-20,0 тн.)</t>
  </si>
  <si>
    <t>Токар  5 роз.</t>
  </si>
  <si>
    <t>Слюсар з ремонту колісних транспортних засобів 4 роз.</t>
  </si>
  <si>
    <t>Охоронець територій</t>
  </si>
  <si>
    <t>Прибиральник територій</t>
  </si>
  <si>
    <t>Провідний інженер з комплектації устаткування й матеріалів</t>
  </si>
  <si>
    <t>Водій автотранспортних засобів  АП- 17,18-,ЗІЛ-130(сідельний тягач),крана автомобільного-1од. ЗИЛ 431 ЗИЛ-433  (Вантаж.під.від 5,0-7,0)</t>
  </si>
  <si>
    <t>Водій автотранспортних засобів  АП-18 , АП -17; ГАЗ -53,52 , ГА 53 ,3309, ОМС, самоскид-МАЗ 4571 -, (вантажопідйомність від  3,0-5,0 тн.)</t>
  </si>
  <si>
    <t>Начальник району № 1,2,3</t>
  </si>
  <si>
    <t>з 01.07. 2019р.</t>
  </si>
  <si>
    <r>
      <t>штат у кількості _</t>
    </r>
    <r>
      <rPr>
        <u val="single"/>
        <sz val="10"/>
        <color indexed="8"/>
        <rFont val="Times New Roman"/>
        <family val="1"/>
      </rPr>
      <t>157_</t>
    </r>
    <r>
      <rPr>
        <sz val="10"/>
        <color indexed="8"/>
        <rFont val="Times New Roman"/>
        <family val="1"/>
      </rPr>
      <t xml:space="preserve">__ штатних одиниць з місячним фондом заробітної плати </t>
    </r>
  </si>
  <si>
    <t xml:space="preserve">штат у кількості _157_ штатних одиниць з місячним фондом заробітної плати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</si>
</sst>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,##0.0000"/>
    <numFmt numFmtId="180" formatCode="#,##0.0"/>
    <numFmt numFmtId="181" formatCode="0.00000"/>
    <numFmt numFmtId="182" formatCode="_-* #,##0.000\ _г_р_н_._-;\-* #,##0.000\ _г_р_н_._-;_-* &quot;-&quot;??\ _г_р_н_._-;_-@_-"/>
    <numFmt numFmtId="183" formatCode="_-* #,##0.0\ _г_р_н_._-;\-* #,##0.0\ _г_р_н_._-;_-* &quot;-&quot;??\ _г_р_н_._-;_-@_-"/>
    <numFmt numFmtId="184" formatCode="_-* #,##0\ _г_р_н_._-;\-* #,##0\ _г_р_н_._-;_-* &quot;-&quot;??\ _г_р_н_._-;_-@_-"/>
    <numFmt numFmtId="185" formatCode="0.000000"/>
    <numFmt numFmtId="186" formatCode="0.0000000"/>
    <numFmt numFmtId="187" formatCode="0.00000000"/>
    <numFmt numFmtId="188" formatCode="0.000000000"/>
  </numFmts>
  <fonts count="9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9"/>
      <name val="Arial Cyr"/>
      <family val="0"/>
    </font>
    <font>
      <b/>
      <i/>
      <sz val="11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i/>
      <sz val="10.5"/>
      <name val="Arial Cyr"/>
      <family val="2"/>
    </font>
    <font>
      <sz val="10.5"/>
      <name val="Arial Cyr"/>
      <family val="0"/>
    </font>
    <font>
      <b/>
      <sz val="10.5"/>
      <name val="Arial Cyr"/>
      <family val="0"/>
    </font>
    <font>
      <b/>
      <i/>
      <sz val="10.5"/>
      <name val="Times New Roman"/>
      <family val="1"/>
    </font>
    <font>
      <i/>
      <sz val="11"/>
      <name val="Times New Roman"/>
      <family val="1"/>
    </font>
    <font>
      <i/>
      <sz val="11"/>
      <name val="Arial Cyr"/>
      <family val="0"/>
    </font>
    <font>
      <sz val="10.5"/>
      <color indexed="62"/>
      <name val="Times New Roman"/>
      <family val="1"/>
    </font>
    <font>
      <sz val="8"/>
      <color indexed="8"/>
      <name val="Times New Roman"/>
      <family val="1"/>
    </font>
    <font>
      <sz val="10.5"/>
      <color indexed="10"/>
      <name val="Times New Roman"/>
      <family val="1"/>
    </font>
    <font>
      <sz val="9"/>
      <name val="Times New Roman"/>
      <family val="1"/>
    </font>
    <font>
      <sz val="10.5"/>
      <color indexed="17"/>
      <name val="Times New Roman"/>
      <family val="1"/>
    </font>
    <font>
      <sz val="9"/>
      <color indexed="17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30"/>
      <name val="Times New Roman"/>
      <family val="1"/>
    </font>
    <font>
      <b/>
      <sz val="10.5"/>
      <color indexed="10"/>
      <name val="Times New Roman"/>
      <family val="1"/>
    </font>
    <font>
      <sz val="10"/>
      <color indexed="17"/>
      <name val="Arial Cyr"/>
      <family val="0"/>
    </font>
    <font>
      <i/>
      <sz val="8"/>
      <color indexed="44"/>
      <name val="Times New Roman"/>
      <family val="1"/>
    </font>
    <font>
      <sz val="10"/>
      <color indexed="40"/>
      <name val="Arial Cyr"/>
      <family val="0"/>
    </font>
    <font>
      <i/>
      <sz val="10.5"/>
      <color indexed="40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  <font>
      <sz val="10.5"/>
      <color rgb="FF00B050"/>
      <name val="Times New Roman"/>
      <family val="1"/>
    </font>
    <font>
      <sz val="10.5"/>
      <color rgb="FF0070C0"/>
      <name val="Times New Roman"/>
      <family val="1"/>
    </font>
    <font>
      <b/>
      <sz val="10.5"/>
      <color rgb="FFFF0000"/>
      <name val="Times New Roman"/>
      <family val="1"/>
    </font>
    <font>
      <sz val="10"/>
      <color rgb="FF00B050"/>
      <name val="Arial Cyr"/>
      <family val="0"/>
    </font>
    <font>
      <i/>
      <sz val="8"/>
      <color theme="8" tint="0.5999900102615356"/>
      <name val="Times New Roman"/>
      <family val="1"/>
    </font>
    <font>
      <sz val="10"/>
      <color rgb="FF00B0F0"/>
      <name val="Arial Cyr"/>
      <family val="0"/>
    </font>
    <font>
      <i/>
      <sz val="10.5"/>
      <color rgb="FF00B0F0"/>
      <name val="Times New Roman"/>
      <family val="1"/>
    </font>
    <font>
      <b/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48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9" fontId="2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" fontId="0" fillId="0" borderId="10" xfId="0" applyNumberForma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" fontId="0" fillId="0" borderId="11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1" fontId="3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9" fillId="0" borderId="0" xfId="0" applyFont="1" applyAlignment="1">
      <alignment vertical="center"/>
    </xf>
    <xf numFmtId="0" fontId="2" fillId="32" borderId="11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/>
    </xf>
    <xf numFmtId="9" fontId="2" fillId="0" borderId="10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0" fillId="4" borderId="10" xfId="0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horizontal="left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15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9" fontId="14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wrapText="1"/>
    </xf>
    <xf numFmtId="0" fontId="14" fillId="32" borderId="10" xfId="0" applyFont="1" applyFill="1" applyBorder="1" applyAlignment="1">
      <alignment/>
    </xf>
    <xf numFmtId="0" fontId="2" fillId="0" borderId="11" xfId="0" applyFont="1" applyBorder="1" applyAlignment="1">
      <alignment vertical="center" wrapText="1"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1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14" fillId="32" borderId="10" xfId="0" applyFont="1" applyFill="1" applyBorder="1" applyAlignment="1">
      <alignment vertical="center"/>
    </xf>
    <xf numFmtId="0" fontId="14" fillId="32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4" fillId="0" borderId="14" xfId="0" applyFont="1" applyBorder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184" fontId="0" fillId="0" borderId="10" xfId="61" applyNumberForma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19" xfId="0" applyFont="1" applyBorder="1" applyAlignment="1">
      <alignment vertical="center" wrapText="1"/>
    </xf>
    <xf numFmtId="0" fontId="0" fillId="33" borderId="0" xfId="0" applyFill="1" applyAlignment="1">
      <alignment/>
    </xf>
    <xf numFmtId="1" fontId="1" fillId="33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1" fontId="0" fillId="33" borderId="0" xfId="0" applyNumberForma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 horizontal="center" vertical="center"/>
    </xf>
    <xf numFmtId="3" fontId="1" fillId="33" borderId="0" xfId="0" applyNumberFormat="1" applyFont="1" applyFill="1" applyAlignment="1">
      <alignment/>
    </xf>
    <xf numFmtId="173" fontId="0" fillId="33" borderId="0" xfId="0" applyNumberFormat="1" applyFill="1" applyAlignment="1">
      <alignment/>
    </xf>
    <xf numFmtId="0" fontId="12" fillId="33" borderId="0" xfId="0" applyFont="1" applyFill="1" applyAlignment="1">
      <alignment/>
    </xf>
    <xf numFmtId="0" fontId="2" fillId="0" borderId="12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34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wrapText="1"/>
    </xf>
    <xf numFmtId="2" fontId="0" fillId="33" borderId="0" xfId="0" applyNumberFormat="1" applyFill="1" applyAlignment="1">
      <alignment/>
    </xf>
    <xf numFmtId="0" fontId="1" fillId="0" borderId="19" xfId="0" applyFont="1" applyBorder="1" applyAlignment="1">
      <alignment horizontal="center"/>
    </xf>
    <xf numFmtId="172" fontId="0" fillId="0" borderId="19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horizontal="left" vertical="center"/>
    </xf>
    <xf numFmtId="1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32" borderId="10" xfId="0" applyFont="1" applyFill="1" applyBorder="1" applyAlignment="1">
      <alignment/>
    </xf>
    <xf numFmtId="1" fontId="22" fillId="0" borderId="10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/>
    </xf>
    <xf numFmtId="1" fontId="21" fillId="0" borderId="10" xfId="0" applyNumberFormat="1" applyFont="1" applyBorder="1" applyAlignment="1">
      <alignment/>
    </xf>
    <xf numFmtId="9" fontId="2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vertical="center"/>
    </xf>
    <xf numFmtId="1" fontId="21" fillId="0" borderId="10" xfId="0" applyNumberFormat="1" applyFont="1" applyFill="1" applyBorder="1" applyAlignment="1">
      <alignment vertical="center"/>
    </xf>
    <xf numFmtId="9" fontId="21" fillId="0" borderId="10" xfId="0" applyNumberFormat="1" applyFont="1" applyBorder="1" applyAlignment="1">
      <alignment vertical="center"/>
    </xf>
    <xf numFmtId="1" fontId="21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/>
    </xf>
    <xf numFmtId="0" fontId="26" fillId="0" borderId="14" xfId="0" applyFont="1" applyBorder="1" applyAlignment="1">
      <alignment/>
    </xf>
    <xf numFmtId="2" fontId="20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20" fillId="32" borderId="10" xfId="0" applyFont="1" applyFill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2" fontId="20" fillId="0" borderId="0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21" fillId="0" borderId="0" xfId="0" applyFont="1" applyAlignment="1">
      <alignment/>
    </xf>
    <xf numFmtId="0" fontId="25" fillId="0" borderId="13" xfId="0" applyFont="1" applyFill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1" fontId="21" fillId="0" borderId="14" xfId="0" applyNumberFormat="1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13" xfId="0" applyFont="1" applyBorder="1" applyAlignment="1">
      <alignment/>
    </xf>
    <xf numFmtId="9" fontId="21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33" borderId="10" xfId="0" applyFont="1" applyFill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34" borderId="10" xfId="0" applyFont="1" applyFill="1" applyBorder="1" applyAlignment="1">
      <alignment vertical="center" wrapText="1"/>
    </xf>
    <xf numFmtId="0" fontId="26" fillId="0" borderId="19" xfId="0" applyFont="1" applyBorder="1" applyAlignment="1">
      <alignment/>
    </xf>
    <xf numFmtId="2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184" fontId="21" fillId="0" borderId="10" xfId="61" applyNumberFormat="1" applyFont="1" applyBorder="1" applyAlignment="1">
      <alignment horizontal="center" vertical="center" wrapText="1"/>
    </xf>
    <xf numFmtId="9" fontId="21" fillId="0" borderId="10" xfId="61" applyNumberFormat="1" applyFont="1" applyBorder="1" applyAlignment="1">
      <alignment horizontal="center" vertical="center" wrapText="1"/>
    </xf>
    <xf numFmtId="9" fontId="21" fillId="0" borderId="10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1" fillId="32" borderId="11" xfId="0" applyFont="1" applyFill="1" applyBorder="1" applyAlignment="1">
      <alignment vertical="center" wrapText="1"/>
    </xf>
    <xf numFmtId="172" fontId="21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9" fontId="21" fillId="0" borderId="11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32" borderId="10" xfId="0" applyFont="1" applyFill="1" applyBorder="1" applyAlignment="1">
      <alignment vertical="center"/>
    </xf>
    <xf numFmtId="49" fontId="27" fillId="0" borderId="0" xfId="0" applyNumberFormat="1" applyFont="1" applyBorder="1" applyAlignment="1">
      <alignment horizontal="left" wrapText="1"/>
    </xf>
    <xf numFmtId="9" fontId="21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9" fontId="20" fillId="0" borderId="10" xfId="0" applyNumberFormat="1" applyFont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9" fillId="32" borderId="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1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1" fontId="22" fillId="0" borderId="22" xfId="0" applyNumberFormat="1" applyFont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vertical="center" wrapText="1"/>
    </xf>
    <xf numFmtId="1" fontId="21" fillId="0" borderId="11" xfId="0" applyNumberFormat="1" applyFont="1" applyBorder="1" applyAlignment="1">
      <alignment vertical="center" wrapText="1"/>
    </xf>
    <xf numFmtId="1" fontId="21" fillId="32" borderId="11" xfId="0" applyNumberFormat="1" applyFont="1" applyFill="1" applyBorder="1" applyAlignment="1">
      <alignment vertical="center" wrapText="1"/>
    </xf>
    <xf numFmtId="2" fontId="0" fillId="33" borderId="0" xfId="0" applyNumberFormat="1" applyFill="1" applyBorder="1" applyAlignment="1">
      <alignment/>
    </xf>
    <xf numFmtId="1" fontId="0" fillId="0" borderId="23" xfId="0" applyNumberFormat="1" applyBorder="1" applyAlignment="1">
      <alignment vertical="center" wrapText="1"/>
    </xf>
    <xf numFmtId="1" fontId="0" fillId="0" borderId="11" xfId="0" applyNumberFormat="1" applyBorder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" fontId="22" fillId="0" borderId="24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vertical="center" wrapText="1"/>
    </xf>
    <xf numFmtId="9" fontId="20" fillId="0" borderId="10" xfId="0" applyNumberFormat="1" applyFont="1" applyBorder="1" applyAlignment="1">
      <alignment wrapText="1"/>
    </xf>
    <xf numFmtId="0" fontId="20" fillId="32" borderId="11" xfId="0" applyFont="1" applyFill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0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0" fontId="20" fillId="0" borderId="10" xfId="0" applyFont="1" applyBorder="1" applyAlignment="1">
      <alignment wrapText="1"/>
    </xf>
    <xf numFmtId="0" fontId="2" fillId="33" borderId="0" xfId="0" applyFont="1" applyFill="1" applyAlignment="1">
      <alignment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/>
    </xf>
    <xf numFmtId="1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vertical="center" wrapText="1"/>
    </xf>
    <xf numFmtId="1" fontId="22" fillId="0" borderId="10" xfId="0" applyNumberFormat="1" applyFont="1" applyBorder="1" applyAlignment="1">
      <alignment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vertical="center" wrapText="1"/>
    </xf>
    <xf numFmtId="0" fontId="79" fillId="0" borderId="10" xfId="0" applyFont="1" applyBorder="1" applyAlignment="1">
      <alignment/>
    </xf>
    <xf numFmtId="1" fontId="9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2" fontId="2" fillId="33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7" fillId="0" borderId="0" xfId="0" applyFont="1" applyAlignment="1">
      <alignment/>
    </xf>
    <xf numFmtId="1" fontId="17" fillId="33" borderId="0" xfId="0" applyNumberFormat="1" applyFont="1" applyFill="1" applyBorder="1" applyAlignment="1">
      <alignment/>
    </xf>
    <xf numFmtId="1" fontId="2" fillId="33" borderId="0" xfId="0" applyNumberFormat="1" applyFont="1" applyFill="1" applyAlignment="1">
      <alignment/>
    </xf>
    <xf numFmtId="1" fontId="2" fillId="33" borderId="0" xfId="0" applyNumberFormat="1" applyFont="1" applyFill="1" applyBorder="1" applyAlignment="1">
      <alignment horizontal="center" vertical="center" wrapText="1"/>
    </xf>
    <xf numFmtId="0" fontId="20" fillId="32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26" fillId="0" borderId="12" xfId="0" applyFont="1" applyBorder="1" applyAlignment="1">
      <alignment/>
    </xf>
    <xf numFmtId="0" fontId="32" fillId="0" borderId="10" xfId="0" applyFont="1" applyBorder="1" applyAlignment="1">
      <alignment vertical="center" wrapText="1"/>
    </xf>
    <xf numFmtId="0" fontId="80" fillId="0" borderId="10" xfId="0" applyFont="1" applyFill="1" applyBorder="1" applyAlignment="1">
      <alignment vertical="center"/>
    </xf>
    <xf numFmtId="2" fontId="2" fillId="33" borderId="0" xfId="0" applyNumberFormat="1" applyFont="1" applyFill="1" applyBorder="1" applyAlignment="1">
      <alignment/>
    </xf>
    <xf numFmtId="0" fontId="79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wrapText="1"/>
    </xf>
    <xf numFmtId="0" fontId="79" fillId="34" borderId="10" xfId="0" applyFont="1" applyFill="1" applyBorder="1" applyAlignment="1">
      <alignment vertical="center" wrapText="1"/>
    </xf>
    <xf numFmtId="1" fontId="21" fillId="33" borderId="10" xfId="0" applyNumberFormat="1" applyFont="1" applyFill="1" applyBorder="1" applyAlignment="1">
      <alignment horizontal="center" vertical="center" wrapText="1"/>
    </xf>
    <xf numFmtId="184" fontId="21" fillId="33" borderId="10" xfId="61" applyNumberFormat="1" applyFont="1" applyFill="1" applyBorder="1" applyAlignment="1">
      <alignment horizontal="center" vertical="center" wrapText="1"/>
    </xf>
    <xf numFmtId="9" fontId="21" fillId="33" borderId="10" xfId="61" applyNumberFormat="1" applyFont="1" applyFill="1" applyBorder="1" applyAlignment="1">
      <alignment horizontal="center" vertical="center" wrapText="1"/>
    </xf>
    <xf numFmtId="9" fontId="21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84" fontId="22" fillId="0" borderId="10" xfId="61" applyNumberFormat="1" applyFont="1" applyBorder="1" applyAlignment="1">
      <alignment horizontal="center" vertical="center" wrapText="1"/>
    </xf>
    <xf numFmtId="9" fontId="22" fillId="0" borderId="10" xfId="61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1" fontId="21" fillId="0" borderId="12" xfId="0" applyNumberFormat="1" applyFont="1" applyBorder="1" applyAlignment="1">
      <alignment horizontal="center" vertical="center" wrapText="1"/>
    </xf>
    <xf numFmtId="1" fontId="21" fillId="32" borderId="10" xfId="0" applyNumberFormat="1" applyFont="1" applyFill="1" applyBorder="1" applyAlignment="1">
      <alignment vertical="center" wrapText="1"/>
    </xf>
    <xf numFmtId="1" fontId="81" fillId="33" borderId="10" xfId="0" applyNumberFormat="1" applyFont="1" applyFill="1" applyBorder="1" applyAlignment="1">
      <alignment horizontal="center" vertical="center"/>
    </xf>
    <xf numFmtId="1" fontId="81" fillId="33" borderId="10" xfId="0" applyNumberFormat="1" applyFont="1" applyFill="1" applyBorder="1" applyAlignment="1">
      <alignment horizontal="center"/>
    </xf>
    <xf numFmtId="1" fontId="81" fillId="33" borderId="10" xfId="0" applyNumberFormat="1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/>
    </xf>
    <xf numFmtId="0" fontId="81" fillId="33" borderId="10" xfId="0" applyFont="1" applyFill="1" applyBorder="1" applyAlignment="1">
      <alignment/>
    </xf>
    <xf numFmtId="0" fontId="81" fillId="33" borderId="10" xfId="0" applyFont="1" applyFill="1" applyBorder="1" applyAlignment="1">
      <alignment wrapText="1"/>
    </xf>
    <xf numFmtId="1" fontId="21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/>
    </xf>
    <xf numFmtId="9" fontId="20" fillId="33" borderId="10" xfId="0" applyNumberFormat="1" applyFont="1" applyFill="1" applyBorder="1" applyAlignment="1">
      <alignment wrapText="1"/>
    </xf>
    <xf numFmtId="9" fontId="20" fillId="33" borderId="10" xfId="0" applyNumberFormat="1" applyFont="1" applyFill="1" applyBorder="1" applyAlignment="1">
      <alignment vertical="center" wrapText="1"/>
    </xf>
    <xf numFmtId="0" fontId="21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/>
    </xf>
    <xf numFmtId="0" fontId="21" fillId="33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/>
    </xf>
    <xf numFmtId="1" fontId="83" fillId="0" borderId="0" xfId="0" applyNumberFormat="1" applyFont="1" applyAlignment="1">
      <alignment/>
    </xf>
    <xf numFmtId="0" fontId="21" fillId="33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/>
    </xf>
    <xf numFmtId="0" fontId="22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/>
    </xf>
    <xf numFmtId="0" fontId="82" fillId="33" borderId="10" xfId="0" applyFont="1" applyFill="1" applyBorder="1" applyAlignment="1">
      <alignment horizontal="center"/>
    </xf>
    <xf numFmtId="1" fontId="22" fillId="33" borderId="10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1" fontId="79" fillId="33" borderId="1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vertical="center" wrapText="1"/>
    </xf>
    <xf numFmtId="0" fontId="32" fillId="33" borderId="0" xfId="0" applyFont="1" applyFill="1" applyBorder="1" applyAlignment="1">
      <alignment horizontal="left" vertical="center" wrapText="1"/>
    </xf>
    <xf numFmtId="1" fontId="79" fillId="0" borderId="10" xfId="0" applyNumberFormat="1" applyFont="1" applyBorder="1" applyAlignment="1">
      <alignment horizontal="center" vertical="center" wrapText="1"/>
    </xf>
    <xf numFmtId="1" fontId="79" fillId="0" borderId="10" xfId="0" applyNumberFormat="1" applyFont="1" applyBorder="1" applyAlignment="1">
      <alignment horizontal="center" vertical="center"/>
    </xf>
    <xf numFmtId="1" fontId="79" fillId="0" borderId="10" xfId="0" applyNumberFormat="1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/>
    </xf>
    <xf numFmtId="1" fontId="79" fillId="0" borderId="10" xfId="0" applyNumberFormat="1" applyFont="1" applyFill="1" applyBorder="1" applyAlignment="1">
      <alignment horizontal="center" vertical="center"/>
    </xf>
    <xf numFmtId="0" fontId="84" fillId="0" borderId="13" xfId="0" applyFont="1" applyBorder="1" applyAlignment="1">
      <alignment wrapText="1"/>
    </xf>
    <xf numFmtId="0" fontId="21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vertical="center" wrapText="1"/>
    </xf>
    <xf numFmtId="1" fontId="21" fillId="0" borderId="19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1" fontId="22" fillId="0" borderId="19" xfId="0" applyNumberFormat="1" applyFont="1" applyBorder="1" applyAlignment="1">
      <alignment horizontal="center" vertical="center" wrapText="1"/>
    </xf>
    <xf numFmtId="184" fontId="22" fillId="0" borderId="19" xfId="61" applyNumberFormat="1" applyFont="1" applyBorder="1" applyAlignment="1">
      <alignment horizontal="center" vertical="center" wrapText="1"/>
    </xf>
    <xf numFmtId="9" fontId="22" fillId="0" borderId="19" xfId="61" applyNumberFormat="1" applyFont="1" applyBorder="1" applyAlignment="1">
      <alignment horizontal="center" vertical="center" wrapText="1"/>
    </xf>
    <xf numFmtId="2" fontId="20" fillId="0" borderId="19" xfId="0" applyNumberFormat="1" applyFont="1" applyBorder="1" applyAlignment="1">
      <alignment vertical="center" wrapText="1"/>
    </xf>
    <xf numFmtId="0" fontId="85" fillId="0" borderId="14" xfId="0" applyFont="1" applyBorder="1" applyAlignment="1">
      <alignment/>
    </xf>
    <xf numFmtId="0" fontId="86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9" fillId="0" borderId="0" xfId="0" applyFont="1" applyFill="1" applyAlignment="1">
      <alignment horizontal="left"/>
    </xf>
    <xf numFmtId="0" fontId="4" fillId="0" borderId="12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9" fillId="0" borderId="0" xfId="0" applyFont="1" applyFill="1" applyAlignment="1">
      <alignment horizontal="left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87" fillId="35" borderId="0" xfId="0" applyFont="1" applyFill="1" applyAlignment="1">
      <alignment horizontal="center" vertical="center" wrapText="1"/>
    </xf>
    <xf numFmtId="0" fontId="26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8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7" fillId="0" borderId="0" xfId="0" applyFont="1" applyBorder="1" applyAlignment="1">
      <alignment horizontal="left" wrapText="1"/>
    </xf>
    <xf numFmtId="0" fontId="26" fillId="0" borderId="13" xfId="0" applyFont="1" applyBorder="1" applyAlignment="1">
      <alignment horizontal="left"/>
    </xf>
    <xf numFmtId="0" fontId="26" fillId="0" borderId="1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2" fillId="0" borderId="0" xfId="0" applyFont="1" applyAlignment="1">
      <alignment horizontal="center"/>
    </xf>
    <xf numFmtId="2" fontId="21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6" fillId="0" borderId="20" xfId="0" applyFont="1" applyBorder="1" applyAlignment="1">
      <alignment horizontal="left"/>
    </xf>
    <xf numFmtId="0" fontId="22" fillId="0" borderId="0" xfId="0" applyFont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horizontal="right"/>
    </xf>
    <xf numFmtId="0" fontId="24" fillId="0" borderId="19" xfId="0" applyFont="1" applyBorder="1" applyAlignment="1">
      <alignment horizontal="right"/>
    </xf>
    <xf numFmtId="0" fontId="24" fillId="0" borderId="14" xfId="0" applyFont="1" applyBorder="1" applyAlignment="1">
      <alignment horizontal="right"/>
    </xf>
    <xf numFmtId="0" fontId="26" fillId="0" borderId="14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89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26" fillId="33" borderId="12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left"/>
    </xf>
    <xf numFmtId="2" fontId="21" fillId="0" borderId="25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58"/>
  <sheetViews>
    <sheetView zoomScale="115" zoomScaleNormal="115" zoomScalePageLayoutView="0" workbookViewId="0" topLeftCell="A1">
      <selection activeCell="L120" sqref="L120:L124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26.875" style="0" customWidth="1"/>
    <col min="4" max="4" width="9.875" style="0" customWidth="1"/>
    <col min="6" max="6" width="8.00390625" style="0" customWidth="1"/>
    <col min="7" max="7" width="8.75390625" style="0" customWidth="1"/>
    <col min="8" max="8" width="13.25390625" style="0" bestFit="1" customWidth="1"/>
    <col min="9" max="9" width="12.625" style="0" customWidth="1"/>
    <col min="10" max="10" width="11.625" style="0" customWidth="1"/>
    <col min="11" max="11" width="10.75390625" style="0" customWidth="1"/>
    <col min="12" max="12" width="21.25390625" style="0" customWidth="1"/>
    <col min="13" max="13" width="22.125" style="65" customWidth="1"/>
    <col min="14" max="14" width="10.00390625" style="0" customWidth="1"/>
    <col min="15" max="15" width="13.625" style="0" customWidth="1"/>
    <col min="16" max="16" width="9.125" style="0" customWidth="1"/>
    <col min="17" max="17" width="9.625" style="0" customWidth="1"/>
    <col min="18" max="20" width="9.125" style="0" customWidth="1"/>
  </cols>
  <sheetData>
    <row r="1" spans="2:12" ht="15">
      <c r="B1" s="417" t="s">
        <v>18</v>
      </c>
      <c r="C1" s="417"/>
      <c r="D1" s="45"/>
      <c r="E1" s="45"/>
      <c r="F1" s="45"/>
      <c r="G1" s="139"/>
      <c r="H1" s="44"/>
      <c r="I1" s="44"/>
      <c r="J1" s="44"/>
      <c r="K1" s="418" t="s">
        <v>0</v>
      </c>
      <c r="L1" s="418"/>
    </row>
    <row r="2" spans="2:13" s="77" customFormat="1" ht="15">
      <c r="B2" s="419" t="s">
        <v>273</v>
      </c>
      <c r="C2" s="419"/>
      <c r="D2" s="419"/>
      <c r="E2" s="76"/>
      <c r="F2" s="76"/>
      <c r="G2" s="140"/>
      <c r="I2" s="80"/>
      <c r="J2" s="419" t="s">
        <v>272</v>
      </c>
      <c r="K2" s="419"/>
      <c r="L2" s="419"/>
      <c r="M2" s="76"/>
    </row>
    <row r="3" spans="2:13" s="77" customFormat="1" ht="15">
      <c r="B3" s="419" t="s">
        <v>19</v>
      </c>
      <c r="C3" s="419"/>
      <c r="D3" s="419"/>
      <c r="E3" s="76"/>
      <c r="F3" s="76"/>
      <c r="G3" s="140"/>
      <c r="I3" s="80"/>
      <c r="J3" s="419" t="s">
        <v>19</v>
      </c>
      <c r="K3" s="419"/>
      <c r="L3" s="419"/>
      <c r="M3" s="76"/>
    </row>
    <row r="4" spans="2:13" s="77" customFormat="1" ht="30.75" customHeight="1">
      <c r="B4" s="425" t="s">
        <v>271</v>
      </c>
      <c r="C4" s="425"/>
      <c r="D4" s="425"/>
      <c r="E4" s="425"/>
      <c r="F4" s="78"/>
      <c r="G4" s="140"/>
      <c r="H4" s="79"/>
      <c r="I4" s="79"/>
      <c r="J4" s="425" t="s">
        <v>271</v>
      </c>
      <c r="K4" s="425"/>
      <c r="L4" s="425"/>
      <c r="M4" s="78"/>
    </row>
    <row r="5" spans="2:12" ht="29.25" customHeight="1">
      <c r="B5" s="421" t="s">
        <v>235</v>
      </c>
      <c r="C5" s="421"/>
      <c r="D5" s="421"/>
      <c r="E5" s="54"/>
      <c r="F5" s="54"/>
      <c r="G5" s="141"/>
      <c r="H5" s="52"/>
      <c r="I5" s="52"/>
      <c r="J5" s="52"/>
      <c r="K5" s="422" t="s">
        <v>121</v>
      </c>
      <c r="L5" s="422"/>
    </row>
    <row r="6" spans="2:12" ht="9.75" customHeight="1">
      <c r="B6" s="74"/>
      <c r="C6" s="74"/>
      <c r="D6" s="54"/>
      <c r="E6" s="54"/>
      <c r="F6" s="54"/>
      <c r="G6" s="141"/>
      <c r="H6" s="52"/>
      <c r="I6" s="52"/>
      <c r="J6" s="52"/>
      <c r="K6" s="75"/>
      <c r="L6" s="75"/>
    </row>
    <row r="7" spans="2:12" ht="15.75">
      <c r="B7" s="423" t="s">
        <v>269</v>
      </c>
      <c r="C7" s="423"/>
      <c r="D7" s="423"/>
      <c r="E7" s="60"/>
      <c r="F7" s="60"/>
      <c r="G7" s="139"/>
      <c r="I7" s="44"/>
      <c r="J7" s="424" t="s">
        <v>234</v>
      </c>
      <c r="K7" s="424"/>
      <c r="L7" s="424"/>
    </row>
    <row r="8" spans="2:12" ht="12.75" customHeight="1">
      <c r="B8" s="60"/>
      <c r="C8" s="60"/>
      <c r="D8" s="60"/>
      <c r="E8" s="60"/>
      <c r="F8" s="60"/>
      <c r="G8" s="139"/>
      <c r="I8" s="44"/>
      <c r="J8" s="60"/>
      <c r="K8" s="60"/>
      <c r="L8" s="60"/>
    </row>
    <row r="9" spans="2:12" ht="15.75">
      <c r="B9" s="430" t="s">
        <v>1</v>
      </c>
      <c r="C9" s="430"/>
      <c r="D9" s="430"/>
      <c r="E9" s="430"/>
      <c r="F9" s="430"/>
      <c r="G9" s="430"/>
      <c r="H9" s="430"/>
      <c r="I9" s="430"/>
      <c r="J9" s="430"/>
      <c r="K9" s="430"/>
      <c r="L9" s="430"/>
    </row>
    <row r="10" spans="2:12" ht="15.75">
      <c r="B10" s="431" t="s">
        <v>233</v>
      </c>
      <c r="C10" s="431"/>
      <c r="D10" s="431"/>
      <c r="E10" s="431"/>
      <c r="F10" s="431"/>
      <c r="G10" s="431"/>
      <c r="H10" s="431"/>
      <c r="I10" s="431"/>
      <c r="J10" s="431"/>
      <c r="K10" s="431"/>
      <c r="L10" s="431"/>
    </row>
    <row r="11" spans="2:12" ht="16.5" customHeight="1">
      <c r="B11" s="432" t="s">
        <v>268</v>
      </c>
      <c r="C11" s="432"/>
      <c r="D11" s="432"/>
      <c r="E11" s="432"/>
      <c r="F11" s="432"/>
      <c r="G11" s="432"/>
      <c r="H11" s="432"/>
      <c r="I11" s="432"/>
      <c r="J11" s="432"/>
      <c r="K11" s="432"/>
      <c r="L11" s="432"/>
    </row>
    <row r="12" spans="2:12" ht="10.5" customHeight="1"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</row>
    <row r="13" spans="2:15" ht="66" customHeight="1">
      <c r="B13" s="59" t="s">
        <v>2</v>
      </c>
      <c r="C13" s="59" t="s">
        <v>3</v>
      </c>
      <c r="D13" s="59" t="s">
        <v>110</v>
      </c>
      <c r="E13" s="59" t="s">
        <v>60</v>
      </c>
      <c r="F13" s="59" t="s">
        <v>111</v>
      </c>
      <c r="G13" s="59" t="s">
        <v>112</v>
      </c>
      <c r="H13" s="59" t="s">
        <v>113</v>
      </c>
      <c r="I13" s="59" t="s">
        <v>114</v>
      </c>
      <c r="J13" s="59" t="s">
        <v>115</v>
      </c>
      <c r="K13" s="59" t="s">
        <v>132</v>
      </c>
      <c r="L13" s="59" t="s">
        <v>116</v>
      </c>
      <c r="M13" s="66"/>
      <c r="O13" s="157"/>
    </row>
    <row r="14" spans="2:13" ht="19.5" customHeight="1">
      <c r="B14" s="420" t="s">
        <v>162</v>
      </c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37"/>
    </row>
    <row r="15" spans="2:14" ht="18" customHeight="1">
      <c r="B15" s="120">
        <v>1</v>
      </c>
      <c r="C15" s="2" t="s">
        <v>4</v>
      </c>
      <c r="D15" s="1" t="s">
        <v>32</v>
      </c>
      <c r="E15" s="1" t="s">
        <v>55</v>
      </c>
      <c r="F15" s="1"/>
      <c r="G15" s="1">
        <v>1</v>
      </c>
      <c r="H15" s="9">
        <f>1218*1.2*1.4*3.8</f>
        <v>7775.711999999999</v>
      </c>
      <c r="I15" s="9">
        <f aca="true" t="shared" si="0" ref="I15:I20">G15*H15</f>
        <v>7775.711999999999</v>
      </c>
      <c r="J15" s="9">
        <f>I15*0.35</f>
        <v>2721.4991999999993</v>
      </c>
      <c r="K15" s="9">
        <f>I15+J15</f>
        <v>10497.211199999998</v>
      </c>
      <c r="L15" s="66" t="s">
        <v>6</v>
      </c>
      <c r="M15" s="66" t="s">
        <v>95</v>
      </c>
      <c r="N15" s="27"/>
    </row>
    <row r="16" spans="2:13" ht="17.25" customHeight="1">
      <c r="B16" s="120">
        <v>2</v>
      </c>
      <c r="C16" s="2" t="s">
        <v>5</v>
      </c>
      <c r="D16" s="1" t="s">
        <v>38</v>
      </c>
      <c r="E16" s="1">
        <v>20735</v>
      </c>
      <c r="F16" s="1"/>
      <c r="G16" s="1">
        <v>1</v>
      </c>
      <c r="H16" s="9">
        <f>H15*0.9</f>
        <v>6998.140799999999</v>
      </c>
      <c r="I16" s="9">
        <f t="shared" si="0"/>
        <v>6998.140799999999</v>
      </c>
      <c r="J16" s="9"/>
      <c r="K16" s="9">
        <f>I16+J16</f>
        <v>6998.140799999999</v>
      </c>
      <c r="L16" s="91" t="s">
        <v>85</v>
      </c>
      <c r="M16" s="66" t="s">
        <v>96</v>
      </c>
    </row>
    <row r="17" spans="2:13" ht="18.75" customHeight="1">
      <c r="B17" s="120">
        <v>3</v>
      </c>
      <c r="C17" s="10" t="s">
        <v>168</v>
      </c>
      <c r="D17" s="1" t="s">
        <v>35</v>
      </c>
      <c r="E17" s="1">
        <v>23969</v>
      </c>
      <c r="F17" s="1"/>
      <c r="G17" s="1">
        <v>1</v>
      </c>
      <c r="H17" s="9">
        <f>2046.24*3.1</f>
        <v>6343.344</v>
      </c>
      <c r="I17" s="9">
        <f t="shared" si="0"/>
        <v>6343.344</v>
      </c>
      <c r="J17" s="9"/>
      <c r="K17" s="9">
        <f aca="true" t="shared" si="1" ref="K17:K28">I17+J17</f>
        <v>6343.344</v>
      </c>
      <c r="L17" s="6" t="s">
        <v>141</v>
      </c>
      <c r="M17" s="66" t="s">
        <v>167</v>
      </c>
    </row>
    <row r="18" spans="2:13" ht="15" customHeight="1">
      <c r="B18" s="120">
        <v>4</v>
      </c>
      <c r="C18" s="3" t="s">
        <v>7</v>
      </c>
      <c r="D18" s="1">
        <v>1231</v>
      </c>
      <c r="E18" s="1">
        <v>20656</v>
      </c>
      <c r="F18" s="1"/>
      <c r="G18" s="4">
        <v>1</v>
      </c>
      <c r="H18" s="26">
        <v>6610</v>
      </c>
      <c r="I18" s="9">
        <f t="shared" si="0"/>
        <v>6610</v>
      </c>
      <c r="J18" s="26">
        <v>2300</v>
      </c>
      <c r="K18" s="9">
        <f t="shared" si="1"/>
        <v>8910</v>
      </c>
      <c r="L18" s="11" t="s">
        <v>217</v>
      </c>
      <c r="M18" s="68" t="s">
        <v>100</v>
      </c>
    </row>
    <row r="19" spans="2:13" ht="22.5" customHeight="1">
      <c r="B19" s="120">
        <v>5</v>
      </c>
      <c r="C19" s="56" t="s">
        <v>16</v>
      </c>
      <c r="D19" s="12">
        <v>1231</v>
      </c>
      <c r="E19" s="12">
        <v>20656</v>
      </c>
      <c r="F19" s="12"/>
      <c r="G19" s="18">
        <v>1</v>
      </c>
      <c r="H19" s="62">
        <v>5620</v>
      </c>
      <c r="I19" s="23">
        <f t="shared" si="0"/>
        <v>5620</v>
      </c>
      <c r="J19" s="23"/>
      <c r="K19" s="23">
        <f t="shared" si="1"/>
        <v>5620</v>
      </c>
      <c r="L19" s="63" t="s">
        <v>215</v>
      </c>
      <c r="M19" s="68" t="s">
        <v>101</v>
      </c>
    </row>
    <row r="20" spans="2:13" ht="15.75" customHeight="1">
      <c r="B20" s="120">
        <v>6</v>
      </c>
      <c r="C20" s="2" t="s">
        <v>169</v>
      </c>
      <c r="D20" s="1">
        <v>1231</v>
      </c>
      <c r="E20" s="1">
        <v>23927</v>
      </c>
      <c r="F20" s="1"/>
      <c r="G20" s="1">
        <v>1</v>
      </c>
      <c r="H20" s="9">
        <f>2046.24*3.1</f>
        <v>6343.344</v>
      </c>
      <c r="I20" s="9">
        <f t="shared" si="0"/>
        <v>6343.344</v>
      </c>
      <c r="J20" s="9"/>
      <c r="K20" s="9">
        <f t="shared" si="1"/>
        <v>6343.344</v>
      </c>
      <c r="L20" s="6" t="s">
        <v>141</v>
      </c>
      <c r="M20" s="66" t="s">
        <v>92</v>
      </c>
    </row>
    <row r="21" spans="2:13" ht="25.5">
      <c r="B21" s="120">
        <v>7</v>
      </c>
      <c r="C21" s="28" t="s">
        <v>43</v>
      </c>
      <c r="D21" s="12" t="s">
        <v>36</v>
      </c>
      <c r="E21" s="12">
        <v>22127</v>
      </c>
      <c r="F21" s="12"/>
      <c r="G21" s="12">
        <v>1</v>
      </c>
      <c r="H21" s="23">
        <f>2046.24*1.72</f>
        <v>3519.5328</v>
      </c>
      <c r="I21" s="23">
        <v>3520</v>
      </c>
      <c r="J21" s="23"/>
      <c r="K21" s="23">
        <f t="shared" si="1"/>
        <v>3520</v>
      </c>
      <c r="L21" s="17" t="s">
        <v>137</v>
      </c>
      <c r="M21" s="68" t="s">
        <v>81</v>
      </c>
    </row>
    <row r="22" spans="2:13" ht="12.75">
      <c r="B22" s="120">
        <v>8</v>
      </c>
      <c r="C22" s="28" t="s">
        <v>170</v>
      </c>
      <c r="D22" s="13" t="s">
        <v>35</v>
      </c>
      <c r="E22" s="13">
        <v>24097</v>
      </c>
      <c r="F22" s="13"/>
      <c r="G22" s="13">
        <v>1</v>
      </c>
      <c r="H22" s="34">
        <f>2046.24*2.65</f>
        <v>5422.536</v>
      </c>
      <c r="I22" s="34">
        <f aca="true" t="shared" si="2" ref="I22:I27">G22*H22</f>
        <v>5422.536</v>
      </c>
      <c r="J22" s="51"/>
      <c r="K22" s="34">
        <f t="shared" si="1"/>
        <v>5422.536</v>
      </c>
      <c r="L22" s="6" t="s">
        <v>187</v>
      </c>
      <c r="M22" s="66" t="s">
        <v>82</v>
      </c>
    </row>
    <row r="23" spans="2:13" ht="12.75">
      <c r="B23" s="120">
        <v>9</v>
      </c>
      <c r="C23" s="28" t="s">
        <v>171</v>
      </c>
      <c r="D23" s="13" t="s">
        <v>35</v>
      </c>
      <c r="E23" s="13">
        <v>24097</v>
      </c>
      <c r="F23" s="13"/>
      <c r="G23" s="13">
        <v>1</v>
      </c>
      <c r="H23" s="34">
        <f>2046.24*2.6</f>
        <v>5320.224</v>
      </c>
      <c r="I23" s="34">
        <f t="shared" si="2"/>
        <v>5320.224</v>
      </c>
      <c r="J23" s="34"/>
      <c r="K23" s="34">
        <f t="shared" si="1"/>
        <v>5320.224</v>
      </c>
      <c r="L23" s="6" t="s">
        <v>188</v>
      </c>
      <c r="M23" s="72" t="s">
        <v>107</v>
      </c>
    </row>
    <row r="24" spans="2:13" ht="14.25" customHeight="1">
      <c r="B24" s="120">
        <v>10</v>
      </c>
      <c r="C24" s="14" t="s">
        <v>178</v>
      </c>
      <c r="D24" s="13" t="s">
        <v>35</v>
      </c>
      <c r="E24" s="13">
        <v>24097</v>
      </c>
      <c r="F24" s="23"/>
      <c r="G24" s="13">
        <v>1</v>
      </c>
      <c r="H24" s="34">
        <f>2046.24*2.7</f>
        <v>5524.848</v>
      </c>
      <c r="I24" s="34">
        <f t="shared" si="2"/>
        <v>5524.848</v>
      </c>
      <c r="J24" s="34"/>
      <c r="K24" s="34">
        <f t="shared" si="1"/>
        <v>5524.848</v>
      </c>
      <c r="L24" s="17" t="s">
        <v>186</v>
      </c>
      <c r="M24" s="66" t="s">
        <v>91</v>
      </c>
    </row>
    <row r="25" spans="2:13" ht="12.75">
      <c r="B25" s="120">
        <v>11</v>
      </c>
      <c r="C25" s="36" t="s">
        <v>172</v>
      </c>
      <c r="D25" s="13" t="s">
        <v>35</v>
      </c>
      <c r="E25" s="13">
        <v>24097</v>
      </c>
      <c r="F25" s="23"/>
      <c r="G25" s="23">
        <v>1</v>
      </c>
      <c r="H25" s="23">
        <f>2046.24*2.6</f>
        <v>5320.224</v>
      </c>
      <c r="I25" s="23">
        <f t="shared" si="2"/>
        <v>5320.224</v>
      </c>
      <c r="J25" s="23"/>
      <c r="K25" s="62">
        <f t="shared" si="1"/>
        <v>5320.224</v>
      </c>
      <c r="L25" s="17" t="s">
        <v>189</v>
      </c>
      <c r="M25" s="66" t="s">
        <v>125</v>
      </c>
    </row>
    <row r="26" spans="2:13" ht="12.75">
      <c r="B26" s="120">
        <v>12</v>
      </c>
      <c r="C26" s="22" t="s">
        <v>173</v>
      </c>
      <c r="D26" s="13" t="s">
        <v>35</v>
      </c>
      <c r="E26" s="13"/>
      <c r="F26" s="23"/>
      <c r="G26" s="18">
        <v>1</v>
      </c>
      <c r="H26" s="62">
        <f>2046.24*2.6</f>
        <v>5320.224</v>
      </c>
      <c r="I26" s="23">
        <f t="shared" si="2"/>
        <v>5320.224</v>
      </c>
      <c r="J26" s="15"/>
      <c r="K26" s="23">
        <f t="shared" si="1"/>
        <v>5320.224</v>
      </c>
      <c r="L26" s="17" t="s">
        <v>191</v>
      </c>
      <c r="M26" s="66" t="s">
        <v>90</v>
      </c>
    </row>
    <row r="27" spans="2:13" ht="12.75">
      <c r="B27" s="120">
        <v>13</v>
      </c>
      <c r="C27" s="36" t="s">
        <v>10</v>
      </c>
      <c r="D27" s="13" t="s">
        <v>35</v>
      </c>
      <c r="E27" s="13">
        <v>24125</v>
      </c>
      <c r="F27" s="23"/>
      <c r="G27" s="38">
        <v>1</v>
      </c>
      <c r="H27" s="34">
        <f>2046.24*2.64</f>
        <v>5402.073600000001</v>
      </c>
      <c r="I27" s="34">
        <f t="shared" si="2"/>
        <v>5402.073600000001</v>
      </c>
      <c r="J27" s="51"/>
      <c r="K27" s="34">
        <f t="shared" si="1"/>
        <v>5402.073600000001</v>
      </c>
      <c r="L27" s="17" t="s">
        <v>190</v>
      </c>
      <c r="M27" s="66" t="s">
        <v>88</v>
      </c>
    </row>
    <row r="28" spans="2:13" ht="12.75">
      <c r="B28" s="120">
        <v>14</v>
      </c>
      <c r="C28" s="28" t="s">
        <v>44</v>
      </c>
      <c r="D28" s="23" t="s">
        <v>36</v>
      </c>
      <c r="E28" s="23">
        <v>23728</v>
      </c>
      <c r="F28" s="23"/>
      <c r="G28" s="13">
        <v>1</v>
      </c>
      <c r="H28" s="34">
        <f>2046.24*2.5</f>
        <v>5115.6</v>
      </c>
      <c r="I28" s="34">
        <f>G28*H28</f>
        <v>5115.6</v>
      </c>
      <c r="J28" s="34"/>
      <c r="K28" s="34">
        <f t="shared" si="1"/>
        <v>5115.6</v>
      </c>
      <c r="L28" s="21" t="s">
        <v>158</v>
      </c>
      <c r="M28" s="68" t="s">
        <v>84</v>
      </c>
    </row>
    <row r="29" spans="2:13" ht="12.75">
      <c r="B29" s="120">
        <v>15</v>
      </c>
      <c r="C29" s="22" t="s">
        <v>231</v>
      </c>
      <c r="D29" s="144" t="s">
        <v>35</v>
      </c>
      <c r="E29" s="145">
        <v>23434</v>
      </c>
      <c r="F29" s="146"/>
      <c r="G29" s="38">
        <v>1</v>
      </c>
      <c r="H29" s="73">
        <f>2046.24*2.2</f>
        <v>4501.728</v>
      </c>
      <c r="I29" s="34">
        <f>G29*H29</f>
        <v>4501.728</v>
      </c>
      <c r="J29" s="73"/>
      <c r="K29" s="73">
        <f>H29</f>
        <v>4501.728</v>
      </c>
      <c r="L29" s="147" t="s">
        <v>232</v>
      </c>
      <c r="M29" s="68"/>
    </row>
    <row r="30" spans="2:13" ht="12.75">
      <c r="B30" s="120">
        <v>16</v>
      </c>
      <c r="C30" s="22" t="s">
        <v>236</v>
      </c>
      <c r="D30" s="144">
        <v>1239</v>
      </c>
      <c r="E30" s="145">
        <v>22124</v>
      </c>
      <c r="F30" s="146"/>
      <c r="G30" s="38">
        <v>1</v>
      </c>
      <c r="H30" s="73">
        <f>2046.24*1.5638</f>
        <v>3199.910112</v>
      </c>
      <c r="I30" s="34">
        <f>G30*H30</f>
        <v>3199.910112</v>
      </c>
      <c r="J30" s="73"/>
      <c r="K30" s="73">
        <f>H30</f>
        <v>3199.910112</v>
      </c>
      <c r="L30" s="147" t="s">
        <v>237</v>
      </c>
      <c r="M30" s="68"/>
    </row>
    <row r="31" spans="2:13" ht="12.75">
      <c r="B31" s="114"/>
      <c r="C31" s="47" t="s">
        <v>164</v>
      </c>
      <c r="D31" s="23"/>
      <c r="E31" s="23"/>
      <c r="F31" s="23"/>
      <c r="G31" s="118">
        <f>SUM(G15:G30)</f>
        <v>16</v>
      </c>
      <c r="H31" s="115"/>
      <c r="I31" s="115">
        <f>SUM(I15:I30)</f>
        <v>88337.90851200001</v>
      </c>
      <c r="J31" s="115">
        <f>SUM(J15:J29)</f>
        <v>5021.499199999999</v>
      </c>
      <c r="K31" s="115">
        <f>SUM(K15:K30)</f>
        <v>93359.407712</v>
      </c>
      <c r="L31" s="21"/>
      <c r="M31" s="68"/>
    </row>
    <row r="32" spans="2:13" ht="19.5" customHeight="1">
      <c r="B32" s="420" t="s">
        <v>163</v>
      </c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150"/>
    </row>
    <row r="33" spans="2:13" ht="16.5" customHeight="1">
      <c r="B33" s="12">
        <v>1</v>
      </c>
      <c r="C33" s="28" t="s">
        <v>123</v>
      </c>
      <c r="D33" s="12" t="s">
        <v>33</v>
      </c>
      <c r="E33" s="12" t="s">
        <v>55</v>
      </c>
      <c r="F33" s="12"/>
      <c r="G33" s="12">
        <v>1</v>
      </c>
      <c r="H33" s="23">
        <f>2046.24*2.2</f>
        <v>4501.728</v>
      </c>
      <c r="I33" s="23">
        <f>G33*H33</f>
        <v>4501.728</v>
      </c>
      <c r="J33" s="23"/>
      <c r="K33" s="23">
        <f>I33+J33</f>
        <v>4501.728</v>
      </c>
      <c r="L33" s="17" t="s">
        <v>136</v>
      </c>
      <c r="M33" s="443" t="s">
        <v>78</v>
      </c>
    </row>
    <row r="34" spans="2:13" ht="15" customHeight="1">
      <c r="B34" s="12">
        <v>2</v>
      </c>
      <c r="C34" s="28" t="s">
        <v>39</v>
      </c>
      <c r="D34" s="12" t="s">
        <v>33</v>
      </c>
      <c r="E34" s="12" t="s">
        <v>55</v>
      </c>
      <c r="F34" s="12"/>
      <c r="G34" s="12">
        <v>0.25</v>
      </c>
      <c r="H34" s="23">
        <f>2046.24*2</f>
        <v>4092.48</v>
      </c>
      <c r="I34" s="23">
        <f>H34*0.25</f>
        <v>1023.12</v>
      </c>
      <c r="J34" s="23"/>
      <c r="K34" s="23">
        <f>H34*G34</f>
        <v>1023.12</v>
      </c>
      <c r="L34" s="17" t="s">
        <v>133</v>
      </c>
      <c r="M34" s="443"/>
    </row>
    <row r="35" spans="2:13" ht="18" customHeight="1">
      <c r="B35" s="12">
        <v>3</v>
      </c>
      <c r="C35" s="10" t="s">
        <v>22</v>
      </c>
      <c r="D35" s="1" t="s">
        <v>33</v>
      </c>
      <c r="E35" s="1">
        <v>22177</v>
      </c>
      <c r="F35" s="1"/>
      <c r="G35" s="1">
        <v>1</v>
      </c>
      <c r="H35" s="9">
        <f>2046.24*2.4</f>
        <v>4910.976</v>
      </c>
      <c r="I35" s="9">
        <f>H35</f>
        <v>4910.976</v>
      </c>
      <c r="J35" s="9"/>
      <c r="K35" s="9">
        <f>I35</f>
        <v>4910.976</v>
      </c>
      <c r="L35" s="6" t="s">
        <v>145</v>
      </c>
      <c r="M35" s="66" t="s">
        <v>99</v>
      </c>
    </row>
    <row r="36" spans="2:13" ht="23.25" customHeight="1">
      <c r="B36" s="12">
        <v>4</v>
      </c>
      <c r="C36" s="111" t="s">
        <v>179</v>
      </c>
      <c r="D36" s="1" t="s">
        <v>33</v>
      </c>
      <c r="E36" s="1">
        <v>22177</v>
      </c>
      <c r="F36" s="1"/>
      <c r="G36" s="1">
        <v>2</v>
      </c>
      <c r="H36" s="9">
        <f>2046.24*2.1</f>
        <v>4297.104</v>
      </c>
      <c r="I36" s="9">
        <f>G36*H36</f>
        <v>8594.208</v>
      </c>
      <c r="J36" s="8"/>
      <c r="K36" s="9">
        <f>I36+J36</f>
        <v>8594.208</v>
      </c>
      <c r="L36" s="6" t="s">
        <v>147</v>
      </c>
      <c r="M36" s="173" t="s">
        <v>263</v>
      </c>
    </row>
    <row r="37" spans="2:13" ht="18" customHeight="1">
      <c r="B37" s="12">
        <v>5</v>
      </c>
      <c r="C37" s="2" t="s">
        <v>180</v>
      </c>
      <c r="D37" s="1" t="s">
        <v>33</v>
      </c>
      <c r="E37" s="1">
        <v>22177</v>
      </c>
      <c r="F37" s="1"/>
      <c r="G37" s="1">
        <v>1</v>
      </c>
      <c r="H37" s="9">
        <f>2046.24*2.25</f>
        <v>4604.04</v>
      </c>
      <c r="I37" s="9">
        <f>G37*H37</f>
        <v>4604.04</v>
      </c>
      <c r="J37" s="8"/>
      <c r="K37" s="9">
        <f>I37+J37</f>
        <v>4604.04</v>
      </c>
      <c r="L37" s="6" t="s">
        <v>146</v>
      </c>
      <c r="M37" s="66" t="s">
        <v>262</v>
      </c>
    </row>
    <row r="38" spans="2:13" ht="20.25" customHeight="1">
      <c r="B38" s="12">
        <v>6</v>
      </c>
      <c r="C38" s="28" t="s">
        <v>124</v>
      </c>
      <c r="D38" s="13" t="s">
        <v>119</v>
      </c>
      <c r="E38" s="13">
        <v>22496</v>
      </c>
      <c r="F38" s="13"/>
      <c r="G38" s="13">
        <v>1</v>
      </c>
      <c r="H38" s="34">
        <f>2046.24*2.2</f>
        <v>4501.728</v>
      </c>
      <c r="I38" s="34">
        <f>H38</f>
        <v>4501.728</v>
      </c>
      <c r="J38" s="51"/>
      <c r="K38" s="34">
        <f>H38</f>
        <v>4501.728</v>
      </c>
      <c r="L38" s="21" t="s">
        <v>192</v>
      </c>
      <c r="M38" s="67" t="s">
        <v>94</v>
      </c>
    </row>
    <row r="39" spans="2:13" ht="18" customHeight="1">
      <c r="B39" s="12">
        <v>7</v>
      </c>
      <c r="C39" s="22" t="s">
        <v>27</v>
      </c>
      <c r="D39" s="13" t="s">
        <v>33</v>
      </c>
      <c r="E39" s="1">
        <v>22177</v>
      </c>
      <c r="F39" s="13"/>
      <c r="G39" s="38">
        <v>1</v>
      </c>
      <c r="H39" s="23">
        <f>2046.24*2.2</f>
        <v>4501.728</v>
      </c>
      <c r="I39" s="23">
        <f aca="true" t="shared" si="3" ref="I39:I44">G39*H39</f>
        <v>4501.728</v>
      </c>
      <c r="J39" s="36"/>
      <c r="K39" s="23">
        <f>I39+J39</f>
        <v>4501.728</v>
      </c>
      <c r="L39" s="17" t="s">
        <v>136</v>
      </c>
      <c r="M39" s="66" t="s">
        <v>87</v>
      </c>
    </row>
    <row r="40" spans="2:13" ht="29.25" customHeight="1">
      <c r="B40" s="12">
        <v>8</v>
      </c>
      <c r="C40" s="28" t="s">
        <v>41</v>
      </c>
      <c r="D40" s="12" t="s">
        <v>34</v>
      </c>
      <c r="E40" s="12" t="s">
        <v>55</v>
      </c>
      <c r="F40" s="12"/>
      <c r="G40" s="18">
        <v>2</v>
      </c>
      <c r="H40" s="62">
        <v>4911</v>
      </c>
      <c r="I40" s="9">
        <f t="shared" si="3"/>
        <v>9822</v>
      </c>
      <c r="J40" s="23"/>
      <c r="K40" s="23">
        <f>H40*G40</f>
        <v>9822</v>
      </c>
      <c r="L40" s="17" t="s">
        <v>145</v>
      </c>
      <c r="M40" s="148" t="s">
        <v>239</v>
      </c>
    </row>
    <row r="41" spans="2:13" ht="18.75" customHeight="1">
      <c r="B41" s="12">
        <v>9</v>
      </c>
      <c r="C41" s="28" t="s">
        <v>122</v>
      </c>
      <c r="D41" s="12" t="s">
        <v>34</v>
      </c>
      <c r="E41" s="12" t="s">
        <v>55</v>
      </c>
      <c r="F41" s="12"/>
      <c r="G41" s="18">
        <v>2</v>
      </c>
      <c r="H41" s="62">
        <f>2046.24*2.3</f>
        <v>4706.352</v>
      </c>
      <c r="I41" s="23">
        <f t="shared" si="3"/>
        <v>9412.704</v>
      </c>
      <c r="J41" s="23"/>
      <c r="K41" s="23">
        <f>I41+J41</f>
        <v>9412.704</v>
      </c>
      <c r="L41" s="17" t="s">
        <v>199</v>
      </c>
      <c r="M41" s="68" t="s">
        <v>93</v>
      </c>
    </row>
    <row r="42" spans="2:13" ht="16.5" customHeight="1">
      <c r="B42" s="12">
        <v>11</v>
      </c>
      <c r="C42" s="2" t="s">
        <v>8</v>
      </c>
      <c r="D42" s="1" t="s">
        <v>51</v>
      </c>
      <c r="E42" s="1">
        <v>25351</v>
      </c>
      <c r="F42" s="1"/>
      <c r="G42" s="1">
        <v>1</v>
      </c>
      <c r="H42" s="9">
        <f>2046.24*2.4</f>
        <v>4910.976</v>
      </c>
      <c r="I42" s="9">
        <f t="shared" si="3"/>
        <v>4910.976</v>
      </c>
      <c r="J42" s="9"/>
      <c r="K42" s="9">
        <f>I42+J42</f>
        <v>4910.976</v>
      </c>
      <c r="L42" s="6" t="s">
        <v>148</v>
      </c>
      <c r="M42" s="66" t="s">
        <v>118</v>
      </c>
    </row>
    <row r="43" spans="2:13" ht="24">
      <c r="B43" s="12">
        <v>12</v>
      </c>
      <c r="C43" s="64" t="s">
        <v>42</v>
      </c>
      <c r="D43" s="12" t="s">
        <v>33</v>
      </c>
      <c r="E43" s="12">
        <v>22296</v>
      </c>
      <c r="F43" s="35"/>
      <c r="G43" s="18">
        <v>1</v>
      </c>
      <c r="H43" s="62">
        <f>2046.24*2</f>
        <v>4092.48</v>
      </c>
      <c r="I43" s="23">
        <f t="shared" si="3"/>
        <v>4092.48</v>
      </c>
      <c r="J43" s="23"/>
      <c r="K43" s="23">
        <f>I43+J43</f>
        <v>4092.48</v>
      </c>
      <c r="L43" s="17" t="s">
        <v>194</v>
      </c>
      <c r="M43" s="68" t="s">
        <v>80</v>
      </c>
    </row>
    <row r="44" spans="2:15" ht="19.5" customHeight="1">
      <c r="B44" s="12">
        <v>13</v>
      </c>
      <c r="C44" s="2" t="s">
        <v>40</v>
      </c>
      <c r="D44" s="1">
        <v>2429</v>
      </c>
      <c r="E44" s="1">
        <v>25500</v>
      </c>
      <c r="F44" s="1"/>
      <c r="G44" s="1">
        <v>1</v>
      </c>
      <c r="H44" s="9">
        <v>5000</v>
      </c>
      <c r="I44" s="9">
        <f t="shared" si="3"/>
        <v>5000</v>
      </c>
      <c r="J44" s="9"/>
      <c r="K44" s="9">
        <f>I44+J44</f>
        <v>5000</v>
      </c>
      <c r="L44" s="6" t="s">
        <v>144</v>
      </c>
      <c r="M44" s="100" t="s">
        <v>264</v>
      </c>
      <c r="O44" s="27"/>
    </row>
    <row r="45" spans="2:13" ht="21.75" customHeight="1">
      <c r="B45" s="12"/>
      <c r="C45" s="47" t="s">
        <v>164</v>
      </c>
      <c r="D45" s="19"/>
      <c r="E45" s="19"/>
      <c r="F45" s="19"/>
      <c r="G45" s="19">
        <f>SUM(G33:G44)</f>
        <v>14.25</v>
      </c>
      <c r="H45" s="32"/>
      <c r="I45" s="32">
        <f>SUM(I33:I44)</f>
        <v>65875.688</v>
      </c>
      <c r="J45" s="32"/>
      <c r="K45" s="32">
        <f>SUM(K33:K44)</f>
        <v>65875.688</v>
      </c>
      <c r="L45" s="116"/>
      <c r="M45" s="117"/>
    </row>
    <row r="46" spans="2:13" ht="19.5" customHeight="1">
      <c r="B46" s="420" t="s">
        <v>165</v>
      </c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150"/>
    </row>
    <row r="47" spans="2:13" ht="17.25" customHeight="1">
      <c r="B47" s="1">
        <v>1</v>
      </c>
      <c r="C47" s="2" t="s">
        <v>17</v>
      </c>
      <c r="D47" s="1">
        <v>3423</v>
      </c>
      <c r="E47" s="1">
        <v>22601</v>
      </c>
      <c r="F47" s="1"/>
      <c r="G47" s="1">
        <v>1</v>
      </c>
      <c r="H47" s="9">
        <f>2046.24*2.2</f>
        <v>4501.728</v>
      </c>
      <c r="I47" s="9">
        <f>G47*H47</f>
        <v>4501.728</v>
      </c>
      <c r="J47" s="9"/>
      <c r="K47" s="9">
        <f>I47+J47</f>
        <v>4501.728</v>
      </c>
      <c r="L47" s="99" t="s">
        <v>204</v>
      </c>
      <c r="M47" s="66" t="s">
        <v>97</v>
      </c>
    </row>
    <row r="48" spans="2:15" ht="16.5" customHeight="1">
      <c r="B48" s="112">
        <v>2</v>
      </c>
      <c r="C48" s="111" t="s">
        <v>9</v>
      </c>
      <c r="D48" s="1">
        <v>3119</v>
      </c>
      <c r="E48" s="1">
        <v>24940</v>
      </c>
      <c r="F48" s="1"/>
      <c r="G48" s="1">
        <v>1</v>
      </c>
      <c r="H48" s="9">
        <f>2046.24*1.5</f>
        <v>3069.36</v>
      </c>
      <c r="I48" s="9">
        <f>G48*H48</f>
        <v>3069.36</v>
      </c>
      <c r="J48" s="8"/>
      <c r="K48" s="9">
        <f>I48+J48</f>
        <v>3069.36</v>
      </c>
      <c r="L48" s="6" t="s">
        <v>135</v>
      </c>
      <c r="M48" s="66" t="s">
        <v>79</v>
      </c>
      <c r="O48" s="27"/>
    </row>
    <row r="49" spans="2:13" ht="18.75" customHeight="1">
      <c r="B49" s="1"/>
      <c r="C49" s="47" t="s">
        <v>164</v>
      </c>
      <c r="D49" s="1"/>
      <c r="E49" s="1"/>
      <c r="F49" s="1"/>
      <c r="G49" s="113">
        <f>SUM(G47:G48)</f>
        <v>2</v>
      </c>
      <c r="H49" s="119"/>
      <c r="I49" s="119">
        <f>SUM(I47:I48)</f>
        <v>7571.088</v>
      </c>
      <c r="J49" s="119"/>
      <c r="K49" s="119">
        <f>SUM(K47:K48)</f>
        <v>7571.088</v>
      </c>
      <c r="L49" s="99"/>
      <c r="M49" s="66"/>
    </row>
    <row r="50" spans="2:13" ht="18.75" customHeight="1">
      <c r="B50" s="420" t="s">
        <v>166</v>
      </c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150"/>
    </row>
    <row r="51" spans="2:13" ht="18" customHeight="1">
      <c r="B51" s="1">
        <v>1</v>
      </c>
      <c r="C51" s="2" t="s">
        <v>37</v>
      </c>
      <c r="D51" s="1">
        <v>4115</v>
      </c>
      <c r="E51" s="1">
        <v>24690</v>
      </c>
      <c r="F51" s="1"/>
      <c r="G51" s="1">
        <v>1</v>
      </c>
      <c r="H51" s="9">
        <f>2046.24*1.3</f>
        <v>2660.112</v>
      </c>
      <c r="I51" s="9">
        <f>G51*H51</f>
        <v>2660.112</v>
      </c>
      <c r="J51" s="9"/>
      <c r="K51" s="9">
        <f>I51+J51</f>
        <v>2660.112</v>
      </c>
      <c r="L51" s="6" t="s">
        <v>134</v>
      </c>
      <c r="M51" s="66" t="s">
        <v>251</v>
      </c>
    </row>
    <row r="52" spans="2:13" ht="25.5">
      <c r="B52" s="1">
        <v>2</v>
      </c>
      <c r="C52" s="10" t="s">
        <v>193</v>
      </c>
      <c r="D52" s="1">
        <v>4133</v>
      </c>
      <c r="E52" s="1" t="s">
        <v>195</v>
      </c>
      <c r="F52" s="1"/>
      <c r="G52" s="1">
        <v>1</v>
      </c>
      <c r="H52" s="9">
        <v>2865</v>
      </c>
      <c r="I52" s="9">
        <f>G52*H52</f>
        <v>2865</v>
      </c>
      <c r="J52" s="9"/>
      <c r="K52" s="9">
        <f>I52+J52</f>
        <v>2865</v>
      </c>
      <c r="L52" s="6" t="s">
        <v>213</v>
      </c>
      <c r="M52" s="66" t="s">
        <v>252</v>
      </c>
    </row>
    <row r="53" spans="2:17" ht="17.25" customHeight="1">
      <c r="B53" s="1">
        <v>3</v>
      </c>
      <c r="C53" s="2" t="s">
        <v>120</v>
      </c>
      <c r="D53" s="1">
        <v>3231</v>
      </c>
      <c r="E53" s="1">
        <v>24713</v>
      </c>
      <c r="F53" s="1"/>
      <c r="G53" s="1">
        <v>0.5</v>
      </c>
      <c r="H53" s="9">
        <v>1680</v>
      </c>
      <c r="I53" s="9">
        <f>H53*G53</f>
        <v>840</v>
      </c>
      <c r="J53" s="9"/>
      <c r="K53" s="9">
        <f>I53+J53</f>
        <v>840</v>
      </c>
      <c r="L53" s="6" t="s">
        <v>214</v>
      </c>
      <c r="M53" s="66" t="s">
        <v>98</v>
      </c>
      <c r="O53" s="155"/>
      <c r="P53" s="155"/>
      <c r="Q53" s="155"/>
    </row>
    <row r="54" spans="2:17" ht="18" customHeight="1">
      <c r="B54" s="20"/>
      <c r="C54" s="47" t="s">
        <v>164</v>
      </c>
      <c r="D54" s="47"/>
      <c r="E54" s="47"/>
      <c r="F54" s="47"/>
      <c r="G54" s="20">
        <f>SUM(G51:G53)</f>
        <v>2.5</v>
      </c>
      <c r="H54" s="25"/>
      <c r="I54" s="25">
        <f>SUM(I51:I53)</f>
        <v>6365.112</v>
      </c>
      <c r="J54" s="25"/>
      <c r="K54" s="25">
        <f>SUM(K51:K53)</f>
        <v>6365.112</v>
      </c>
      <c r="L54" s="2"/>
      <c r="M54" s="66"/>
      <c r="N54" s="7"/>
      <c r="O54" s="156"/>
      <c r="P54" s="155"/>
      <c r="Q54" s="155"/>
    </row>
    <row r="55" spans="2:17" ht="20.25" customHeight="1">
      <c r="B55" s="433" t="s">
        <v>174</v>
      </c>
      <c r="C55" s="433"/>
      <c r="D55" s="433"/>
      <c r="E55" s="433"/>
      <c r="F55" s="433"/>
      <c r="G55" s="433"/>
      <c r="H55" s="433"/>
      <c r="I55" s="433"/>
      <c r="J55" s="433"/>
      <c r="K55" s="433"/>
      <c r="L55" s="433"/>
      <c r="M55" s="151"/>
      <c r="O55" s="155"/>
      <c r="P55" s="155"/>
      <c r="Q55" s="155"/>
    </row>
    <row r="56" spans="2:13" ht="19.5" customHeight="1">
      <c r="B56" s="434" t="s">
        <v>71</v>
      </c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152"/>
    </row>
    <row r="57" spans="2:13" ht="30.75" customHeight="1">
      <c r="B57" s="13">
        <v>1</v>
      </c>
      <c r="C57" s="14" t="s">
        <v>76</v>
      </c>
      <c r="D57" s="34" t="s">
        <v>45</v>
      </c>
      <c r="E57" s="34">
        <v>19867</v>
      </c>
      <c r="F57" s="29">
        <v>22.91</v>
      </c>
      <c r="G57" s="13">
        <v>2</v>
      </c>
      <c r="H57" s="34">
        <f>2046.24*1.87</f>
        <v>3826.4688</v>
      </c>
      <c r="I57" s="34">
        <f>G57*H57</f>
        <v>7652.9376</v>
      </c>
      <c r="J57" s="34">
        <f>(H57*0.16)*G57</f>
        <v>1224.470016</v>
      </c>
      <c r="K57" s="34">
        <f>I57+J57</f>
        <v>8877.407616</v>
      </c>
      <c r="L57" s="21" t="s">
        <v>149</v>
      </c>
      <c r="M57" s="169" t="s">
        <v>109</v>
      </c>
    </row>
    <row r="58" spans="2:16" ht="26.25" customHeight="1">
      <c r="B58" s="13">
        <v>2</v>
      </c>
      <c r="C58" s="14" t="s">
        <v>77</v>
      </c>
      <c r="D58" s="34" t="s">
        <v>45</v>
      </c>
      <c r="E58" s="34">
        <v>19867</v>
      </c>
      <c r="F58" s="29">
        <v>20.83</v>
      </c>
      <c r="G58" s="13">
        <v>2</v>
      </c>
      <c r="H58" s="34">
        <f>2046.24*1.7</f>
        <v>3478.6079999999997</v>
      </c>
      <c r="I58" s="34">
        <f>G58*H58</f>
        <v>6957.215999999999</v>
      </c>
      <c r="J58" s="34">
        <f>(H58*0.12)*G58</f>
        <v>834.8659199999998</v>
      </c>
      <c r="K58" s="34">
        <f>I58+J58</f>
        <v>7792.08192</v>
      </c>
      <c r="L58" s="168" t="s">
        <v>150</v>
      </c>
      <c r="M58" s="172" t="s">
        <v>253</v>
      </c>
      <c r="O58" s="27"/>
      <c r="P58" s="103"/>
    </row>
    <row r="59" spans="2:13" ht="25.5" customHeight="1">
      <c r="B59" s="13">
        <v>3</v>
      </c>
      <c r="C59" s="14" t="s">
        <v>56</v>
      </c>
      <c r="D59" s="34" t="s">
        <v>45</v>
      </c>
      <c r="E59" s="34">
        <v>19859</v>
      </c>
      <c r="F59" s="29">
        <v>22.67</v>
      </c>
      <c r="G59" s="13">
        <v>3</v>
      </c>
      <c r="H59" s="34">
        <f>2046.24*1.85</f>
        <v>3785.5440000000003</v>
      </c>
      <c r="I59" s="34">
        <f>G59*H59</f>
        <v>11356.632000000001</v>
      </c>
      <c r="J59" s="34">
        <f>(H59*0.16)*G59</f>
        <v>1817.06112</v>
      </c>
      <c r="K59" s="34">
        <f>I59+J59</f>
        <v>13173.693120000002</v>
      </c>
      <c r="L59" s="21" t="s">
        <v>138</v>
      </c>
      <c r="M59" s="170" t="s">
        <v>108</v>
      </c>
    </row>
    <row r="60" spans="2:13" ht="38.25" customHeight="1">
      <c r="B60" s="13">
        <v>4</v>
      </c>
      <c r="C60" s="22" t="s">
        <v>196</v>
      </c>
      <c r="D60" s="34">
        <v>9322</v>
      </c>
      <c r="E60" s="34">
        <v>19836</v>
      </c>
      <c r="F60" s="29">
        <v>18.37</v>
      </c>
      <c r="G60" s="34">
        <v>1</v>
      </c>
      <c r="H60" s="9">
        <f>2046.24*1.5</f>
        <v>3069.36</v>
      </c>
      <c r="I60" s="34">
        <f>G60*H60</f>
        <v>3069.36</v>
      </c>
      <c r="J60" s="34"/>
      <c r="K60" s="34">
        <f>I60+J60</f>
        <v>3069.36</v>
      </c>
      <c r="L60" s="6" t="s">
        <v>197</v>
      </c>
      <c r="M60" s="171" t="s">
        <v>254</v>
      </c>
    </row>
    <row r="61" spans="2:18" ht="30" customHeight="1">
      <c r="B61" s="13">
        <v>5</v>
      </c>
      <c r="C61" s="14" t="s">
        <v>57</v>
      </c>
      <c r="D61" s="34" t="s">
        <v>45</v>
      </c>
      <c r="E61" s="34">
        <v>19859</v>
      </c>
      <c r="F61" s="29">
        <v>20.22</v>
      </c>
      <c r="G61" s="13">
        <v>1</v>
      </c>
      <c r="H61" s="34">
        <f>2046.24*1.65</f>
        <v>3376.296</v>
      </c>
      <c r="I61" s="34">
        <f>G61*H61</f>
        <v>3376.296</v>
      </c>
      <c r="J61" s="34">
        <f>(H61*0.12)*G61</f>
        <v>405.15551999999997</v>
      </c>
      <c r="K61" s="34">
        <f>I61+J61</f>
        <v>3781.4515199999996</v>
      </c>
      <c r="L61" s="21" t="s">
        <v>139</v>
      </c>
      <c r="M61" s="67" t="s">
        <v>140</v>
      </c>
      <c r="O61" s="174"/>
      <c r="Q61" s="92"/>
      <c r="R61" s="92"/>
    </row>
    <row r="62" spans="2:16" ht="21" customHeight="1">
      <c r="B62" s="413" t="s">
        <v>70</v>
      </c>
      <c r="C62" s="414"/>
      <c r="D62" s="20"/>
      <c r="E62" s="20"/>
      <c r="F62" s="20"/>
      <c r="G62" s="20">
        <f>SUM(G57:G61)</f>
        <v>9</v>
      </c>
      <c r="H62" s="25"/>
      <c r="I62" s="25">
        <f>SUM(I57:I61)</f>
        <v>32412.441600000002</v>
      </c>
      <c r="J62" s="25">
        <f>SUM(J57:J61)</f>
        <v>4281.552576</v>
      </c>
      <c r="K62" s="31">
        <f>SUM(K57:K61)</f>
        <v>36693.99417600001</v>
      </c>
      <c r="L62" s="2"/>
      <c r="M62" s="66"/>
      <c r="N62" s="102"/>
      <c r="O62" s="105"/>
      <c r="P62" s="106"/>
    </row>
    <row r="63" spans="2:13" ht="20.25" customHeight="1">
      <c r="B63" s="415" t="s">
        <v>117</v>
      </c>
      <c r="C63" s="415"/>
      <c r="D63" s="415"/>
      <c r="E63" s="415"/>
      <c r="F63" s="415"/>
      <c r="G63" s="415"/>
      <c r="H63" s="415"/>
      <c r="I63" s="415"/>
      <c r="J63" s="415"/>
      <c r="K63" s="415"/>
      <c r="L63" s="415"/>
      <c r="M63" s="149"/>
    </row>
    <row r="64" spans="2:15" ht="28.5" customHeight="1">
      <c r="B64" s="34">
        <v>1</v>
      </c>
      <c r="C64" s="14" t="s">
        <v>76</v>
      </c>
      <c r="D64" s="34" t="s">
        <v>45</v>
      </c>
      <c r="E64" s="34">
        <v>19867</v>
      </c>
      <c r="F64" s="29">
        <v>22.67</v>
      </c>
      <c r="G64" s="34">
        <v>4</v>
      </c>
      <c r="H64" s="34">
        <f>2046.24*1.85</f>
        <v>3785.5440000000003</v>
      </c>
      <c r="I64" s="34">
        <f>G64*H64</f>
        <v>15142.176000000001</v>
      </c>
      <c r="J64" s="34">
        <f>(H64*0.16)*G64</f>
        <v>2422.74816</v>
      </c>
      <c r="K64" s="34">
        <f>I64+J64</f>
        <v>17564.924160000002</v>
      </c>
      <c r="L64" s="24" t="s">
        <v>138</v>
      </c>
      <c r="M64" s="72" t="s">
        <v>265</v>
      </c>
      <c r="O64" s="92"/>
    </row>
    <row r="65" spans="2:13" ht="35.25" customHeight="1">
      <c r="B65" s="34">
        <v>2</v>
      </c>
      <c r="C65" s="14" t="s">
        <v>77</v>
      </c>
      <c r="D65" s="34" t="s">
        <v>45</v>
      </c>
      <c r="E65" s="34">
        <v>19867</v>
      </c>
      <c r="F65" s="29">
        <v>20.22</v>
      </c>
      <c r="G65" s="34">
        <v>3</v>
      </c>
      <c r="H65" s="34">
        <f>2046.24*1.65</f>
        <v>3376.296</v>
      </c>
      <c r="I65" s="34">
        <f>G65*H65</f>
        <v>10128.887999999999</v>
      </c>
      <c r="J65" s="34">
        <f>(H65*0.12)*G65</f>
        <v>1215.4665599999998</v>
      </c>
      <c r="K65" s="34">
        <f>I65+J65</f>
        <v>11344.35456</v>
      </c>
      <c r="L65" s="24" t="s">
        <v>139</v>
      </c>
      <c r="M65" s="72" t="s">
        <v>256</v>
      </c>
    </row>
    <row r="66" spans="2:15" ht="33.75" customHeight="1">
      <c r="B66" s="34">
        <v>3</v>
      </c>
      <c r="C66" s="14" t="s">
        <v>74</v>
      </c>
      <c r="D66" s="34" t="s">
        <v>45</v>
      </c>
      <c r="E66" s="34">
        <v>19859</v>
      </c>
      <c r="F66" s="29">
        <v>22.67</v>
      </c>
      <c r="G66" s="34">
        <v>2</v>
      </c>
      <c r="H66" s="34">
        <f>2046.24*1.85</f>
        <v>3785.5440000000003</v>
      </c>
      <c r="I66" s="34">
        <f>G66*H66</f>
        <v>7571.088000000001</v>
      </c>
      <c r="J66" s="34">
        <f>(H66*0.16)*G66</f>
        <v>1211.37408</v>
      </c>
      <c r="K66" s="34">
        <f>I66+J66</f>
        <v>8782.462080000001</v>
      </c>
      <c r="L66" s="24" t="s">
        <v>138</v>
      </c>
      <c r="M66" s="172" t="s">
        <v>255</v>
      </c>
      <c r="O66" s="27"/>
    </row>
    <row r="67" spans="2:19" ht="33" customHeight="1">
      <c r="B67" s="34">
        <v>4</v>
      </c>
      <c r="C67" s="14" t="s">
        <v>75</v>
      </c>
      <c r="D67" s="34" t="s">
        <v>45</v>
      </c>
      <c r="E67" s="34">
        <v>19859</v>
      </c>
      <c r="F67" s="29">
        <v>20.22</v>
      </c>
      <c r="G67" s="34">
        <v>1</v>
      </c>
      <c r="H67" s="34">
        <f>2046.24*1.65</f>
        <v>3376.296</v>
      </c>
      <c r="I67" s="34">
        <f>G67*H67</f>
        <v>3376.296</v>
      </c>
      <c r="J67" s="34">
        <f>(H67*0.12)*G67</f>
        <v>405.15551999999997</v>
      </c>
      <c r="K67" s="34">
        <f>I67+J67</f>
        <v>3781.4515199999996</v>
      </c>
      <c r="L67" s="24" t="s">
        <v>139</v>
      </c>
      <c r="M67" s="67" t="s">
        <v>257</v>
      </c>
      <c r="O67" s="27"/>
      <c r="Q67" s="92"/>
      <c r="R67" s="92"/>
      <c r="S67" s="92"/>
    </row>
    <row r="68" spans="2:16" ht="18" customHeight="1">
      <c r="B68" s="413" t="s">
        <v>70</v>
      </c>
      <c r="C68" s="414"/>
      <c r="D68" s="50"/>
      <c r="E68" s="50"/>
      <c r="F68" s="50"/>
      <c r="G68" s="33">
        <f>SUM(G64:G67)</f>
        <v>10</v>
      </c>
      <c r="H68" s="42"/>
      <c r="I68" s="33">
        <f>SUM(I64:I67)</f>
        <v>36218.448000000004</v>
      </c>
      <c r="J68" s="33">
        <f>SUM(J64:J67)</f>
        <v>5254.74432</v>
      </c>
      <c r="K68" s="43">
        <f>SUM(K64:K67)</f>
        <v>41473.19232</v>
      </c>
      <c r="L68" s="28"/>
      <c r="M68" s="66"/>
      <c r="N68" s="7"/>
      <c r="O68" s="105"/>
      <c r="P68" s="106"/>
    </row>
    <row r="69" spans="2:13" ht="20.25" customHeight="1">
      <c r="B69" s="416" t="s">
        <v>20</v>
      </c>
      <c r="C69" s="416"/>
      <c r="D69" s="416"/>
      <c r="E69" s="416"/>
      <c r="F69" s="416"/>
      <c r="G69" s="416"/>
      <c r="H69" s="416"/>
      <c r="I69" s="416"/>
      <c r="J69" s="416"/>
      <c r="K69" s="416"/>
      <c r="L69" s="416"/>
      <c r="M69" s="153"/>
    </row>
    <row r="70" spans="2:15" ht="31.5" customHeight="1">
      <c r="B70" s="13">
        <v>1</v>
      </c>
      <c r="C70" s="14" t="s">
        <v>74</v>
      </c>
      <c r="D70" s="34" t="s">
        <v>45</v>
      </c>
      <c r="E70" s="34">
        <v>19859</v>
      </c>
      <c r="F70" s="16">
        <v>24.02</v>
      </c>
      <c r="G70" s="13">
        <v>6</v>
      </c>
      <c r="H70" s="34">
        <f>2046.24*1.96</f>
        <v>4010.6304</v>
      </c>
      <c r="I70" s="34">
        <f>G70*H70</f>
        <v>24063.7824</v>
      </c>
      <c r="J70" s="34">
        <f>(H70*0.16)*G70+1</f>
        <v>3851.2051840000004</v>
      </c>
      <c r="K70" s="34">
        <f>I70+J70</f>
        <v>27914.987584000002</v>
      </c>
      <c r="L70" s="24" t="s">
        <v>142</v>
      </c>
      <c r="M70" s="67" t="s">
        <v>267</v>
      </c>
      <c r="O70" s="27"/>
    </row>
    <row r="71" spans="2:15" ht="33.75" customHeight="1">
      <c r="B71" s="13">
        <v>2</v>
      </c>
      <c r="C71" s="14" t="s">
        <v>75</v>
      </c>
      <c r="D71" s="34" t="s">
        <v>45</v>
      </c>
      <c r="E71" s="34">
        <v>19859</v>
      </c>
      <c r="F71" s="16">
        <v>21.32</v>
      </c>
      <c r="G71" s="13">
        <v>3</v>
      </c>
      <c r="H71" s="142">
        <f>2046.24*1.74</f>
        <v>3560.4576</v>
      </c>
      <c r="I71" s="34">
        <f>H71*G71</f>
        <v>10681.372800000001</v>
      </c>
      <c r="J71" s="34">
        <f>(H71*0.12)*G71</f>
        <v>1281.764736</v>
      </c>
      <c r="K71" s="34">
        <f>I71+J71</f>
        <v>11963.137536000002</v>
      </c>
      <c r="L71" s="24" t="s">
        <v>143</v>
      </c>
      <c r="M71" s="67" t="s">
        <v>258</v>
      </c>
      <c r="O71" s="27"/>
    </row>
    <row r="72" spans="2:16" ht="18.75" customHeight="1">
      <c r="B72" s="413" t="s">
        <v>70</v>
      </c>
      <c r="C72" s="414"/>
      <c r="D72" s="50"/>
      <c r="E72" s="50"/>
      <c r="F72" s="50"/>
      <c r="G72" s="42">
        <f>SUM(G70:G71)</f>
        <v>9</v>
      </c>
      <c r="H72" s="50"/>
      <c r="I72" s="33">
        <f>SUM(I70:I71)</f>
        <v>34745.1552</v>
      </c>
      <c r="J72" s="33">
        <f>SUM(J70:J71)</f>
        <v>5132.9699200000005</v>
      </c>
      <c r="K72" s="43">
        <f>SUM(K70:K71)</f>
        <v>39878.125120000004</v>
      </c>
      <c r="L72" s="28"/>
      <c r="M72" s="66"/>
      <c r="N72" s="7"/>
      <c r="O72" s="105"/>
      <c r="P72" s="106"/>
    </row>
    <row r="73" spans="2:13" ht="18" customHeight="1">
      <c r="B73" s="415" t="s">
        <v>72</v>
      </c>
      <c r="C73" s="415"/>
      <c r="D73" s="415"/>
      <c r="E73" s="415"/>
      <c r="F73" s="415"/>
      <c r="G73" s="415"/>
      <c r="H73" s="415"/>
      <c r="I73" s="415"/>
      <c r="J73" s="415"/>
      <c r="K73" s="415"/>
      <c r="L73" s="415"/>
      <c r="M73" s="149"/>
    </row>
    <row r="74" spans="2:16" ht="55.5" customHeight="1">
      <c r="B74" s="23">
        <v>1</v>
      </c>
      <c r="C74" s="14" t="s">
        <v>76</v>
      </c>
      <c r="D74" s="34" t="s">
        <v>45</v>
      </c>
      <c r="E74" s="34">
        <v>19867</v>
      </c>
      <c r="F74" s="16">
        <v>22.79</v>
      </c>
      <c r="G74" s="23">
        <v>6</v>
      </c>
      <c r="H74" s="34">
        <f>2046.24*1.86</f>
        <v>3806.0064</v>
      </c>
      <c r="I74" s="23">
        <f>G74*H74</f>
        <v>22836.0384</v>
      </c>
      <c r="J74" s="23">
        <f>(H74*0.16)*G74</f>
        <v>3653.766144</v>
      </c>
      <c r="K74" s="23">
        <f>I74+J74</f>
        <v>26489.804544000002</v>
      </c>
      <c r="L74" s="24" t="s">
        <v>151</v>
      </c>
      <c r="M74" s="67" t="s">
        <v>241</v>
      </c>
      <c r="O74" s="93"/>
      <c r="P74" s="98"/>
    </row>
    <row r="75" spans="2:16" ht="36">
      <c r="B75" s="23">
        <v>2</v>
      </c>
      <c r="C75" s="14" t="s">
        <v>75</v>
      </c>
      <c r="D75" s="34" t="s">
        <v>45</v>
      </c>
      <c r="E75" s="34">
        <v>19867</v>
      </c>
      <c r="F75" s="16">
        <v>21.32</v>
      </c>
      <c r="G75" s="23">
        <v>1</v>
      </c>
      <c r="H75" s="34">
        <v>3560</v>
      </c>
      <c r="I75" s="34">
        <f>G75*H75</f>
        <v>3560</v>
      </c>
      <c r="J75" s="34">
        <f>(H75*0.12)*G75</f>
        <v>427.2</v>
      </c>
      <c r="K75" s="34">
        <f>I75+J75</f>
        <v>3987.2</v>
      </c>
      <c r="L75" s="24" t="s">
        <v>143</v>
      </c>
      <c r="M75" s="67" t="s">
        <v>240</v>
      </c>
      <c r="O75" s="93"/>
      <c r="P75" s="98"/>
    </row>
    <row r="76" spans="2:16" ht="32.25" customHeight="1">
      <c r="B76" s="23">
        <v>3</v>
      </c>
      <c r="C76" s="14" t="s">
        <v>74</v>
      </c>
      <c r="D76" s="34" t="s">
        <v>45</v>
      </c>
      <c r="E76" s="34">
        <v>19859</v>
      </c>
      <c r="F76" s="16">
        <v>22.67</v>
      </c>
      <c r="G76" s="23">
        <v>3</v>
      </c>
      <c r="H76" s="34">
        <f>2046.24*1.85</f>
        <v>3785.5440000000003</v>
      </c>
      <c r="I76" s="23">
        <f>G76*H76</f>
        <v>11356.632000000001</v>
      </c>
      <c r="J76" s="23">
        <f>(H76*0.16)*G76</f>
        <v>1817.06112</v>
      </c>
      <c r="K76" s="23">
        <f>I76+J76</f>
        <v>13173.693120000002</v>
      </c>
      <c r="L76" s="24" t="s">
        <v>138</v>
      </c>
      <c r="M76" s="67" t="s">
        <v>266</v>
      </c>
      <c r="O76" s="93"/>
      <c r="P76" s="104"/>
    </row>
    <row r="77" spans="2:13" ht="24" hidden="1">
      <c r="B77" s="23">
        <v>3</v>
      </c>
      <c r="C77" s="49" t="s">
        <v>25</v>
      </c>
      <c r="D77" s="34" t="s">
        <v>45</v>
      </c>
      <c r="E77" s="34">
        <v>19867</v>
      </c>
      <c r="F77" s="16">
        <f>H77/166.833</f>
        <v>16.305167442891992</v>
      </c>
      <c r="G77" s="23"/>
      <c r="H77" s="34">
        <f>1838*1.48</f>
        <v>2720.24</v>
      </c>
      <c r="I77" s="23"/>
      <c r="J77" s="23"/>
      <c r="K77" s="23"/>
      <c r="L77" s="24" t="s">
        <v>26</v>
      </c>
      <c r="M77" s="66"/>
    </row>
    <row r="78" spans="2:16" ht="22.5" customHeight="1">
      <c r="B78" s="441" t="s">
        <v>70</v>
      </c>
      <c r="C78" s="442"/>
      <c r="D78" s="47"/>
      <c r="E78" s="47"/>
      <c r="F78" s="47"/>
      <c r="G78" s="25">
        <f>SUM(G74:G77)</f>
        <v>10</v>
      </c>
      <c r="H78" s="47"/>
      <c r="I78" s="25">
        <f>SUM(I74:I77)</f>
        <v>37752.6704</v>
      </c>
      <c r="J78" s="25">
        <f>SUM(J74:J77)</f>
        <v>5898.027264</v>
      </c>
      <c r="K78" s="31">
        <f>SUM(K74:K77)</f>
        <v>43650.69766400001</v>
      </c>
      <c r="L78" s="2"/>
      <c r="M78" s="66"/>
      <c r="N78" s="27"/>
      <c r="O78" s="107"/>
      <c r="P78" s="108"/>
    </row>
    <row r="79" spans="2:13" ht="20.25" customHeight="1">
      <c r="B79" s="415" t="s">
        <v>14</v>
      </c>
      <c r="C79" s="415"/>
      <c r="D79" s="415"/>
      <c r="E79" s="415"/>
      <c r="F79" s="415"/>
      <c r="G79" s="415"/>
      <c r="H79" s="415"/>
      <c r="I79" s="415"/>
      <c r="J79" s="415"/>
      <c r="K79" s="415"/>
      <c r="L79" s="415"/>
      <c r="M79" s="149"/>
    </row>
    <row r="80" spans="2:15" ht="52.5" customHeight="1">
      <c r="B80" s="18">
        <v>1</v>
      </c>
      <c r="C80" s="14" t="s">
        <v>50</v>
      </c>
      <c r="D80" s="34" t="s">
        <v>45</v>
      </c>
      <c r="E80" s="34">
        <v>19831</v>
      </c>
      <c r="F80" s="16">
        <v>22.67</v>
      </c>
      <c r="G80" s="12">
        <v>6</v>
      </c>
      <c r="H80" s="23">
        <f>2046.24*1.85</f>
        <v>3785.5440000000003</v>
      </c>
      <c r="I80" s="23">
        <f>G80*H80</f>
        <v>22713.264000000003</v>
      </c>
      <c r="J80" s="23">
        <f>(H80*0.16)*G80</f>
        <v>3634.12224</v>
      </c>
      <c r="K80" s="23">
        <f>I80+J80</f>
        <v>26347.386240000003</v>
      </c>
      <c r="L80" s="24" t="s">
        <v>138</v>
      </c>
      <c r="M80" s="67" t="s">
        <v>242</v>
      </c>
      <c r="O80" s="27"/>
    </row>
    <row r="81" spans="2:17" ht="35.25" customHeight="1">
      <c r="B81" s="18">
        <v>2</v>
      </c>
      <c r="C81" s="14" t="s">
        <v>49</v>
      </c>
      <c r="D81" s="34" t="s">
        <v>61</v>
      </c>
      <c r="E81" s="34">
        <v>19821</v>
      </c>
      <c r="F81" s="16">
        <v>22.67</v>
      </c>
      <c r="G81" s="12">
        <v>2</v>
      </c>
      <c r="H81" s="23">
        <f>2046.24*1.85</f>
        <v>3785.5440000000003</v>
      </c>
      <c r="I81" s="23">
        <f>G81*H81</f>
        <v>7571.088000000001</v>
      </c>
      <c r="J81" s="23">
        <f>(H81*0.16)*G81</f>
        <v>1211.37408</v>
      </c>
      <c r="K81" s="23">
        <f>I81+J81</f>
        <v>8782.462080000001</v>
      </c>
      <c r="L81" s="24" t="s">
        <v>138</v>
      </c>
      <c r="M81" s="67" t="s">
        <v>246</v>
      </c>
      <c r="O81" s="161"/>
      <c r="P81" s="158"/>
      <c r="Q81" s="158"/>
    </row>
    <row r="82" spans="2:17" ht="36" customHeight="1">
      <c r="B82" s="18">
        <v>3</v>
      </c>
      <c r="C82" s="14" t="s">
        <v>243</v>
      </c>
      <c r="D82" s="34" t="s">
        <v>61</v>
      </c>
      <c r="E82" s="34">
        <v>19821</v>
      </c>
      <c r="F82" s="16">
        <v>20.22</v>
      </c>
      <c r="G82" s="12">
        <v>4</v>
      </c>
      <c r="H82" s="23">
        <v>3377</v>
      </c>
      <c r="I82" s="23">
        <f>G82*H82</f>
        <v>13508</v>
      </c>
      <c r="J82" s="23"/>
      <c r="K82" s="23">
        <f>I82+J82</f>
        <v>13508</v>
      </c>
      <c r="L82" s="24" t="s">
        <v>245</v>
      </c>
      <c r="M82" s="67" t="s">
        <v>244</v>
      </c>
      <c r="O82" s="161"/>
      <c r="P82" s="158"/>
      <c r="Q82" s="158"/>
    </row>
    <row r="83" spans="2:17" ht="36.75" customHeight="1">
      <c r="B83" s="12">
        <v>4</v>
      </c>
      <c r="C83" s="14" t="s">
        <v>54</v>
      </c>
      <c r="D83" s="34" t="s">
        <v>62</v>
      </c>
      <c r="E83" s="34" t="s">
        <v>55</v>
      </c>
      <c r="F83" s="16">
        <v>20.22</v>
      </c>
      <c r="G83" s="12">
        <v>1</v>
      </c>
      <c r="H83" s="23">
        <f>2046.24*1.65</f>
        <v>3376.296</v>
      </c>
      <c r="I83" s="23">
        <f>G83*H83</f>
        <v>3376.296</v>
      </c>
      <c r="J83" s="23">
        <f>(H83*0.12)*G83</f>
        <v>405.15551999999997</v>
      </c>
      <c r="K83" s="23">
        <f>I83+J83</f>
        <v>3781.4515199999996</v>
      </c>
      <c r="L83" s="24" t="s">
        <v>139</v>
      </c>
      <c r="M83" s="68" t="s">
        <v>89</v>
      </c>
      <c r="O83" s="161"/>
      <c r="P83" s="158"/>
      <c r="Q83" s="158"/>
    </row>
    <row r="84" spans="2:17" ht="17.25" customHeight="1">
      <c r="B84" s="413" t="s">
        <v>70</v>
      </c>
      <c r="C84" s="414"/>
      <c r="D84" s="48"/>
      <c r="E84" s="48"/>
      <c r="F84" s="48"/>
      <c r="G84" s="19">
        <f>SUM(G80:G83)</f>
        <v>13</v>
      </c>
      <c r="H84" s="48"/>
      <c r="I84" s="32">
        <f>SUM(I80:I83)</f>
        <v>47168.648</v>
      </c>
      <c r="J84" s="32">
        <f>SUM(J80:J83)</f>
        <v>5250.65184</v>
      </c>
      <c r="K84" s="30">
        <f>SUM(K80:K83)</f>
        <v>52419.29984000001</v>
      </c>
      <c r="L84" s="15"/>
      <c r="M84" s="66"/>
      <c r="N84" s="7"/>
      <c r="O84" s="161"/>
      <c r="P84" s="158"/>
      <c r="Q84" s="158"/>
    </row>
    <row r="85" spans="2:17" ht="18" customHeight="1">
      <c r="B85" s="435" t="s">
        <v>15</v>
      </c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154"/>
      <c r="O85" s="158"/>
      <c r="P85" s="158"/>
      <c r="Q85" s="158"/>
    </row>
    <row r="86" spans="2:17" ht="25.5" hidden="1">
      <c r="B86" s="38"/>
      <c r="C86" s="5" t="s">
        <v>21</v>
      </c>
      <c r="D86" s="13" t="s">
        <v>33</v>
      </c>
      <c r="E86" s="13"/>
      <c r="F86" s="28" t="s">
        <v>23</v>
      </c>
      <c r="G86" s="38"/>
      <c r="H86" s="1">
        <v>3160</v>
      </c>
      <c r="I86" s="1"/>
      <c r="J86" s="8"/>
      <c r="K86" s="9"/>
      <c r="L86" s="6"/>
      <c r="M86" s="66"/>
      <c r="O86" s="158"/>
      <c r="P86" s="158"/>
      <c r="Q86" s="158"/>
    </row>
    <row r="87" spans="2:17" ht="31.5" customHeight="1">
      <c r="B87" s="38">
        <v>1</v>
      </c>
      <c r="C87" s="14" t="s">
        <v>53</v>
      </c>
      <c r="D87" s="34" t="s">
        <v>45</v>
      </c>
      <c r="E87" s="34">
        <v>19834</v>
      </c>
      <c r="F87" s="59">
        <v>18.7</v>
      </c>
      <c r="G87" s="38">
        <v>1</v>
      </c>
      <c r="H87" s="34">
        <v>3124</v>
      </c>
      <c r="I87" s="34">
        <f>G87*H87</f>
        <v>3124</v>
      </c>
      <c r="J87" s="34">
        <f>(H87*0.16)*G87</f>
        <v>499.84000000000003</v>
      </c>
      <c r="K87" s="34">
        <f>I87+J87</f>
        <v>3623.84</v>
      </c>
      <c r="L87" s="24" t="s">
        <v>230</v>
      </c>
      <c r="M87" s="68" t="s">
        <v>249</v>
      </c>
      <c r="O87" s="158"/>
      <c r="P87" s="158"/>
      <c r="Q87" s="158"/>
    </row>
    <row r="88" spans="2:17" ht="37.5" customHeight="1">
      <c r="B88" s="38">
        <v>2</v>
      </c>
      <c r="C88" s="14" t="s">
        <v>58</v>
      </c>
      <c r="D88" s="61" t="s">
        <v>46</v>
      </c>
      <c r="E88" s="61">
        <v>19861</v>
      </c>
      <c r="F88" s="59">
        <v>18.38</v>
      </c>
      <c r="G88" s="38">
        <v>3</v>
      </c>
      <c r="H88" s="13">
        <v>3070</v>
      </c>
      <c r="I88" s="13">
        <f>G88*H88</f>
        <v>9210</v>
      </c>
      <c r="J88" s="34">
        <f>H88*0.12*G88</f>
        <v>1105.1999999999998</v>
      </c>
      <c r="K88" s="34">
        <f>I88+J88</f>
        <v>10315.2</v>
      </c>
      <c r="L88" s="55" t="s">
        <v>220</v>
      </c>
      <c r="M88" s="67" t="s">
        <v>247</v>
      </c>
      <c r="O88" s="161"/>
      <c r="P88" s="158"/>
      <c r="Q88" s="158"/>
    </row>
    <row r="89" spans="2:18" ht="41.25" customHeight="1">
      <c r="B89" s="38">
        <v>3</v>
      </c>
      <c r="C89" s="14" t="s">
        <v>59</v>
      </c>
      <c r="D89" s="61" t="s">
        <v>46</v>
      </c>
      <c r="E89" s="61">
        <v>19861</v>
      </c>
      <c r="F89" s="59">
        <v>20.71</v>
      </c>
      <c r="G89" s="38">
        <v>2</v>
      </c>
      <c r="H89" s="34">
        <v>3458</v>
      </c>
      <c r="I89" s="34">
        <v>3458</v>
      </c>
      <c r="J89" s="34">
        <f>H89*0.16*G89</f>
        <v>1106.56</v>
      </c>
      <c r="K89" s="34">
        <f>I89+J89</f>
        <v>4564.5599999999995</v>
      </c>
      <c r="L89" s="24" t="s">
        <v>250</v>
      </c>
      <c r="M89" s="68" t="s">
        <v>102</v>
      </c>
      <c r="O89" s="158"/>
      <c r="P89" s="158"/>
      <c r="Q89" s="158"/>
      <c r="R89" s="158"/>
    </row>
    <row r="90" spans="2:18" ht="18" customHeight="1">
      <c r="B90" s="413" t="s">
        <v>70</v>
      </c>
      <c r="C90" s="414"/>
      <c r="D90" s="50"/>
      <c r="E90" s="50"/>
      <c r="F90" s="50"/>
      <c r="G90" s="42">
        <f>SUM(G87:G89)</f>
        <v>6</v>
      </c>
      <c r="H90" s="42"/>
      <c r="I90" s="33">
        <f>SUM(I87:I89)</f>
        <v>15792</v>
      </c>
      <c r="J90" s="33">
        <f>SUM(J87:J89)</f>
        <v>2711.6</v>
      </c>
      <c r="K90" s="43">
        <f>SUM(K87:K89)</f>
        <v>18503.6</v>
      </c>
      <c r="L90" s="28"/>
      <c r="M90" s="66"/>
      <c r="N90" s="7"/>
      <c r="O90" s="159"/>
      <c r="P90" s="160"/>
      <c r="Q90" s="158"/>
      <c r="R90" s="158"/>
    </row>
    <row r="91" spans="2:18" ht="19.5" customHeight="1">
      <c r="B91" s="415" t="s">
        <v>177</v>
      </c>
      <c r="C91" s="415"/>
      <c r="D91" s="415"/>
      <c r="E91" s="415"/>
      <c r="F91" s="415"/>
      <c r="G91" s="415"/>
      <c r="H91" s="415"/>
      <c r="I91" s="415"/>
      <c r="J91" s="415"/>
      <c r="K91" s="415"/>
      <c r="L91" s="415"/>
      <c r="M91" s="149"/>
      <c r="N91" s="7"/>
      <c r="O91" s="159"/>
      <c r="P91" s="160"/>
      <c r="Q91" s="158"/>
      <c r="R91" s="158"/>
    </row>
    <row r="92" spans="2:18" ht="36.75" customHeight="1">
      <c r="B92" s="13">
        <v>1</v>
      </c>
      <c r="C92" s="28" t="s">
        <v>205</v>
      </c>
      <c r="D92" s="61">
        <v>8322</v>
      </c>
      <c r="E92" s="61" t="s">
        <v>55</v>
      </c>
      <c r="F92" s="59">
        <v>19.45</v>
      </c>
      <c r="G92" s="13">
        <v>1</v>
      </c>
      <c r="H92" s="34">
        <f>2210*1.47</f>
        <v>3248.7</v>
      </c>
      <c r="I92" s="34">
        <f aca="true" t="shared" si="4" ref="I92:I99">G92*H92</f>
        <v>3248.7</v>
      </c>
      <c r="J92" s="34">
        <f aca="true" t="shared" si="5" ref="J92:J99">(H92*0.25)*G92</f>
        <v>812.175</v>
      </c>
      <c r="K92" s="34">
        <f aca="true" t="shared" si="6" ref="K92:K99">I92+J92</f>
        <v>4060.875</v>
      </c>
      <c r="L92" s="55" t="s">
        <v>200</v>
      </c>
      <c r="M92" s="70" t="s">
        <v>219</v>
      </c>
      <c r="O92" s="158"/>
      <c r="P92" s="158"/>
      <c r="Q92" s="158"/>
      <c r="R92" s="158"/>
    </row>
    <row r="93" spans="2:18" ht="36.75" customHeight="1">
      <c r="B93" s="13">
        <v>2</v>
      </c>
      <c r="C93" s="28" t="s">
        <v>206</v>
      </c>
      <c r="D93" s="61">
        <v>8322</v>
      </c>
      <c r="E93" s="61" t="s">
        <v>55</v>
      </c>
      <c r="F93" s="59">
        <v>18.92</v>
      </c>
      <c r="G93" s="13">
        <v>2</v>
      </c>
      <c r="H93" s="34">
        <f>2210*1.43</f>
        <v>3160.2999999999997</v>
      </c>
      <c r="I93" s="34">
        <f t="shared" si="4"/>
        <v>6320.599999999999</v>
      </c>
      <c r="J93" s="34">
        <f t="shared" si="5"/>
        <v>1580.1499999999999</v>
      </c>
      <c r="K93" s="34">
        <f t="shared" si="6"/>
        <v>7900.749999999999</v>
      </c>
      <c r="L93" s="55" t="s">
        <v>207</v>
      </c>
      <c r="M93" s="70" t="s">
        <v>259</v>
      </c>
      <c r="O93" s="158"/>
      <c r="P93" s="158"/>
      <c r="Q93" s="158"/>
      <c r="R93" s="158"/>
    </row>
    <row r="94" spans="2:18" ht="42" customHeight="1">
      <c r="B94" s="13">
        <v>3</v>
      </c>
      <c r="C94" s="28" t="s">
        <v>221</v>
      </c>
      <c r="D94" s="61">
        <v>8322</v>
      </c>
      <c r="E94" s="61" t="s">
        <v>55</v>
      </c>
      <c r="F94" s="59">
        <v>19.72</v>
      </c>
      <c r="G94" s="13">
        <v>4</v>
      </c>
      <c r="H94" s="34">
        <f>2210*1.49</f>
        <v>3292.9</v>
      </c>
      <c r="I94" s="34">
        <f t="shared" si="4"/>
        <v>13171.6</v>
      </c>
      <c r="J94" s="34">
        <f t="shared" si="5"/>
        <v>3292.9</v>
      </c>
      <c r="K94" s="34">
        <f t="shared" si="6"/>
        <v>16464.5</v>
      </c>
      <c r="L94" s="55" t="s">
        <v>201</v>
      </c>
      <c r="M94" s="70" t="s">
        <v>159</v>
      </c>
      <c r="O94" s="161"/>
      <c r="P94" s="158"/>
      <c r="Q94" s="158"/>
      <c r="R94" s="158"/>
    </row>
    <row r="95" spans="2:18" ht="51" customHeight="1">
      <c r="B95" s="13">
        <v>4</v>
      </c>
      <c r="C95" s="28" t="s">
        <v>222</v>
      </c>
      <c r="D95" s="61">
        <v>8322</v>
      </c>
      <c r="E95" s="61" t="s">
        <v>55</v>
      </c>
      <c r="F95" s="59">
        <v>19.98</v>
      </c>
      <c r="G95" s="13">
        <v>1</v>
      </c>
      <c r="H95" s="34">
        <f>2210*1.51</f>
        <v>3337.1</v>
      </c>
      <c r="I95" s="34">
        <f t="shared" si="4"/>
        <v>3337.1</v>
      </c>
      <c r="J95" s="34">
        <f t="shared" si="5"/>
        <v>834.275</v>
      </c>
      <c r="K95" s="34">
        <f t="shared" si="6"/>
        <v>4171.375</v>
      </c>
      <c r="L95" s="21" t="s">
        <v>202</v>
      </c>
      <c r="M95" s="71" t="s">
        <v>160</v>
      </c>
      <c r="O95" s="161"/>
      <c r="P95" s="158"/>
      <c r="Q95" s="158"/>
      <c r="R95" s="158"/>
    </row>
    <row r="96" spans="2:13" ht="57.75" customHeight="1">
      <c r="B96" s="13">
        <v>5</v>
      </c>
      <c r="C96" s="28" t="s">
        <v>52</v>
      </c>
      <c r="D96" s="61">
        <v>8322</v>
      </c>
      <c r="E96" s="61" t="s">
        <v>55</v>
      </c>
      <c r="F96" s="59">
        <v>21.04</v>
      </c>
      <c r="G96" s="13">
        <v>6</v>
      </c>
      <c r="H96" s="34">
        <v>3514</v>
      </c>
      <c r="I96" s="34">
        <f t="shared" si="4"/>
        <v>21084</v>
      </c>
      <c r="J96" s="34">
        <f t="shared" si="5"/>
        <v>5271</v>
      </c>
      <c r="K96" s="34">
        <f t="shared" si="6"/>
        <v>26355</v>
      </c>
      <c r="L96" s="21" t="s">
        <v>203</v>
      </c>
      <c r="M96" s="67" t="s">
        <v>218</v>
      </c>
    </row>
    <row r="97" spans="2:15" ht="49.5" customHeight="1">
      <c r="B97" s="13">
        <v>6</v>
      </c>
      <c r="C97" s="14" t="s">
        <v>208</v>
      </c>
      <c r="D97" s="61">
        <v>8322</v>
      </c>
      <c r="E97" s="61" t="s">
        <v>55</v>
      </c>
      <c r="F97" s="59">
        <v>19.98</v>
      </c>
      <c r="G97" s="13">
        <v>1</v>
      </c>
      <c r="H97" s="34">
        <f>2210*1.51</f>
        <v>3337.1</v>
      </c>
      <c r="I97" s="34">
        <f t="shared" si="4"/>
        <v>3337.1</v>
      </c>
      <c r="J97" s="34">
        <f t="shared" si="5"/>
        <v>834.275</v>
      </c>
      <c r="K97" s="34">
        <f t="shared" si="6"/>
        <v>4171.375</v>
      </c>
      <c r="L97" s="21" t="s">
        <v>202</v>
      </c>
      <c r="M97" s="67"/>
      <c r="O97" s="27"/>
    </row>
    <row r="98" spans="2:18" ht="81.75" customHeight="1">
      <c r="B98" s="13">
        <v>7</v>
      </c>
      <c r="C98" s="28" t="s">
        <v>223</v>
      </c>
      <c r="D98" s="61">
        <v>8322</v>
      </c>
      <c r="E98" s="61" t="s">
        <v>55</v>
      </c>
      <c r="F98" s="59">
        <v>21.17</v>
      </c>
      <c r="G98" s="13">
        <v>6</v>
      </c>
      <c r="H98" s="34">
        <f>2210*1.6</f>
        <v>3536</v>
      </c>
      <c r="I98" s="34">
        <f t="shared" si="4"/>
        <v>21216</v>
      </c>
      <c r="J98" s="34">
        <f t="shared" si="5"/>
        <v>5304</v>
      </c>
      <c r="K98" s="34">
        <f t="shared" si="6"/>
        <v>26520</v>
      </c>
      <c r="L98" s="55" t="s">
        <v>209</v>
      </c>
      <c r="M98" s="67" t="s">
        <v>104</v>
      </c>
      <c r="O98" s="155"/>
      <c r="P98" s="155"/>
      <c r="Q98" s="155"/>
      <c r="R98" s="155"/>
    </row>
    <row r="99" spans="2:18" ht="33.75" customHeight="1">
      <c r="B99" s="13">
        <v>8</v>
      </c>
      <c r="C99" s="14" t="s">
        <v>155</v>
      </c>
      <c r="D99" s="61">
        <v>8322</v>
      </c>
      <c r="E99" s="61" t="s">
        <v>55</v>
      </c>
      <c r="F99" s="59">
        <v>19.85</v>
      </c>
      <c r="G99" s="13">
        <v>4</v>
      </c>
      <c r="H99" s="34">
        <f>2210*1.5</f>
        <v>3315</v>
      </c>
      <c r="I99" s="34">
        <f t="shared" si="4"/>
        <v>13260</v>
      </c>
      <c r="J99" s="34">
        <f t="shared" si="5"/>
        <v>3315</v>
      </c>
      <c r="K99" s="34">
        <f t="shared" si="6"/>
        <v>16575</v>
      </c>
      <c r="L99" s="21" t="s">
        <v>210</v>
      </c>
      <c r="M99" s="67" t="s">
        <v>161</v>
      </c>
      <c r="O99" s="155"/>
      <c r="P99" s="155"/>
      <c r="Q99" s="155"/>
      <c r="R99" s="155"/>
    </row>
    <row r="100" spans="2:18" ht="25.5">
      <c r="B100" s="69"/>
      <c r="C100" s="14" t="s">
        <v>69</v>
      </c>
      <c r="D100" s="59" t="s">
        <v>47</v>
      </c>
      <c r="E100" s="61">
        <v>18511</v>
      </c>
      <c r="F100" s="59">
        <f>H100/166.833</f>
        <v>15.914117710524897</v>
      </c>
      <c r="G100" s="13" t="s">
        <v>29</v>
      </c>
      <c r="H100" s="34">
        <v>2655</v>
      </c>
      <c r="I100" s="34"/>
      <c r="J100" s="34"/>
      <c r="K100" s="34"/>
      <c r="L100" s="21" t="s">
        <v>30</v>
      </c>
      <c r="M100" s="66"/>
      <c r="O100" s="155"/>
      <c r="P100" s="155"/>
      <c r="Q100" s="155"/>
      <c r="R100" s="155"/>
    </row>
    <row r="101" spans="2:18" ht="18" customHeight="1">
      <c r="B101" s="413" t="s">
        <v>70</v>
      </c>
      <c r="C101" s="414"/>
      <c r="D101" s="42"/>
      <c r="E101" s="58"/>
      <c r="F101" s="58"/>
      <c r="G101" s="58">
        <f>SUM(G92:G100)</f>
        <v>25</v>
      </c>
      <c r="H101" s="42"/>
      <c r="I101" s="33">
        <f>SUM(I92:I100)</f>
        <v>84975.1</v>
      </c>
      <c r="J101" s="43">
        <f>SUM(J92:J100)</f>
        <v>21243.775</v>
      </c>
      <c r="K101" s="43">
        <f>SUM(K92:K100)</f>
        <v>106218.875</v>
      </c>
      <c r="L101" s="41"/>
      <c r="M101" s="66"/>
      <c r="N101" s="7"/>
      <c r="O101" s="162"/>
      <c r="P101" s="155"/>
      <c r="Q101" s="155"/>
      <c r="R101" s="155"/>
    </row>
    <row r="102" spans="2:18" ht="22.5" customHeight="1">
      <c r="B102" s="415" t="s">
        <v>175</v>
      </c>
      <c r="C102" s="415"/>
      <c r="D102" s="415"/>
      <c r="E102" s="415"/>
      <c r="F102" s="415"/>
      <c r="G102" s="415"/>
      <c r="H102" s="415"/>
      <c r="I102" s="415"/>
      <c r="J102" s="415"/>
      <c r="K102" s="415"/>
      <c r="L102" s="415"/>
      <c r="M102" s="149"/>
      <c r="N102" s="7"/>
      <c r="O102" s="162"/>
      <c r="P102" s="155"/>
      <c r="Q102" s="155"/>
      <c r="R102" s="155"/>
    </row>
    <row r="103" spans="2:18" ht="27" customHeight="1">
      <c r="B103" s="121">
        <v>1</v>
      </c>
      <c r="C103" s="22" t="s">
        <v>31</v>
      </c>
      <c r="D103" s="61" t="s">
        <v>63</v>
      </c>
      <c r="E103" s="61">
        <v>19149</v>
      </c>
      <c r="F103" s="59">
        <v>25.73</v>
      </c>
      <c r="G103" s="38">
        <v>1</v>
      </c>
      <c r="H103" s="34">
        <f>2046.24*2.1</f>
        <v>4297.104</v>
      </c>
      <c r="I103" s="34">
        <f aca="true" t="shared" si="7" ref="I103:I110">G103*H103</f>
        <v>4297.104</v>
      </c>
      <c r="J103" s="34">
        <f>H103*0.16</f>
        <v>687.53664</v>
      </c>
      <c r="K103" s="34">
        <f aca="true" t="shared" si="8" ref="K103:K108">I103+J103</f>
        <v>4984.6406400000005</v>
      </c>
      <c r="L103" s="53" t="s">
        <v>211</v>
      </c>
      <c r="M103" s="68" t="s">
        <v>86</v>
      </c>
      <c r="N103" s="7"/>
      <c r="O103" s="162"/>
      <c r="P103" s="155"/>
      <c r="Q103" s="155"/>
      <c r="R103" s="155"/>
    </row>
    <row r="104" spans="2:18" ht="30.75" customHeight="1">
      <c r="B104" s="121">
        <v>2</v>
      </c>
      <c r="C104" s="22" t="s">
        <v>64</v>
      </c>
      <c r="D104" s="61">
        <v>7214</v>
      </c>
      <c r="E104" s="61">
        <v>18549</v>
      </c>
      <c r="F104" s="59">
        <v>19.14</v>
      </c>
      <c r="G104" s="38">
        <v>2</v>
      </c>
      <c r="H104" s="34">
        <v>3197</v>
      </c>
      <c r="I104" s="34">
        <f t="shared" si="7"/>
        <v>6394</v>
      </c>
      <c r="J104" s="34">
        <v>371</v>
      </c>
      <c r="K104" s="34">
        <f t="shared" si="8"/>
        <v>6765</v>
      </c>
      <c r="L104" s="53" t="s">
        <v>224</v>
      </c>
      <c r="M104" s="148" t="s">
        <v>248</v>
      </c>
      <c r="N104" s="7"/>
      <c r="O104" s="162"/>
      <c r="P104" s="155"/>
      <c r="Q104" s="155"/>
      <c r="R104" s="155"/>
    </row>
    <row r="105" spans="2:18" ht="37.5" customHeight="1">
      <c r="B105" s="121">
        <v>3</v>
      </c>
      <c r="C105" s="22" t="s">
        <v>65</v>
      </c>
      <c r="D105" s="61" t="s">
        <v>66</v>
      </c>
      <c r="E105" s="61" t="s">
        <v>55</v>
      </c>
      <c r="F105" s="59">
        <v>22.67</v>
      </c>
      <c r="G105" s="38">
        <v>2</v>
      </c>
      <c r="H105" s="34">
        <f>2046.24*1.85</f>
        <v>3785.5440000000003</v>
      </c>
      <c r="I105" s="34">
        <f t="shared" si="7"/>
        <v>7571.088000000001</v>
      </c>
      <c r="J105" s="34">
        <f>I105*0.08</f>
        <v>605.68704</v>
      </c>
      <c r="K105" s="34">
        <f t="shared" si="8"/>
        <v>8176.77504</v>
      </c>
      <c r="L105" s="55" t="s">
        <v>212</v>
      </c>
      <c r="M105" s="67" t="s">
        <v>126</v>
      </c>
      <c r="N105" s="7"/>
      <c r="O105" s="163"/>
      <c r="P105" s="164"/>
      <c r="Q105" s="155"/>
      <c r="R105" s="155"/>
    </row>
    <row r="106" spans="2:18" ht="33" customHeight="1">
      <c r="B106" s="121">
        <v>4</v>
      </c>
      <c r="C106" s="22" t="s">
        <v>153</v>
      </c>
      <c r="D106" s="61">
        <v>7141</v>
      </c>
      <c r="E106" s="61" t="s">
        <v>55</v>
      </c>
      <c r="F106" s="59">
        <v>23.16</v>
      </c>
      <c r="G106" s="38">
        <v>1</v>
      </c>
      <c r="H106" s="34">
        <f>2046.24*1.89</f>
        <v>3867.3936</v>
      </c>
      <c r="I106" s="34">
        <f t="shared" si="7"/>
        <v>3867.3936</v>
      </c>
      <c r="J106" s="34">
        <f>(H106*0.08)*G106</f>
        <v>309.391488</v>
      </c>
      <c r="K106" s="34">
        <f t="shared" si="8"/>
        <v>4176.785088</v>
      </c>
      <c r="L106" s="21" t="s">
        <v>154</v>
      </c>
      <c r="M106" s="68" t="s">
        <v>83</v>
      </c>
      <c r="N106" s="7"/>
      <c r="O106" s="162"/>
      <c r="P106" s="155"/>
      <c r="Q106" s="155"/>
      <c r="R106" s="155"/>
    </row>
    <row r="107" spans="2:18" ht="36.75" customHeight="1">
      <c r="B107" s="121">
        <v>5</v>
      </c>
      <c r="C107" s="14" t="s">
        <v>68</v>
      </c>
      <c r="D107" s="59" t="s">
        <v>47</v>
      </c>
      <c r="E107" s="61">
        <v>18511</v>
      </c>
      <c r="F107" s="59">
        <v>18.49</v>
      </c>
      <c r="G107" s="13">
        <v>1</v>
      </c>
      <c r="H107" s="34">
        <v>3088</v>
      </c>
      <c r="I107" s="34">
        <f t="shared" si="7"/>
        <v>3088</v>
      </c>
      <c r="J107" s="34"/>
      <c r="K107" s="34">
        <f t="shared" si="8"/>
        <v>3088</v>
      </c>
      <c r="L107" s="53" t="s">
        <v>225</v>
      </c>
      <c r="M107" s="67" t="s">
        <v>260</v>
      </c>
      <c r="N107" s="7"/>
      <c r="O107" s="162"/>
      <c r="P107" s="155"/>
      <c r="Q107" s="155"/>
      <c r="R107" s="155"/>
    </row>
    <row r="108" spans="2:18" ht="24.75" customHeight="1">
      <c r="B108" s="121">
        <v>6</v>
      </c>
      <c r="C108" s="28" t="s">
        <v>227</v>
      </c>
      <c r="D108" s="143" t="s">
        <v>46</v>
      </c>
      <c r="E108" s="61">
        <v>10047</v>
      </c>
      <c r="F108" s="59">
        <v>21.11</v>
      </c>
      <c r="G108" s="37">
        <v>1</v>
      </c>
      <c r="H108" s="40">
        <v>3526</v>
      </c>
      <c r="I108" s="34">
        <f t="shared" si="7"/>
        <v>3526</v>
      </c>
      <c r="J108" s="40"/>
      <c r="K108" s="34">
        <f t="shared" si="8"/>
        <v>3526</v>
      </c>
      <c r="L108" s="53" t="s">
        <v>228</v>
      </c>
      <c r="M108" s="67" t="s">
        <v>106</v>
      </c>
      <c r="N108" s="7"/>
      <c r="O108" s="162"/>
      <c r="P108" s="155"/>
      <c r="Q108" s="155"/>
      <c r="R108" s="155"/>
    </row>
    <row r="109" spans="2:18" ht="24" customHeight="1">
      <c r="B109" s="121">
        <v>7</v>
      </c>
      <c r="C109" s="39" t="s">
        <v>157</v>
      </c>
      <c r="D109" s="143" t="s">
        <v>48</v>
      </c>
      <c r="E109" s="61">
        <v>19208</v>
      </c>
      <c r="F109" s="59">
        <v>15.32</v>
      </c>
      <c r="G109" s="37">
        <v>1</v>
      </c>
      <c r="H109" s="61">
        <f>2046.24*1.25</f>
        <v>2557.8</v>
      </c>
      <c r="I109" s="34">
        <f t="shared" si="7"/>
        <v>2557.8</v>
      </c>
      <c r="J109" s="33"/>
      <c r="K109" s="57">
        <f>H109</f>
        <v>2557.8</v>
      </c>
      <c r="L109" s="101" t="s">
        <v>216</v>
      </c>
      <c r="M109" s="109" t="s">
        <v>156</v>
      </c>
      <c r="N109" s="7"/>
      <c r="O109" s="162"/>
      <c r="P109" s="155"/>
      <c r="Q109" s="155"/>
      <c r="R109" s="155"/>
    </row>
    <row r="110" spans="2:18" ht="32.25" customHeight="1">
      <c r="B110" s="13">
        <v>8</v>
      </c>
      <c r="C110" s="14" t="s">
        <v>69</v>
      </c>
      <c r="D110" s="59" t="s">
        <v>47</v>
      </c>
      <c r="E110" s="61">
        <v>18511</v>
      </c>
      <c r="F110" s="59">
        <v>17.65</v>
      </c>
      <c r="G110" s="13">
        <v>0.5</v>
      </c>
      <c r="H110" s="34">
        <v>2850</v>
      </c>
      <c r="I110" s="34">
        <f t="shared" si="7"/>
        <v>1425</v>
      </c>
      <c r="J110" s="34"/>
      <c r="K110" s="34">
        <f>I110+J110</f>
        <v>1425</v>
      </c>
      <c r="L110" s="53" t="s">
        <v>226</v>
      </c>
      <c r="M110" s="68" t="s">
        <v>105</v>
      </c>
      <c r="O110" s="155"/>
      <c r="P110" s="155"/>
      <c r="Q110" s="155"/>
      <c r="R110" s="155"/>
    </row>
    <row r="111" spans="2:18" ht="21.75" customHeight="1">
      <c r="B111" s="444" t="s">
        <v>70</v>
      </c>
      <c r="C111" s="444"/>
      <c r="D111" s="143"/>
      <c r="E111" s="61"/>
      <c r="F111" s="59"/>
      <c r="G111" s="118">
        <f>SUM(G103:G110)</f>
        <v>9.5</v>
      </c>
      <c r="H111" s="34"/>
      <c r="I111" s="115">
        <f>SUM(I103:I110)</f>
        <v>32726.385599999998</v>
      </c>
      <c r="J111" s="115">
        <f>SUM(J103:J110)</f>
        <v>1973.615168</v>
      </c>
      <c r="K111" s="115">
        <f>SUM(K103:K110)</f>
        <v>34700.000768000005</v>
      </c>
      <c r="L111" s="21"/>
      <c r="M111" s="67"/>
      <c r="N111" s="7"/>
      <c r="O111" s="162"/>
      <c r="P111" s="155"/>
      <c r="Q111" s="155"/>
      <c r="R111" s="155"/>
    </row>
    <row r="112" spans="2:18" ht="21.75" customHeight="1">
      <c r="B112" s="175"/>
      <c r="C112" s="175"/>
      <c r="D112" s="176"/>
      <c r="E112" s="177"/>
      <c r="F112" s="178"/>
      <c r="G112" s="179"/>
      <c r="H112" s="180"/>
      <c r="I112" s="181"/>
      <c r="J112" s="181"/>
      <c r="K112" s="181"/>
      <c r="L112" s="182"/>
      <c r="M112" s="183"/>
      <c r="N112" s="7"/>
      <c r="O112" s="162"/>
      <c r="P112" s="155"/>
      <c r="Q112" s="155"/>
      <c r="R112" s="155"/>
    </row>
    <row r="113" spans="2:18" ht="18" customHeight="1">
      <c r="B113" s="415" t="s">
        <v>176</v>
      </c>
      <c r="C113" s="415"/>
      <c r="D113" s="415"/>
      <c r="E113" s="415"/>
      <c r="F113" s="415"/>
      <c r="G113" s="415"/>
      <c r="H113" s="415"/>
      <c r="I113" s="415"/>
      <c r="J113" s="415"/>
      <c r="K113" s="415"/>
      <c r="L113" s="415"/>
      <c r="M113" s="149"/>
      <c r="N113" s="7"/>
      <c r="O113" s="162"/>
      <c r="P113" s="155"/>
      <c r="Q113" s="155"/>
      <c r="R113" s="155"/>
    </row>
    <row r="114" spans="2:18" ht="27.75" customHeight="1">
      <c r="B114" s="38">
        <v>1</v>
      </c>
      <c r="C114" s="22" t="s">
        <v>11</v>
      </c>
      <c r="D114" s="61">
        <v>5169</v>
      </c>
      <c r="E114" s="61" t="s">
        <v>55</v>
      </c>
      <c r="F114" s="59">
        <v>11.38</v>
      </c>
      <c r="G114" s="38">
        <v>4</v>
      </c>
      <c r="H114" s="34">
        <f>1218*1.2*1.3</f>
        <v>1900.08</v>
      </c>
      <c r="I114" s="34">
        <f>G114*H114</f>
        <v>7600.32</v>
      </c>
      <c r="J114" s="34"/>
      <c r="K114" s="34">
        <f>I114+J114</f>
        <v>7600.32</v>
      </c>
      <c r="L114" s="21" t="s">
        <v>152</v>
      </c>
      <c r="M114" s="67" t="s">
        <v>103</v>
      </c>
      <c r="O114" s="155"/>
      <c r="P114" s="155"/>
      <c r="Q114" s="155"/>
      <c r="R114" s="155"/>
    </row>
    <row r="115" spans="2:18" ht="14.25" customHeight="1">
      <c r="B115" s="38">
        <v>2</v>
      </c>
      <c r="C115" s="22" t="s">
        <v>12</v>
      </c>
      <c r="D115" s="61">
        <v>9162</v>
      </c>
      <c r="E115" s="61">
        <v>19262</v>
      </c>
      <c r="F115" s="59">
        <v>12.26</v>
      </c>
      <c r="G115" s="38">
        <v>1</v>
      </c>
      <c r="H115" s="34">
        <v>2046</v>
      </c>
      <c r="I115" s="34">
        <f>G115*H115</f>
        <v>2046</v>
      </c>
      <c r="J115" s="34"/>
      <c r="K115" s="34">
        <f>I115+J115</f>
        <v>2046</v>
      </c>
      <c r="L115" s="21" t="s">
        <v>229</v>
      </c>
      <c r="M115" s="110" t="s">
        <v>238</v>
      </c>
      <c r="O115" s="162"/>
      <c r="P115" s="155"/>
      <c r="Q115" s="155"/>
      <c r="R115" s="155"/>
    </row>
    <row r="116" spans="2:18" ht="28.5" customHeight="1">
      <c r="B116" s="38">
        <v>3</v>
      </c>
      <c r="C116" s="22" t="s">
        <v>13</v>
      </c>
      <c r="D116" s="61">
        <v>9132</v>
      </c>
      <c r="E116" s="61" t="s">
        <v>67</v>
      </c>
      <c r="F116" s="59">
        <v>11.38</v>
      </c>
      <c r="G116" s="38">
        <v>1.5</v>
      </c>
      <c r="H116" s="34">
        <v>1900</v>
      </c>
      <c r="I116" s="34">
        <f>G116*H116</f>
        <v>2850</v>
      </c>
      <c r="J116" s="34"/>
      <c r="K116" s="73">
        <f>I116+J116</f>
        <v>2850</v>
      </c>
      <c r="L116" s="21" t="s">
        <v>152</v>
      </c>
      <c r="M116" s="67" t="s">
        <v>261</v>
      </c>
      <c r="O116" s="162"/>
      <c r="P116" s="155"/>
      <c r="Q116" s="155"/>
      <c r="R116" s="155"/>
    </row>
    <row r="117" spans="2:18" ht="19.5" customHeight="1" thickBot="1">
      <c r="B117" s="438" t="s">
        <v>70</v>
      </c>
      <c r="C117" s="439"/>
      <c r="D117" s="58"/>
      <c r="E117" s="58"/>
      <c r="F117" s="58"/>
      <c r="G117" s="58">
        <f>SUM(G114:G116)</f>
        <v>6.5</v>
      </c>
      <c r="H117" s="58"/>
      <c r="I117" s="124">
        <f>SUM(I114:I116)</f>
        <v>12496.32</v>
      </c>
      <c r="J117" s="125"/>
      <c r="K117" s="125">
        <f>SUM(K114:K116)</f>
        <v>12496.32</v>
      </c>
      <c r="L117" s="41"/>
      <c r="M117" s="66"/>
      <c r="N117" s="7"/>
      <c r="O117" s="162"/>
      <c r="P117" s="155"/>
      <c r="Q117" s="155"/>
      <c r="R117" s="155"/>
    </row>
    <row r="118" spans="2:18" ht="24.75" customHeight="1" thickBot="1">
      <c r="B118" s="132"/>
      <c r="C118" s="133" t="s">
        <v>24</v>
      </c>
      <c r="D118" s="134"/>
      <c r="E118" s="134"/>
      <c r="F118" s="134"/>
      <c r="G118" s="135">
        <f>G31+G45+G49+G54+G62+G68+G72+G78+G84+G90+G101+G111+G117</f>
        <v>132.75</v>
      </c>
      <c r="H118" s="136"/>
      <c r="I118" s="136"/>
      <c r="J118" s="135"/>
      <c r="K118" s="137">
        <f>K119+K120+K121+K122+K123+K124</f>
        <v>559205.4006</v>
      </c>
      <c r="L118" s="138"/>
      <c r="M118" s="123"/>
      <c r="N118" s="27"/>
      <c r="O118" s="162"/>
      <c r="P118" s="155"/>
      <c r="Q118" s="155"/>
      <c r="R118" s="155"/>
    </row>
    <row r="119" spans="2:18" ht="20.25" customHeight="1">
      <c r="B119" s="126"/>
      <c r="C119" s="127" t="s">
        <v>162</v>
      </c>
      <c r="D119" s="128"/>
      <c r="E119" s="128"/>
      <c r="F119" s="128"/>
      <c r="G119" s="129">
        <f>G31</f>
        <v>16</v>
      </c>
      <c r="H119" s="130"/>
      <c r="I119" s="130"/>
      <c r="J119" s="131"/>
      <c r="K119" s="129">
        <f>K31</f>
        <v>93359.407712</v>
      </c>
      <c r="L119" s="300">
        <f>K119</f>
        <v>93359.407712</v>
      </c>
      <c r="O119" s="155"/>
      <c r="P119" s="155"/>
      <c r="Q119" s="155"/>
      <c r="R119" s="155"/>
    </row>
    <row r="120" spans="2:18" ht="15.75" customHeight="1">
      <c r="B120" s="13"/>
      <c r="C120" s="50" t="s">
        <v>163</v>
      </c>
      <c r="D120" s="28"/>
      <c r="E120" s="28"/>
      <c r="F120" s="28"/>
      <c r="G120" s="33">
        <f>G45</f>
        <v>14.25</v>
      </c>
      <c r="H120" s="42"/>
      <c r="I120" s="42"/>
      <c r="J120" s="43"/>
      <c r="K120" s="33">
        <f>K45</f>
        <v>65875.688</v>
      </c>
      <c r="L120" s="301">
        <f>K120</f>
        <v>65875.688</v>
      </c>
      <c r="O120" s="155"/>
      <c r="P120" s="155"/>
      <c r="Q120" s="155"/>
      <c r="R120" s="155"/>
    </row>
    <row r="121" spans="2:24" ht="25.5" customHeight="1">
      <c r="B121" s="13"/>
      <c r="C121" s="50" t="s">
        <v>183</v>
      </c>
      <c r="D121" s="28"/>
      <c r="E121" s="28"/>
      <c r="F121" s="28"/>
      <c r="G121" s="33">
        <f>G49+G54</f>
        <v>4.5</v>
      </c>
      <c r="H121" s="42"/>
      <c r="I121" s="42"/>
      <c r="J121" s="43"/>
      <c r="K121" s="33">
        <f>K49+K54</f>
        <v>13936.2</v>
      </c>
      <c r="L121" s="301">
        <f>K121</f>
        <v>13936.2</v>
      </c>
      <c r="O121" s="155"/>
      <c r="P121" s="155"/>
      <c r="Q121" s="155"/>
      <c r="R121" s="155"/>
      <c r="X121" s="94"/>
    </row>
    <row r="122" spans="2:18" ht="15.75" customHeight="1">
      <c r="B122" s="13"/>
      <c r="C122" s="50" t="s">
        <v>181</v>
      </c>
      <c r="D122" s="28"/>
      <c r="E122" s="28"/>
      <c r="F122" s="28"/>
      <c r="G122" s="33">
        <f>G62+G68+G72+G78+G84+G90</f>
        <v>57</v>
      </c>
      <c r="H122" s="42"/>
      <c r="I122" s="42"/>
      <c r="J122" s="43"/>
      <c r="K122" s="33">
        <f>K62+K68+K72+K78+K84+K90</f>
        <v>232618.90912000005</v>
      </c>
      <c r="L122" s="39">
        <f>K122/G122*40</f>
        <v>163241.33973333339</v>
      </c>
      <c r="O122" s="155"/>
      <c r="P122" s="155"/>
      <c r="Q122" s="155"/>
      <c r="R122" s="155"/>
    </row>
    <row r="123" spans="2:18" ht="15.75" customHeight="1">
      <c r="B123" s="13"/>
      <c r="C123" s="50" t="s">
        <v>182</v>
      </c>
      <c r="D123" s="28"/>
      <c r="E123" s="28"/>
      <c r="F123" s="28"/>
      <c r="G123" s="33">
        <f>G101</f>
        <v>25</v>
      </c>
      <c r="H123" s="42"/>
      <c r="I123" s="42"/>
      <c r="J123" s="43"/>
      <c r="K123" s="33">
        <f>K101</f>
        <v>106218.875</v>
      </c>
      <c r="L123" s="39">
        <f>K123/G123*20</f>
        <v>84975.1</v>
      </c>
      <c r="O123" s="155"/>
      <c r="P123" s="155"/>
      <c r="Q123" s="155"/>
      <c r="R123" s="155"/>
    </row>
    <row r="124" spans="2:18" ht="24.75" customHeight="1">
      <c r="B124" s="13"/>
      <c r="C124" s="50" t="s">
        <v>184</v>
      </c>
      <c r="D124" s="28"/>
      <c r="E124" s="28"/>
      <c r="F124" s="28"/>
      <c r="G124" s="33">
        <f>G111+G117</f>
        <v>16</v>
      </c>
      <c r="H124" s="42"/>
      <c r="I124" s="42"/>
      <c r="J124" s="43"/>
      <c r="K124" s="33">
        <f>K111+K117</f>
        <v>47196.320768000005</v>
      </c>
      <c r="L124" s="51">
        <f>K124</f>
        <v>47196.320768000005</v>
      </c>
      <c r="O124" s="155"/>
      <c r="P124" s="155"/>
      <c r="Q124" s="155"/>
      <c r="R124" s="155"/>
    </row>
    <row r="125" spans="2:18" ht="12.75" customHeight="1">
      <c r="B125" s="85"/>
      <c r="C125" s="86"/>
      <c r="D125" s="87"/>
      <c r="E125" s="87"/>
      <c r="F125" s="87"/>
      <c r="G125" s="88"/>
      <c r="H125" s="89"/>
      <c r="I125" s="89"/>
      <c r="J125" s="90"/>
      <c r="K125" s="90"/>
      <c r="L125" s="87"/>
      <c r="O125" s="156"/>
      <c r="P125" s="156"/>
      <c r="Q125" s="155"/>
      <c r="R125" s="155"/>
    </row>
    <row r="126" spans="2:18" ht="27" customHeight="1">
      <c r="B126" s="440" t="s">
        <v>185</v>
      </c>
      <c r="C126" s="440"/>
      <c r="D126" s="440"/>
      <c r="E126" s="440"/>
      <c r="F126" s="440"/>
      <c r="G126" s="440"/>
      <c r="H126" s="440"/>
      <c r="I126" s="440"/>
      <c r="J126" s="440"/>
      <c r="K126" s="440"/>
      <c r="L126" s="440"/>
      <c r="O126" s="165"/>
      <c r="P126" s="156"/>
      <c r="Q126" s="155"/>
      <c r="R126" s="155"/>
    </row>
    <row r="127" spans="2:18" ht="27" customHeight="1">
      <c r="B127" s="440" t="s">
        <v>198</v>
      </c>
      <c r="C127" s="440"/>
      <c r="D127" s="440"/>
      <c r="E127" s="440"/>
      <c r="F127" s="440"/>
      <c r="G127" s="440"/>
      <c r="H127" s="440"/>
      <c r="I127" s="440"/>
      <c r="J127" s="440"/>
      <c r="K127" s="440"/>
      <c r="L127" s="440"/>
      <c r="O127" s="166"/>
      <c r="P127" s="155"/>
      <c r="Q127" s="155"/>
      <c r="R127" s="155"/>
    </row>
    <row r="128" spans="2:18" ht="12.75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O128" s="155"/>
      <c r="P128" s="155"/>
      <c r="Q128" s="155"/>
      <c r="R128" s="155"/>
    </row>
    <row r="129" spans="2:18" ht="12.75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O129" s="155"/>
      <c r="P129" s="155"/>
      <c r="Q129" s="155"/>
      <c r="R129" s="155"/>
    </row>
    <row r="130" spans="2:18" s="82" customFormat="1" ht="14.25" customHeight="1">
      <c r="B130" s="81"/>
      <c r="C130" s="426" t="s">
        <v>7</v>
      </c>
      <c r="D130" s="426"/>
      <c r="E130" s="81"/>
      <c r="F130" s="81"/>
      <c r="G130" s="81"/>
      <c r="H130" s="81"/>
      <c r="I130" s="81"/>
      <c r="J130" s="427" t="s">
        <v>28</v>
      </c>
      <c r="K130" s="427"/>
      <c r="L130" s="81"/>
      <c r="O130" s="167"/>
      <c r="P130" s="167"/>
      <c r="Q130" s="167"/>
      <c r="R130" s="167"/>
    </row>
    <row r="131" spans="2:18" s="82" customFormat="1" ht="24.75" customHeight="1">
      <c r="B131" s="83"/>
      <c r="C131" s="428"/>
      <c r="D131" s="428"/>
      <c r="E131" s="84"/>
      <c r="F131" s="84"/>
      <c r="G131" s="83"/>
      <c r="H131" s="83"/>
      <c r="I131" s="83"/>
      <c r="J131" s="429"/>
      <c r="K131" s="429"/>
      <c r="O131" s="167"/>
      <c r="P131" s="167"/>
      <c r="Q131" s="167"/>
      <c r="R131" s="167"/>
    </row>
    <row r="132" spans="3:18" s="82" customFormat="1" ht="15.75">
      <c r="C132" s="436" t="s">
        <v>73</v>
      </c>
      <c r="D132" s="436"/>
      <c r="E132" s="84"/>
      <c r="F132" s="84"/>
      <c r="J132" s="429" t="s">
        <v>270</v>
      </c>
      <c r="K132" s="429"/>
      <c r="O132" s="167"/>
      <c r="P132" s="167"/>
      <c r="Q132" s="167"/>
      <c r="R132" s="167"/>
    </row>
    <row r="133" spans="15:18" ht="12.75">
      <c r="O133" s="155"/>
      <c r="P133" s="155"/>
      <c r="Q133" s="155"/>
      <c r="R133" s="155"/>
    </row>
    <row r="134" spans="15:18" ht="12.75">
      <c r="O134" s="155"/>
      <c r="P134" s="155"/>
      <c r="Q134" s="155"/>
      <c r="R134" s="155"/>
    </row>
    <row r="135" spans="15:18" ht="12.75">
      <c r="O135" s="155"/>
      <c r="P135" s="155"/>
      <c r="Q135" s="155"/>
      <c r="R135" s="155"/>
    </row>
    <row r="136" spans="15:18" ht="12.75">
      <c r="O136" s="155"/>
      <c r="P136" s="155"/>
      <c r="Q136" s="155"/>
      <c r="R136" s="155"/>
    </row>
    <row r="137" spans="15:18" ht="12.75">
      <c r="O137" s="155"/>
      <c r="P137" s="155"/>
      <c r="Q137" s="155"/>
      <c r="R137" s="155"/>
    </row>
    <row r="138" spans="15:18" ht="12.75">
      <c r="O138" s="155"/>
      <c r="P138" s="155"/>
      <c r="Q138" s="155"/>
      <c r="R138" s="155"/>
    </row>
    <row r="139" spans="15:18" ht="12.75">
      <c r="O139" s="155"/>
      <c r="P139" s="155"/>
      <c r="Q139" s="155"/>
      <c r="R139" s="155"/>
    </row>
    <row r="140" spans="15:18" ht="12.75">
      <c r="O140" s="155"/>
      <c r="P140" s="155"/>
      <c r="Q140" s="155"/>
      <c r="R140" s="155"/>
    </row>
    <row r="141" spans="15:18" ht="12.75">
      <c r="O141" s="155"/>
      <c r="P141" s="155"/>
      <c r="Q141" s="155"/>
      <c r="R141" s="155"/>
    </row>
    <row r="142" spans="15:18" ht="12.75">
      <c r="O142" s="155"/>
      <c r="P142" s="155"/>
      <c r="Q142" s="155"/>
      <c r="R142" s="155"/>
    </row>
    <row r="143" spans="15:18" ht="12.75">
      <c r="O143" s="155"/>
      <c r="P143" s="155"/>
      <c r="Q143" s="155"/>
      <c r="R143" s="155"/>
    </row>
    <row r="144" spans="15:18" ht="12.75">
      <c r="O144" s="155"/>
      <c r="P144" s="155"/>
      <c r="Q144" s="155"/>
      <c r="R144" s="155"/>
    </row>
    <row r="145" spans="15:18" ht="12.75">
      <c r="O145" s="155"/>
      <c r="P145" s="155"/>
      <c r="Q145" s="155"/>
      <c r="R145" s="155"/>
    </row>
    <row r="146" spans="15:18" ht="12.75">
      <c r="O146" s="155"/>
      <c r="P146" s="155"/>
      <c r="Q146" s="155"/>
      <c r="R146" s="155"/>
    </row>
    <row r="151" ht="12.75" hidden="1"/>
    <row r="152" spans="3:8" ht="12.75" hidden="1">
      <c r="C152" s="95" t="s">
        <v>127</v>
      </c>
      <c r="D152" s="96"/>
      <c r="E152" s="97"/>
      <c r="F152" s="97"/>
      <c r="G152" s="2"/>
      <c r="H152" s="2"/>
    </row>
    <row r="153" spans="3:8" ht="12.75" hidden="1">
      <c r="C153" s="95" t="s">
        <v>128</v>
      </c>
      <c r="D153" s="96"/>
      <c r="E153" s="97"/>
      <c r="F153" s="97"/>
      <c r="G153" s="2"/>
      <c r="H153" s="2"/>
    </row>
    <row r="154" spans="3:8" ht="12.75" hidden="1">
      <c r="C154" s="95"/>
      <c r="D154" s="96"/>
      <c r="E154" s="97"/>
      <c r="F154" s="97"/>
      <c r="G154" s="2"/>
      <c r="H154" s="2"/>
    </row>
    <row r="155" spans="3:8" ht="12.75" hidden="1">
      <c r="C155" s="95" t="s">
        <v>129</v>
      </c>
      <c r="D155" s="96"/>
      <c r="E155" s="95"/>
      <c r="F155" s="95"/>
      <c r="G155" s="2"/>
      <c r="H155" s="2"/>
    </row>
    <row r="156" spans="3:8" ht="12.75" hidden="1">
      <c r="C156" s="95" t="s">
        <v>130</v>
      </c>
      <c r="D156" s="96"/>
      <c r="E156" s="95"/>
      <c r="F156" s="95"/>
      <c r="G156" s="2"/>
      <c r="H156" s="2"/>
    </row>
    <row r="157" spans="3:8" ht="12.75" hidden="1">
      <c r="C157" s="95" t="s">
        <v>131</v>
      </c>
      <c r="D157" s="96"/>
      <c r="E157" s="95"/>
      <c r="F157" s="95"/>
      <c r="G157" s="2"/>
      <c r="H157" s="2"/>
    </row>
    <row r="158" spans="3:8" ht="12.75" hidden="1">
      <c r="C158" s="95"/>
      <c r="D158" s="95"/>
      <c r="E158" s="95"/>
      <c r="F158" s="95"/>
      <c r="G158" s="2"/>
      <c r="H158" s="2"/>
    </row>
  </sheetData>
  <sheetProtection/>
  <mergeCells count="47">
    <mergeCell ref="C132:D132"/>
    <mergeCell ref="J132:K132"/>
    <mergeCell ref="J4:L4"/>
    <mergeCell ref="B14:M14"/>
    <mergeCell ref="B117:C117"/>
    <mergeCell ref="B127:L127"/>
    <mergeCell ref="B78:C78"/>
    <mergeCell ref="M33:M34"/>
    <mergeCell ref="B126:L126"/>
    <mergeCell ref="B111:C111"/>
    <mergeCell ref="B68:C68"/>
    <mergeCell ref="B72:C72"/>
    <mergeCell ref="B102:L102"/>
    <mergeCell ref="B113:L113"/>
    <mergeCell ref="B90:C90"/>
    <mergeCell ref="B101:C101"/>
    <mergeCell ref="B79:L79"/>
    <mergeCell ref="B85:L85"/>
    <mergeCell ref="B91:L91"/>
    <mergeCell ref="C130:D130"/>
    <mergeCell ref="J130:K130"/>
    <mergeCell ref="C131:D131"/>
    <mergeCell ref="J131:K131"/>
    <mergeCell ref="B9:L9"/>
    <mergeCell ref="B10:L10"/>
    <mergeCell ref="B11:L11"/>
    <mergeCell ref="B55:L55"/>
    <mergeCell ref="B56:L56"/>
    <mergeCell ref="B84:C84"/>
    <mergeCell ref="B46:L46"/>
    <mergeCell ref="B5:D5"/>
    <mergeCell ref="K5:L5"/>
    <mergeCell ref="B7:D7"/>
    <mergeCell ref="J7:L7"/>
    <mergeCell ref="B3:D3"/>
    <mergeCell ref="J3:L3"/>
    <mergeCell ref="B4:E4"/>
    <mergeCell ref="B62:C62"/>
    <mergeCell ref="B63:L63"/>
    <mergeCell ref="B69:L69"/>
    <mergeCell ref="B73:L73"/>
    <mergeCell ref="B1:C1"/>
    <mergeCell ref="K1:L1"/>
    <mergeCell ref="B2:D2"/>
    <mergeCell ref="J2:L2"/>
    <mergeCell ref="B50:L50"/>
    <mergeCell ref="B32:L32"/>
  </mergeCells>
  <printOptions/>
  <pageMargins left="0.3937007874015748" right="0.196850393700787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169"/>
  <sheetViews>
    <sheetView zoomScale="115" zoomScaleNormal="115" zoomScalePageLayoutView="0" workbookViewId="0" topLeftCell="A113">
      <selection activeCell="H18" sqref="H18"/>
    </sheetView>
  </sheetViews>
  <sheetFormatPr defaultColWidth="9.00390625" defaultRowHeight="12.75"/>
  <cols>
    <col min="1" max="1" width="1.00390625" style="0" customWidth="1"/>
    <col min="2" max="2" width="5.75390625" style="0" customWidth="1"/>
    <col min="3" max="3" width="23.625" style="0" customWidth="1"/>
    <col min="4" max="4" width="9.375" style="0" customWidth="1"/>
    <col min="5" max="5" width="9.25390625" style="0" customWidth="1"/>
    <col min="6" max="6" width="14.75390625" style="0" customWidth="1"/>
    <col min="7" max="8" width="4.875" style="0" customWidth="1"/>
    <col min="9" max="9" width="6.00390625" style="0" customWidth="1"/>
    <col min="10" max="10" width="6.875" style="0" customWidth="1"/>
    <col min="11" max="12" width="7.125" style="0" customWidth="1"/>
    <col min="13" max="13" width="9.875" style="0" customWidth="1"/>
    <col min="14" max="14" width="10.125" style="0" customWidth="1"/>
    <col min="15" max="15" width="15.375" style="0" customWidth="1"/>
    <col min="16" max="16" width="17.875" style="65" customWidth="1"/>
    <col min="17" max="17" width="15.375" style="0" customWidth="1"/>
    <col min="18" max="18" width="6.125" style="0" customWidth="1"/>
    <col min="19" max="19" width="9.125" style="0" customWidth="1"/>
    <col min="20" max="20" width="9.625" style="0" customWidth="1"/>
    <col min="21" max="23" width="9.125" style="0" customWidth="1"/>
  </cols>
  <sheetData>
    <row r="1" spans="13:16" s="310" customFormat="1" ht="11.25">
      <c r="M1" s="445" t="s">
        <v>464</v>
      </c>
      <c r="N1" s="445"/>
      <c r="P1" s="311"/>
    </row>
    <row r="2" spans="12:16" s="310" customFormat="1" ht="44.25" customHeight="1">
      <c r="L2" s="445" t="s">
        <v>465</v>
      </c>
      <c r="M2" s="445"/>
      <c r="N2" s="445"/>
      <c r="O2" s="445"/>
      <c r="P2" s="311"/>
    </row>
    <row r="3" ht="12.75">
      <c r="P3" s="340"/>
    </row>
    <row r="4" spans="2:16" ht="15">
      <c r="B4" s="417" t="s">
        <v>18</v>
      </c>
      <c r="C4" s="417"/>
      <c r="D4" s="45"/>
      <c r="E4" s="139"/>
      <c r="F4" s="44"/>
      <c r="G4" s="44"/>
      <c r="H4" s="44"/>
      <c r="I4" s="44"/>
      <c r="J4" s="44"/>
      <c r="K4" s="44"/>
      <c r="L4" s="44"/>
      <c r="M4" s="418" t="s">
        <v>0</v>
      </c>
      <c r="N4" s="418"/>
      <c r="O4" s="418"/>
      <c r="P4" s="340"/>
    </row>
    <row r="5" spans="2:16" ht="60" customHeight="1">
      <c r="B5" s="450" t="s">
        <v>467</v>
      </c>
      <c r="C5" s="450"/>
      <c r="D5" s="45"/>
      <c r="E5" s="139"/>
      <c r="F5" s="44"/>
      <c r="G5" s="44"/>
      <c r="H5" s="44"/>
      <c r="I5" s="44"/>
      <c r="J5" s="44"/>
      <c r="K5" s="44"/>
      <c r="L5" s="44"/>
      <c r="M5" s="449" t="s">
        <v>467</v>
      </c>
      <c r="N5" s="449"/>
      <c r="O5" s="449"/>
      <c r="P5" s="340"/>
    </row>
    <row r="6" spans="2:15" ht="36.75" customHeight="1">
      <c r="B6" s="421" t="s">
        <v>458</v>
      </c>
      <c r="C6" s="421"/>
      <c r="D6" s="421"/>
      <c r="E6" s="141"/>
      <c r="F6" s="52"/>
      <c r="G6" s="52"/>
      <c r="H6" s="52"/>
      <c r="I6" s="52"/>
      <c r="J6" s="52"/>
      <c r="K6" s="52"/>
      <c r="L6" s="52"/>
      <c r="M6" s="422" t="s">
        <v>121</v>
      </c>
      <c r="N6" s="422"/>
      <c r="O6" s="422"/>
    </row>
    <row r="7" spans="2:15" ht="15.75">
      <c r="B7" s="423" t="s">
        <v>345</v>
      </c>
      <c r="C7" s="423"/>
      <c r="D7" s="423"/>
      <c r="E7" s="139"/>
      <c r="J7" s="44"/>
      <c r="K7" s="44"/>
      <c r="L7" s="424" t="s">
        <v>460</v>
      </c>
      <c r="M7" s="424"/>
      <c r="N7" s="424"/>
      <c r="O7" s="424"/>
    </row>
    <row r="8" spans="2:15" ht="15.75">
      <c r="B8" s="302"/>
      <c r="C8" s="302"/>
      <c r="D8" s="302"/>
      <c r="E8" s="139"/>
      <c r="J8" s="44"/>
      <c r="K8" s="44"/>
      <c r="L8" s="303"/>
      <c r="M8" s="303"/>
      <c r="N8" s="303"/>
      <c r="O8" s="303"/>
    </row>
    <row r="9" spans="2:16" ht="13.5">
      <c r="B9" s="464" t="s">
        <v>330</v>
      </c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241"/>
    </row>
    <row r="10" spans="2:16" ht="13.5" customHeight="1">
      <c r="B10" s="469" t="s">
        <v>459</v>
      </c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241"/>
    </row>
    <row r="11" spans="2:16" ht="16.5" customHeight="1">
      <c r="B11" s="470" t="s">
        <v>274</v>
      </c>
      <c r="C11" s="470"/>
      <c r="D11" s="470"/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470"/>
      <c r="P11" s="241"/>
    </row>
    <row r="12" spans="2:16" ht="10.5" customHeight="1"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1"/>
    </row>
    <row r="13" spans="2:18" ht="49.5" customHeight="1">
      <c r="B13" s="451" t="s">
        <v>275</v>
      </c>
      <c r="C13" s="451" t="s">
        <v>276</v>
      </c>
      <c r="D13" s="451" t="s">
        <v>110</v>
      </c>
      <c r="E13" s="451" t="s">
        <v>112</v>
      </c>
      <c r="F13" s="451" t="s">
        <v>277</v>
      </c>
      <c r="G13" s="451" t="s">
        <v>278</v>
      </c>
      <c r="H13" s="452"/>
      <c r="I13" s="452"/>
      <c r="J13" s="451" t="s">
        <v>282</v>
      </c>
      <c r="K13" s="452"/>
      <c r="L13" s="452"/>
      <c r="M13" s="451" t="s">
        <v>286</v>
      </c>
      <c r="N13" s="465" t="s">
        <v>331</v>
      </c>
      <c r="O13" s="451" t="s">
        <v>287</v>
      </c>
      <c r="P13" s="244"/>
      <c r="R13" s="157"/>
    </row>
    <row r="14" spans="2:18" ht="15" customHeight="1">
      <c r="B14" s="452"/>
      <c r="C14" s="452"/>
      <c r="D14" s="452"/>
      <c r="E14" s="452"/>
      <c r="F14" s="452"/>
      <c r="G14" s="245" t="s">
        <v>279</v>
      </c>
      <c r="H14" s="245" t="s">
        <v>280</v>
      </c>
      <c r="I14" s="245" t="s">
        <v>281</v>
      </c>
      <c r="J14" s="245" t="s">
        <v>283</v>
      </c>
      <c r="K14" s="245" t="s">
        <v>284</v>
      </c>
      <c r="L14" s="245" t="s">
        <v>285</v>
      </c>
      <c r="M14" s="452"/>
      <c r="N14" s="466"/>
      <c r="O14" s="452"/>
      <c r="P14" s="244"/>
      <c r="R14" s="157"/>
    </row>
    <row r="15" spans="2:18" ht="18" customHeight="1">
      <c r="B15" s="205">
        <v>1</v>
      </c>
      <c r="C15" s="205">
        <v>2</v>
      </c>
      <c r="D15" s="205">
        <v>3</v>
      </c>
      <c r="E15" s="205">
        <v>4</v>
      </c>
      <c r="F15" s="205">
        <v>5</v>
      </c>
      <c r="G15" s="205">
        <v>6</v>
      </c>
      <c r="H15" s="205">
        <v>7</v>
      </c>
      <c r="I15" s="205">
        <v>8</v>
      </c>
      <c r="J15" s="205">
        <v>9</v>
      </c>
      <c r="K15" s="205">
        <v>10</v>
      </c>
      <c r="L15" s="205">
        <v>11</v>
      </c>
      <c r="M15" s="205">
        <v>12</v>
      </c>
      <c r="N15" s="205"/>
      <c r="O15" s="205">
        <v>13</v>
      </c>
      <c r="P15" s="246"/>
      <c r="R15" s="157"/>
    </row>
    <row r="16" spans="2:16" ht="16.5" customHeight="1">
      <c r="B16" s="341" t="s">
        <v>162</v>
      </c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24"/>
    </row>
    <row r="17" spans="2:17" ht="36.75" customHeight="1">
      <c r="B17" s="197">
        <v>1</v>
      </c>
      <c r="C17" s="199" t="s">
        <v>4</v>
      </c>
      <c r="D17" s="197" t="s">
        <v>32</v>
      </c>
      <c r="E17" s="197">
        <v>1</v>
      </c>
      <c r="F17" s="198">
        <f>1450*1.2*1.4*6</f>
        <v>14616</v>
      </c>
      <c r="G17" s="195"/>
      <c r="H17" s="195"/>
      <c r="I17" s="195"/>
      <c r="J17" s="195"/>
      <c r="K17" s="195"/>
      <c r="L17" s="259"/>
      <c r="M17" s="198">
        <f aca="true" t="shared" si="0" ref="M17:M22">F17</f>
        <v>14616</v>
      </c>
      <c r="N17" s="198">
        <f aca="true" t="shared" si="1" ref="N17:N35">F17*0.35</f>
        <v>5115.599999999999</v>
      </c>
      <c r="O17" s="186" t="s">
        <v>326</v>
      </c>
      <c r="P17" s="66" t="s">
        <v>352</v>
      </c>
      <c r="Q17" s="27"/>
    </row>
    <row r="18" spans="2:17" ht="24.75" customHeight="1">
      <c r="B18" s="197">
        <v>2</v>
      </c>
      <c r="C18" s="194" t="s">
        <v>468</v>
      </c>
      <c r="D18" s="197" t="s">
        <v>32</v>
      </c>
      <c r="E18" s="197">
        <v>1</v>
      </c>
      <c r="F18" s="198">
        <v>13154</v>
      </c>
      <c r="G18" s="195"/>
      <c r="H18" s="195"/>
      <c r="I18" s="195"/>
      <c r="J18" s="195"/>
      <c r="K18" s="195"/>
      <c r="L18" s="259"/>
      <c r="M18" s="198">
        <f t="shared" si="0"/>
        <v>13154</v>
      </c>
      <c r="N18" s="198">
        <f t="shared" si="1"/>
        <v>4603.9</v>
      </c>
      <c r="O18" s="186" t="s">
        <v>332</v>
      </c>
      <c r="P18" s="196"/>
      <c r="Q18" s="27"/>
    </row>
    <row r="19" spans="2:17" ht="19.5" customHeight="1">
      <c r="B19" s="197">
        <v>3</v>
      </c>
      <c r="C19" s="194" t="s">
        <v>469</v>
      </c>
      <c r="D19" s="197" t="s">
        <v>32</v>
      </c>
      <c r="E19" s="197">
        <v>1</v>
      </c>
      <c r="F19" s="198">
        <v>12865</v>
      </c>
      <c r="G19" s="195"/>
      <c r="H19" s="195"/>
      <c r="I19" s="195"/>
      <c r="J19" s="195"/>
      <c r="K19" s="195"/>
      <c r="L19" s="259"/>
      <c r="M19" s="198">
        <f t="shared" si="0"/>
        <v>12865</v>
      </c>
      <c r="N19" s="198">
        <f t="shared" si="1"/>
        <v>4502.75</v>
      </c>
      <c r="O19" s="186" t="s">
        <v>351</v>
      </c>
      <c r="P19" s="196" t="s">
        <v>95</v>
      </c>
      <c r="Q19" s="27"/>
    </row>
    <row r="20" spans="2:18" ht="18" customHeight="1">
      <c r="B20" s="197">
        <v>4</v>
      </c>
      <c r="C20" s="196" t="s">
        <v>5</v>
      </c>
      <c r="D20" s="200" t="s">
        <v>38</v>
      </c>
      <c r="E20" s="200">
        <v>1</v>
      </c>
      <c r="F20" s="201">
        <v>11690</v>
      </c>
      <c r="G20" s="214"/>
      <c r="H20" s="214"/>
      <c r="I20" s="214"/>
      <c r="J20" s="214"/>
      <c r="K20" s="214"/>
      <c r="L20" s="201"/>
      <c r="M20" s="201">
        <f t="shared" si="0"/>
        <v>11690</v>
      </c>
      <c r="N20" s="198">
        <f t="shared" si="1"/>
        <v>4091.4999999999995</v>
      </c>
      <c r="O20" s="306" t="s">
        <v>354</v>
      </c>
      <c r="P20" s="196" t="s">
        <v>96</v>
      </c>
      <c r="Q20" s="310"/>
      <c r="R20" s="310"/>
    </row>
    <row r="21" spans="2:18" ht="18.75" customHeight="1">
      <c r="B21" s="197">
        <v>5</v>
      </c>
      <c r="C21" s="192" t="s">
        <v>168</v>
      </c>
      <c r="D21" s="200" t="s">
        <v>35</v>
      </c>
      <c r="E21" s="200">
        <v>1</v>
      </c>
      <c r="F21" s="201">
        <f>1450*1.2*1.4*3.3</f>
        <v>8038.799999999999</v>
      </c>
      <c r="G21" s="214"/>
      <c r="H21" s="214"/>
      <c r="I21" s="214"/>
      <c r="J21" s="214"/>
      <c r="K21" s="214"/>
      <c r="L21" s="201"/>
      <c r="M21" s="201">
        <f t="shared" si="0"/>
        <v>8038.799999999999</v>
      </c>
      <c r="N21" s="198">
        <f t="shared" si="1"/>
        <v>2813.5799999999995</v>
      </c>
      <c r="O21" s="273"/>
      <c r="P21" s="196" t="s">
        <v>288</v>
      </c>
      <c r="Q21" s="329" t="s">
        <v>358</v>
      </c>
      <c r="R21" s="310"/>
    </row>
    <row r="22" spans="2:18" ht="19.5" customHeight="1">
      <c r="B22" s="197">
        <v>6</v>
      </c>
      <c r="C22" s="216" t="s">
        <v>7</v>
      </c>
      <c r="D22" s="197">
        <v>1231</v>
      </c>
      <c r="E22" s="208">
        <v>1</v>
      </c>
      <c r="F22" s="209">
        <v>11690</v>
      </c>
      <c r="G22" s="217"/>
      <c r="H22" s="217"/>
      <c r="I22" s="217"/>
      <c r="J22" s="195"/>
      <c r="K22" s="195"/>
      <c r="L22" s="272"/>
      <c r="M22" s="198">
        <f t="shared" si="0"/>
        <v>11690</v>
      </c>
      <c r="N22" s="198">
        <f t="shared" si="1"/>
        <v>4091.4999999999995</v>
      </c>
      <c r="O22" s="274" t="s">
        <v>355</v>
      </c>
      <c r="P22" s="199" t="s">
        <v>100</v>
      </c>
      <c r="Q22" s="329" t="s">
        <v>353</v>
      </c>
      <c r="R22" s="310"/>
    </row>
    <row r="23" spans="2:18" ht="24.75" customHeight="1">
      <c r="B23" s="197">
        <v>7</v>
      </c>
      <c r="C23" s="193" t="s">
        <v>16</v>
      </c>
      <c r="D23" s="197">
        <v>1231</v>
      </c>
      <c r="E23" s="208">
        <v>1</v>
      </c>
      <c r="F23" s="209">
        <v>8770</v>
      </c>
      <c r="G23" s="217"/>
      <c r="H23" s="217"/>
      <c r="I23" s="217"/>
      <c r="J23" s="195"/>
      <c r="K23" s="195"/>
      <c r="L23" s="195"/>
      <c r="M23" s="201">
        <f aca="true" t="shared" si="2" ref="M23:M34">F23</f>
        <v>8770</v>
      </c>
      <c r="N23" s="198">
        <f t="shared" si="1"/>
        <v>3069.5</v>
      </c>
      <c r="O23" s="274" t="s">
        <v>357</v>
      </c>
      <c r="P23" s="199" t="s">
        <v>101</v>
      </c>
      <c r="Q23" s="329" t="s">
        <v>356</v>
      </c>
      <c r="R23" s="310"/>
    </row>
    <row r="24" spans="2:18" ht="15.75" customHeight="1">
      <c r="B24" s="197">
        <v>8</v>
      </c>
      <c r="C24" s="196" t="s">
        <v>169</v>
      </c>
      <c r="D24" s="200">
        <v>1231</v>
      </c>
      <c r="E24" s="200">
        <v>1</v>
      </c>
      <c r="F24" s="201">
        <f>2436*3.3</f>
        <v>8038.799999999999</v>
      </c>
      <c r="G24" s="214"/>
      <c r="H24" s="214"/>
      <c r="I24" s="214"/>
      <c r="J24" s="214"/>
      <c r="K24" s="214"/>
      <c r="L24" s="214"/>
      <c r="M24" s="201">
        <f t="shared" si="2"/>
        <v>8038.799999999999</v>
      </c>
      <c r="N24" s="198">
        <f t="shared" si="1"/>
        <v>2813.5799999999995</v>
      </c>
      <c r="O24" s="196"/>
      <c r="P24" s="196" t="s">
        <v>292</v>
      </c>
      <c r="Q24" s="310" t="s">
        <v>358</v>
      </c>
      <c r="R24" s="310"/>
    </row>
    <row r="25" spans="2:18" ht="24.75" customHeight="1">
      <c r="B25" s="197">
        <v>9</v>
      </c>
      <c r="C25" s="194" t="s">
        <v>470</v>
      </c>
      <c r="D25" s="197" t="s">
        <v>36</v>
      </c>
      <c r="E25" s="197">
        <v>1</v>
      </c>
      <c r="F25" s="198">
        <f>2436*1.72</f>
        <v>4189.92</v>
      </c>
      <c r="G25" s="195"/>
      <c r="H25" s="195"/>
      <c r="I25" s="195"/>
      <c r="J25" s="195"/>
      <c r="K25" s="195"/>
      <c r="L25" s="195"/>
      <c r="M25" s="198">
        <f t="shared" si="2"/>
        <v>4189.92</v>
      </c>
      <c r="N25" s="198">
        <f t="shared" si="1"/>
        <v>1466.472</v>
      </c>
      <c r="O25" s="199"/>
      <c r="P25" s="199" t="s">
        <v>81</v>
      </c>
      <c r="Q25" s="310"/>
      <c r="R25" s="310"/>
    </row>
    <row r="26" spans="2:18" ht="19.5" customHeight="1">
      <c r="B26" s="197">
        <v>10</v>
      </c>
      <c r="C26" s="194" t="s">
        <v>170</v>
      </c>
      <c r="D26" s="204" t="s">
        <v>35</v>
      </c>
      <c r="E26" s="204">
        <v>1</v>
      </c>
      <c r="F26" s="205">
        <f>2436*2.65</f>
        <v>6455.4</v>
      </c>
      <c r="G26" s="206"/>
      <c r="H26" s="206"/>
      <c r="I26" s="206"/>
      <c r="J26" s="206"/>
      <c r="K26" s="206"/>
      <c r="L26" s="206"/>
      <c r="M26" s="205">
        <f t="shared" si="2"/>
        <v>6455.4</v>
      </c>
      <c r="N26" s="198">
        <f t="shared" si="1"/>
        <v>2259.39</v>
      </c>
      <c r="O26" s="196"/>
      <c r="P26" s="196" t="s">
        <v>82</v>
      </c>
      <c r="Q26" s="6" t="s">
        <v>369</v>
      </c>
      <c r="R26" s="310"/>
    </row>
    <row r="27" spans="2:18" ht="15.75" customHeight="1">
      <c r="B27" s="197">
        <v>11</v>
      </c>
      <c r="C27" s="194" t="s">
        <v>171</v>
      </c>
      <c r="D27" s="204" t="s">
        <v>35</v>
      </c>
      <c r="E27" s="204">
        <v>1</v>
      </c>
      <c r="F27" s="205">
        <f>2436*2.6</f>
        <v>6333.6</v>
      </c>
      <c r="G27" s="206"/>
      <c r="H27" s="206"/>
      <c r="I27" s="206"/>
      <c r="J27" s="206"/>
      <c r="K27" s="206"/>
      <c r="L27" s="206"/>
      <c r="M27" s="205">
        <f t="shared" si="2"/>
        <v>6333.6</v>
      </c>
      <c r="N27" s="198">
        <f t="shared" si="1"/>
        <v>2216.7599999999998</v>
      </c>
      <c r="O27" s="196"/>
      <c r="P27" s="194" t="s">
        <v>107</v>
      </c>
      <c r="Q27" s="6" t="s">
        <v>370</v>
      </c>
      <c r="R27" s="310"/>
    </row>
    <row r="28" spans="2:18" ht="28.5" customHeight="1">
      <c r="B28" s="197">
        <v>12</v>
      </c>
      <c r="C28" s="194" t="s">
        <v>178</v>
      </c>
      <c r="D28" s="204" t="s">
        <v>35</v>
      </c>
      <c r="E28" s="204">
        <v>1</v>
      </c>
      <c r="F28" s="205">
        <f>2436*2.7</f>
        <v>6577.200000000001</v>
      </c>
      <c r="G28" s="206"/>
      <c r="H28" s="206"/>
      <c r="I28" s="206"/>
      <c r="J28" s="206"/>
      <c r="K28" s="206"/>
      <c r="L28" s="206"/>
      <c r="M28" s="205">
        <f t="shared" si="2"/>
        <v>6577.200000000001</v>
      </c>
      <c r="N28" s="198">
        <f t="shared" si="1"/>
        <v>2302.02</v>
      </c>
      <c r="O28" s="199"/>
      <c r="P28" s="196" t="s">
        <v>91</v>
      </c>
      <c r="Q28" s="17" t="s">
        <v>371</v>
      </c>
      <c r="R28" s="310"/>
    </row>
    <row r="29" spans="2:18" ht="13.5">
      <c r="B29" s="197">
        <v>13</v>
      </c>
      <c r="C29" s="195" t="s">
        <v>172</v>
      </c>
      <c r="D29" s="204" t="s">
        <v>35</v>
      </c>
      <c r="E29" s="198">
        <v>1</v>
      </c>
      <c r="F29" s="198">
        <f>2436*2.6</f>
        <v>6333.6</v>
      </c>
      <c r="G29" s="195"/>
      <c r="H29" s="195"/>
      <c r="I29" s="195"/>
      <c r="J29" s="195"/>
      <c r="K29" s="195"/>
      <c r="L29" s="195"/>
      <c r="M29" s="209">
        <f t="shared" si="2"/>
        <v>6333.6</v>
      </c>
      <c r="N29" s="198">
        <f t="shared" si="1"/>
        <v>2216.7599999999998</v>
      </c>
      <c r="O29" s="199"/>
      <c r="P29" s="196" t="s">
        <v>125</v>
      </c>
      <c r="Q29" s="17" t="s">
        <v>372</v>
      </c>
      <c r="R29" s="310"/>
    </row>
    <row r="30" spans="2:18" ht="15" customHeight="1">
      <c r="B30" s="197">
        <v>14</v>
      </c>
      <c r="C30" s="193" t="s">
        <v>173</v>
      </c>
      <c r="D30" s="204" t="s">
        <v>35</v>
      </c>
      <c r="E30" s="208">
        <v>1</v>
      </c>
      <c r="F30" s="209">
        <f>2436*2.55</f>
        <v>6211.799999999999</v>
      </c>
      <c r="G30" s="217"/>
      <c r="H30" s="217"/>
      <c r="I30" s="217"/>
      <c r="J30" s="195"/>
      <c r="K30" s="195"/>
      <c r="L30" s="199"/>
      <c r="M30" s="209">
        <f t="shared" si="2"/>
        <v>6211.799999999999</v>
      </c>
      <c r="N30" s="198">
        <f t="shared" si="1"/>
        <v>2174.1299999999997</v>
      </c>
      <c r="O30" s="199"/>
      <c r="P30" s="196" t="s">
        <v>90</v>
      </c>
      <c r="Q30" s="17" t="s">
        <v>373</v>
      </c>
      <c r="R30" s="310"/>
    </row>
    <row r="31" spans="2:18" ht="14.25" customHeight="1">
      <c r="B31" s="197">
        <v>15</v>
      </c>
      <c r="C31" s="195" t="s">
        <v>10</v>
      </c>
      <c r="D31" s="204" t="s">
        <v>35</v>
      </c>
      <c r="E31" s="207">
        <v>1</v>
      </c>
      <c r="F31" s="205">
        <f>2436*2.55</f>
        <v>6211.799999999999</v>
      </c>
      <c r="G31" s="206"/>
      <c r="H31" s="206"/>
      <c r="I31" s="206"/>
      <c r="J31" s="206"/>
      <c r="K31" s="206"/>
      <c r="L31" s="206"/>
      <c r="M31" s="209">
        <f t="shared" si="2"/>
        <v>6211.799999999999</v>
      </c>
      <c r="N31" s="198">
        <f t="shared" si="1"/>
        <v>2174.1299999999997</v>
      </c>
      <c r="O31" s="199"/>
      <c r="P31" s="196" t="s">
        <v>88</v>
      </c>
      <c r="Q31" s="17" t="s">
        <v>374</v>
      </c>
      <c r="R31" s="310"/>
    </row>
    <row r="32" spans="2:18" ht="18" customHeight="1">
      <c r="B32" s="197">
        <v>16</v>
      </c>
      <c r="C32" s="194" t="s">
        <v>44</v>
      </c>
      <c r="D32" s="198" t="s">
        <v>36</v>
      </c>
      <c r="E32" s="204">
        <v>1</v>
      </c>
      <c r="F32" s="205">
        <f>2436*2.5</f>
        <v>6090</v>
      </c>
      <c r="G32" s="206"/>
      <c r="H32" s="206"/>
      <c r="I32" s="206"/>
      <c r="J32" s="206"/>
      <c r="K32" s="206"/>
      <c r="L32" s="206"/>
      <c r="M32" s="209">
        <f t="shared" si="2"/>
        <v>6090</v>
      </c>
      <c r="N32" s="198">
        <f t="shared" si="1"/>
        <v>2131.5</v>
      </c>
      <c r="O32" s="194"/>
      <c r="P32" s="199" t="s">
        <v>84</v>
      </c>
      <c r="Q32" s="21" t="s">
        <v>375</v>
      </c>
      <c r="R32" s="310"/>
    </row>
    <row r="33" spans="2:18" ht="26.25" customHeight="1">
      <c r="B33" s="197">
        <v>17</v>
      </c>
      <c r="C33" s="193" t="s">
        <v>293</v>
      </c>
      <c r="D33" s="219" t="s">
        <v>35</v>
      </c>
      <c r="E33" s="207">
        <v>1</v>
      </c>
      <c r="F33" s="219">
        <f>2436*2.2</f>
        <v>5359.200000000001</v>
      </c>
      <c r="G33" s="220"/>
      <c r="H33" s="220"/>
      <c r="I33" s="220"/>
      <c r="J33" s="206"/>
      <c r="K33" s="206"/>
      <c r="L33" s="220"/>
      <c r="M33" s="209">
        <f t="shared" si="2"/>
        <v>5359.200000000001</v>
      </c>
      <c r="N33" s="198">
        <f t="shared" si="1"/>
        <v>1875.72</v>
      </c>
      <c r="O33" s="221"/>
      <c r="P33" s="199" t="s">
        <v>359</v>
      </c>
      <c r="Q33" s="147" t="s">
        <v>376</v>
      </c>
      <c r="R33" s="310"/>
    </row>
    <row r="34" spans="2:18" ht="27">
      <c r="B34" s="197">
        <v>18</v>
      </c>
      <c r="C34" s="193" t="s">
        <v>236</v>
      </c>
      <c r="D34" s="219">
        <v>1239</v>
      </c>
      <c r="E34" s="207">
        <v>1</v>
      </c>
      <c r="F34" s="219">
        <f>2436*1.55</f>
        <v>3775.8</v>
      </c>
      <c r="G34" s="220"/>
      <c r="H34" s="220"/>
      <c r="I34" s="220"/>
      <c r="J34" s="206"/>
      <c r="K34" s="206"/>
      <c r="L34" s="220"/>
      <c r="M34" s="209">
        <f t="shared" si="2"/>
        <v>3775.8</v>
      </c>
      <c r="N34" s="198">
        <f t="shared" si="1"/>
        <v>1321.53</v>
      </c>
      <c r="O34" s="221"/>
      <c r="P34" s="199" t="s">
        <v>291</v>
      </c>
      <c r="Q34" s="147" t="s">
        <v>360</v>
      </c>
      <c r="R34" s="310"/>
    </row>
    <row r="35" spans="2:18" ht="13.5">
      <c r="B35" s="197"/>
      <c r="C35" s="321" t="s">
        <v>327</v>
      </c>
      <c r="D35" s="286"/>
      <c r="E35" s="322">
        <f>SUM(E17:E34)</f>
        <v>18</v>
      </c>
      <c r="F35" s="286">
        <f>SUM(F17:F34)</f>
        <v>146400.92</v>
      </c>
      <c r="G35" s="323"/>
      <c r="H35" s="323"/>
      <c r="I35" s="323"/>
      <c r="J35" s="324"/>
      <c r="K35" s="324"/>
      <c r="L35" s="323"/>
      <c r="M35" s="325">
        <f>SUM(M17:M34)</f>
        <v>146400.92</v>
      </c>
      <c r="N35" s="212">
        <f t="shared" si="1"/>
        <v>51240.322</v>
      </c>
      <c r="O35" s="326"/>
      <c r="P35" s="319"/>
      <c r="Q35" s="275"/>
      <c r="R35" s="310"/>
    </row>
    <row r="36" spans="2:18" ht="15" customHeight="1">
      <c r="B36" s="448" t="s">
        <v>163</v>
      </c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213"/>
      <c r="Q36" s="310"/>
      <c r="R36" s="310"/>
    </row>
    <row r="37" spans="2:18" ht="24.75" customHeight="1">
      <c r="B37" s="197">
        <v>1</v>
      </c>
      <c r="C37" s="194" t="s">
        <v>123</v>
      </c>
      <c r="D37" s="197" t="s">
        <v>33</v>
      </c>
      <c r="E37" s="197">
        <v>1</v>
      </c>
      <c r="F37" s="198">
        <f>2436*2.2</f>
        <v>5359.200000000001</v>
      </c>
      <c r="G37" s="198"/>
      <c r="H37" s="198"/>
      <c r="I37" s="198"/>
      <c r="J37" s="198"/>
      <c r="K37" s="198"/>
      <c r="L37" s="198"/>
      <c r="M37" s="198">
        <f>F37</f>
        <v>5359.200000000001</v>
      </c>
      <c r="N37" s="198">
        <f aca="true" t="shared" si="3" ref="N37:N49">M37*0.35</f>
        <v>1875.72</v>
      </c>
      <c r="O37" s="199"/>
      <c r="P37" s="467" t="s">
        <v>78</v>
      </c>
      <c r="Q37" s="309" t="s">
        <v>377</v>
      </c>
      <c r="R37" s="310"/>
    </row>
    <row r="38" spans="2:18" ht="27" customHeight="1">
      <c r="B38" s="197">
        <v>2</v>
      </c>
      <c r="C38" s="194" t="s">
        <v>334</v>
      </c>
      <c r="D38" s="197" t="s">
        <v>33</v>
      </c>
      <c r="E38" s="197">
        <v>0.25</v>
      </c>
      <c r="F38" s="198">
        <f>2436*2</f>
        <v>4872</v>
      </c>
      <c r="G38" s="198"/>
      <c r="H38" s="198"/>
      <c r="I38" s="198"/>
      <c r="J38" s="198"/>
      <c r="K38" s="198"/>
      <c r="L38" s="198"/>
      <c r="M38" s="198">
        <v>1157</v>
      </c>
      <c r="N38" s="198">
        <f t="shared" si="3"/>
        <v>404.95</v>
      </c>
      <c r="O38" s="199"/>
      <c r="P38" s="467"/>
      <c r="Q38" s="309" t="s">
        <v>378</v>
      </c>
      <c r="R38" s="310"/>
    </row>
    <row r="39" spans="2:18" ht="18" customHeight="1">
      <c r="B39" s="197">
        <v>3</v>
      </c>
      <c r="C39" s="194" t="s">
        <v>22</v>
      </c>
      <c r="D39" s="197" t="s">
        <v>33</v>
      </c>
      <c r="E39" s="197">
        <v>1</v>
      </c>
      <c r="F39" s="198">
        <f>2436*2.4</f>
        <v>5846.4</v>
      </c>
      <c r="G39" s="198"/>
      <c r="H39" s="198"/>
      <c r="I39" s="198"/>
      <c r="J39" s="198"/>
      <c r="K39" s="198"/>
      <c r="L39" s="198"/>
      <c r="M39" s="198">
        <f aca="true" t="shared" si="4" ref="M39:M48">F39</f>
        <v>5846.4</v>
      </c>
      <c r="N39" s="198">
        <f t="shared" si="3"/>
        <v>2046.2399999999998</v>
      </c>
      <c r="O39" s="191"/>
      <c r="P39" s="191" t="s">
        <v>99</v>
      </c>
      <c r="Q39" s="185" t="s">
        <v>379</v>
      </c>
      <c r="R39" s="310"/>
    </row>
    <row r="40" spans="2:18" ht="23.25" customHeight="1">
      <c r="B40" s="197">
        <v>4</v>
      </c>
      <c r="C40" s="202" t="s">
        <v>179</v>
      </c>
      <c r="D40" s="197" t="s">
        <v>33</v>
      </c>
      <c r="E40" s="197">
        <v>2</v>
      </c>
      <c r="F40" s="198">
        <f>2436*2.1</f>
        <v>5115.6</v>
      </c>
      <c r="G40" s="198"/>
      <c r="H40" s="198"/>
      <c r="I40" s="198"/>
      <c r="J40" s="198"/>
      <c r="K40" s="198"/>
      <c r="L40" s="195"/>
      <c r="M40" s="198">
        <f>F40*E40</f>
        <v>10231.2</v>
      </c>
      <c r="N40" s="198">
        <f t="shared" si="3"/>
        <v>3580.92</v>
      </c>
      <c r="O40" s="191"/>
      <c r="P40" s="192" t="s">
        <v>263</v>
      </c>
      <c r="Q40" s="185" t="s">
        <v>380</v>
      </c>
      <c r="R40" s="310"/>
    </row>
    <row r="41" spans="2:18" ht="18" customHeight="1">
      <c r="B41" s="197">
        <v>5</v>
      </c>
      <c r="C41" s="199" t="s">
        <v>180</v>
      </c>
      <c r="D41" s="197" t="s">
        <v>33</v>
      </c>
      <c r="E41" s="197">
        <v>1</v>
      </c>
      <c r="F41" s="198">
        <f>2436*2.25</f>
        <v>5481</v>
      </c>
      <c r="G41" s="198"/>
      <c r="H41" s="198"/>
      <c r="I41" s="198"/>
      <c r="J41" s="198"/>
      <c r="K41" s="198"/>
      <c r="L41" s="195"/>
      <c r="M41" s="198">
        <f t="shared" si="4"/>
        <v>5481</v>
      </c>
      <c r="N41" s="198">
        <f t="shared" si="3"/>
        <v>1918.35</v>
      </c>
      <c r="O41" s="191"/>
      <c r="P41" s="191" t="s">
        <v>262</v>
      </c>
      <c r="Q41" s="185" t="s">
        <v>381</v>
      </c>
      <c r="R41" s="310"/>
    </row>
    <row r="42" spans="2:18" ht="21.75" customHeight="1">
      <c r="B42" s="197">
        <v>6</v>
      </c>
      <c r="C42" s="194" t="s">
        <v>124</v>
      </c>
      <c r="D42" s="204" t="s">
        <v>119</v>
      </c>
      <c r="E42" s="204">
        <v>1</v>
      </c>
      <c r="F42" s="205">
        <f>2436*2.2</f>
        <v>5359.200000000001</v>
      </c>
      <c r="G42" s="205"/>
      <c r="H42" s="205"/>
      <c r="I42" s="205"/>
      <c r="J42" s="205"/>
      <c r="K42" s="205"/>
      <c r="L42" s="206"/>
      <c r="M42" s="198">
        <f t="shared" si="4"/>
        <v>5359.200000000001</v>
      </c>
      <c r="N42" s="198">
        <f t="shared" si="3"/>
        <v>1875.72</v>
      </c>
      <c r="O42" s="194"/>
      <c r="P42" s="194" t="s">
        <v>94</v>
      </c>
      <c r="Q42" s="186" t="s">
        <v>382</v>
      </c>
      <c r="R42" s="310"/>
    </row>
    <row r="43" spans="2:18" ht="18" customHeight="1">
      <c r="B43" s="197">
        <v>7</v>
      </c>
      <c r="C43" s="193" t="s">
        <v>27</v>
      </c>
      <c r="D43" s="204" t="s">
        <v>33</v>
      </c>
      <c r="E43" s="207">
        <v>1</v>
      </c>
      <c r="F43" s="198">
        <f>2436*2.2</f>
        <v>5359.200000000001</v>
      </c>
      <c r="G43" s="198"/>
      <c r="H43" s="198"/>
      <c r="I43" s="198"/>
      <c r="J43" s="198"/>
      <c r="K43" s="198"/>
      <c r="L43" s="195"/>
      <c r="M43" s="198">
        <f t="shared" si="4"/>
        <v>5359.200000000001</v>
      </c>
      <c r="N43" s="198">
        <f t="shared" si="3"/>
        <v>1875.72</v>
      </c>
      <c r="O43" s="199"/>
      <c r="P43" s="191" t="s">
        <v>87</v>
      </c>
      <c r="Q43" s="309" t="s">
        <v>383</v>
      </c>
      <c r="R43" s="310"/>
    </row>
    <row r="44" spans="2:18" ht="27" customHeight="1">
      <c r="B44" s="197">
        <v>8</v>
      </c>
      <c r="C44" s="194" t="s">
        <v>41</v>
      </c>
      <c r="D44" s="197" t="s">
        <v>34</v>
      </c>
      <c r="E44" s="208">
        <v>2</v>
      </c>
      <c r="F44" s="209">
        <f>2436*2.4</f>
        <v>5846.4</v>
      </c>
      <c r="G44" s="209"/>
      <c r="H44" s="209"/>
      <c r="I44" s="209"/>
      <c r="J44" s="198"/>
      <c r="K44" s="198"/>
      <c r="L44" s="198"/>
      <c r="M44" s="198">
        <f>F44*2</f>
        <v>11692.8</v>
      </c>
      <c r="N44" s="198">
        <f t="shared" si="3"/>
        <v>4092.4799999999996</v>
      </c>
      <c r="O44" s="199"/>
      <c r="P44" s="193" t="s">
        <v>292</v>
      </c>
      <c r="Q44" s="309" t="s">
        <v>379</v>
      </c>
      <c r="R44" s="310"/>
    </row>
    <row r="45" spans="2:18" ht="28.5" customHeight="1">
      <c r="B45" s="197">
        <v>9</v>
      </c>
      <c r="C45" s="194" t="s">
        <v>122</v>
      </c>
      <c r="D45" s="197" t="s">
        <v>34</v>
      </c>
      <c r="E45" s="208">
        <v>1</v>
      </c>
      <c r="F45" s="209">
        <f>2436*2.35</f>
        <v>5724.6</v>
      </c>
      <c r="G45" s="209"/>
      <c r="H45" s="209"/>
      <c r="I45" s="209"/>
      <c r="J45" s="198"/>
      <c r="K45" s="198"/>
      <c r="L45" s="198"/>
      <c r="M45" s="198">
        <f t="shared" si="4"/>
        <v>5724.6</v>
      </c>
      <c r="N45" s="198">
        <f t="shared" si="3"/>
        <v>2003.61</v>
      </c>
      <c r="O45" s="199"/>
      <c r="P45" s="199" t="s">
        <v>93</v>
      </c>
      <c r="Q45" s="309" t="s">
        <v>384</v>
      </c>
      <c r="R45" s="310"/>
    </row>
    <row r="46" spans="2:18" ht="16.5" customHeight="1">
      <c r="B46" s="197">
        <v>11</v>
      </c>
      <c r="C46" s="199" t="s">
        <v>8</v>
      </c>
      <c r="D46" s="197" t="s">
        <v>51</v>
      </c>
      <c r="E46" s="197">
        <v>1</v>
      </c>
      <c r="F46" s="198">
        <v>5846</v>
      </c>
      <c r="G46" s="198"/>
      <c r="H46" s="198"/>
      <c r="I46" s="198"/>
      <c r="J46" s="198"/>
      <c r="K46" s="198"/>
      <c r="L46" s="198"/>
      <c r="M46" s="198">
        <f t="shared" si="4"/>
        <v>5846</v>
      </c>
      <c r="N46" s="198">
        <f t="shared" si="3"/>
        <v>2046.1</v>
      </c>
      <c r="O46" s="191"/>
      <c r="P46" s="191" t="s">
        <v>118</v>
      </c>
      <c r="Q46" s="185" t="s">
        <v>385</v>
      </c>
      <c r="R46" s="310"/>
    </row>
    <row r="47" spans="2:18" ht="30" customHeight="1">
      <c r="B47" s="197">
        <v>12</v>
      </c>
      <c r="C47" s="210" t="s">
        <v>42</v>
      </c>
      <c r="D47" s="197" t="s">
        <v>33</v>
      </c>
      <c r="E47" s="208">
        <v>1</v>
      </c>
      <c r="F47" s="209">
        <f>2436*2</f>
        <v>4872</v>
      </c>
      <c r="G47" s="209"/>
      <c r="H47" s="209"/>
      <c r="I47" s="209"/>
      <c r="J47" s="198"/>
      <c r="K47" s="198"/>
      <c r="L47" s="198"/>
      <c r="M47" s="198">
        <f t="shared" si="4"/>
        <v>4872</v>
      </c>
      <c r="N47" s="198">
        <f t="shared" si="3"/>
        <v>1705.1999999999998</v>
      </c>
      <c r="O47" s="199"/>
      <c r="P47" s="199" t="s">
        <v>80</v>
      </c>
      <c r="Q47" s="309" t="s">
        <v>386</v>
      </c>
      <c r="R47" s="310"/>
    </row>
    <row r="48" spans="2:18" ht="17.25" customHeight="1">
      <c r="B48" s="197">
        <v>13</v>
      </c>
      <c r="C48" s="199" t="s">
        <v>471</v>
      </c>
      <c r="D48" s="197">
        <v>2429</v>
      </c>
      <c r="E48" s="197">
        <v>1</v>
      </c>
      <c r="F48" s="198">
        <f>2436*2.6</f>
        <v>6333.6</v>
      </c>
      <c r="G48" s="198"/>
      <c r="H48" s="198"/>
      <c r="I48" s="198"/>
      <c r="J48" s="198"/>
      <c r="K48" s="198"/>
      <c r="L48" s="198"/>
      <c r="M48" s="198">
        <f t="shared" si="4"/>
        <v>6333.6</v>
      </c>
      <c r="N48" s="198">
        <f t="shared" si="3"/>
        <v>2216.7599999999998</v>
      </c>
      <c r="O48" s="191"/>
      <c r="P48" s="211" t="s">
        <v>264</v>
      </c>
      <c r="Q48" s="311" t="s">
        <v>387</v>
      </c>
      <c r="R48" s="312"/>
    </row>
    <row r="49" spans="2:18" ht="19.5" customHeight="1">
      <c r="B49" s="197"/>
      <c r="C49" s="319" t="s">
        <v>328</v>
      </c>
      <c r="D49" s="320"/>
      <c r="E49" s="320">
        <f>SUM(E37:E48)</f>
        <v>13.25</v>
      </c>
      <c r="F49" s="212">
        <f>SUM(F37:F48)</f>
        <v>66015.20000000001</v>
      </c>
      <c r="G49" s="212"/>
      <c r="H49" s="212"/>
      <c r="I49" s="212"/>
      <c r="J49" s="212"/>
      <c r="K49" s="212"/>
      <c r="L49" s="212"/>
      <c r="M49" s="212">
        <f>SUM(M37:M48)</f>
        <v>73262.20000000001</v>
      </c>
      <c r="N49" s="212">
        <f t="shared" si="3"/>
        <v>25641.770000000004</v>
      </c>
      <c r="O49" s="191"/>
      <c r="P49" s="211"/>
      <c r="Q49" s="310"/>
      <c r="R49" s="312"/>
    </row>
    <row r="50" spans="2:18" ht="12.75" customHeight="1">
      <c r="B50" s="448" t="s">
        <v>165</v>
      </c>
      <c r="C50" s="447"/>
      <c r="D50" s="447"/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213"/>
      <c r="Q50" s="310"/>
      <c r="R50" s="310"/>
    </row>
    <row r="51" spans="2:18" ht="24.75" customHeight="1">
      <c r="B51" s="200">
        <v>1</v>
      </c>
      <c r="C51" s="192" t="s">
        <v>463</v>
      </c>
      <c r="D51" s="200">
        <v>3423</v>
      </c>
      <c r="E51" s="200">
        <v>1</v>
      </c>
      <c r="F51" s="201">
        <f>2436*2.58</f>
        <v>6284.88</v>
      </c>
      <c r="G51" s="201"/>
      <c r="H51" s="201"/>
      <c r="I51" s="201"/>
      <c r="J51" s="201"/>
      <c r="K51" s="201"/>
      <c r="L51" s="201"/>
      <c r="M51" s="201">
        <f>F51</f>
        <v>6284.88</v>
      </c>
      <c r="N51" s="201">
        <f>M51*0.35</f>
        <v>2199.708</v>
      </c>
      <c r="O51" s="192"/>
      <c r="P51" s="191" t="s">
        <v>97</v>
      </c>
      <c r="Q51" s="313" t="s">
        <v>490</v>
      </c>
      <c r="R51" s="310"/>
    </row>
    <row r="52" spans="2:18" ht="16.5" customHeight="1">
      <c r="B52" s="208">
        <v>2</v>
      </c>
      <c r="C52" s="280" t="s">
        <v>9</v>
      </c>
      <c r="D52" s="200">
        <v>3119</v>
      </c>
      <c r="E52" s="200">
        <v>1</v>
      </c>
      <c r="F52" s="201">
        <f>2436*1.52</f>
        <v>3702.7200000000003</v>
      </c>
      <c r="G52" s="201"/>
      <c r="H52" s="201"/>
      <c r="I52" s="201"/>
      <c r="J52" s="201"/>
      <c r="K52" s="201"/>
      <c r="L52" s="203"/>
      <c r="M52" s="201">
        <f>F52</f>
        <v>3702.7200000000003</v>
      </c>
      <c r="N52" s="201">
        <f>M52*0.35</f>
        <v>1295.952</v>
      </c>
      <c r="O52" s="191"/>
      <c r="P52" s="327" t="s">
        <v>254</v>
      </c>
      <c r="Q52" s="185" t="s">
        <v>462</v>
      </c>
      <c r="R52" s="312">
        <v>-1</v>
      </c>
    </row>
    <row r="53" spans="2:18" ht="24" customHeight="1">
      <c r="B53" s="208">
        <v>3</v>
      </c>
      <c r="C53" s="194" t="s">
        <v>496</v>
      </c>
      <c r="D53" s="200" t="s">
        <v>461</v>
      </c>
      <c r="E53" s="200">
        <v>1</v>
      </c>
      <c r="F53" s="201">
        <v>4872</v>
      </c>
      <c r="G53" s="201"/>
      <c r="H53" s="201"/>
      <c r="I53" s="201"/>
      <c r="J53" s="201"/>
      <c r="K53" s="201"/>
      <c r="L53" s="203"/>
      <c r="M53" s="201">
        <v>4872</v>
      </c>
      <c r="N53" s="201">
        <f>M53*0.35</f>
        <v>1705.1999999999998</v>
      </c>
      <c r="O53" s="191"/>
      <c r="P53" s="346" t="s">
        <v>491</v>
      </c>
      <c r="Q53" s="313" t="s">
        <v>492</v>
      </c>
      <c r="R53" s="312"/>
    </row>
    <row r="54" spans="2:18" ht="16.5" customHeight="1">
      <c r="B54" s="208"/>
      <c r="C54" s="315" t="s">
        <v>328</v>
      </c>
      <c r="D54" s="316"/>
      <c r="E54" s="316">
        <f>SUM(E51:E53)</f>
        <v>3</v>
      </c>
      <c r="F54" s="223">
        <f>SUM(F51:F53)</f>
        <v>14859.6</v>
      </c>
      <c r="G54" s="223"/>
      <c r="H54" s="223"/>
      <c r="I54" s="223"/>
      <c r="J54" s="223"/>
      <c r="K54" s="223"/>
      <c r="L54" s="317"/>
      <c r="M54" s="223">
        <f>SUM(M51:M53)</f>
        <v>14859.6</v>
      </c>
      <c r="N54" s="223">
        <f>M54*0.35</f>
        <v>5200.86</v>
      </c>
      <c r="O54" s="318"/>
      <c r="P54" s="191"/>
      <c r="Q54" s="185"/>
      <c r="R54" s="312"/>
    </row>
    <row r="55" spans="2:18" ht="18.75" customHeight="1">
      <c r="B55" s="448" t="s">
        <v>166</v>
      </c>
      <c r="C55" s="447"/>
      <c r="D55" s="447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224"/>
      <c r="Q55" s="6"/>
      <c r="R55" s="310"/>
    </row>
    <row r="56" spans="2:18" ht="18" customHeight="1">
      <c r="B56" s="200">
        <v>1</v>
      </c>
      <c r="C56" s="191" t="s">
        <v>37</v>
      </c>
      <c r="D56" s="200">
        <v>4115</v>
      </c>
      <c r="E56" s="200">
        <v>1</v>
      </c>
      <c r="F56" s="198">
        <f>2436*1.3</f>
        <v>3166.8</v>
      </c>
      <c r="G56" s="198"/>
      <c r="H56" s="198"/>
      <c r="I56" s="198"/>
      <c r="J56" s="198"/>
      <c r="K56" s="198"/>
      <c r="L56" s="198"/>
      <c r="M56" s="198">
        <f>F56</f>
        <v>3166.8</v>
      </c>
      <c r="N56" s="198">
        <f>M56*0.35</f>
        <v>1108.3799999999999</v>
      </c>
      <c r="O56" s="191"/>
      <c r="P56" s="191" t="s">
        <v>251</v>
      </c>
      <c r="Q56" s="185" t="s">
        <v>388</v>
      </c>
      <c r="R56" s="310"/>
    </row>
    <row r="57" spans="2:18" ht="27" customHeight="1">
      <c r="B57" s="200">
        <v>2</v>
      </c>
      <c r="C57" s="192" t="s">
        <v>193</v>
      </c>
      <c r="D57" s="200">
        <v>4133</v>
      </c>
      <c r="E57" s="200">
        <v>1</v>
      </c>
      <c r="F57" s="198">
        <f>2436*1.4</f>
        <v>3410.3999999999996</v>
      </c>
      <c r="G57" s="198"/>
      <c r="H57" s="198"/>
      <c r="I57" s="198"/>
      <c r="J57" s="198"/>
      <c r="K57" s="198"/>
      <c r="L57" s="198"/>
      <c r="M57" s="198">
        <f>F57</f>
        <v>3410.3999999999996</v>
      </c>
      <c r="N57" s="198">
        <f>M57*0.35</f>
        <v>1193.6399999999999</v>
      </c>
      <c r="O57" s="191"/>
      <c r="P57" s="191" t="s">
        <v>252</v>
      </c>
      <c r="Q57" s="185" t="s">
        <v>389</v>
      </c>
      <c r="R57" s="310"/>
    </row>
    <row r="58" spans="2:20" ht="17.25" customHeight="1">
      <c r="B58" s="200">
        <v>3</v>
      </c>
      <c r="C58" s="191" t="s">
        <v>120</v>
      </c>
      <c r="D58" s="200">
        <v>3231</v>
      </c>
      <c r="E58" s="200">
        <v>0.5</v>
      </c>
      <c r="F58" s="198">
        <v>1950</v>
      </c>
      <c r="G58" s="198"/>
      <c r="H58" s="198"/>
      <c r="I58" s="198"/>
      <c r="J58" s="198"/>
      <c r="K58" s="198"/>
      <c r="L58" s="198"/>
      <c r="M58" s="198">
        <f>F58*0.5</f>
        <v>975</v>
      </c>
      <c r="N58" s="198">
        <f>M58*0.35</f>
        <v>341.25</v>
      </c>
      <c r="O58" s="191"/>
      <c r="P58" s="191" t="s">
        <v>98</v>
      </c>
      <c r="Q58" s="185" t="s">
        <v>361</v>
      </c>
      <c r="R58" s="314"/>
      <c r="S58" s="155"/>
      <c r="T58" s="155"/>
    </row>
    <row r="59" spans="2:20" ht="17.25" customHeight="1">
      <c r="B59" s="200"/>
      <c r="C59" s="280" t="s">
        <v>328</v>
      </c>
      <c r="D59" s="200"/>
      <c r="E59" s="200">
        <f>SUM(E56:E58)</f>
        <v>2.5</v>
      </c>
      <c r="F59" s="198">
        <f>SUM(F56:F58)</f>
        <v>8527.2</v>
      </c>
      <c r="G59" s="198"/>
      <c r="H59" s="198"/>
      <c r="I59" s="198"/>
      <c r="J59" s="198"/>
      <c r="K59" s="198"/>
      <c r="L59" s="198"/>
      <c r="M59" s="212">
        <f>SUM(M56:M58)</f>
        <v>7552.2</v>
      </c>
      <c r="N59" s="212">
        <f>M59*0.35</f>
        <v>2643.27</v>
      </c>
      <c r="O59" s="191"/>
      <c r="P59" s="191"/>
      <c r="Q59" s="311"/>
      <c r="R59" s="314"/>
      <c r="S59" s="155"/>
      <c r="T59" s="155"/>
    </row>
    <row r="60" spans="2:20" ht="20.25" customHeight="1">
      <c r="B60" s="468" t="s">
        <v>315</v>
      </c>
      <c r="C60" s="468"/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247"/>
      <c r="Q60" s="310"/>
      <c r="R60" s="314"/>
      <c r="S60" s="155"/>
      <c r="T60" s="155"/>
    </row>
    <row r="61" spans="2:18" ht="19.5" customHeight="1">
      <c r="B61" s="460" t="s">
        <v>71</v>
      </c>
      <c r="C61" s="460"/>
      <c r="D61" s="460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248"/>
      <c r="Q61" s="310"/>
      <c r="R61" s="310"/>
    </row>
    <row r="62" spans="2:18" ht="43.5" customHeight="1">
      <c r="B62" s="204">
        <v>1</v>
      </c>
      <c r="C62" s="194" t="s">
        <v>76</v>
      </c>
      <c r="D62" s="205" t="s">
        <v>45</v>
      </c>
      <c r="E62" s="204">
        <v>2</v>
      </c>
      <c r="F62" s="205" t="s">
        <v>390</v>
      </c>
      <c r="G62" s="205"/>
      <c r="H62" s="205"/>
      <c r="I62" s="249">
        <v>0.16</v>
      </c>
      <c r="J62" s="205"/>
      <c r="K62" s="205">
        <f>4506.6*0.16*2</f>
        <v>1442.112</v>
      </c>
      <c r="L62" s="205">
        <f>44506.6*E62</f>
        <v>89013.2</v>
      </c>
      <c r="M62" s="205">
        <f>4506.6*1.16*2</f>
        <v>10455.312</v>
      </c>
      <c r="N62" s="205">
        <f aca="true" t="shared" si="5" ref="N62:N67">L62*0.35</f>
        <v>31154.619999999995</v>
      </c>
      <c r="O62" s="186" t="s">
        <v>333</v>
      </c>
      <c r="P62" s="250" t="s">
        <v>109</v>
      </c>
      <c r="Q62" s="21" t="s">
        <v>362</v>
      </c>
      <c r="R62" s="310"/>
    </row>
    <row r="63" spans="2:19" ht="48.75" customHeight="1">
      <c r="B63" s="204">
        <v>2</v>
      </c>
      <c r="C63" s="194" t="s">
        <v>77</v>
      </c>
      <c r="D63" s="205" t="s">
        <v>45</v>
      </c>
      <c r="E63" s="204">
        <v>2</v>
      </c>
      <c r="F63" s="205" t="s">
        <v>364</v>
      </c>
      <c r="G63" s="205"/>
      <c r="H63" s="205"/>
      <c r="I63" s="249">
        <v>0.12</v>
      </c>
      <c r="J63" s="205"/>
      <c r="K63" s="205">
        <f>4020*0.12*2</f>
        <v>964.8</v>
      </c>
      <c r="L63" s="205">
        <f>4020*E63</f>
        <v>8040</v>
      </c>
      <c r="M63" s="205">
        <f>4020*1.12*2</f>
        <v>9004.800000000001</v>
      </c>
      <c r="N63" s="205">
        <f t="shared" si="5"/>
        <v>2814</v>
      </c>
      <c r="O63" s="186" t="s">
        <v>333</v>
      </c>
      <c r="P63" s="251" t="s">
        <v>497</v>
      </c>
      <c r="Q63" s="168" t="s">
        <v>363</v>
      </c>
      <c r="R63" s="312">
        <v>-1</v>
      </c>
      <c r="S63" s="103"/>
    </row>
    <row r="64" spans="2:18" ht="45" customHeight="1">
      <c r="B64" s="204">
        <v>3</v>
      </c>
      <c r="C64" s="194" t="s">
        <v>74</v>
      </c>
      <c r="D64" s="205" t="s">
        <v>45</v>
      </c>
      <c r="E64" s="204">
        <v>3</v>
      </c>
      <c r="F64" s="205" t="s">
        <v>390</v>
      </c>
      <c r="G64" s="205"/>
      <c r="H64" s="205"/>
      <c r="I64" s="249">
        <v>0.16</v>
      </c>
      <c r="J64" s="205"/>
      <c r="K64" s="205">
        <f>4506.6*3*0.16</f>
        <v>2163.168</v>
      </c>
      <c r="L64" s="205">
        <f>4506.6*E64</f>
        <v>13519.800000000001</v>
      </c>
      <c r="M64" s="205">
        <f>4506.6*1.16*3</f>
        <v>15682.968</v>
      </c>
      <c r="N64" s="205">
        <f t="shared" si="5"/>
        <v>4731.93</v>
      </c>
      <c r="O64" s="186" t="s">
        <v>333</v>
      </c>
      <c r="P64" s="252" t="s">
        <v>498</v>
      </c>
      <c r="Q64" s="21" t="s">
        <v>367</v>
      </c>
      <c r="R64" s="310">
        <v>-1</v>
      </c>
    </row>
    <row r="65" spans="2:18" ht="42" customHeight="1">
      <c r="B65" s="204">
        <v>4</v>
      </c>
      <c r="C65" s="193" t="s">
        <v>196</v>
      </c>
      <c r="D65" s="205">
        <v>9322</v>
      </c>
      <c r="E65" s="205">
        <v>1</v>
      </c>
      <c r="F65" s="205" t="s">
        <v>366</v>
      </c>
      <c r="G65" s="201"/>
      <c r="H65" s="201"/>
      <c r="I65" s="215"/>
      <c r="J65" s="205"/>
      <c r="K65" s="205"/>
      <c r="L65" s="205">
        <v>3472</v>
      </c>
      <c r="M65" s="205">
        <f>3472</f>
        <v>3472</v>
      </c>
      <c r="N65" s="205">
        <f t="shared" si="5"/>
        <v>1215.1999999999998</v>
      </c>
      <c r="O65" s="185"/>
      <c r="P65" s="347" t="s">
        <v>254</v>
      </c>
      <c r="Q65" s="99" t="s">
        <v>365</v>
      </c>
      <c r="R65" s="310">
        <v>-1</v>
      </c>
    </row>
    <row r="66" spans="2:21" ht="41.25" customHeight="1">
      <c r="B66" s="204">
        <v>5</v>
      </c>
      <c r="C66" s="194" t="s">
        <v>75</v>
      </c>
      <c r="D66" s="205" t="s">
        <v>45</v>
      </c>
      <c r="E66" s="204">
        <v>1</v>
      </c>
      <c r="F66" s="205" t="s">
        <v>466</v>
      </c>
      <c r="G66" s="205"/>
      <c r="H66" s="205"/>
      <c r="I66" s="249">
        <v>0.12</v>
      </c>
      <c r="J66" s="205"/>
      <c r="K66" s="205">
        <f>4020*0.12*2</f>
        <v>964.8</v>
      </c>
      <c r="L66" s="205">
        <f>4020*E66</f>
        <v>4020</v>
      </c>
      <c r="M66" s="205">
        <f>4020*2*1.12</f>
        <v>9004.800000000001</v>
      </c>
      <c r="N66" s="205">
        <f t="shared" si="5"/>
        <v>1407</v>
      </c>
      <c r="O66" s="186" t="s">
        <v>333</v>
      </c>
      <c r="P66" s="194" t="s">
        <v>140</v>
      </c>
      <c r="Q66" s="21" t="s">
        <v>363</v>
      </c>
      <c r="R66" s="330"/>
      <c r="T66" s="92"/>
      <c r="U66" s="92"/>
    </row>
    <row r="67" spans="2:21" ht="24.75" customHeight="1">
      <c r="B67" s="204"/>
      <c r="C67" s="194"/>
      <c r="D67" s="205"/>
      <c r="E67" s="204">
        <f>SUM(E62:E66)</f>
        <v>9</v>
      </c>
      <c r="F67" s="205"/>
      <c r="G67" s="205"/>
      <c r="H67" s="205"/>
      <c r="I67" s="249"/>
      <c r="J67" s="205"/>
      <c r="K67" s="205">
        <f>SUM(K62:K66)</f>
        <v>5534.88</v>
      </c>
      <c r="L67" s="205">
        <f>SUM(L62:L66)</f>
        <v>118065</v>
      </c>
      <c r="M67" s="222">
        <f>SUM(M62:M66)</f>
        <v>47619.880000000005</v>
      </c>
      <c r="N67" s="222">
        <f t="shared" si="5"/>
        <v>41322.75</v>
      </c>
      <c r="O67" s="296"/>
      <c r="P67" s="194"/>
      <c r="Q67" s="276"/>
      <c r="R67" s="330"/>
      <c r="T67" s="92"/>
      <c r="U67" s="92"/>
    </row>
    <row r="68" spans="2:18" ht="20.25" customHeight="1">
      <c r="B68" s="447" t="s">
        <v>117</v>
      </c>
      <c r="C68" s="447"/>
      <c r="D68" s="447"/>
      <c r="E68" s="447"/>
      <c r="F68" s="447"/>
      <c r="G68" s="447"/>
      <c r="H68" s="447"/>
      <c r="I68" s="447"/>
      <c r="J68" s="447"/>
      <c r="K68" s="447"/>
      <c r="L68" s="447"/>
      <c r="M68" s="447"/>
      <c r="N68" s="447"/>
      <c r="O68" s="447"/>
      <c r="P68" s="254"/>
      <c r="Q68" s="310"/>
      <c r="R68" s="310"/>
    </row>
    <row r="69" spans="2:18" ht="57" customHeight="1">
      <c r="B69" s="205">
        <v>1</v>
      </c>
      <c r="C69" s="194" t="s">
        <v>76</v>
      </c>
      <c r="D69" s="205" t="s">
        <v>45</v>
      </c>
      <c r="E69" s="205">
        <v>4</v>
      </c>
      <c r="F69" s="205" t="s">
        <v>390</v>
      </c>
      <c r="G69" s="205"/>
      <c r="H69" s="205"/>
      <c r="I69" s="249">
        <v>0.16</v>
      </c>
      <c r="J69" s="205"/>
      <c r="K69" s="205">
        <f>4506.6*0.16*4</f>
        <v>2884.224</v>
      </c>
      <c r="L69" s="205">
        <f>4506.6*E69</f>
        <v>18026.4</v>
      </c>
      <c r="M69" s="205">
        <f>4506.6*1.16*4</f>
        <v>20910.624</v>
      </c>
      <c r="N69" s="205">
        <f>L69*0.35</f>
        <v>6309.24</v>
      </c>
      <c r="O69" s="186" t="s">
        <v>333</v>
      </c>
      <c r="P69" s="256" t="s">
        <v>493</v>
      </c>
      <c r="Q69" s="21" t="s">
        <v>362</v>
      </c>
      <c r="R69" s="331"/>
    </row>
    <row r="70" spans="2:18" ht="46.5" customHeight="1">
      <c r="B70" s="205">
        <v>2</v>
      </c>
      <c r="C70" s="194" t="s">
        <v>77</v>
      </c>
      <c r="D70" s="205" t="s">
        <v>45</v>
      </c>
      <c r="E70" s="205">
        <v>3</v>
      </c>
      <c r="F70" s="205" t="s">
        <v>364</v>
      </c>
      <c r="G70" s="205"/>
      <c r="H70" s="205"/>
      <c r="I70" s="249">
        <v>0.12</v>
      </c>
      <c r="J70" s="205"/>
      <c r="K70" s="205">
        <f>4020*4*1.12</f>
        <v>18009.600000000002</v>
      </c>
      <c r="L70" s="205">
        <f>4020*E70</f>
        <v>12060</v>
      </c>
      <c r="M70" s="205">
        <f>4020*1.12*4</f>
        <v>18009.600000000002</v>
      </c>
      <c r="N70" s="205">
        <f>L70*0.35</f>
        <v>4221</v>
      </c>
      <c r="O70" s="186" t="s">
        <v>333</v>
      </c>
      <c r="P70" s="256" t="s">
        <v>494</v>
      </c>
      <c r="Q70" s="168" t="s">
        <v>363</v>
      </c>
      <c r="R70" s="310">
        <v>-2</v>
      </c>
    </row>
    <row r="71" spans="2:18" ht="42" customHeight="1">
      <c r="B71" s="205">
        <v>3</v>
      </c>
      <c r="C71" s="194" t="s">
        <v>74</v>
      </c>
      <c r="D71" s="205" t="s">
        <v>45</v>
      </c>
      <c r="E71" s="205">
        <v>2</v>
      </c>
      <c r="F71" s="205" t="s">
        <v>390</v>
      </c>
      <c r="G71" s="205"/>
      <c r="H71" s="205"/>
      <c r="I71" s="249">
        <v>0.16</v>
      </c>
      <c r="J71" s="205"/>
      <c r="K71" s="205">
        <f>4506.6*0.16*2</f>
        <v>1442.112</v>
      </c>
      <c r="L71" s="205">
        <f>4506.6*E71</f>
        <v>9013.2</v>
      </c>
      <c r="M71" s="205">
        <f>4506.6*1.16*2</f>
        <v>10455.312</v>
      </c>
      <c r="N71" s="205">
        <f>L71*0.35</f>
        <v>3154.62</v>
      </c>
      <c r="O71" s="186" t="s">
        <v>333</v>
      </c>
      <c r="P71" s="251" t="s">
        <v>255</v>
      </c>
      <c r="Q71" s="225" t="s">
        <v>367</v>
      </c>
      <c r="R71" s="312"/>
    </row>
    <row r="72" spans="2:22" ht="40.5" customHeight="1">
      <c r="B72" s="205">
        <v>4</v>
      </c>
      <c r="C72" s="194" t="s">
        <v>75</v>
      </c>
      <c r="D72" s="205" t="s">
        <v>45</v>
      </c>
      <c r="E72" s="205">
        <v>1</v>
      </c>
      <c r="F72" s="205" t="s">
        <v>364</v>
      </c>
      <c r="G72" s="205"/>
      <c r="H72" s="205"/>
      <c r="I72" s="249">
        <v>0.12</v>
      </c>
      <c r="J72" s="205"/>
      <c r="K72" s="205">
        <f>4020*0.12*2</f>
        <v>964.8</v>
      </c>
      <c r="L72" s="205">
        <f>4020*E72</f>
        <v>4020</v>
      </c>
      <c r="M72" s="205">
        <f>4020*2*1.12</f>
        <v>9004.800000000001</v>
      </c>
      <c r="N72" s="205">
        <f>L72*0.35</f>
        <v>1407</v>
      </c>
      <c r="O72" s="186" t="s">
        <v>333</v>
      </c>
      <c r="P72" s="194" t="s">
        <v>257</v>
      </c>
      <c r="Q72" s="225" t="s">
        <v>363</v>
      </c>
      <c r="R72" s="312"/>
      <c r="T72" s="92"/>
      <c r="U72" s="92"/>
      <c r="V72" s="92"/>
    </row>
    <row r="73" spans="2:22" ht="15" customHeight="1">
      <c r="B73" s="205"/>
      <c r="C73" s="194" t="s">
        <v>328</v>
      </c>
      <c r="D73" s="205"/>
      <c r="E73" s="205">
        <f>SUM(E69:E72)</f>
        <v>10</v>
      </c>
      <c r="F73" s="205"/>
      <c r="G73" s="205"/>
      <c r="H73" s="205"/>
      <c r="I73" s="249"/>
      <c r="J73" s="205"/>
      <c r="K73" s="205">
        <f>SUM(K69:K72)</f>
        <v>23300.736</v>
      </c>
      <c r="L73" s="222">
        <f>SUM(L69:L72)</f>
        <v>43119.600000000006</v>
      </c>
      <c r="M73" s="222">
        <f>SUM(M69:M72)</f>
        <v>58380.336</v>
      </c>
      <c r="N73" s="222">
        <f>L73*0.35</f>
        <v>15091.86</v>
      </c>
      <c r="O73" s="225"/>
      <c r="P73" s="194"/>
      <c r="Q73" s="230"/>
      <c r="R73" s="312"/>
      <c r="T73" s="92"/>
      <c r="U73" s="92"/>
      <c r="V73" s="92"/>
    </row>
    <row r="74" spans="2:18" ht="20.25" customHeight="1">
      <c r="B74" s="447" t="s">
        <v>20</v>
      </c>
      <c r="C74" s="447"/>
      <c r="D74" s="447"/>
      <c r="E74" s="447"/>
      <c r="F74" s="447"/>
      <c r="G74" s="447"/>
      <c r="H74" s="447"/>
      <c r="I74" s="447"/>
      <c r="J74" s="447"/>
      <c r="K74" s="447"/>
      <c r="L74" s="447"/>
      <c r="M74" s="447"/>
      <c r="N74" s="447"/>
      <c r="O74" s="447"/>
      <c r="P74" s="254"/>
      <c r="Q74" s="310"/>
      <c r="R74" s="310"/>
    </row>
    <row r="75" spans="2:18" ht="59.25" customHeight="1">
      <c r="B75" s="204">
        <v>1</v>
      </c>
      <c r="C75" s="194" t="s">
        <v>74</v>
      </c>
      <c r="D75" s="205" t="s">
        <v>45</v>
      </c>
      <c r="E75" s="204">
        <v>6</v>
      </c>
      <c r="F75" s="205" t="s">
        <v>392</v>
      </c>
      <c r="G75" s="205"/>
      <c r="H75" s="205"/>
      <c r="I75" s="249">
        <v>0.16</v>
      </c>
      <c r="J75" s="205"/>
      <c r="K75" s="205">
        <f>4628.4*0.16*6</f>
        <v>4443.264</v>
      </c>
      <c r="L75" s="205">
        <f>4628.4*E75</f>
        <v>27770.399999999998</v>
      </c>
      <c r="M75" s="205">
        <f>4628.4*1.16*6</f>
        <v>32213.663999999997</v>
      </c>
      <c r="N75" s="205">
        <f>L75*0.35</f>
        <v>9719.64</v>
      </c>
      <c r="O75" s="186" t="s">
        <v>333</v>
      </c>
      <c r="P75" s="194" t="s">
        <v>320</v>
      </c>
      <c r="Q75" s="225" t="s">
        <v>391</v>
      </c>
      <c r="R75" s="312"/>
    </row>
    <row r="76" spans="2:18" ht="43.5" customHeight="1">
      <c r="B76" s="204">
        <v>2</v>
      </c>
      <c r="C76" s="194" t="s">
        <v>75</v>
      </c>
      <c r="D76" s="205" t="s">
        <v>45</v>
      </c>
      <c r="E76" s="204">
        <v>3</v>
      </c>
      <c r="F76" s="205" t="s">
        <v>393</v>
      </c>
      <c r="G76" s="257"/>
      <c r="H76" s="257"/>
      <c r="I76" s="258">
        <v>0.12</v>
      </c>
      <c r="J76" s="205"/>
      <c r="K76" s="205">
        <f>4238.6*3*0.12</f>
        <v>1525.8960000000002</v>
      </c>
      <c r="L76" s="205">
        <f>4238.6*E76</f>
        <v>12715.800000000001</v>
      </c>
      <c r="M76" s="205">
        <f>4238.6*1.12*3</f>
        <v>14241.696000000004</v>
      </c>
      <c r="N76" s="205">
        <f>L76*0.35</f>
        <v>4450.53</v>
      </c>
      <c r="O76" s="186" t="s">
        <v>333</v>
      </c>
      <c r="P76" s="194" t="s">
        <v>258</v>
      </c>
      <c r="Q76" s="225" t="s">
        <v>368</v>
      </c>
      <c r="R76" s="312"/>
    </row>
    <row r="77" spans="2:18" ht="13.5" customHeight="1">
      <c r="B77" s="204"/>
      <c r="C77" s="194" t="s">
        <v>328</v>
      </c>
      <c r="D77" s="205"/>
      <c r="E77" s="204">
        <f>SUM(E75:E76)</f>
        <v>9</v>
      </c>
      <c r="F77" s="205"/>
      <c r="G77" s="257"/>
      <c r="H77" s="257"/>
      <c r="I77" s="258"/>
      <c r="J77" s="205"/>
      <c r="K77" s="205">
        <f>SUM(K75:K76)</f>
        <v>5969.16</v>
      </c>
      <c r="L77" s="222">
        <f>SUM(L75:L76)</f>
        <v>40486.2</v>
      </c>
      <c r="M77" s="222">
        <f>SUM(M75:M76)</f>
        <v>46455.36</v>
      </c>
      <c r="N77" s="222">
        <f>L77*0.35</f>
        <v>14170.169999999998</v>
      </c>
      <c r="O77" s="225"/>
      <c r="P77" s="194"/>
      <c r="Q77" s="230"/>
      <c r="R77" s="312"/>
    </row>
    <row r="78" spans="2:18" ht="18" customHeight="1">
      <c r="B78" s="447" t="s">
        <v>72</v>
      </c>
      <c r="C78" s="447"/>
      <c r="D78" s="447"/>
      <c r="E78" s="447"/>
      <c r="F78" s="447"/>
      <c r="G78" s="447"/>
      <c r="H78" s="447"/>
      <c r="I78" s="447"/>
      <c r="J78" s="447"/>
      <c r="K78" s="447"/>
      <c r="L78" s="447"/>
      <c r="M78" s="447"/>
      <c r="N78" s="447"/>
      <c r="O78" s="447"/>
      <c r="P78" s="254"/>
      <c r="Q78" s="310"/>
      <c r="R78" s="310"/>
    </row>
    <row r="79" spans="2:19" ht="66" customHeight="1">
      <c r="B79" s="198">
        <v>1</v>
      </c>
      <c r="C79" s="194" t="s">
        <v>76</v>
      </c>
      <c r="D79" s="205" t="s">
        <v>45</v>
      </c>
      <c r="E79" s="198">
        <v>6</v>
      </c>
      <c r="F79" s="205" t="s">
        <v>390</v>
      </c>
      <c r="G79" s="205"/>
      <c r="H79" s="205"/>
      <c r="I79" s="249">
        <v>0.16</v>
      </c>
      <c r="J79" s="198"/>
      <c r="K79" s="198">
        <f>4506.6*0.16*6</f>
        <v>4326.336</v>
      </c>
      <c r="L79" s="198">
        <f>4506.6*6</f>
        <v>27039.600000000002</v>
      </c>
      <c r="M79" s="198">
        <f>4506.6*1.16*E79</f>
        <v>31365.936</v>
      </c>
      <c r="N79" s="198">
        <f>L79*0.35</f>
        <v>9463.86</v>
      </c>
      <c r="O79" s="186" t="s">
        <v>333</v>
      </c>
      <c r="P79" s="194" t="s">
        <v>241</v>
      </c>
      <c r="Q79" s="225" t="s">
        <v>367</v>
      </c>
      <c r="R79" s="332"/>
      <c r="S79" s="98"/>
    </row>
    <row r="80" spans="2:19" ht="44.25" customHeight="1">
      <c r="B80" s="198">
        <v>2</v>
      </c>
      <c r="C80" s="194" t="s">
        <v>75</v>
      </c>
      <c r="D80" s="205" t="s">
        <v>45</v>
      </c>
      <c r="E80" s="198">
        <v>1</v>
      </c>
      <c r="F80" s="205" t="s">
        <v>364</v>
      </c>
      <c r="G80" s="205"/>
      <c r="H80" s="205"/>
      <c r="I80" s="249">
        <v>0.12</v>
      </c>
      <c r="J80" s="205"/>
      <c r="K80" s="205">
        <f>4020*1*0.12</f>
        <v>482.4</v>
      </c>
      <c r="L80" s="205">
        <f>4020*1</f>
        <v>4020</v>
      </c>
      <c r="M80" s="205">
        <f>4020*1.12*E80</f>
        <v>4502.400000000001</v>
      </c>
      <c r="N80" s="198">
        <f>L80*0.35</f>
        <v>1407</v>
      </c>
      <c r="O80" s="186" t="s">
        <v>333</v>
      </c>
      <c r="P80" s="194" t="s">
        <v>240</v>
      </c>
      <c r="Q80" s="225" t="s">
        <v>394</v>
      </c>
      <c r="R80" s="332"/>
      <c r="S80" s="98"/>
    </row>
    <row r="81" spans="2:19" ht="43.5" customHeight="1">
      <c r="B81" s="198">
        <v>3</v>
      </c>
      <c r="C81" s="194" t="s">
        <v>74</v>
      </c>
      <c r="D81" s="205" t="s">
        <v>45</v>
      </c>
      <c r="E81" s="198">
        <v>2</v>
      </c>
      <c r="F81" s="205" t="s">
        <v>390</v>
      </c>
      <c r="G81" s="205"/>
      <c r="H81" s="205"/>
      <c r="I81" s="249">
        <v>0.16</v>
      </c>
      <c r="J81" s="198"/>
      <c r="K81" s="198">
        <f>4506.6*0.16*2</f>
        <v>1442.112</v>
      </c>
      <c r="L81" s="198">
        <f>4506.6*E81</f>
        <v>9013.2</v>
      </c>
      <c r="M81" s="198">
        <f>4506.6*1.16*2</f>
        <v>10455.312</v>
      </c>
      <c r="N81" s="198">
        <f>L81*0.35</f>
        <v>3154.62</v>
      </c>
      <c r="O81" s="186" t="s">
        <v>333</v>
      </c>
      <c r="P81" s="194" t="s">
        <v>321</v>
      </c>
      <c r="Q81" s="225" t="s">
        <v>367</v>
      </c>
      <c r="R81" s="332"/>
      <c r="S81" s="104"/>
    </row>
    <row r="82" spans="2:18" ht="40.5" hidden="1">
      <c r="B82" s="198">
        <v>3</v>
      </c>
      <c r="C82" s="206" t="s">
        <v>25</v>
      </c>
      <c r="D82" s="205" t="s">
        <v>45</v>
      </c>
      <c r="E82" s="198"/>
      <c r="F82" s="205">
        <f>1838*1.48</f>
        <v>2720.24</v>
      </c>
      <c r="G82" s="205"/>
      <c r="H82" s="205"/>
      <c r="I82" s="205"/>
      <c r="J82" s="198"/>
      <c r="K82" s="198"/>
      <c r="L82" s="198"/>
      <c r="M82" s="198"/>
      <c r="N82" s="198">
        <f>L82*0.35</f>
        <v>0</v>
      </c>
      <c r="O82" s="255" t="s">
        <v>325</v>
      </c>
      <c r="P82" s="191"/>
      <c r="Q82" s="310"/>
      <c r="R82" s="310"/>
    </row>
    <row r="83" spans="2:18" ht="13.5">
      <c r="B83" s="198"/>
      <c r="C83" s="206" t="s">
        <v>328</v>
      </c>
      <c r="D83" s="205"/>
      <c r="E83" s="198">
        <f>SUM(E79:E82)</f>
        <v>9</v>
      </c>
      <c r="F83" s="205"/>
      <c r="G83" s="205"/>
      <c r="H83" s="205"/>
      <c r="I83" s="205"/>
      <c r="J83" s="198"/>
      <c r="K83" s="212">
        <f>SUM(K79:K82)</f>
        <v>6250.848</v>
      </c>
      <c r="L83" s="212">
        <f>SUM(L79:L82)</f>
        <v>40072.8</v>
      </c>
      <c r="M83" s="212">
        <f>SUM(M79:M82)</f>
        <v>46323.648</v>
      </c>
      <c r="N83" s="212">
        <f>L83*0.35</f>
        <v>14025.48</v>
      </c>
      <c r="O83" s="255"/>
      <c r="P83" s="191"/>
      <c r="Q83" s="310"/>
      <c r="R83" s="331"/>
    </row>
    <row r="84" spans="2:18" ht="20.25" customHeight="1">
      <c r="B84" s="447" t="s">
        <v>14</v>
      </c>
      <c r="C84" s="447"/>
      <c r="D84" s="447"/>
      <c r="E84" s="447"/>
      <c r="F84" s="447"/>
      <c r="G84" s="447"/>
      <c r="H84" s="447"/>
      <c r="I84" s="447"/>
      <c r="J84" s="447"/>
      <c r="K84" s="447"/>
      <c r="L84" s="447"/>
      <c r="M84" s="447"/>
      <c r="N84" s="447"/>
      <c r="O84" s="447"/>
      <c r="P84" s="254"/>
      <c r="Q84" s="310"/>
      <c r="R84" s="310"/>
    </row>
    <row r="85" spans="2:18" ht="88.5" customHeight="1">
      <c r="B85" s="208">
        <v>1</v>
      </c>
      <c r="C85" s="194" t="s">
        <v>50</v>
      </c>
      <c r="D85" s="205" t="s">
        <v>45</v>
      </c>
      <c r="E85" s="197">
        <v>6</v>
      </c>
      <c r="F85" s="205" t="s">
        <v>390</v>
      </c>
      <c r="G85" s="198"/>
      <c r="H85" s="198"/>
      <c r="I85" s="259">
        <v>0.16</v>
      </c>
      <c r="J85" s="198"/>
      <c r="K85" s="198">
        <f>4506*0.16*10</f>
        <v>7209.6</v>
      </c>
      <c r="L85" s="198">
        <f>4506*E85</f>
        <v>27036</v>
      </c>
      <c r="M85" s="198">
        <f>4506*1.16*E85</f>
        <v>31361.760000000002</v>
      </c>
      <c r="N85" s="198">
        <f>L85*0.35</f>
        <v>9462.599999999999</v>
      </c>
      <c r="O85" s="186" t="s">
        <v>333</v>
      </c>
      <c r="P85" s="194" t="s">
        <v>495</v>
      </c>
      <c r="Q85" s="225" t="s">
        <v>138</v>
      </c>
      <c r="R85" s="312"/>
    </row>
    <row r="86" spans="2:20" ht="54.75" customHeight="1">
      <c r="B86" s="208">
        <v>2</v>
      </c>
      <c r="C86" s="194" t="s">
        <v>49</v>
      </c>
      <c r="D86" s="205" t="s">
        <v>61</v>
      </c>
      <c r="E86" s="197">
        <v>2</v>
      </c>
      <c r="F86" s="205" t="s">
        <v>390</v>
      </c>
      <c r="G86" s="198"/>
      <c r="H86" s="198"/>
      <c r="I86" s="259">
        <v>0.16</v>
      </c>
      <c r="J86" s="198"/>
      <c r="K86" s="198">
        <f>4506*2*0.16</f>
        <v>1441.92</v>
      </c>
      <c r="L86" s="198">
        <f>4506*E86</f>
        <v>9012</v>
      </c>
      <c r="M86" s="198">
        <f>4506*1.16*2</f>
        <v>10453.92</v>
      </c>
      <c r="N86" s="198">
        <f>L86*0.35</f>
        <v>3154.2</v>
      </c>
      <c r="O86" s="186" t="s">
        <v>333</v>
      </c>
      <c r="P86" s="194" t="s">
        <v>499</v>
      </c>
      <c r="Q86" s="225" t="s">
        <v>138</v>
      </c>
      <c r="R86" s="333">
        <v>-1</v>
      </c>
      <c r="S86" s="158"/>
      <c r="T86" s="158"/>
    </row>
    <row r="87" spans="2:20" ht="58.5" customHeight="1">
      <c r="B87" s="208">
        <v>3</v>
      </c>
      <c r="C87" s="194" t="s">
        <v>243</v>
      </c>
      <c r="D87" s="205" t="s">
        <v>61</v>
      </c>
      <c r="E87" s="197">
        <v>4</v>
      </c>
      <c r="F87" s="205" t="s">
        <v>364</v>
      </c>
      <c r="G87" s="198"/>
      <c r="H87" s="198"/>
      <c r="I87" s="259"/>
      <c r="J87" s="198"/>
      <c r="K87" s="198">
        <f>4020*4*0.12</f>
        <v>1929.6</v>
      </c>
      <c r="L87" s="198">
        <f>4020*E87</f>
        <v>16080</v>
      </c>
      <c r="M87" s="198">
        <f>4020*4</f>
        <v>16080</v>
      </c>
      <c r="N87" s="198">
        <f>L87*0.35</f>
        <v>5628</v>
      </c>
      <c r="O87" s="225"/>
      <c r="P87" s="194" t="s">
        <v>244</v>
      </c>
      <c r="Q87" s="225" t="s">
        <v>245</v>
      </c>
      <c r="R87" s="333"/>
      <c r="S87" s="158"/>
      <c r="T87" s="158"/>
    </row>
    <row r="88" spans="2:20" ht="60" customHeight="1">
      <c r="B88" s="197">
        <v>4</v>
      </c>
      <c r="C88" s="194" t="s">
        <v>297</v>
      </c>
      <c r="D88" s="205" t="s">
        <v>62</v>
      </c>
      <c r="E88" s="197">
        <v>1</v>
      </c>
      <c r="F88" s="205" t="s">
        <v>364</v>
      </c>
      <c r="G88" s="198"/>
      <c r="H88" s="198"/>
      <c r="I88" s="259">
        <v>0.12</v>
      </c>
      <c r="J88" s="198"/>
      <c r="K88" s="198">
        <f>4020*1*0.12</f>
        <v>482.4</v>
      </c>
      <c r="L88" s="198">
        <f>4020*E88</f>
        <v>4020</v>
      </c>
      <c r="M88" s="198">
        <f>4020*1.12</f>
        <v>4502.400000000001</v>
      </c>
      <c r="N88" s="198">
        <f>L88*0.35</f>
        <v>1407</v>
      </c>
      <c r="O88" s="186" t="s">
        <v>333</v>
      </c>
      <c r="P88" s="199" t="s">
        <v>89</v>
      </c>
      <c r="Q88" s="225" t="s">
        <v>139</v>
      </c>
      <c r="R88" s="333"/>
      <c r="S88" s="158"/>
      <c r="T88" s="158"/>
    </row>
    <row r="89" spans="2:20" ht="18.75" customHeight="1">
      <c r="B89" s="197"/>
      <c r="C89" s="194" t="s">
        <v>328</v>
      </c>
      <c r="D89" s="205"/>
      <c r="E89" s="197">
        <f>SUM(E85:E88)</f>
        <v>13</v>
      </c>
      <c r="F89" s="205"/>
      <c r="G89" s="198"/>
      <c r="H89" s="198"/>
      <c r="I89" s="259"/>
      <c r="J89" s="198"/>
      <c r="K89" s="212">
        <f>SUM(K85:K88)</f>
        <v>11063.52</v>
      </c>
      <c r="L89" s="212">
        <f>SUM(L85:L88)</f>
        <v>56148</v>
      </c>
      <c r="M89" s="212">
        <f>SUM(M85:M88)</f>
        <v>62398.08</v>
      </c>
      <c r="N89" s="212">
        <f>L89*0.35</f>
        <v>19651.8</v>
      </c>
      <c r="O89" s="225"/>
      <c r="P89" s="199"/>
      <c r="Q89" s="230"/>
      <c r="R89" s="333"/>
      <c r="S89" s="158"/>
      <c r="T89" s="158"/>
    </row>
    <row r="90" spans="2:20" ht="18" customHeight="1">
      <c r="B90" s="461" t="s">
        <v>301</v>
      </c>
      <c r="C90" s="461"/>
      <c r="D90" s="461"/>
      <c r="E90" s="461"/>
      <c r="F90" s="461"/>
      <c r="G90" s="461"/>
      <c r="H90" s="461"/>
      <c r="I90" s="461"/>
      <c r="J90" s="461"/>
      <c r="K90" s="461"/>
      <c r="L90" s="461"/>
      <c r="M90" s="461"/>
      <c r="N90" s="461"/>
      <c r="O90" s="461"/>
      <c r="P90" s="260"/>
      <c r="Q90" s="310"/>
      <c r="R90" s="334"/>
      <c r="S90" s="158"/>
      <c r="T90" s="158"/>
    </row>
    <row r="91" spans="2:20" ht="13.5" hidden="1">
      <c r="B91" s="207"/>
      <c r="C91" s="261" t="s">
        <v>21</v>
      </c>
      <c r="D91" s="204" t="s">
        <v>33</v>
      </c>
      <c r="E91" s="207"/>
      <c r="F91" s="200">
        <v>3160</v>
      </c>
      <c r="G91" s="200"/>
      <c r="H91" s="200"/>
      <c r="I91" s="200"/>
      <c r="J91" s="200"/>
      <c r="K91" s="200"/>
      <c r="L91" s="203"/>
      <c r="M91" s="201"/>
      <c r="N91" s="201"/>
      <c r="O91" s="191"/>
      <c r="P91" s="191"/>
      <c r="Q91" s="310"/>
      <c r="R91" s="334"/>
      <c r="S91" s="158"/>
      <c r="T91" s="158"/>
    </row>
    <row r="92" spans="2:20" ht="47.25" customHeight="1">
      <c r="B92" s="207">
        <v>1</v>
      </c>
      <c r="C92" s="194" t="s">
        <v>395</v>
      </c>
      <c r="D92" s="205" t="s">
        <v>45</v>
      </c>
      <c r="E92" s="207">
        <v>1</v>
      </c>
      <c r="F92" s="205" t="s">
        <v>396</v>
      </c>
      <c r="G92" s="205"/>
      <c r="H92" s="205"/>
      <c r="I92" s="249">
        <v>0.12</v>
      </c>
      <c r="J92" s="205"/>
      <c r="K92" s="205">
        <f>3528*0.12</f>
        <v>423.35999999999996</v>
      </c>
      <c r="L92" s="205">
        <v>3528</v>
      </c>
      <c r="M92" s="205">
        <f>3528*1.12*E92</f>
        <v>3951.3600000000006</v>
      </c>
      <c r="N92" s="205">
        <f>L92*0.35</f>
        <v>1234.8</v>
      </c>
      <c r="O92" s="186" t="s">
        <v>333</v>
      </c>
      <c r="P92" s="199" t="s">
        <v>249</v>
      </c>
      <c r="Q92" s="225" t="s">
        <v>397</v>
      </c>
      <c r="R92" s="334"/>
      <c r="S92" s="158"/>
      <c r="T92" s="158"/>
    </row>
    <row r="93" spans="2:20" ht="43.5" customHeight="1">
      <c r="B93" s="207">
        <v>2</v>
      </c>
      <c r="C93" s="194" t="s">
        <v>472</v>
      </c>
      <c r="D93" s="205" t="s">
        <v>46</v>
      </c>
      <c r="E93" s="207">
        <v>3</v>
      </c>
      <c r="F93" s="205" t="s">
        <v>396</v>
      </c>
      <c r="G93" s="204"/>
      <c r="H93" s="204"/>
      <c r="I93" s="249">
        <v>0.12</v>
      </c>
      <c r="J93" s="204"/>
      <c r="K93" s="204">
        <f>3528*0.12*3</f>
        <v>1270.08</v>
      </c>
      <c r="L93" s="205">
        <f>3528*E93</f>
        <v>10584</v>
      </c>
      <c r="M93" s="205">
        <f>3528*3*1.12</f>
        <v>11854.080000000002</v>
      </c>
      <c r="N93" s="205">
        <f>L93*0.35</f>
        <v>3704.3999999999996</v>
      </c>
      <c r="O93" s="186" t="s">
        <v>333</v>
      </c>
      <c r="P93" s="194" t="s">
        <v>247</v>
      </c>
      <c r="Q93" s="225" t="s">
        <v>397</v>
      </c>
      <c r="R93" s="333"/>
      <c r="S93" s="158"/>
      <c r="T93" s="158"/>
    </row>
    <row r="94" spans="2:21" ht="43.5" customHeight="1">
      <c r="B94" s="207">
        <v>3</v>
      </c>
      <c r="C94" s="194" t="s">
        <v>473</v>
      </c>
      <c r="D94" s="205" t="s">
        <v>46</v>
      </c>
      <c r="E94" s="207">
        <v>2</v>
      </c>
      <c r="F94" s="205" t="s">
        <v>302</v>
      </c>
      <c r="G94" s="205"/>
      <c r="H94" s="205"/>
      <c r="I94" s="249">
        <v>0.16</v>
      </c>
      <c r="J94" s="205"/>
      <c r="K94" s="205">
        <f>3912*4*0.16</f>
        <v>2503.68</v>
      </c>
      <c r="L94" s="205">
        <f>3912*E94</f>
        <v>7824</v>
      </c>
      <c r="M94" s="205">
        <f>3912*1.16*E94</f>
        <v>9075.84</v>
      </c>
      <c r="N94" s="205">
        <f>L94*0.35</f>
        <v>2738.3999999999996</v>
      </c>
      <c r="O94" s="186" t="s">
        <v>333</v>
      </c>
      <c r="P94" s="199" t="s">
        <v>102</v>
      </c>
      <c r="Q94" s="225" t="s">
        <v>398</v>
      </c>
      <c r="R94" s="334"/>
      <c r="S94" s="158"/>
      <c r="T94" s="158"/>
      <c r="U94" s="158"/>
    </row>
    <row r="95" spans="2:21" ht="87" customHeight="1">
      <c r="B95" s="262">
        <v>4</v>
      </c>
      <c r="C95" s="194" t="s">
        <v>303</v>
      </c>
      <c r="D95" s="205" t="s">
        <v>46</v>
      </c>
      <c r="E95" s="207">
        <v>2</v>
      </c>
      <c r="F95" s="205" t="s">
        <v>302</v>
      </c>
      <c r="G95" s="205"/>
      <c r="H95" s="205"/>
      <c r="I95" s="249">
        <v>0.16</v>
      </c>
      <c r="J95" s="205"/>
      <c r="K95" s="205">
        <f>3912*0.16*4</f>
        <v>2503.68</v>
      </c>
      <c r="L95" s="205">
        <f>3912*E95</f>
        <v>7824</v>
      </c>
      <c r="M95" s="205">
        <f>3912*4*1.16</f>
        <v>18151.68</v>
      </c>
      <c r="N95" s="205">
        <f>L95*0.35</f>
        <v>2738.3999999999996</v>
      </c>
      <c r="O95" s="186" t="s">
        <v>333</v>
      </c>
      <c r="P95" s="199"/>
      <c r="Q95" s="225" t="s">
        <v>398</v>
      </c>
      <c r="R95" s="334"/>
      <c r="S95" s="158"/>
      <c r="T95" s="158"/>
      <c r="U95" s="158"/>
    </row>
    <row r="96" spans="2:21" ht="24.75" customHeight="1">
      <c r="B96" s="207"/>
      <c r="C96" s="194" t="s">
        <v>329</v>
      </c>
      <c r="D96" s="205"/>
      <c r="E96" s="207">
        <f>SUM(E92:E95)</f>
        <v>8</v>
      </c>
      <c r="F96" s="205"/>
      <c r="G96" s="205"/>
      <c r="H96" s="205"/>
      <c r="I96" s="249"/>
      <c r="J96" s="205"/>
      <c r="K96" s="222">
        <f>SUM(K92:K95)</f>
        <v>6700.799999999999</v>
      </c>
      <c r="L96" s="222">
        <f>SUM(L92:L95)</f>
        <v>29760</v>
      </c>
      <c r="M96" s="222">
        <f>SUM(M92:M95)</f>
        <v>43032.96000000001</v>
      </c>
      <c r="N96" s="222">
        <f>L96*0.35</f>
        <v>10416</v>
      </c>
      <c r="O96" s="225"/>
      <c r="P96" s="199"/>
      <c r="Q96" s="230"/>
      <c r="R96" s="334"/>
      <c r="S96" s="299"/>
      <c r="T96" s="158"/>
      <c r="U96" s="161"/>
    </row>
    <row r="97" spans="2:21" ht="19.5" customHeight="1">
      <c r="B97" s="447" t="s">
        <v>177</v>
      </c>
      <c r="C97" s="447"/>
      <c r="D97" s="447"/>
      <c r="E97" s="447"/>
      <c r="F97" s="447"/>
      <c r="G97" s="447"/>
      <c r="H97" s="447"/>
      <c r="I97" s="447"/>
      <c r="J97" s="447"/>
      <c r="K97" s="447"/>
      <c r="L97" s="447"/>
      <c r="M97" s="447"/>
      <c r="N97" s="447"/>
      <c r="O97" s="447"/>
      <c r="P97" s="254"/>
      <c r="Q97" s="335"/>
      <c r="R97" s="336"/>
      <c r="S97" s="160"/>
      <c r="T97" s="158"/>
      <c r="U97" s="158"/>
    </row>
    <row r="98" spans="2:21" ht="48.75" customHeight="1">
      <c r="B98" s="204">
        <v>1</v>
      </c>
      <c r="C98" s="194" t="s">
        <v>474</v>
      </c>
      <c r="D98" s="205">
        <v>8322</v>
      </c>
      <c r="E98" s="204">
        <v>4</v>
      </c>
      <c r="F98" s="205" t="s">
        <v>403</v>
      </c>
      <c r="G98" s="205"/>
      <c r="H98" s="205"/>
      <c r="I98" s="205"/>
      <c r="J98" s="249">
        <v>0.25</v>
      </c>
      <c r="K98" s="205">
        <f>3858*0.25*2</f>
        <v>1929</v>
      </c>
      <c r="L98" s="205">
        <f>3858*2</f>
        <v>7716</v>
      </c>
      <c r="M98" s="205">
        <f>3858*1.25*2</f>
        <v>9645</v>
      </c>
      <c r="N98" s="205">
        <f aca="true" t="shared" si="6" ref="N98:N107">L98*0.35</f>
        <v>2700.6</v>
      </c>
      <c r="O98" s="227" t="s">
        <v>323</v>
      </c>
      <c r="P98" s="210" t="s">
        <v>489</v>
      </c>
      <c r="Q98" s="227" t="s">
        <v>402</v>
      </c>
      <c r="R98" s="334">
        <v>-2</v>
      </c>
      <c r="S98" s="158"/>
      <c r="T98" s="158"/>
      <c r="U98" s="158"/>
    </row>
    <row r="99" spans="2:21" ht="63" customHeight="1">
      <c r="B99" s="204">
        <v>2</v>
      </c>
      <c r="C99" s="194" t="s">
        <v>475</v>
      </c>
      <c r="D99" s="205">
        <v>8322</v>
      </c>
      <c r="E99" s="204">
        <v>2</v>
      </c>
      <c r="F99" s="205" t="s">
        <v>399</v>
      </c>
      <c r="G99" s="205"/>
      <c r="H99" s="205"/>
      <c r="I99" s="205"/>
      <c r="J99" s="249">
        <v>0.25</v>
      </c>
      <c r="K99" s="205">
        <f>3965*0.25*2</f>
        <v>1982.5</v>
      </c>
      <c r="L99" s="205">
        <f>3965*2</f>
        <v>7930</v>
      </c>
      <c r="M99" s="205">
        <f>3965*1.25*2</f>
        <v>9912.5</v>
      </c>
      <c r="N99" s="205">
        <f t="shared" si="6"/>
        <v>2775.5</v>
      </c>
      <c r="O99" s="227" t="s">
        <v>323</v>
      </c>
      <c r="P99" s="210" t="s">
        <v>482</v>
      </c>
      <c r="Q99" s="227" t="s">
        <v>404</v>
      </c>
      <c r="R99" s="334">
        <v>-1</v>
      </c>
      <c r="S99" s="158"/>
      <c r="T99" s="158"/>
      <c r="U99" s="158"/>
    </row>
    <row r="100" spans="2:21" ht="42" customHeight="1">
      <c r="B100" s="204">
        <v>3</v>
      </c>
      <c r="C100" s="194" t="s">
        <v>488</v>
      </c>
      <c r="D100" s="205">
        <v>8322</v>
      </c>
      <c r="E100" s="204">
        <v>1.5</v>
      </c>
      <c r="F100" s="205" t="s">
        <v>405</v>
      </c>
      <c r="G100" s="205"/>
      <c r="H100" s="205"/>
      <c r="I100" s="205"/>
      <c r="J100" s="249">
        <v>0.25</v>
      </c>
      <c r="K100" s="205">
        <f>4018*4*0.25</f>
        <v>4018</v>
      </c>
      <c r="L100" s="205">
        <f>4018*E100</f>
        <v>6027</v>
      </c>
      <c r="M100" s="205">
        <f>4018*1.25*3</f>
        <v>15067.5</v>
      </c>
      <c r="N100" s="205">
        <f t="shared" si="6"/>
        <v>2109.45</v>
      </c>
      <c r="O100" s="227" t="s">
        <v>323</v>
      </c>
      <c r="P100" s="210" t="s">
        <v>485</v>
      </c>
      <c r="Q100" s="227" t="s">
        <v>406</v>
      </c>
      <c r="R100" s="344"/>
      <c r="S100" s="158"/>
      <c r="T100" s="158"/>
      <c r="U100" s="158"/>
    </row>
    <row r="101" spans="2:21" ht="72.75" customHeight="1">
      <c r="B101" s="204">
        <v>4</v>
      </c>
      <c r="C101" s="194" t="s">
        <v>476</v>
      </c>
      <c r="D101" s="205">
        <v>8322</v>
      </c>
      <c r="E101" s="204">
        <v>0.5</v>
      </c>
      <c r="F101" s="205" t="s">
        <v>408</v>
      </c>
      <c r="G101" s="205"/>
      <c r="H101" s="205"/>
      <c r="I101" s="205"/>
      <c r="J101" s="249">
        <v>0.25</v>
      </c>
      <c r="K101" s="205">
        <f>4045*0.25</f>
        <v>1011.25</v>
      </c>
      <c r="L101" s="205">
        <f>4045*E101</f>
        <v>2022.5</v>
      </c>
      <c r="M101" s="205">
        <f>4045*1.25</f>
        <v>5056.25</v>
      </c>
      <c r="N101" s="205">
        <f t="shared" si="6"/>
        <v>707.875</v>
      </c>
      <c r="O101" s="227" t="s">
        <v>323</v>
      </c>
      <c r="P101" s="343" t="s">
        <v>486</v>
      </c>
      <c r="Q101" s="227" t="s">
        <v>407</v>
      </c>
      <c r="R101" s="344"/>
      <c r="S101" s="158"/>
      <c r="T101" s="158"/>
      <c r="U101" s="158"/>
    </row>
    <row r="102" spans="2:18" ht="64.5" customHeight="1">
      <c r="B102" s="204">
        <v>5</v>
      </c>
      <c r="C102" s="194" t="s">
        <v>317</v>
      </c>
      <c r="D102" s="205">
        <v>8322</v>
      </c>
      <c r="E102" s="204">
        <v>6</v>
      </c>
      <c r="F102" s="205" t="s">
        <v>410</v>
      </c>
      <c r="G102" s="205"/>
      <c r="H102" s="205"/>
      <c r="I102" s="205"/>
      <c r="J102" s="249">
        <v>0.25</v>
      </c>
      <c r="K102" s="205">
        <f>4235*0.25*6</f>
        <v>6352.5</v>
      </c>
      <c r="L102" s="205">
        <f>4235*E102</f>
        <v>25410</v>
      </c>
      <c r="M102" s="205">
        <f>4235*1.25*6</f>
        <v>31762.5</v>
      </c>
      <c r="N102" s="205">
        <f t="shared" si="6"/>
        <v>8893.5</v>
      </c>
      <c r="O102" s="227" t="s">
        <v>323</v>
      </c>
      <c r="P102" s="342" t="s">
        <v>483</v>
      </c>
      <c r="Q102" s="186" t="s">
        <v>409</v>
      </c>
      <c r="R102" s="310"/>
    </row>
    <row r="103" spans="2:18" ht="54.75" customHeight="1">
      <c r="B103" s="204">
        <v>6</v>
      </c>
      <c r="C103" s="194" t="s">
        <v>307</v>
      </c>
      <c r="D103" s="205">
        <v>8322</v>
      </c>
      <c r="E103" s="204">
        <v>1</v>
      </c>
      <c r="F103" s="205" t="s">
        <v>412</v>
      </c>
      <c r="G103" s="205"/>
      <c r="H103" s="205"/>
      <c r="I103" s="205"/>
      <c r="J103" s="249">
        <v>0.25</v>
      </c>
      <c r="K103" s="205">
        <f>4072*2*0.25</f>
        <v>2036</v>
      </c>
      <c r="L103" s="205">
        <f>4072*E103</f>
        <v>4072</v>
      </c>
      <c r="M103" s="205">
        <f>4072*1.25*1</f>
        <v>5090</v>
      </c>
      <c r="N103" s="205">
        <f t="shared" si="6"/>
        <v>1425.1999999999998</v>
      </c>
      <c r="O103" s="227" t="s">
        <v>323</v>
      </c>
      <c r="P103" s="345" t="s">
        <v>487</v>
      </c>
      <c r="Q103" s="186" t="s">
        <v>411</v>
      </c>
      <c r="R103" s="312">
        <v>-1</v>
      </c>
    </row>
    <row r="104" spans="2:21" ht="135" customHeight="1">
      <c r="B104" s="204">
        <v>7</v>
      </c>
      <c r="C104" s="194" t="s">
        <v>477</v>
      </c>
      <c r="D104" s="205">
        <v>8322</v>
      </c>
      <c r="E104" s="204">
        <v>7</v>
      </c>
      <c r="F104" s="205" t="s">
        <v>414</v>
      </c>
      <c r="G104" s="205"/>
      <c r="H104" s="205"/>
      <c r="I104" s="205"/>
      <c r="J104" s="249">
        <v>0.25</v>
      </c>
      <c r="K104" s="205">
        <f>4315*7*0.25</f>
        <v>7551.25</v>
      </c>
      <c r="L104" s="205">
        <f>4315*E104</f>
        <v>30205</v>
      </c>
      <c r="M104" s="205">
        <f>4315*1.25*7</f>
        <v>37756.25</v>
      </c>
      <c r="N104" s="205">
        <f t="shared" si="6"/>
        <v>10571.75</v>
      </c>
      <c r="O104" s="227" t="s">
        <v>323</v>
      </c>
      <c r="P104" s="194" t="s">
        <v>484</v>
      </c>
      <c r="Q104" s="227" t="s">
        <v>413</v>
      </c>
      <c r="R104" s="314"/>
      <c r="S104" s="155"/>
      <c r="T104" s="155"/>
      <c r="U104" s="155"/>
    </row>
    <row r="105" spans="2:21" ht="57.75" customHeight="1">
      <c r="B105" s="204">
        <v>8</v>
      </c>
      <c r="C105" s="194" t="s">
        <v>478</v>
      </c>
      <c r="D105" s="205">
        <v>8322</v>
      </c>
      <c r="E105" s="204">
        <v>4</v>
      </c>
      <c r="F105" s="205" t="s">
        <v>399</v>
      </c>
      <c r="G105" s="205"/>
      <c r="H105" s="205"/>
      <c r="I105" s="205"/>
      <c r="J105" s="249">
        <v>0.25</v>
      </c>
      <c r="K105" s="205">
        <f>3965*0.25*4</f>
        <v>3965</v>
      </c>
      <c r="L105" s="205">
        <f>3965*E105</f>
        <v>15860</v>
      </c>
      <c r="M105" s="205">
        <f>3965*1.25*4</f>
        <v>19825</v>
      </c>
      <c r="N105" s="205">
        <f t="shared" si="6"/>
        <v>5551</v>
      </c>
      <c r="O105" s="227" t="s">
        <v>323</v>
      </c>
      <c r="P105" s="194" t="s">
        <v>481</v>
      </c>
      <c r="Q105" s="227" t="s">
        <v>404</v>
      </c>
      <c r="R105" s="314"/>
      <c r="S105" s="155"/>
      <c r="T105" s="155"/>
      <c r="U105" s="155"/>
    </row>
    <row r="106" spans="2:21" ht="27" customHeight="1" hidden="1">
      <c r="B106" s="204">
        <v>9</v>
      </c>
      <c r="C106" s="194" t="s">
        <v>69</v>
      </c>
      <c r="D106" s="243" t="s">
        <v>47</v>
      </c>
      <c r="E106" s="204" t="s">
        <v>29</v>
      </c>
      <c r="F106" s="205">
        <v>2987</v>
      </c>
      <c r="G106" s="205"/>
      <c r="H106" s="205"/>
      <c r="I106" s="205"/>
      <c r="J106" s="205"/>
      <c r="K106" s="205"/>
      <c r="L106" s="205"/>
      <c r="M106" s="205"/>
      <c r="N106" s="205">
        <f t="shared" si="6"/>
        <v>0</v>
      </c>
      <c r="O106" s="194" t="s">
        <v>30</v>
      </c>
      <c r="P106" s="191"/>
      <c r="Q106" s="310"/>
      <c r="R106" s="314"/>
      <c r="S106" s="155"/>
      <c r="T106" s="155"/>
      <c r="U106" s="155"/>
    </row>
    <row r="107" spans="2:21" ht="27" customHeight="1">
      <c r="B107" s="204"/>
      <c r="C107" s="194"/>
      <c r="D107" s="243"/>
      <c r="E107" s="204">
        <f>SUM(E98:E106)</f>
        <v>26</v>
      </c>
      <c r="F107" s="205"/>
      <c r="G107" s="205"/>
      <c r="H107" s="205"/>
      <c r="I107" s="205"/>
      <c r="J107" s="205"/>
      <c r="K107" s="222">
        <f>SUM(K98:K106)</f>
        <v>28845.5</v>
      </c>
      <c r="L107" s="222">
        <f>SUM(L98:L106)</f>
        <v>99242.5</v>
      </c>
      <c r="M107" s="222">
        <f>SUM(M98:M106)</f>
        <v>134115</v>
      </c>
      <c r="N107" s="222">
        <f t="shared" si="6"/>
        <v>34734.875</v>
      </c>
      <c r="O107" s="297"/>
      <c r="P107" s="191"/>
      <c r="Q107" s="310"/>
      <c r="R107" s="314"/>
      <c r="S107" s="155"/>
      <c r="T107" s="155"/>
      <c r="U107" s="155"/>
    </row>
    <row r="108" spans="2:21" ht="22.5" customHeight="1">
      <c r="B108" s="446" t="s">
        <v>175</v>
      </c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254"/>
      <c r="Q108" s="335"/>
      <c r="R108" s="337"/>
      <c r="S108" s="155"/>
      <c r="T108" s="155"/>
      <c r="U108" s="155"/>
    </row>
    <row r="109" spans="2:21" ht="36.75" customHeight="1">
      <c r="B109" s="263">
        <v>1</v>
      </c>
      <c r="C109" s="193" t="s">
        <v>31</v>
      </c>
      <c r="D109" s="205" t="s">
        <v>63</v>
      </c>
      <c r="E109" s="207">
        <v>1</v>
      </c>
      <c r="F109" s="205" t="s">
        <v>416</v>
      </c>
      <c r="G109" s="205"/>
      <c r="H109" s="205"/>
      <c r="I109" s="249">
        <v>0.16</v>
      </c>
      <c r="J109" s="205"/>
      <c r="K109" s="205">
        <f>4969*0.16</f>
        <v>795.04</v>
      </c>
      <c r="L109" s="205">
        <v>4969</v>
      </c>
      <c r="M109" s="205">
        <f>4969*1.16</f>
        <v>5764.04</v>
      </c>
      <c r="N109" s="205">
        <f>L109*0.35</f>
        <v>1739.1499999999999</v>
      </c>
      <c r="O109" s="186" t="s">
        <v>333</v>
      </c>
      <c r="P109" s="199" t="s">
        <v>86</v>
      </c>
      <c r="Q109" s="307" t="s">
        <v>415</v>
      </c>
      <c r="R109" s="337"/>
      <c r="S109" s="155"/>
      <c r="T109" s="155"/>
      <c r="U109" s="155"/>
    </row>
    <row r="110" spans="2:21" ht="39" customHeight="1">
      <c r="B110" s="263">
        <v>2</v>
      </c>
      <c r="C110" s="193" t="s">
        <v>479</v>
      </c>
      <c r="D110" s="205">
        <v>7214</v>
      </c>
      <c r="E110" s="207">
        <v>2</v>
      </c>
      <c r="F110" s="205" t="s">
        <v>418</v>
      </c>
      <c r="G110" s="205"/>
      <c r="H110" s="205"/>
      <c r="I110" s="249">
        <v>0.16</v>
      </c>
      <c r="J110" s="205"/>
      <c r="K110" s="205">
        <f>3958*0.16*2</f>
        <v>1266.56</v>
      </c>
      <c r="L110" s="205">
        <f>3958*E110</f>
        <v>7916</v>
      </c>
      <c r="M110" s="205">
        <f>3958*2*1.16</f>
        <v>9182.56</v>
      </c>
      <c r="N110" s="205">
        <f>L110*0.35</f>
        <v>2770.6</v>
      </c>
      <c r="O110" s="186" t="s">
        <v>333</v>
      </c>
      <c r="P110" s="193" t="s">
        <v>248</v>
      </c>
      <c r="Q110" s="307" t="s">
        <v>417</v>
      </c>
      <c r="R110" s="337"/>
      <c r="S110" s="155"/>
      <c r="T110" s="155"/>
      <c r="U110" s="155"/>
    </row>
    <row r="111" spans="2:21" ht="43.5" customHeight="1">
      <c r="B111" s="263">
        <v>3</v>
      </c>
      <c r="C111" s="193" t="s">
        <v>65</v>
      </c>
      <c r="D111" s="205" t="s">
        <v>66</v>
      </c>
      <c r="E111" s="207">
        <v>2</v>
      </c>
      <c r="F111" s="205" t="s">
        <v>420</v>
      </c>
      <c r="G111" s="205"/>
      <c r="H111" s="249">
        <v>0.08</v>
      </c>
      <c r="I111" s="249"/>
      <c r="J111" s="205"/>
      <c r="K111" s="205">
        <f>4506*8%*2</f>
        <v>720.96</v>
      </c>
      <c r="L111" s="205">
        <f>4506*E111</f>
        <v>9012</v>
      </c>
      <c r="M111" s="205">
        <f>4506*2*1.08</f>
        <v>9732.960000000001</v>
      </c>
      <c r="N111" s="205">
        <f>L111*0.35</f>
        <v>3154.2</v>
      </c>
      <c r="O111" s="227" t="s">
        <v>322</v>
      </c>
      <c r="P111" s="194" t="s">
        <v>126</v>
      </c>
      <c r="Q111" s="227" t="s">
        <v>419</v>
      </c>
      <c r="R111" s="338"/>
      <c r="S111" s="164"/>
      <c r="T111" s="155"/>
      <c r="U111" s="155"/>
    </row>
    <row r="112" spans="2:21" ht="68.25" customHeight="1">
      <c r="B112" s="263">
        <v>4</v>
      </c>
      <c r="C112" s="193" t="s">
        <v>153</v>
      </c>
      <c r="D112" s="205">
        <v>7141</v>
      </c>
      <c r="E112" s="207">
        <v>1</v>
      </c>
      <c r="F112" s="205" t="s">
        <v>422</v>
      </c>
      <c r="G112" s="205"/>
      <c r="H112" s="249">
        <v>0.08</v>
      </c>
      <c r="I112" s="249"/>
      <c r="J112" s="205"/>
      <c r="K112" s="205">
        <f>4604*8%</f>
        <v>368.32</v>
      </c>
      <c r="L112" s="205">
        <f>4604*E112</f>
        <v>4604</v>
      </c>
      <c r="M112" s="205">
        <f>4604*1.08</f>
        <v>4972.320000000001</v>
      </c>
      <c r="N112" s="205">
        <f>L112*0.35</f>
        <v>1611.3999999999999</v>
      </c>
      <c r="O112" s="227" t="s">
        <v>322</v>
      </c>
      <c r="P112" s="199" t="s">
        <v>83</v>
      </c>
      <c r="Q112" s="186" t="s">
        <v>421</v>
      </c>
      <c r="R112" s="337"/>
      <c r="S112" s="155"/>
      <c r="T112" s="155"/>
      <c r="U112" s="155"/>
    </row>
    <row r="113" spans="2:21" ht="50.25" customHeight="1">
      <c r="B113" s="263">
        <v>5</v>
      </c>
      <c r="C113" s="194" t="s">
        <v>68</v>
      </c>
      <c r="D113" s="243" t="s">
        <v>47</v>
      </c>
      <c r="E113" s="204">
        <v>1</v>
      </c>
      <c r="F113" s="205" t="s">
        <v>424</v>
      </c>
      <c r="G113" s="205"/>
      <c r="H113" s="205"/>
      <c r="I113" s="249"/>
      <c r="J113" s="205"/>
      <c r="K113" s="205"/>
      <c r="L113" s="205">
        <f>3822*E113</f>
        <v>3822</v>
      </c>
      <c r="M113" s="205">
        <v>3822</v>
      </c>
      <c r="N113" s="205">
        <f>L113*0.35</f>
        <v>1337.6999999999998</v>
      </c>
      <c r="O113" s="264"/>
      <c r="P113" s="342" t="s">
        <v>260</v>
      </c>
      <c r="Q113" s="307" t="s">
        <v>423</v>
      </c>
      <c r="R113" s="337"/>
      <c r="S113" s="155"/>
      <c r="T113" s="155"/>
      <c r="U113" s="155"/>
    </row>
    <row r="114" spans="2:21" ht="24.75" customHeight="1">
      <c r="B114" s="263">
        <v>6</v>
      </c>
      <c r="C114" s="194" t="s">
        <v>480</v>
      </c>
      <c r="D114" s="265" t="s">
        <v>46</v>
      </c>
      <c r="E114" s="266">
        <v>0.5</v>
      </c>
      <c r="F114" s="267" t="s">
        <v>426</v>
      </c>
      <c r="G114" s="267"/>
      <c r="H114" s="267"/>
      <c r="I114" s="268"/>
      <c r="J114" s="205"/>
      <c r="K114" s="267"/>
      <c r="L114" s="267">
        <f>4365*E114</f>
        <v>2182.5</v>
      </c>
      <c r="M114" s="205">
        <f>4365/2</f>
        <v>2182.5</v>
      </c>
      <c r="N114" s="205">
        <f>L114*0.35/2</f>
        <v>381.9375</v>
      </c>
      <c r="O114" s="264"/>
      <c r="P114" s="194" t="s">
        <v>106</v>
      </c>
      <c r="Q114" s="307" t="s">
        <v>425</v>
      </c>
      <c r="R114" s="337"/>
      <c r="S114" s="155"/>
      <c r="T114" s="155"/>
      <c r="U114" s="155"/>
    </row>
    <row r="115" spans="2:21" ht="24" customHeight="1">
      <c r="B115" s="263">
        <v>7</v>
      </c>
      <c r="C115" s="250" t="s">
        <v>157</v>
      </c>
      <c r="D115" s="265" t="s">
        <v>48</v>
      </c>
      <c r="E115" s="266">
        <v>1</v>
      </c>
      <c r="F115" s="205">
        <v>2349</v>
      </c>
      <c r="G115" s="205"/>
      <c r="H115" s="205"/>
      <c r="I115" s="249"/>
      <c r="J115" s="205"/>
      <c r="K115" s="205"/>
      <c r="L115" s="205">
        <v>2349</v>
      </c>
      <c r="M115" s="269">
        <f>F115</f>
        <v>2349</v>
      </c>
      <c r="N115" s="205">
        <f>L115*0.35</f>
        <v>822.15</v>
      </c>
      <c r="O115" s="250"/>
      <c r="P115" s="270" t="s">
        <v>156</v>
      </c>
      <c r="Q115" s="308" t="s">
        <v>427</v>
      </c>
      <c r="R115" s="337"/>
      <c r="S115" s="155"/>
      <c r="T115" s="155"/>
      <c r="U115" s="155"/>
    </row>
    <row r="116" spans="2:21" ht="26.25" customHeight="1">
      <c r="B116" s="204">
        <v>8</v>
      </c>
      <c r="C116" s="194" t="s">
        <v>69</v>
      </c>
      <c r="D116" s="243" t="s">
        <v>47</v>
      </c>
      <c r="E116" s="204">
        <v>0.5</v>
      </c>
      <c r="F116" s="205" t="s">
        <v>429</v>
      </c>
      <c r="G116" s="205"/>
      <c r="H116" s="205"/>
      <c r="I116" s="249"/>
      <c r="J116" s="205"/>
      <c r="K116" s="205"/>
      <c r="L116" s="205">
        <f>3438/2</f>
        <v>1719</v>
      </c>
      <c r="M116" s="205">
        <f>3438/2</f>
        <v>1719</v>
      </c>
      <c r="N116" s="205">
        <f>L116*0.35</f>
        <v>601.65</v>
      </c>
      <c r="O116" s="264"/>
      <c r="P116" s="199" t="s">
        <v>105</v>
      </c>
      <c r="Q116" s="307" t="s">
        <v>428</v>
      </c>
      <c r="R116" s="314"/>
      <c r="S116" s="155"/>
      <c r="T116" s="155"/>
      <c r="U116" s="155"/>
    </row>
    <row r="117" spans="2:21" ht="23.25" customHeight="1">
      <c r="B117" s="204"/>
      <c r="C117" s="194" t="s">
        <v>328</v>
      </c>
      <c r="D117" s="243"/>
      <c r="E117" s="204">
        <f>SUM(E109:E116)</f>
        <v>9</v>
      </c>
      <c r="F117" s="205"/>
      <c r="G117" s="205"/>
      <c r="H117" s="205"/>
      <c r="I117" s="249"/>
      <c r="J117" s="205"/>
      <c r="K117" s="205"/>
      <c r="L117" s="222">
        <f>SUM(L109:L116)</f>
        <v>36573.5</v>
      </c>
      <c r="M117" s="222">
        <f>SUM(M109:M116)</f>
        <v>39724.38</v>
      </c>
      <c r="N117" s="222">
        <f>L117*0.35</f>
        <v>12800.724999999999</v>
      </c>
      <c r="O117" s="298"/>
      <c r="P117" s="199"/>
      <c r="Q117" s="339"/>
      <c r="R117" s="314"/>
      <c r="S117" s="155"/>
      <c r="T117" s="155"/>
      <c r="U117" s="155"/>
    </row>
    <row r="118" spans="2:21" ht="18" customHeight="1">
      <c r="B118" s="446" t="s">
        <v>176</v>
      </c>
      <c r="C118" s="446"/>
      <c r="D118" s="446"/>
      <c r="E118" s="446"/>
      <c r="F118" s="446"/>
      <c r="G118" s="446"/>
      <c r="H118" s="446"/>
      <c r="I118" s="446"/>
      <c r="J118" s="446"/>
      <c r="K118" s="446"/>
      <c r="L118" s="446"/>
      <c r="M118" s="446"/>
      <c r="N118" s="446"/>
      <c r="O118" s="446"/>
      <c r="P118" s="254"/>
      <c r="Q118" s="335"/>
      <c r="R118" s="337"/>
      <c r="S118" s="155"/>
      <c r="T118" s="155"/>
      <c r="U118" s="155"/>
    </row>
    <row r="119" spans="2:21" ht="40.5" customHeight="1">
      <c r="B119" s="207">
        <v>1</v>
      </c>
      <c r="C119" s="193" t="s">
        <v>11</v>
      </c>
      <c r="D119" s="205">
        <v>5169</v>
      </c>
      <c r="E119" s="207">
        <v>4</v>
      </c>
      <c r="F119" s="205" t="s">
        <v>431</v>
      </c>
      <c r="G119" s="205"/>
      <c r="H119" s="205"/>
      <c r="I119" s="205"/>
      <c r="J119" s="205"/>
      <c r="K119" s="205"/>
      <c r="L119" s="205">
        <f>2349*4</f>
        <v>9396</v>
      </c>
      <c r="M119" s="205">
        <f>2349*4</f>
        <v>9396</v>
      </c>
      <c r="N119" s="205">
        <f>L119*0.35</f>
        <v>3288.6</v>
      </c>
      <c r="O119" s="186"/>
      <c r="P119" s="194" t="s">
        <v>103</v>
      </c>
      <c r="Q119" s="186" t="s">
        <v>430</v>
      </c>
      <c r="R119" s="314"/>
      <c r="S119" s="155"/>
      <c r="T119" s="155"/>
      <c r="U119" s="155"/>
    </row>
    <row r="120" spans="2:21" ht="25.5" customHeight="1">
      <c r="B120" s="207">
        <v>2</v>
      </c>
      <c r="C120" s="193" t="s">
        <v>12</v>
      </c>
      <c r="D120" s="205">
        <v>9162</v>
      </c>
      <c r="E120" s="207">
        <v>1</v>
      </c>
      <c r="F120" s="205" t="s">
        <v>431</v>
      </c>
      <c r="G120" s="205"/>
      <c r="H120" s="205"/>
      <c r="I120" s="205"/>
      <c r="J120" s="205"/>
      <c r="K120" s="205"/>
      <c r="L120" s="205">
        <f>2349*E120</f>
        <v>2349</v>
      </c>
      <c r="M120" s="205">
        <v>2349</v>
      </c>
      <c r="N120" s="205">
        <f>L120*0.35</f>
        <v>822.15</v>
      </c>
      <c r="O120" s="186"/>
      <c r="P120" s="251" t="s">
        <v>238</v>
      </c>
      <c r="Q120" s="186" t="s">
        <v>430</v>
      </c>
      <c r="R120" s="337"/>
      <c r="S120" s="155"/>
      <c r="T120" s="155"/>
      <c r="U120" s="155"/>
    </row>
    <row r="121" spans="2:21" ht="32.25" customHeight="1">
      <c r="B121" s="207">
        <v>3</v>
      </c>
      <c r="C121" s="193" t="s">
        <v>13</v>
      </c>
      <c r="D121" s="205">
        <v>9132</v>
      </c>
      <c r="E121" s="207">
        <v>1.5</v>
      </c>
      <c r="F121" s="205" t="s">
        <v>433</v>
      </c>
      <c r="G121" s="205"/>
      <c r="H121" s="205"/>
      <c r="I121" s="205"/>
      <c r="J121" s="205"/>
      <c r="K121" s="205"/>
      <c r="L121" s="205">
        <f>2262*1.5</f>
        <v>3393</v>
      </c>
      <c r="M121" s="219">
        <f>2262*1.5</f>
        <v>3393</v>
      </c>
      <c r="N121" s="205">
        <f>L121*0.35</f>
        <v>1187.55</v>
      </c>
      <c r="O121" s="186"/>
      <c r="P121" s="194" t="s">
        <v>261</v>
      </c>
      <c r="Q121" s="186" t="s">
        <v>432</v>
      </c>
      <c r="R121" s="337"/>
      <c r="S121" s="155"/>
      <c r="T121" s="155"/>
      <c r="U121" s="155"/>
    </row>
    <row r="122" spans="2:21" ht="28.5" customHeight="1">
      <c r="B122" s="207"/>
      <c r="C122" s="193" t="s">
        <v>328</v>
      </c>
      <c r="D122" s="205"/>
      <c r="E122" s="207">
        <f>SUM(E119:E121)</f>
        <v>6.5</v>
      </c>
      <c r="F122" s="205"/>
      <c r="G122" s="205"/>
      <c r="H122" s="205"/>
      <c r="I122" s="205"/>
      <c r="J122" s="205"/>
      <c r="K122" s="205"/>
      <c r="L122" s="205">
        <f>SUM(L119:L121)</f>
        <v>15138</v>
      </c>
      <c r="M122" s="286">
        <f>SUM(M119:M121)</f>
        <v>15138</v>
      </c>
      <c r="N122" s="222">
        <f>L122*0.35</f>
        <v>5298.299999999999</v>
      </c>
      <c r="O122" s="296"/>
      <c r="P122" s="194"/>
      <c r="Q122" s="277"/>
      <c r="R122" s="337"/>
      <c r="S122" s="155"/>
      <c r="T122" s="155"/>
      <c r="U122" s="155"/>
    </row>
    <row r="123" spans="2:21" ht="28.5" customHeight="1" thickBot="1">
      <c r="B123" s="282"/>
      <c r="C123" s="283" t="s">
        <v>24</v>
      </c>
      <c r="D123" s="284"/>
      <c r="E123" s="285">
        <f>E35+E49+E54+E59+E67+E73+E77+E83+E89+E96+E107+E117+E122</f>
        <v>136.25</v>
      </c>
      <c r="F123" s="285"/>
      <c r="G123" s="285">
        <f>G35+G49+G54+G59+G67+G73+G77+G83+G89+G96+G107+G117+G122</f>
        <v>0</v>
      </c>
      <c r="H123" s="285">
        <f>H35+H49+H54+H59+H67+H73+H77+H83+H89+H96+H107+H117+H122</f>
        <v>0</v>
      </c>
      <c r="I123" s="285">
        <f>I35+I49+I54+I59+I67+I73+I77+I83+I89+I96+I107+I117+I122</f>
        <v>0</v>
      </c>
      <c r="J123" s="285">
        <f>J35+J49+J54+J59+J67+J73+J77+J83+J89+J96+J107+J117+J122</f>
        <v>0</v>
      </c>
      <c r="K123" s="285">
        <f>K35+K49+K54+K59+K67+K73+K77+K83+K89+K96+K107+K117+K122</f>
        <v>87665.444</v>
      </c>
      <c r="L123" s="285"/>
      <c r="M123" s="285">
        <f>M35+M49+M54+M59+M67+M73+M77+M83+M89+M96+M107+M117+M122</f>
        <v>735262.564</v>
      </c>
      <c r="N123" s="285">
        <f>N35+N49+N54+N59+N67+N73+N77+N83+N89+N96+N107+N117+N122</f>
        <v>252238.18199999997</v>
      </c>
      <c r="O123" s="304">
        <f aca="true" t="shared" si="7" ref="O123:O129">SUM(M123:N123)</f>
        <v>987500.746</v>
      </c>
      <c r="P123" s="244"/>
      <c r="Q123" s="312"/>
      <c r="R123" s="337"/>
      <c r="S123" s="155"/>
      <c r="T123" s="155"/>
      <c r="U123" s="155"/>
    </row>
    <row r="124" spans="2:21" ht="20.25" customHeight="1">
      <c r="B124" s="233"/>
      <c r="C124" s="228" t="s">
        <v>162</v>
      </c>
      <c r="D124" s="231"/>
      <c r="E124" s="295">
        <f>E35</f>
        <v>18</v>
      </c>
      <c r="F124" s="235"/>
      <c r="G124" s="235"/>
      <c r="H124" s="235"/>
      <c r="I124" s="235"/>
      <c r="J124" s="235"/>
      <c r="K124" s="235"/>
      <c r="L124" s="236"/>
      <c r="M124" s="234">
        <f>M35</f>
        <v>146400.92</v>
      </c>
      <c r="N124" s="234">
        <f>N35</f>
        <v>51240.322</v>
      </c>
      <c r="O124" s="328">
        <f t="shared" si="7"/>
        <v>197641.24200000003</v>
      </c>
      <c r="P124" s="45"/>
      <c r="Q124" s="310"/>
      <c r="R124" s="314"/>
      <c r="S124" s="155"/>
      <c r="T124" s="155"/>
      <c r="U124" s="155"/>
    </row>
    <row r="125" spans="2:21" ht="15.75" customHeight="1">
      <c r="B125" s="188"/>
      <c r="C125" s="226" t="s">
        <v>163</v>
      </c>
      <c r="D125" s="187"/>
      <c r="E125" s="293">
        <f>E49</f>
        <v>13.25</v>
      </c>
      <c r="F125" s="189"/>
      <c r="G125" s="189"/>
      <c r="H125" s="189"/>
      <c r="I125" s="189"/>
      <c r="J125" s="189"/>
      <c r="K125" s="189"/>
      <c r="L125" s="232"/>
      <c r="M125" s="190">
        <f>M49</f>
        <v>73262.20000000001</v>
      </c>
      <c r="N125" s="234">
        <f>N49</f>
        <v>25641.770000000004</v>
      </c>
      <c r="O125" s="328">
        <f t="shared" si="7"/>
        <v>98903.97000000002</v>
      </c>
      <c r="P125" s="45"/>
      <c r="Q125" s="310"/>
      <c r="R125" s="314"/>
      <c r="S125" s="155"/>
      <c r="T125" s="155"/>
      <c r="U125" s="155"/>
    </row>
    <row r="126" spans="2:27" ht="24.75" customHeight="1">
      <c r="B126" s="188"/>
      <c r="C126" s="226" t="s">
        <v>183</v>
      </c>
      <c r="D126" s="187"/>
      <c r="E126" s="293">
        <f>E59+E54</f>
        <v>5.5</v>
      </c>
      <c r="F126" s="189"/>
      <c r="G126" s="189"/>
      <c r="H126" s="189"/>
      <c r="I126" s="189"/>
      <c r="J126" s="189"/>
      <c r="K126" s="189"/>
      <c r="L126" s="232"/>
      <c r="M126" s="190">
        <f>M59+M54</f>
        <v>22411.8</v>
      </c>
      <c r="N126" s="190">
        <f>N59+N54</f>
        <v>7844.129999999999</v>
      </c>
      <c r="O126" s="328">
        <f t="shared" si="7"/>
        <v>30255.93</v>
      </c>
      <c r="P126" s="45"/>
      <c r="Q126" s="312">
        <f>M124+M125+M126+M127+M128+M129</f>
        <v>735262.564</v>
      </c>
      <c r="R126" s="314"/>
      <c r="S126" s="155"/>
      <c r="T126" s="155"/>
      <c r="U126" s="155"/>
      <c r="AA126" s="94"/>
    </row>
    <row r="127" spans="2:21" ht="15.75" customHeight="1">
      <c r="B127" s="188"/>
      <c r="C127" s="226" t="s">
        <v>181</v>
      </c>
      <c r="D127" s="187"/>
      <c r="E127" s="293">
        <f>E67+E73+E77+E83+E89+E96</f>
        <v>58</v>
      </c>
      <c r="F127" s="189"/>
      <c r="G127" s="189"/>
      <c r="H127" s="189"/>
      <c r="I127" s="189"/>
      <c r="J127" s="189"/>
      <c r="K127" s="189"/>
      <c r="L127" s="232"/>
      <c r="M127" s="190">
        <f>M67+M73+M77+M83+M89+M96</f>
        <v>304210.264</v>
      </c>
      <c r="N127" s="234">
        <f>N67++N73+N77+N83+N89+N96</f>
        <v>114678.06</v>
      </c>
      <c r="O127" s="328">
        <f t="shared" si="7"/>
        <v>418888.324</v>
      </c>
      <c r="P127" s="45"/>
      <c r="Q127" s="312">
        <f>N124+N125+N126+N127+N128+N129</f>
        <v>252238.182</v>
      </c>
      <c r="R127" s="314"/>
      <c r="S127" s="155"/>
      <c r="T127" s="155"/>
      <c r="U127" s="155"/>
    </row>
    <row r="128" spans="2:21" ht="15.75" customHeight="1">
      <c r="B128" s="188"/>
      <c r="C128" s="226" t="s">
        <v>182</v>
      </c>
      <c r="D128" s="187"/>
      <c r="E128" s="293">
        <f>E107</f>
        <v>26</v>
      </c>
      <c r="F128" s="189"/>
      <c r="G128" s="189"/>
      <c r="H128" s="189"/>
      <c r="I128" s="189"/>
      <c r="J128" s="189"/>
      <c r="K128" s="189"/>
      <c r="L128" s="232"/>
      <c r="M128" s="190">
        <f>M107</f>
        <v>134115</v>
      </c>
      <c r="N128" s="234">
        <f>N107</f>
        <v>34734.875</v>
      </c>
      <c r="O128" s="328">
        <f t="shared" si="7"/>
        <v>168849.875</v>
      </c>
      <c r="P128" s="45"/>
      <c r="Q128" s="310"/>
      <c r="R128" s="314"/>
      <c r="S128" s="155"/>
      <c r="T128" s="155"/>
      <c r="U128" s="155"/>
    </row>
    <row r="129" spans="2:21" ht="26.25" customHeight="1">
      <c r="B129" s="188"/>
      <c r="C129" s="226" t="s">
        <v>184</v>
      </c>
      <c r="D129" s="187"/>
      <c r="E129" s="293">
        <f>E117+E122</f>
        <v>15.5</v>
      </c>
      <c r="F129" s="189"/>
      <c r="G129" s="189"/>
      <c r="H129" s="189"/>
      <c r="I129" s="189"/>
      <c r="J129" s="189"/>
      <c r="K129" s="189"/>
      <c r="L129" s="232"/>
      <c r="M129" s="190">
        <f>M117+M122</f>
        <v>54862.38</v>
      </c>
      <c r="N129" s="234">
        <f>N117+N122</f>
        <v>18099.024999999998</v>
      </c>
      <c r="O129" s="328">
        <f t="shared" si="7"/>
        <v>72961.405</v>
      </c>
      <c r="P129" s="45"/>
      <c r="R129" s="155"/>
      <c r="S129" s="162"/>
      <c r="T129" s="155"/>
      <c r="U129" s="155"/>
    </row>
    <row r="130" spans="2:21" ht="18.75" customHeight="1">
      <c r="B130" s="287"/>
      <c r="C130" s="288"/>
      <c r="D130" s="289"/>
      <c r="E130" s="294">
        <f>SUM(E124:E129)</f>
        <v>136.25</v>
      </c>
      <c r="F130" s="291"/>
      <c r="G130" s="291"/>
      <c r="H130" s="291"/>
      <c r="I130" s="291"/>
      <c r="J130" s="291"/>
      <c r="K130" s="291"/>
      <c r="L130" s="292"/>
      <c r="M130" s="290"/>
      <c r="N130" s="290"/>
      <c r="O130" s="289"/>
      <c r="P130" s="45"/>
      <c r="R130" s="155"/>
      <c r="S130" s="162"/>
      <c r="T130" s="155"/>
      <c r="U130" s="155"/>
    </row>
    <row r="131" spans="2:21" ht="27" customHeight="1">
      <c r="B131" s="459" t="s">
        <v>350</v>
      </c>
      <c r="C131" s="459"/>
      <c r="D131" s="459"/>
      <c r="E131" s="459"/>
      <c r="F131" s="459"/>
      <c r="G131" s="459"/>
      <c r="H131" s="459"/>
      <c r="I131" s="459"/>
      <c r="J131" s="459"/>
      <c r="K131" s="459"/>
      <c r="L131" s="459"/>
      <c r="M131" s="459"/>
      <c r="N131" s="459"/>
      <c r="O131" s="459"/>
      <c r="P131" s="45"/>
      <c r="R131" s="165"/>
      <c r="S131" s="156"/>
      <c r="T131" s="155"/>
      <c r="U131" s="155"/>
    </row>
    <row r="132" spans="2:21" ht="32.25" customHeight="1">
      <c r="B132" s="459" t="s">
        <v>349</v>
      </c>
      <c r="C132" s="459"/>
      <c r="D132" s="459"/>
      <c r="E132" s="459"/>
      <c r="F132" s="459"/>
      <c r="G132" s="459"/>
      <c r="H132" s="459"/>
      <c r="I132" s="459"/>
      <c r="J132" s="459"/>
      <c r="K132" s="459"/>
      <c r="L132" s="459"/>
      <c r="M132" s="459"/>
      <c r="N132" s="459"/>
      <c r="O132" s="459"/>
      <c r="P132" s="45"/>
      <c r="R132" s="166"/>
      <c r="S132" s="155"/>
      <c r="T132" s="155"/>
      <c r="U132" s="155"/>
    </row>
    <row r="133" spans="2:21" ht="15">
      <c r="B133" s="459"/>
      <c r="C133" s="459"/>
      <c r="D133" s="459"/>
      <c r="E133" s="459"/>
      <c r="F133" s="459"/>
      <c r="G133" s="459"/>
      <c r="H133" s="459"/>
      <c r="I133" s="459"/>
      <c r="J133" s="459"/>
      <c r="K133" s="459"/>
      <c r="L133" s="459"/>
      <c r="M133" s="459"/>
      <c r="N133" s="459"/>
      <c r="O133" s="459"/>
      <c r="P133" s="45"/>
      <c r="R133" s="155"/>
      <c r="S133" s="155"/>
      <c r="T133" s="155"/>
      <c r="U133" s="155"/>
    </row>
    <row r="134" spans="2:21" ht="17.25" customHeight="1">
      <c r="B134" s="271" t="s">
        <v>279</v>
      </c>
      <c r="C134" s="450" t="s">
        <v>322</v>
      </c>
      <c r="D134" s="450"/>
      <c r="E134" s="450"/>
      <c r="F134" s="450"/>
      <c r="G134" s="450"/>
      <c r="H134" s="450"/>
      <c r="I134" s="450"/>
      <c r="J134" s="450"/>
      <c r="K134" s="450"/>
      <c r="L134" s="450"/>
      <c r="M134" s="450"/>
      <c r="N134" s="450"/>
      <c r="O134" s="450"/>
      <c r="P134" s="45"/>
      <c r="R134" s="155"/>
      <c r="S134" s="155"/>
      <c r="T134" s="155"/>
      <c r="U134" s="155"/>
    </row>
    <row r="135" spans="2:21" ht="12.75" customHeight="1">
      <c r="B135" s="271" t="s">
        <v>281</v>
      </c>
      <c r="C135" s="450" t="s">
        <v>325</v>
      </c>
      <c r="D135" s="455"/>
      <c r="E135" s="455"/>
      <c r="F135" s="455"/>
      <c r="G135" s="455"/>
      <c r="H135" s="455"/>
      <c r="I135" s="455"/>
      <c r="J135" s="455"/>
      <c r="K135" s="229"/>
      <c r="L135" s="229"/>
      <c r="M135" s="229"/>
      <c r="N135" s="229"/>
      <c r="O135" s="229"/>
      <c r="P135" s="45"/>
      <c r="R135" s="155"/>
      <c r="S135" s="155"/>
      <c r="T135" s="155"/>
      <c r="U135" s="155"/>
    </row>
    <row r="136" spans="2:21" ht="15">
      <c r="B136" s="271" t="s">
        <v>283</v>
      </c>
      <c r="C136" s="450" t="s">
        <v>323</v>
      </c>
      <c r="D136" s="455"/>
      <c r="E136" s="455"/>
      <c r="F136" s="455"/>
      <c r="G136" s="455"/>
      <c r="H136" s="455"/>
      <c r="I136" s="455"/>
      <c r="J136" s="455"/>
      <c r="K136" s="238"/>
      <c r="L136" s="238"/>
      <c r="M136" s="238"/>
      <c r="N136" s="238"/>
      <c r="O136" s="238"/>
      <c r="P136" s="45"/>
      <c r="R136" s="155"/>
      <c r="S136" s="155"/>
      <c r="T136" s="155"/>
      <c r="U136" s="155"/>
    </row>
    <row r="137" spans="2:21" ht="15">
      <c r="B137" s="271" t="s">
        <v>285</v>
      </c>
      <c r="C137" s="450" t="s">
        <v>324</v>
      </c>
      <c r="D137" s="455"/>
      <c r="E137" s="455"/>
      <c r="F137" s="455"/>
      <c r="G137" s="455"/>
      <c r="H137" s="455"/>
      <c r="I137" s="455"/>
      <c r="J137" s="455"/>
      <c r="K137" s="238"/>
      <c r="L137" s="238"/>
      <c r="M137" s="238"/>
      <c r="N137" s="238"/>
      <c r="O137" s="238"/>
      <c r="P137" s="45"/>
      <c r="R137" s="155"/>
      <c r="S137" s="155"/>
      <c r="T137" s="155"/>
      <c r="U137" s="155"/>
    </row>
    <row r="138" spans="2:21" ht="17.25" customHeight="1">
      <c r="B138" s="237"/>
      <c r="C138" s="462" t="s">
        <v>7</v>
      </c>
      <c r="D138" s="463"/>
      <c r="E138" s="237"/>
      <c r="F138" s="237"/>
      <c r="G138" s="237"/>
      <c r="H138" s="237"/>
      <c r="I138" s="237"/>
      <c r="J138" s="237"/>
      <c r="K138" s="237"/>
      <c r="L138" s="457" t="s">
        <v>28</v>
      </c>
      <c r="M138" s="458"/>
      <c r="N138" s="281"/>
      <c r="O138" s="238"/>
      <c r="P138" s="45"/>
      <c r="R138" s="155"/>
      <c r="S138" s="155"/>
      <c r="T138" s="155"/>
      <c r="U138" s="155"/>
    </row>
    <row r="139" spans="2:21" ht="15">
      <c r="B139" s="237"/>
      <c r="C139" s="453"/>
      <c r="D139" s="453"/>
      <c r="E139" s="240"/>
      <c r="F139" s="240"/>
      <c r="G139" s="240"/>
      <c r="H139" s="240"/>
      <c r="I139" s="240"/>
      <c r="J139" s="240"/>
      <c r="K139" s="240"/>
      <c r="L139" s="454"/>
      <c r="M139" s="454"/>
      <c r="N139" s="279"/>
      <c r="O139" s="238"/>
      <c r="P139" s="45"/>
      <c r="R139" s="155"/>
      <c r="S139" s="155"/>
      <c r="T139" s="155"/>
      <c r="U139" s="155"/>
    </row>
    <row r="140" spans="2:21" ht="15">
      <c r="B140" s="239"/>
      <c r="C140" s="456" t="s">
        <v>73</v>
      </c>
      <c r="D140" s="456"/>
      <c r="E140" s="45"/>
      <c r="F140" s="45"/>
      <c r="G140" s="45"/>
      <c r="H140" s="45"/>
      <c r="I140" s="45"/>
      <c r="J140" s="45"/>
      <c r="K140" s="45"/>
      <c r="L140" s="454" t="s">
        <v>347</v>
      </c>
      <c r="M140" s="454"/>
      <c r="N140" s="279"/>
      <c r="O140" s="239"/>
      <c r="P140" s="45"/>
      <c r="R140" s="155"/>
      <c r="S140" s="155"/>
      <c r="T140" s="155"/>
      <c r="U140" s="155"/>
    </row>
    <row r="141" spans="2:21" s="82" customFormat="1" ht="14.25" customHeight="1">
      <c r="B141" s="237"/>
      <c r="C141"/>
      <c r="D141"/>
      <c r="E141"/>
      <c r="F141"/>
      <c r="G141"/>
      <c r="H141"/>
      <c r="I141"/>
      <c r="J141"/>
      <c r="K141"/>
      <c r="L141"/>
      <c r="M141"/>
      <c r="N141"/>
      <c r="O141" s="237"/>
      <c r="P141" s="45"/>
      <c r="R141" s="167"/>
      <c r="S141" s="167"/>
      <c r="T141" s="167"/>
      <c r="U141" s="167"/>
    </row>
    <row r="142" spans="2:21" s="82" customFormat="1" ht="24.75" customHeight="1">
      <c r="B142" s="240"/>
      <c r="C142" s="453"/>
      <c r="D142" s="453"/>
      <c r="E142" s="240"/>
      <c r="F142" s="240"/>
      <c r="G142" s="240"/>
      <c r="H142" s="240"/>
      <c r="I142" s="240"/>
      <c r="J142" s="240"/>
      <c r="K142" s="240"/>
      <c r="L142" s="454"/>
      <c r="M142" s="454"/>
      <c r="N142" s="279"/>
      <c r="O142" s="45"/>
      <c r="P142" s="45"/>
      <c r="R142" s="167"/>
      <c r="S142" s="167"/>
      <c r="T142" s="167"/>
      <c r="U142" s="167"/>
    </row>
    <row r="143" spans="2:21" s="82" customFormat="1" ht="15.75">
      <c r="B143" s="45"/>
      <c r="C143" s="456"/>
      <c r="D143" s="456"/>
      <c r="E143" s="45"/>
      <c r="F143" s="45"/>
      <c r="G143" s="45"/>
      <c r="H143" s="45"/>
      <c r="I143" s="45"/>
      <c r="J143" s="45"/>
      <c r="K143" s="45"/>
      <c r="L143" s="454"/>
      <c r="M143" s="454"/>
      <c r="N143" s="279"/>
      <c r="O143" s="45"/>
      <c r="P143" s="45"/>
      <c r="R143" s="167"/>
      <c r="S143" s="167"/>
      <c r="T143" s="167"/>
      <c r="U143" s="167"/>
    </row>
    <row r="144" spans="18:21" ht="12.75">
      <c r="R144" s="155"/>
      <c r="S144" s="155"/>
      <c r="T144" s="155"/>
      <c r="U144" s="155"/>
    </row>
    <row r="145" spans="18:21" ht="12.75">
      <c r="R145" s="155"/>
      <c r="S145" s="155"/>
      <c r="T145" s="155"/>
      <c r="U145" s="155"/>
    </row>
    <row r="146" spans="18:21" ht="12.75">
      <c r="R146" s="155"/>
      <c r="S146" s="155"/>
      <c r="T146" s="155"/>
      <c r="U146" s="155"/>
    </row>
    <row r="147" spans="18:21" ht="12.75">
      <c r="R147" s="155"/>
      <c r="S147" s="155"/>
      <c r="T147" s="155"/>
      <c r="U147" s="155"/>
    </row>
    <row r="148" spans="18:21" ht="12.75">
      <c r="R148" s="155"/>
      <c r="S148" s="155"/>
      <c r="T148" s="155"/>
      <c r="U148" s="155"/>
    </row>
    <row r="149" spans="18:21" ht="12.75">
      <c r="R149" s="155"/>
      <c r="S149" s="155"/>
      <c r="T149" s="155"/>
      <c r="U149" s="155"/>
    </row>
    <row r="150" spans="18:21" ht="12.75">
      <c r="R150" s="155"/>
      <c r="S150" s="155"/>
      <c r="T150" s="155"/>
      <c r="U150" s="155"/>
    </row>
    <row r="151" spans="18:21" ht="12.75">
      <c r="R151" s="155"/>
      <c r="S151" s="155"/>
      <c r="T151" s="155"/>
      <c r="U151" s="155"/>
    </row>
    <row r="152" spans="18:21" ht="12.75">
      <c r="R152" s="155"/>
      <c r="S152" s="155"/>
      <c r="T152" s="155"/>
      <c r="U152" s="155"/>
    </row>
    <row r="153" spans="18:21" ht="12.75">
      <c r="R153" s="155"/>
      <c r="S153" s="155"/>
      <c r="T153" s="155"/>
      <c r="U153" s="155"/>
    </row>
    <row r="154" spans="18:21" ht="12.75">
      <c r="R154" s="155"/>
      <c r="S154" s="155"/>
      <c r="T154" s="155"/>
      <c r="U154" s="155"/>
    </row>
    <row r="155" spans="18:21" ht="12.75">
      <c r="R155" s="155"/>
      <c r="S155" s="155"/>
      <c r="T155" s="155"/>
      <c r="U155" s="155"/>
    </row>
    <row r="156" spans="18:21" ht="12.75">
      <c r="R156" s="155"/>
      <c r="S156" s="155"/>
      <c r="T156" s="155"/>
      <c r="U156" s="155"/>
    </row>
    <row r="157" spans="18:21" ht="12.75">
      <c r="R157" s="155"/>
      <c r="S157" s="155"/>
      <c r="T157" s="155"/>
      <c r="U157" s="155"/>
    </row>
    <row r="162" ht="12.75" hidden="1"/>
    <row r="163" spans="3:9" ht="12.75" hidden="1">
      <c r="C163" s="95" t="s">
        <v>127</v>
      </c>
      <c r="D163" s="96"/>
      <c r="E163" s="2"/>
      <c r="F163" s="2"/>
      <c r="G163" s="184"/>
      <c r="H163" s="184"/>
      <c r="I163" s="184"/>
    </row>
    <row r="164" spans="3:9" ht="12.75" hidden="1">
      <c r="C164" s="95" t="s">
        <v>128</v>
      </c>
      <c r="D164" s="96"/>
      <c r="E164" s="2"/>
      <c r="F164" s="2"/>
      <c r="G164" s="184"/>
      <c r="H164" s="184"/>
      <c r="I164" s="184"/>
    </row>
    <row r="165" spans="3:9" ht="12.75" hidden="1">
      <c r="C165" s="95"/>
      <c r="D165" s="96"/>
      <c r="E165" s="2"/>
      <c r="F165" s="2"/>
      <c r="G165" s="184"/>
      <c r="H165" s="184"/>
      <c r="I165" s="184"/>
    </row>
    <row r="166" spans="3:9" ht="12.75" hidden="1">
      <c r="C166" s="95" t="s">
        <v>129</v>
      </c>
      <c r="D166" s="96"/>
      <c r="E166" s="2"/>
      <c r="F166" s="2"/>
      <c r="G166" s="184"/>
      <c r="H166" s="184"/>
      <c r="I166" s="184"/>
    </row>
    <row r="167" spans="3:9" ht="12.75" hidden="1">
      <c r="C167" s="95" t="s">
        <v>130</v>
      </c>
      <c r="D167" s="96"/>
      <c r="E167" s="2"/>
      <c r="F167" s="2"/>
      <c r="G167" s="184"/>
      <c r="H167" s="184"/>
      <c r="I167" s="184"/>
    </row>
    <row r="168" spans="3:9" ht="12.75" hidden="1">
      <c r="C168" s="95" t="s">
        <v>131</v>
      </c>
      <c r="D168" s="96"/>
      <c r="E168" s="2"/>
      <c r="F168" s="2"/>
      <c r="G168" s="184"/>
      <c r="H168" s="184"/>
      <c r="I168" s="184"/>
    </row>
    <row r="169" spans="3:9" ht="12.75" hidden="1">
      <c r="C169" s="95"/>
      <c r="D169" s="95"/>
      <c r="E169" s="2"/>
      <c r="F169" s="2"/>
      <c r="G169" s="184"/>
      <c r="H169" s="184"/>
      <c r="I169" s="184"/>
    </row>
  </sheetData>
  <sheetProtection/>
  <mergeCells count="54">
    <mergeCell ref="P37:P38"/>
    <mergeCell ref="B13:B14"/>
    <mergeCell ref="E13:E14"/>
    <mergeCell ref="L2:O2"/>
    <mergeCell ref="B60:O60"/>
    <mergeCell ref="B55:O55"/>
    <mergeCell ref="B50:O50"/>
    <mergeCell ref="B10:O10"/>
    <mergeCell ref="B11:O11"/>
    <mergeCell ref="M13:M14"/>
    <mergeCell ref="B6:D6"/>
    <mergeCell ref="C13:C14"/>
    <mergeCell ref="D13:D14"/>
    <mergeCell ref="F13:F14"/>
    <mergeCell ref="B9:O9"/>
    <mergeCell ref="N13:N14"/>
    <mergeCell ref="G13:I13"/>
    <mergeCell ref="B133:O133"/>
    <mergeCell ref="C143:D143"/>
    <mergeCell ref="L143:M143"/>
    <mergeCell ref="C134:O134"/>
    <mergeCell ref="B90:O90"/>
    <mergeCell ref="B97:O97"/>
    <mergeCell ref="C139:D139"/>
    <mergeCell ref="L139:M139"/>
    <mergeCell ref="C138:D138"/>
    <mergeCell ref="C135:J135"/>
    <mergeCell ref="M4:O4"/>
    <mergeCell ref="M6:O6"/>
    <mergeCell ref="B7:D7"/>
    <mergeCell ref="L7:O7"/>
    <mergeCell ref="B132:O132"/>
    <mergeCell ref="B131:O131"/>
    <mergeCell ref="B78:O78"/>
    <mergeCell ref="B61:O61"/>
    <mergeCell ref="B74:O74"/>
    <mergeCell ref="J13:L13"/>
    <mergeCell ref="C142:D142"/>
    <mergeCell ref="L142:M142"/>
    <mergeCell ref="C137:J137"/>
    <mergeCell ref="C140:D140"/>
    <mergeCell ref="L140:M140"/>
    <mergeCell ref="C136:J136"/>
    <mergeCell ref="L138:M138"/>
    <mergeCell ref="M1:N1"/>
    <mergeCell ref="B108:O108"/>
    <mergeCell ref="B118:O118"/>
    <mergeCell ref="B84:O84"/>
    <mergeCell ref="B36:O36"/>
    <mergeCell ref="B68:O68"/>
    <mergeCell ref="M5:O5"/>
    <mergeCell ref="B5:C5"/>
    <mergeCell ref="O13:O14"/>
    <mergeCell ref="B4:C4"/>
  </mergeCells>
  <printOptions/>
  <pageMargins left="0.3937007874015748" right="0.1968503937007874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37"/>
  <sheetViews>
    <sheetView zoomScalePageLayoutView="0" workbookViewId="0" topLeftCell="A1">
      <selection activeCell="A104" sqref="A104:IV104"/>
    </sheetView>
  </sheetViews>
  <sheetFormatPr defaultColWidth="9.00390625" defaultRowHeight="12.75"/>
  <cols>
    <col min="1" max="1" width="5.125" style="0" customWidth="1"/>
    <col min="2" max="2" width="20.25390625" style="0" customWidth="1"/>
    <col min="5" max="5" width="12.125" style="0" customWidth="1"/>
    <col min="12" max="12" width="11.75390625" style="0" customWidth="1"/>
    <col min="13" max="13" width="11.625" style="0" customWidth="1"/>
    <col min="14" max="14" width="14.75390625" style="0" customWidth="1"/>
    <col min="15" max="15" width="20.25390625" style="0" hidden="1" customWidth="1"/>
    <col min="16" max="16" width="20.25390625" style="0" customWidth="1"/>
  </cols>
  <sheetData>
    <row r="2" spans="1:15" ht="15">
      <c r="A2" s="417" t="s">
        <v>18</v>
      </c>
      <c r="B2" s="417"/>
      <c r="C2" s="45"/>
      <c r="D2" s="139"/>
      <c r="E2" s="44"/>
      <c r="F2" s="44"/>
      <c r="G2" s="44"/>
      <c r="H2" s="44"/>
      <c r="I2" s="44"/>
      <c r="J2" s="44"/>
      <c r="K2" s="44"/>
      <c r="L2" s="418" t="s">
        <v>0</v>
      </c>
      <c r="M2" s="418"/>
      <c r="N2" s="418"/>
      <c r="O2" s="65"/>
    </row>
    <row r="3" spans="1:15" ht="15">
      <c r="A3" s="421" t="s">
        <v>337</v>
      </c>
      <c r="B3" s="421"/>
      <c r="C3" s="421"/>
      <c r="D3" s="141"/>
      <c r="E3" s="52"/>
      <c r="F3" s="52"/>
      <c r="G3" s="52"/>
      <c r="H3" s="52"/>
      <c r="I3" s="52"/>
      <c r="J3" s="52"/>
      <c r="K3" s="52"/>
      <c r="L3" s="422" t="s">
        <v>121</v>
      </c>
      <c r="M3" s="422"/>
      <c r="N3" s="422"/>
      <c r="O3" s="65"/>
    </row>
    <row r="4" spans="1:15" ht="15.75">
      <c r="A4" s="423" t="s">
        <v>345</v>
      </c>
      <c r="B4" s="423"/>
      <c r="C4" s="423"/>
      <c r="D4" s="139"/>
      <c r="I4" s="44"/>
      <c r="J4" s="44"/>
      <c r="K4" s="424" t="s">
        <v>346</v>
      </c>
      <c r="L4" s="424"/>
      <c r="M4" s="424"/>
      <c r="N4" s="424"/>
      <c r="O4" s="65"/>
    </row>
    <row r="5" spans="1:15" ht="15.75">
      <c r="A5" s="302"/>
      <c r="B5" s="302"/>
      <c r="C5" s="302"/>
      <c r="D5" s="139"/>
      <c r="I5" s="44"/>
      <c r="J5" s="44"/>
      <c r="K5" s="303"/>
      <c r="L5" s="303"/>
      <c r="M5" s="303"/>
      <c r="N5" s="303"/>
      <c r="O5" s="65"/>
    </row>
    <row r="6" spans="1:15" ht="13.5">
      <c r="A6" s="464" t="s">
        <v>330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241"/>
    </row>
    <row r="7" spans="1:15" ht="13.5">
      <c r="A7" s="469" t="s">
        <v>348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241"/>
    </row>
    <row r="8" spans="1:15" ht="13.5">
      <c r="A8" s="470" t="s">
        <v>274</v>
      </c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241"/>
    </row>
    <row r="9" spans="1:15" ht="13.5">
      <c r="A9" s="242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1"/>
    </row>
    <row r="10" spans="1:15" ht="13.5">
      <c r="A10" s="451" t="s">
        <v>275</v>
      </c>
      <c r="B10" s="451" t="s">
        <v>276</v>
      </c>
      <c r="C10" s="451" t="s">
        <v>110</v>
      </c>
      <c r="D10" s="451" t="s">
        <v>112</v>
      </c>
      <c r="E10" s="451" t="s">
        <v>277</v>
      </c>
      <c r="F10" s="451" t="s">
        <v>278</v>
      </c>
      <c r="G10" s="452"/>
      <c r="H10" s="452"/>
      <c r="I10" s="451" t="s">
        <v>282</v>
      </c>
      <c r="J10" s="452"/>
      <c r="K10" s="452"/>
      <c r="L10" s="451" t="s">
        <v>286</v>
      </c>
      <c r="M10" s="465" t="s">
        <v>331</v>
      </c>
      <c r="N10" s="451" t="s">
        <v>287</v>
      </c>
      <c r="O10" s="244"/>
    </row>
    <row r="11" spans="1:15" ht="13.5">
      <c r="A11" s="452"/>
      <c r="B11" s="452"/>
      <c r="C11" s="452"/>
      <c r="D11" s="452"/>
      <c r="E11" s="452"/>
      <c r="F11" s="245" t="s">
        <v>279</v>
      </c>
      <c r="G11" s="245" t="s">
        <v>280</v>
      </c>
      <c r="H11" s="245" t="s">
        <v>281</v>
      </c>
      <c r="I11" s="245" t="s">
        <v>283</v>
      </c>
      <c r="J11" s="245" t="s">
        <v>284</v>
      </c>
      <c r="K11" s="245" t="s">
        <v>285</v>
      </c>
      <c r="L11" s="452"/>
      <c r="M11" s="466"/>
      <c r="N11" s="452"/>
      <c r="O11" s="244"/>
    </row>
    <row r="12" spans="1:15" ht="13.5">
      <c r="A12" s="205">
        <v>1</v>
      </c>
      <c r="B12" s="205">
        <v>2</v>
      </c>
      <c r="C12" s="205">
        <v>3</v>
      </c>
      <c r="D12" s="205">
        <v>4</v>
      </c>
      <c r="E12" s="205">
        <v>5</v>
      </c>
      <c r="F12" s="205">
        <v>6</v>
      </c>
      <c r="G12" s="205">
        <v>7</v>
      </c>
      <c r="H12" s="205">
        <v>8</v>
      </c>
      <c r="I12" s="205">
        <v>9</v>
      </c>
      <c r="J12" s="205">
        <v>10</v>
      </c>
      <c r="K12" s="205">
        <v>11</v>
      </c>
      <c r="L12" s="205">
        <v>12</v>
      </c>
      <c r="M12" s="205"/>
      <c r="N12" s="205">
        <v>13</v>
      </c>
      <c r="O12" s="246"/>
    </row>
    <row r="13" spans="1:15" ht="14.25">
      <c r="A13" s="448" t="s">
        <v>162</v>
      </c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74"/>
    </row>
    <row r="14" spans="1:15" ht="33.75">
      <c r="A14" s="197">
        <v>1</v>
      </c>
      <c r="B14" s="199" t="s">
        <v>4</v>
      </c>
      <c r="C14" s="197" t="s">
        <v>32</v>
      </c>
      <c r="D14" s="197">
        <v>1</v>
      </c>
      <c r="E14" s="198">
        <v>13890</v>
      </c>
      <c r="F14" s="195"/>
      <c r="G14" s="195"/>
      <c r="H14" s="195"/>
      <c r="I14" s="195"/>
      <c r="J14" s="195"/>
      <c r="K14" s="259"/>
      <c r="L14" s="198">
        <f aca="true" t="shared" si="0" ref="L14:L31">E14</f>
        <v>13890</v>
      </c>
      <c r="M14" s="198">
        <f>E14*0.35</f>
        <v>4861.5</v>
      </c>
      <c r="N14" s="186" t="s">
        <v>326</v>
      </c>
      <c r="O14" s="196" t="s">
        <v>95</v>
      </c>
    </row>
    <row r="15" spans="1:15" ht="27">
      <c r="A15" s="197">
        <v>2</v>
      </c>
      <c r="B15" s="194" t="s">
        <v>340</v>
      </c>
      <c r="C15" s="197" t="s">
        <v>32</v>
      </c>
      <c r="D15" s="197">
        <v>1</v>
      </c>
      <c r="E15" s="198">
        <v>12700</v>
      </c>
      <c r="F15" s="195"/>
      <c r="G15" s="195"/>
      <c r="H15" s="195"/>
      <c r="I15" s="195"/>
      <c r="J15" s="195"/>
      <c r="K15" s="259"/>
      <c r="L15" s="198">
        <f t="shared" si="0"/>
        <v>12700</v>
      </c>
      <c r="M15" s="198">
        <f>E15*0.35</f>
        <v>4445</v>
      </c>
      <c r="N15" s="186" t="s">
        <v>344</v>
      </c>
      <c r="O15" s="196"/>
    </row>
    <row r="16" spans="1:15" ht="13.5">
      <c r="A16" s="197">
        <v>3</v>
      </c>
      <c r="B16" s="194" t="s">
        <v>341</v>
      </c>
      <c r="C16" s="197" t="s">
        <v>32</v>
      </c>
      <c r="D16" s="197">
        <v>1</v>
      </c>
      <c r="E16" s="198">
        <v>12500</v>
      </c>
      <c r="F16" s="195"/>
      <c r="G16" s="195"/>
      <c r="H16" s="195"/>
      <c r="I16" s="195"/>
      <c r="J16" s="195"/>
      <c r="K16" s="259"/>
      <c r="L16" s="198">
        <f t="shared" si="0"/>
        <v>12500</v>
      </c>
      <c r="M16" s="198">
        <f>E16*0.35</f>
        <v>4375</v>
      </c>
      <c r="N16" s="186" t="s">
        <v>332</v>
      </c>
      <c r="O16" s="196"/>
    </row>
    <row r="17" spans="1:15" ht="22.5">
      <c r="A17" s="197">
        <v>4</v>
      </c>
      <c r="B17" s="196" t="s">
        <v>5</v>
      </c>
      <c r="C17" s="200" t="s">
        <v>38</v>
      </c>
      <c r="D17" s="200">
        <v>1</v>
      </c>
      <c r="E17" s="201">
        <v>11110</v>
      </c>
      <c r="F17" s="214"/>
      <c r="G17" s="214"/>
      <c r="H17" s="214"/>
      <c r="I17" s="214"/>
      <c r="J17" s="214"/>
      <c r="K17" s="201"/>
      <c r="L17" s="201">
        <f t="shared" si="0"/>
        <v>11110</v>
      </c>
      <c r="M17" s="198">
        <f aca="true" t="shared" si="1" ref="M17:M32">E17*0.35</f>
        <v>3888.4999999999995</v>
      </c>
      <c r="N17" s="306" t="s">
        <v>343</v>
      </c>
      <c r="O17" s="196" t="s">
        <v>96</v>
      </c>
    </row>
    <row r="18" spans="1:15" ht="27">
      <c r="A18" s="197">
        <v>5</v>
      </c>
      <c r="B18" s="192" t="s">
        <v>168</v>
      </c>
      <c r="C18" s="200" t="s">
        <v>35</v>
      </c>
      <c r="D18" s="200">
        <v>1</v>
      </c>
      <c r="E18" s="201">
        <f>1378*1.2*1.4*3.1</f>
        <v>7176.623999999999</v>
      </c>
      <c r="F18" s="214"/>
      <c r="G18" s="214"/>
      <c r="H18" s="214"/>
      <c r="I18" s="214"/>
      <c r="J18" s="214"/>
      <c r="K18" s="201"/>
      <c r="L18" s="201">
        <f t="shared" si="0"/>
        <v>7176.623999999999</v>
      </c>
      <c r="M18" s="198">
        <f t="shared" si="1"/>
        <v>2511.8183999999997</v>
      </c>
      <c r="N18" s="273"/>
      <c r="O18" s="196" t="s">
        <v>288</v>
      </c>
    </row>
    <row r="19" spans="1:15" ht="13.5">
      <c r="A19" s="197">
        <v>6</v>
      </c>
      <c r="B19" s="216" t="s">
        <v>7</v>
      </c>
      <c r="C19" s="197">
        <v>1231</v>
      </c>
      <c r="D19" s="208">
        <v>1</v>
      </c>
      <c r="E19" s="209">
        <v>10415</v>
      </c>
      <c r="F19" s="217"/>
      <c r="G19" s="217"/>
      <c r="H19" s="217"/>
      <c r="I19" s="195"/>
      <c r="J19" s="195"/>
      <c r="K19" s="272"/>
      <c r="L19" s="198">
        <f t="shared" si="0"/>
        <v>10415</v>
      </c>
      <c r="M19" s="198">
        <f t="shared" si="1"/>
        <v>3645.2499999999995</v>
      </c>
      <c r="N19" s="274" t="s">
        <v>342</v>
      </c>
      <c r="O19" s="199" t="s">
        <v>100</v>
      </c>
    </row>
    <row r="20" spans="1:15" ht="27">
      <c r="A20" s="197">
        <v>7</v>
      </c>
      <c r="B20" s="193" t="s">
        <v>16</v>
      </c>
      <c r="C20" s="197">
        <v>1231</v>
      </c>
      <c r="D20" s="208">
        <v>1</v>
      </c>
      <c r="E20" s="209">
        <v>7290</v>
      </c>
      <c r="F20" s="217"/>
      <c r="G20" s="217"/>
      <c r="H20" s="217"/>
      <c r="I20" s="195"/>
      <c r="J20" s="195"/>
      <c r="K20" s="195"/>
      <c r="L20" s="201">
        <f t="shared" si="0"/>
        <v>7290</v>
      </c>
      <c r="M20" s="198">
        <f t="shared" si="1"/>
        <v>2551.5</v>
      </c>
      <c r="N20" s="218"/>
      <c r="O20" s="199" t="s">
        <v>101</v>
      </c>
    </row>
    <row r="21" spans="1:15" ht="13.5">
      <c r="A21" s="197">
        <v>8</v>
      </c>
      <c r="B21" s="196" t="s">
        <v>169</v>
      </c>
      <c r="C21" s="200">
        <v>1231</v>
      </c>
      <c r="D21" s="200">
        <v>1</v>
      </c>
      <c r="E21" s="201">
        <f>2315*3.1</f>
        <v>7176.5</v>
      </c>
      <c r="F21" s="214"/>
      <c r="G21" s="214"/>
      <c r="H21" s="214"/>
      <c r="I21" s="214"/>
      <c r="J21" s="214"/>
      <c r="K21" s="214"/>
      <c r="L21" s="201">
        <f t="shared" si="0"/>
        <v>7176.5</v>
      </c>
      <c r="M21" s="198">
        <f t="shared" si="1"/>
        <v>2511.7749999999996</v>
      </c>
      <c r="N21" s="196"/>
      <c r="O21" s="196" t="s">
        <v>289</v>
      </c>
    </row>
    <row r="22" spans="1:15" ht="27">
      <c r="A22" s="197">
        <v>9</v>
      </c>
      <c r="B22" s="194" t="s">
        <v>43</v>
      </c>
      <c r="C22" s="197" t="s">
        <v>36</v>
      </c>
      <c r="D22" s="197">
        <v>1</v>
      </c>
      <c r="E22" s="198">
        <f>2315*1.72</f>
        <v>3981.7999999999997</v>
      </c>
      <c r="F22" s="195"/>
      <c r="G22" s="195"/>
      <c r="H22" s="195"/>
      <c r="I22" s="195"/>
      <c r="J22" s="195"/>
      <c r="K22" s="195"/>
      <c r="L22" s="198">
        <f t="shared" si="0"/>
        <v>3981.7999999999997</v>
      </c>
      <c r="M22" s="198">
        <f t="shared" si="1"/>
        <v>1393.6299999999999</v>
      </c>
      <c r="N22" s="199"/>
      <c r="O22" s="199" t="s">
        <v>81</v>
      </c>
    </row>
    <row r="23" spans="1:15" ht="27">
      <c r="A23" s="197">
        <v>10</v>
      </c>
      <c r="B23" s="194" t="s">
        <v>170</v>
      </c>
      <c r="C23" s="204" t="s">
        <v>35</v>
      </c>
      <c r="D23" s="204">
        <v>1</v>
      </c>
      <c r="E23" s="205">
        <f>2315*2.65</f>
        <v>6134.75</v>
      </c>
      <c r="F23" s="206"/>
      <c r="G23" s="206"/>
      <c r="H23" s="206"/>
      <c r="I23" s="206"/>
      <c r="J23" s="206"/>
      <c r="K23" s="206"/>
      <c r="L23" s="205">
        <f t="shared" si="0"/>
        <v>6134.75</v>
      </c>
      <c r="M23" s="198">
        <f t="shared" si="1"/>
        <v>2147.1625</v>
      </c>
      <c r="N23" s="196"/>
      <c r="O23" s="196" t="s">
        <v>82</v>
      </c>
    </row>
    <row r="24" spans="1:15" ht="32.25" customHeight="1">
      <c r="A24" s="197">
        <v>11</v>
      </c>
      <c r="B24" s="194" t="s">
        <v>171</v>
      </c>
      <c r="C24" s="204" t="s">
        <v>35</v>
      </c>
      <c r="D24" s="204">
        <v>1</v>
      </c>
      <c r="E24" s="205">
        <f>2315*2.65</f>
        <v>6134.75</v>
      </c>
      <c r="F24" s="206"/>
      <c r="G24" s="206"/>
      <c r="H24" s="206"/>
      <c r="I24" s="206"/>
      <c r="J24" s="206"/>
      <c r="K24" s="206"/>
      <c r="L24" s="205">
        <f t="shared" si="0"/>
        <v>6134.75</v>
      </c>
      <c r="M24" s="198">
        <f t="shared" si="1"/>
        <v>2147.1625</v>
      </c>
      <c r="N24" s="196"/>
      <c r="O24" s="194" t="s">
        <v>107</v>
      </c>
    </row>
    <row r="25" spans="1:15" ht="27">
      <c r="A25" s="197">
        <v>12</v>
      </c>
      <c r="B25" s="194" t="s">
        <v>178</v>
      </c>
      <c r="C25" s="204" t="s">
        <v>35</v>
      </c>
      <c r="D25" s="204">
        <v>1</v>
      </c>
      <c r="E25" s="205">
        <v>6250</v>
      </c>
      <c r="F25" s="206"/>
      <c r="G25" s="206"/>
      <c r="H25" s="206"/>
      <c r="I25" s="206"/>
      <c r="J25" s="206"/>
      <c r="K25" s="206"/>
      <c r="L25" s="205">
        <f t="shared" si="0"/>
        <v>6250</v>
      </c>
      <c r="M25" s="198">
        <f t="shared" si="1"/>
        <v>2187.5</v>
      </c>
      <c r="N25" s="199"/>
      <c r="O25" s="196" t="s">
        <v>91</v>
      </c>
    </row>
    <row r="26" spans="1:15" ht="13.5">
      <c r="A26" s="197">
        <v>13</v>
      </c>
      <c r="B26" s="195" t="s">
        <v>172</v>
      </c>
      <c r="C26" s="204" t="s">
        <v>35</v>
      </c>
      <c r="D26" s="198">
        <v>1</v>
      </c>
      <c r="E26" s="198">
        <f>2315*2.6</f>
        <v>6019</v>
      </c>
      <c r="F26" s="195"/>
      <c r="G26" s="195"/>
      <c r="H26" s="195"/>
      <c r="I26" s="195"/>
      <c r="J26" s="195"/>
      <c r="K26" s="195"/>
      <c r="L26" s="209">
        <f t="shared" si="0"/>
        <v>6019</v>
      </c>
      <c r="M26" s="198">
        <f t="shared" si="1"/>
        <v>2106.65</v>
      </c>
      <c r="N26" s="199"/>
      <c r="O26" s="196" t="s">
        <v>125</v>
      </c>
    </row>
    <row r="27" spans="1:15" ht="13.5">
      <c r="A27" s="197">
        <v>14</v>
      </c>
      <c r="B27" s="193" t="s">
        <v>173</v>
      </c>
      <c r="C27" s="204" t="s">
        <v>35</v>
      </c>
      <c r="D27" s="208">
        <v>1</v>
      </c>
      <c r="E27" s="209">
        <f>2315*2.6</f>
        <v>6019</v>
      </c>
      <c r="F27" s="217"/>
      <c r="G27" s="217"/>
      <c r="H27" s="217"/>
      <c r="I27" s="195"/>
      <c r="J27" s="195"/>
      <c r="K27" s="199"/>
      <c r="L27" s="209">
        <f t="shared" si="0"/>
        <v>6019</v>
      </c>
      <c r="M27" s="198">
        <f t="shared" si="1"/>
        <v>2106.65</v>
      </c>
      <c r="N27" s="199"/>
      <c r="O27" s="196" t="s">
        <v>90</v>
      </c>
    </row>
    <row r="28" spans="1:15" ht="13.5">
      <c r="A28" s="197">
        <v>15</v>
      </c>
      <c r="B28" s="195" t="s">
        <v>10</v>
      </c>
      <c r="C28" s="204" t="s">
        <v>35</v>
      </c>
      <c r="D28" s="207">
        <v>1</v>
      </c>
      <c r="E28" s="205">
        <f>2315*2.64</f>
        <v>6111.6</v>
      </c>
      <c r="F28" s="206"/>
      <c r="G28" s="206"/>
      <c r="H28" s="206"/>
      <c r="I28" s="206"/>
      <c r="J28" s="206"/>
      <c r="K28" s="206"/>
      <c r="L28" s="209">
        <f t="shared" si="0"/>
        <v>6111.6</v>
      </c>
      <c r="M28" s="198">
        <f t="shared" si="1"/>
        <v>2139.06</v>
      </c>
      <c r="N28" s="199"/>
      <c r="O28" s="196" t="s">
        <v>88</v>
      </c>
    </row>
    <row r="29" spans="1:15" ht="13.5">
      <c r="A29" s="197">
        <v>16</v>
      </c>
      <c r="B29" s="194" t="s">
        <v>44</v>
      </c>
      <c r="C29" s="198" t="s">
        <v>36</v>
      </c>
      <c r="D29" s="204">
        <v>1</v>
      </c>
      <c r="E29" s="205">
        <f>2315*2.5</f>
        <v>5787.5</v>
      </c>
      <c r="F29" s="206"/>
      <c r="G29" s="206"/>
      <c r="H29" s="206"/>
      <c r="I29" s="206"/>
      <c r="J29" s="206"/>
      <c r="K29" s="206"/>
      <c r="L29" s="209">
        <f t="shared" si="0"/>
        <v>5787.5</v>
      </c>
      <c r="M29" s="198">
        <f t="shared" si="1"/>
        <v>2025.6249999999998</v>
      </c>
      <c r="N29" s="194"/>
      <c r="O29" s="199" t="s">
        <v>84</v>
      </c>
    </row>
    <row r="30" spans="1:15" ht="54">
      <c r="A30" s="197">
        <v>17</v>
      </c>
      <c r="B30" s="193" t="s">
        <v>293</v>
      </c>
      <c r="C30" s="219" t="s">
        <v>35</v>
      </c>
      <c r="D30" s="207">
        <v>1</v>
      </c>
      <c r="E30" s="219">
        <f>2315*2.2</f>
        <v>5093</v>
      </c>
      <c r="F30" s="220"/>
      <c r="G30" s="220"/>
      <c r="H30" s="220"/>
      <c r="I30" s="206"/>
      <c r="J30" s="206"/>
      <c r="K30" s="220"/>
      <c r="L30" s="209">
        <f t="shared" si="0"/>
        <v>5093</v>
      </c>
      <c r="M30" s="198">
        <f t="shared" si="1"/>
        <v>1782.55</v>
      </c>
      <c r="N30" s="221"/>
      <c r="O30" s="199" t="s">
        <v>290</v>
      </c>
    </row>
    <row r="31" spans="1:15" ht="27">
      <c r="A31" s="197">
        <v>18</v>
      </c>
      <c r="B31" s="193" t="s">
        <v>236</v>
      </c>
      <c r="C31" s="219">
        <v>1239</v>
      </c>
      <c r="D31" s="207">
        <v>1</v>
      </c>
      <c r="E31" s="219">
        <f>2315*1.55</f>
        <v>3588.25</v>
      </c>
      <c r="F31" s="220"/>
      <c r="G31" s="220"/>
      <c r="H31" s="220"/>
      <c r="I31" s="206"/>
      <c r="J31" s="206"/>
      <c r="K31" s="220"/>
      <c r="L31" s="209">
        <f t="shared" si="0"/>
        <v>3588.25</v>
      </c>
      <c r="M31" s="198">
        <f t="shared" si="1"/>
        <v>1255.8874999999998</v>
      </c>
      <c r="N31" s="221"/>
      <c r="O31" s="199" t="s">
        <v>291</v>
      </c>
    </row>
    <row r="32" spans="1:15" ht="13.5">
      <c r="A32" s="197"/>
      <c r="B32" s="193" t="s">
        <v>327</v>
      </c>
      <c r="C32" s="219"/>
      <c r="D32" s="207">
        <f>SUM(D14:D31)</f>
        <v>18</v>
      </c>
      <c r="E32" s="219">
        <f>SUM(E14:E31)</f>
        <v>137377.774</v>
      </c>
      <c r="F32" s="220"/>
      <c r="G32" s="220"/>
      <c r="H32" s="220"/>
      <c r="I32" s="206"/>
      <c r="J32" s="206"/>
      <c r="K32" s="220"/>
      <c r="L32" s="209">
        <f>SUM(L14:L31)</f>
        <v>137377.774</v>
      </c>
      <c r="M32" s="198">
        <f t="shared" si="1"/>
        <v>48082.2209</v>
      </c>
      <c r="N32" s="221"/>
      <c r="O32" s="199"/>
    </row>
    <row r="33" spans="1:15" ht="13.5">
      <c r="A33" s="471" t="s">
        <v>304</v>
      </c>
      <c r="B33" s="472"/>
      <c r="C33" s="472"/>
      <c r="D33" s="472"/>
      <c r="E33" s="472"/>
      <c r="F33" s="472"/>
      <c r="G33" s="472"/>
      <c r="H33" s="472"/>
      <c r="I33" s="472"/>
      <c r="J33" s="472"/>
      <c r="K33" s="473"/>
      <c r="L33" s="222"/>
      <c r="M33" s="222"/>
      <c r="N33" s="194"/>
      <c r="O33" s="199"/>
    </row>
    <row r="34" spans="1:15" ht="14.25">
      <c r="A34" s="448" t="s">
        <v>163</v>
      </c>
      <c r="B34" s="447"/>
      <c r="C34" s="447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213"/>
    </row>
    <row r="35" spans="1:15" ht="27">
      <c r="A35" s="197">
        <v>1</v>
      </c>
      <c r="B35" s="194" t="s">
        <v>123</v>
      </c>
      <c r="C35" s="197" t="s">
        <v>33</v>
      </c>
      <c r="D35" s="197">
        <v>1</v>
      </c>
      <c r="E35" s="198">
        <f>2315*2.2</f>
        <v>5093</v>
      </c>
      <c r="F35" s="198"/>
      <c r="G35" s="198"/>
      <c r="H35" s="198"/>
      <c r="I35" s="198"/>
      <c r="J35" s="198"/>
      <c r="K35" s="198"/>
      <c r="L35" s="198">
        <f>E35</f>
        <v>5093</v>
      </c>
      <c r="M35" s="198">
        <f>L35*0.35</f>
        <v>1782.55</v>
      </c>
      <c r="N35" s="199"/>
      <c r="O35" s="467" t="s">
        <v>78</v>
      </c>
    </row>
    <row r="36" spans="1:15" ht="27">
      <c r="A36" s="197">
        <v>2</v>
      </c>
      <c r="B36" s="194" t="s">
        <v>334</v>
      </c>
      <c r="C36" s="197" t="s">
        <v>33</v>
      </c>
      <c r="D36" s="197">
        <v>0.25</v>
      </c>
      <c r="E36" s="198">
        <f>2315*2</f>
        <v>4630</v>
      </c>
      <c r="F36" s="198"/>
      <c r="G36" s="198"/>
      <c r="H36" s="198"/>
      <c r="I36" s="198"/>
      <c r="J36" s="198"/>
      <c r="K36" s="198"/>
      <c r="L36" s="198">
        <v>1157</v>
      </c>
      <c r="M36" s="198">
        <f aca="true" t="shared" si="2" ref="M36:M47">L36*0.35</f>
        <v>404.95</v>
      </c>
      <c r="N36" s="199"/>
      <c r="O36" s="467"/>
    </row>
    <row r="37" spans="1:15" ht="13.5">
      <c r="A37" s="197">
        <v>3</v>
      </c>
      <c r="B37" s="194" t="s">
        <v>22</v>
      </c>
      <c r="C37" s="197" t="s">
        <v>33</v>
      </c>
      <c r="D37" s="197">
        <v>1</v>
      </c>
      <c r="E37" s="198">
        <f>2315*2.4</f>
        <v>5556</v>
      </c>
      <c r="F37" s="198"/>
      <c r="G37" s="198"/>
      <c r="H37" s="198"/>
      <c r="I37" s="198"/>
      <c r="J37" s="198"/>
      <c r="K37" s="198"/>
      <c r="L37" s="198">
        <f aca="true" t="shared" si="3" ref="L37:L46">E37</f>
        <v>5556</v>
      </c>
      <c r="M37" s="198">
        <f t="shared" si="2"/>
        <v>1944.6</v>
      </c>
      <c r="N37" s="191"/>
      <c r="O37" s="191" t="s">
        <v>99</v>
      </c>
    </row>
    <row r="38" spans="1:15" ht="23.25" customHeight="1">
      <c r="A38" s="197">
        <v>4</v>
      </c>
      <c r="B38" s="202" t="s">
        <v>179</v>
      </c>
      <c r="C38" s="197" t="s">
        <v>33</v>
      </c>
      <c r="D38" s="197">
        <v>2</v>
      </c>
      <c r="E38" s="198">
        <f>2315*2.1</f>
        <v>4861.5</v>
      </c>
      <c r="F38" s="198"/>
      <c r="G38" s="198"/>
      <c r="H38" s="198"/>
      <c r="I38" s="198"/>
      <c r="J38" s="198"/>
      <c r="K38" s="195"/>
      <c r="L38" s="198">
        <f>E38*D38</f>
        <v>9723</v>
      </c>
      <c r="M38" s="198">
        <f t="shared" si="2"/>
        <v>3403.0499999999997</v>
      </c>
      <c r="N38" s="191"/>
      <c r="O38" s="192" t="s">
        <v>263</v>
      </c>
    </row>
    <row r="39" spans="1:15" ht="13.5">
      <c r="A39" s="197">
        <v>5</v>
      </c>
      <c r="B39" s="199" t="s">
        <v>180</v>
      </c>
      <c r="C39" s="197" t="s">
        <v>33</v>
      </c>
      <c r="D39" s="197">
        <v>1</v>
      </c>
      <c r="E39" s="198">
        <f>2315*2.25</f>
        <v>5208.75</v>
      </c>
      <c r="F39" s="198"/>
      <c r="G39" s="198"/>
      <c r="H39" s="198"/>
      <c r="I39" s="198"/>
      <c r="J39" s="198"/>
      <c r="K39" s="195"/>
      <c r="L39" s="198">
        <f t="shared" si="3"/>
        <v>5208.75</v>
      </c>
      <c r="M39" s="198">
        <f t="shared" si="2"/>
        <v>1823.0624999999998</v>
      </c>
      <c r="N39" s="191"/>
      <c r="O39" s="191" t="s">
        <v>262</v>
      </c>
    </row>
    <row r="40" spans="1:15" ht="35.25" customHeight="1">
      <c r="A40" s="197">
        <v>6</v>
      </c>
      <c r="B40" s="194" t="s">
        <v>124</v>
      </c>
      <c r="C40" s="204" t="s">
        <v>119</v>
      </c>
      <c r="D40" s="204">
        <v>1</v>
      </c>
      <c r="E40" s="205">
        <f>2315*2.2</f>
        <v>5093</v>
      </c>
      <c r="F40" s="205"/>
      <c r="G40" s="205"/>
      <c r="H40" s="205"/>
      <c r="I40" s="205"/>
      <c r="J40" s="205"/>
      <c r="K40" s="206"/>
      <c r="L40" s="198">
        <f t="shared" si="3"/>
        <v>5093</v>
      </c>
      <c r="M40" s="198">
        <f t="shared" si="2"/>
        <v>1782.55</v>
      </c>
      <c r="N40" s="194"/>
      <c r="O40" s="194" t="s">
        <v>94</v>
      </c>
    </row>
    <row r="41" spans="1:15" ht="13.5">
      <c r="A41" s="197">
        <v>7</v>
      </c>
      <c r="B41" s="193" t="s">
        <v>27</v>
      </c>
      <c r="C41" s="204" t="s">
        <v>33</v>
      </c>
      <c r="D41" s="207">
        <v>1</v>
      </c>
      <c r="E41" s="198">
        <f>2315*2.2</f>
        <v>5093</v>
      </c>
      <c r="F41" s="198"/>
      <c r="G41" s="198"/>
      <c r="H41" s="198"/>
      <c r="I41" s="198"/>
      <c r="J41" s="198"/>
      <c r="K41" s="195"/>
      <c r="L41" s="198">
        <f t="shared" si="3"/>
        <v>5093</v>
      </c>
      <c r="M41" s="198">
        <f t="shared" si="2"/>
        <v>1782.55</v>
      </c>
      <c r="N41" s="199"/>
      <c r="O41" s="191" t="s">
        <v>87</v>
      </c>
    </row>
    <row r="42" spans="1:15" ht="45.75" customHeight="1">
      <c r="A42" s="197">
        <v>8</v>
      </c>
      <c r="B42" s="194" t="s">
        <v>41</v>
      </c>
      <c r="C42" s="197" t="s">
        <v>34</v>
      </c>
      <c r="D42" s="208">
        <v>2</v>
      </c>
      <c r="E42" s="209">
        <f>2315*2.4</f>
        <v>5556</v>
      </c>
      <c r="F42" s="209"/>
      <c r="G42" s="209"/>
      <c r="H42" s="209"/>
      <c r="I42" s="198"/>
      <c r="J42" s="198"/>
      <c r="K42" s="198"/>
      <c r="L42" s="198">
        <f>E42*2</f>
        <v>11112</v>
      </c>
      <c r="M42" s="198">
        <f t="shared" si="2"/>
        <v>3889.2</v>
      </c>
      <c r="N42" s="199"/>
      <c r="O42" s="193" t="s">
        <v>292</v>
      </c>
    </row>
    <row r="43" spans="1:15" ht="27">
      <c r="A43" s="197">
        <v>9</v>
      </c>
      <c r="B43" s="194" t="s">
        <v>122</v>
      </c>
      <c r="C43" s="197" t="s">
        <v>34</v>
      </c>
      <c r="D43" s="208">
        <v>1</v>
      </c>
      <c r="E43" s="209">
        <f>2315*2.3</f>
        <v>5324.5</v>
      </c>
      <c r="F43" s="209"/>
      <c r="G43" s="209"/>
      <c r="H43" s="209"/>
      <c r="I43" s="198"/>
      <c r="J43" s="198"/>
      <c r="K43" s="198"/>
      <c r="L43" s="198">
        <f t="shared" si="3"/>
        <v>5324.5</v>
      </c>
      <c r="M43" s="198">
        <f t="shared" si="2"/>
        <v>1863.5749999999998</v>
      </c>
      <c r="N43" s="199"/>
      <c r="O43" s="199" t="s">
        <v>93</v>
      </c>
    </row>
    <row r="44" spans="1:15" ht="13.5">
      <c r="A44" s="197">
        <v>11</v>
      </c>
      <c r="B44" s="199" t="s">
        <v>8</v>
      </c>
      <c r="C44" s="197" t="s">
        <v>51</v>
      </c>
      <c r="D44" s="197">
        <v>1</v>
      </c>
      <c r="E44" s="198">
        <f>2315*2.4</f>
        <v>5556</v>
      </c>
      <c r="F44" s="198"/>
      <c r="G44" s="198"/>
      <c r="H44" s="198"/>
      <c r="I44" s="198"/>
      <c r="J44" s="198"/>
      <c r="K44" s="198"/>
      <c r="L44" s="198">
        <f t="shared" si="3"/>
        <v>5556</v>
      </c>
      <c r="M44" s="198">
        <f t="shared" si="2"/>
        <v>1944.6</v>
      </c>
      <c r="N44" s="191"/>
      <c r="O44" s="191" t="s">
        <v>118</v>
      </c>
    </row>
    <row r="45" spans="1:15" ht="54">
      <c r="A45" s="197">
        <v>12</v>
      </c>
      <c r="B45" s="210" t="s">
        <v>42</v>
      </c>
      <c r="C45" s="197" t="s">
        <v>33</v>
      </c>
      <c r="D45" s="208">
        <v>1</v>
      </c>
      <c r="E45" s="209">
        <f>2315*2</f>
        <v>4630</v>
      </c>
      <c r="F45" s="209"/>
      <c r="G45" s="209"/>
      <c r="H45" s="209"/>
      <c r="I45" s="198"/>
      <c r="J45" s="198"/>
      <c r="K45" s="198"/>
      <c r="L45" s="198">
        <f t="shared" si="3"/>
        <v>4630</v>
      </c>
      <c r="M45" s="198">
        <f t="shared" si="2"/>
        <v>1620.5</v>
      </c>
      <c r="N45" s="199"/>
      <c r="O45" s="199" t="s">
        <v>80</v>
      </c>
    </row>
    <row r="46" spans="1:15" ht="13.5">
      <c r="A46" s="197">
        <v>13</v>
      </c>
      <c r="B46" s="199" t="s">
        <v>40</v>
      </c>
      <c r="C46" s="197">
        <v>2429</v>
      </c>
      <c r="D46" s="197">
        <v>1</v>
      </c>
      <c r="E46" s="198">
        <v>5000</v>
      </c>
      <c r="F46" s="198"/>
      <c r="G46" s="198"/>
      <c r="H46" s="198"/>
      <c r="I46" s="198"/>
      <c r="J46" s="198"/>
      <c r="K46" s="198"/>
      <c r="L46" s="198">
        <f t="shared" si="3"/>
        <v>5000</v>
      </c>
      <c r="M46" s="198">
        <f t="shared" si="2"/>
        <v>1750</v>
      </c>
      <c r="N46" s="191"/>
      <c r="O46" s="211" t="s">
        <v>264</v>
      </c>
    </row>
    <row r="47" spans="1:15" ht="13.5">
      <c r="A47" s="197"/>
      <c r="B47" s="199" t="s">
        <v>328</v>
      </c>
      <c r="C47" s="197"/>
      <c r="D47" s="197">
        <f>SUM(D35:D46)</f>
        <v>13.25</v>
      </c>
      <c r="E47" s="198">
        <f>SUM(E35:E46)</f>
        <v>61601.75</v>
      </c>
      <c r="F47" s="198"/>
      <c r="G47" s="198"/>
      <c r="H47" s="198"/>
      <c r="I47" s="198"/>
      <c r="J47" s="198"/>
      <c r="K47" s="198" t="s">
        <v>305</v>
      </c>
      <c r="L47" s="212">
        <f>SUM(L35:L46)</f>
        <v>68546.25</v>
      </c>
      <c r="M47" s="212">
        <f t="shared" si="2"/>
        <v>23991.1875</v>
      </c>
      <c r="N47" s="191"/>
      <c r="O47" s="211"/>
    </row>
    <row r="48" spans="1:15" ht="14.25">
      <c r="A48" s="448" t="s">
        <v>165</v>
      </c>
      <c r="B48" s="447"/>
      <c r="C48" s="447"/>
      <c r="D48" s="447"/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213"/>
    </row>
    <row r="49" spans="1:15" ht="13.5">
      <c r="A49" s="200">
        <v>1</v>
      </c>
      <c r="B49" s="191" t="s">
        <v>17</v>
      </c>
      <c r="C49" s="200">
        <v>3423</v>
      </c>
      <c r="D49" s="200">
        <v>1</v>
      </c>
      <c r="E49" s="201">
        <f>2315*2.2</f>
        <v>5093</v>
      </c>
      <c r="F49" s="201"/>
      <c r="G49" s="201"/>
      <c r="H49" s="201"/>
      <c r="I49" s="201"/>
      <c r="J49" s="201"/>
      <c r="K49" s="201"/>
      <c r="L49" s="201">
        <f>E49</f>
        <v>5093</v>
      </c>
      <c r="M49" s="201">
        <f>L49*0.35</f>
        <v>1782.55</v>
      </c>
      <c r="N49" s="192"/>
      <c r="O49" s="191" t="s">
        <v>97</v>
      </c>
    </row>
    <row r="50" spans="1:15" ht="13.5">
      <c r="A50" s="208">
        <v>2</v>
      </c>
      <c r="B50" s="280" t="s">
        <v>9</v>
      </c>
      <c r="C50" s="200">
        <v>3119</v>
      </c>
      <c r="D50" s="200">
        <v>1</v>
      </c>
      <c r="E50" s="201">
        <f>2315*1.5</f>
        <v>3472.5</v>
      </c>
      <c r="F50" s="201"/>
      <c r="G50" s="201"/>
      <c r="H50" s="201"/>
      <c r="I50" s="201"/>
      <c r="J50" s="201"/>
      <c r="K50" s="203"/>
      <c r="L50" s="201">
        <f>E50</f>
        <v>3472.5</v>
      </c>
      <c r="M50" s="201">
        <f>L50*0.35</f>
        <v>1215.375</v>
      </c>
      <c r="N50" s="191"/>
      <c r="O50" s="191" t="s">
        <v>79</v>
      </c>
    </row>
    <row r="51" spans="1:15" ht="13.5">
      <c r="A51" s="208"/>
      <c r="B51" s="280" t="s">
        <v>328</v>
      </c>
      <c r="C51" s="200"/>
      <c r="D51" s="200">
        <f>SUM(D49:D50)</f>
        <v>2</v>
      </c>
      <c r="E51" s="201">
        <f>SUM(E49:E50)</f>
        <v>8565.5</v>
      </c>
      <c r="F51" s="201"/>
      <c r="G51" s="201"/>
      <c r="H51" s="201"/>
      <c r="I51" s="201"/>
      <c r="J51" s="201"/>
      <c r="K51" s="203"/>
      <c r="L51" s="201">
        <f>SUM(L49:L50)</f>
        <v>8565.5</v>
      </c>
      <c r="M51" s="201">
        <f>L51*0.35</f>
        <v>2997.9249999999997</v>
      </c>
      <c r="N51" s="191"/>
      <c r="O51" s="191"/>
    </row>
    <row r="52" spans="1:15" ht="13.5">
      <c r="A52" s="471" t="s">
        <v>304</v>
      </c>
      <c r="B52" s="472"/>
      <c r="C52" s="472"/>
      <c r="D52" s="472"/>
      <c r="E52" s="472"/>
      <c r="F52" s="472"/>
      <c r="G52" s="472"/>
      <c r="H52" s="472"/>
      <c r="I52" s="472"/>
      <c r="J52" s="472"/>
      <c r="K52" s="473"/>
      <c r="L52" s="223">
        <f>SUM(L49:L50)</f>
        <v>8565.5</v>
      </c>
      <c r="M52" s="223">
        <f>L52*0.35</f>
        <v>2997.9249999999997</v>
      </c>
      <c r="N52" s="192"/>
      <c r="O52" s="191"/>
    </row>
    <row r="53" spans="1:15" ht="14.25">
      <c r="A53" s="448" t="s">
        <v>166</v>
      </c>
      <c r="B53" s="447"/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224"/>
    </row>
    <row r="54" spans="1:15" ht="13.5">
      <c r="A54" s="200">
        <v>1</v>
      </c>
      <c r="B54" s="191" t="s">
        <v>37</v>
      </c>
      <c r="C54" s="200">
        <v>4115</v>
      </c>
      <c r="D54" s="200">
        <v>1</v>
      </c>
      <c r="E54" s="198">
        <f>2315*1.3</f>
        <v>3009.5</v>
      </c>
      <c r="F54" s="198"/>
      <c r="G54" s="198"/>
      <c r="H54" s="198"/>
      <c r="I54" s="198"/>
      <c r="J54" s="198"/>
      <c r="K54" s="198"/>
      <c r="L54" s="198">
        <f>E54</f>
        <v>3009.5</v>
      </c>
      <c r="M54" s="198">
        <f>L54*0.35</f>
        <v>1053.325</v>
      </c>
      <c r="N54" s="191"/>
      <c r="O54" s="191" t="s">
        <v>251</v>
      </c>
    </row>
    <row r="55" spans="1:15" ht="40.5">
      <c r="A55" s="200">
        <v>2</v>
      </c>
      <c r="B55" s="192" t="s">
        <v>193</v>
      </c>
      <c r="C55" s="200">
        <v>4133</v>
      </c>
      <c r="D55" s="200">
        <v>1</v>
      </c>
      <c r="E55" s="198">
        <f>2315*1.4</f>
        <v>3241</v>
      </c>
      <c r="F55" s="198"/>
      <c r="G55" s="198"/>
      <c r="H55" s="198"/>
      <c r="I55" s="198"/>
      <c r="J55" s="198"/>
      <c r="K55" s="198"/>
      <c r="L55" s="198">
        <f>E55</f>
        <v>3241</v>
      </c>
      <c r="M55" s="198">
        <f>L55*0.35</f>
        <v>1134.35</v>
      </c>
      <c r="N55" s="191"/>
      <c r="O55" s="191" t="s">
        <v>252</v>
      </c>
    </row>
    <row r="56" spans="1:15" ht="13.5">
      <c r="A56" s="200">
        <v>3</v>
      </c>
      <c r="B56" s="191" t="s">
        <v>120</v>
      </c>
      <c r="C56" s="200">
        <v>3231</v>
      </c>
      <c r="D56" s="200">
        <v>0.5</v>
      </c>
      <c r="E56" s="198">
        <v>1902</v>
      </c>
      <c r="F56" s="198"/>
      <c r="G56" s="198"/>
      <c r="H56" s="198"/>
      <c r="I56" s="198"/>
      <c r="J56" s="198"/>
      <c r="K56" s="198"/>
      <c r="L56" s="198">
        <f>E56*0.5</f>
        <v>951</v>
      </c>
      <c r="M56" s="198">
        <f>L56*0.35</f>
        <v>332.84999999999997</v>
      </c>
      <c r="N56" s="191"/>
      <c r="O56" s="191" t="s">
        <v>98</v>
      </c>
    </row>
    <row r="57" spans="1:15" ht="13.5">
      <c r="A57" s="200"/>
      <c r="B57" s="280" t="s">
        <v>328</v>
      </c>
      <c r="C57" s="200"/>
      <c r="D57" s="200">
        <f>SUM(D54:D56)</f>
        <v>2.5</v>
      </c>
      <c r="E57" s="198">
        <f>SUM(E54:E56)</f>
        <v>8152.5</v>
      </c>
      <c r="F57" s="198"/>
      <c r="G57" s="198"/>
      <c r="H57" s="198"/>
      <c r="I57" s="198"/>
      <c r="J57" s="198"/>
      <c r="K57" s="198" t="s">
        <v>305</v>
      </c>
      <c r="L57" s="212">
        <f>SUM(L54:L56)</f>
        <v>7201.5</v>
      </c>
      <c r="M57" s="212">
        <f>L57*0.35</f>
        <v>2520.5249999999996</v>
      </c>
      <c r="N57" s="191"/>
      <c r="O57" s="191"/>
    </row>
    <row r="58" spans="1:15" ht="14.25">
      <c r="A58" s="468" t="s">
        <v>315</v>
      </c>
      <c r="B58" s="468"/>
      <c r="C58" s="468"/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247"/>
    </row>
    <row r="59" spans="1:15" ht="14.25">
      <c r="A59" s="460" t="s">
        <v>71</v>
      </c>
      <c r="B59" s="460"/>
      <c r="C59" s="460"/>
      <c r="D59" s="460"/>
      <c r="E59" s="460"/>
      <c r="F59" s="460"/>
      <c r="G59" s="460"/>
      <c r="H59" s="460"/>
      <c r="I59" s="460"/>
      <c r="J59" s="460"/>
      <c r="K59" s="460"/>
      <c r="L59" s="460"/>
      <c r="M59" s="460"/>
      <c r="N59" s="460"/>
      <c r="O59" s="248"/>
    </row>
    <row r="60" spans="1:15" ht="64.5" customHeight="1">
      <c r="A60" s="204">
        <v>1</v>
      </c>
      <c r="B60" s="194" t="s">
        <v>76</v>
      </c>
      <c r="C60" s="205" t="s">
        <v>45</v>
      </c>
      <c r="D60" s="204">
        <v>2</v>
      </c>
      <c r="E60" s="205" t="s">
        <v>298</v>
      </c>
      <c r="F60" s="205"/>
      <c r="G60" s="205"/>
      <c r="H60" s="249">
        <v>0.16</v>
      </c>
      <c r="I60" s="205"/>
      <c r="J60" s="205">
        <f>4283*0.16*2</f>
        <v>1370.56</v>
      </c>
      <c r="K60" s="205">
        <f>4283*D60</f>
        <v>8566</v>
      </c>
      <c r="L60" s="205">
        <f>4283*1.16*2</f>
        <v>9936.56</v>
      </c>
      <c r="M60" s="205">
        <f aca="true" t="shared" si="4" ref="M60:M65">K60*0.35</f>
        <v>2998.1</v>
      </c>
      <c r="N60" s="186" t="s">
        <v>333</v>
      </c>
      <c r="O60" s="250" t="s">
        <v>109</v>
      </c>
    </row>
    <row r="61" spans="1:15" ht="59.25" customHeight="1">
      <c r="A61" s="204">
        <v>2</v>
      </c>
      <c r="B61" s="194" t="s">
        <v>77</v>
      </c>
      <c r="C61" s="205" t="s">
        <v>45</v>
      </c>
      <c r="D61" s="204">
        <v>2</v>
      </c>
      <c r="E61" s="205" t="s">
        <v>338</v>
      </c>
      <c r="F61" s="205"/>
      <c r="G61" s="205"/>
      <c r="H61" s="249">
        <v>0.12</v>
      </c>
      <c r="I61" s="205"/>
      <c r="J61" s="205">
        <f>3820*0.12*2</f>
        <v>916.8</v>
      </c>
      <c r="K61" s="205">
        <f>3820*D61</f>
        <v>7640</v>
      </c>
      <c r="L61" s="205">
        <f>3820*1.12*2</f>
        <v>8556.800000000001</v>
      </c>
      <c r="M61" s="205">
        <f t="shared" si="4"/>
        <v>2674</v>
      </c>
      <c r="N61" s="186" t="s">
        <v>333</v>
      </c>
      <c r="O61" s="251" t="s">
        <v>253</v>
      </c>
    </row>
    <row r="62" spans="1:15" ht="51" customHeight="1">
      <c r="A62" s="204">
        <v>3</v>
      </c>
      <c r="B62" s="194" t="s">
        <v>56</v>
      </c>
      <c r="C62" s="205" t="s">
        <v>45</v>
      </c>
      <c r="D62" s="204">
        <v>3</v>
      </c>
      <c r="E62" s="205" t="s">
        <v>294</v>
      </c>
      <c r="F62" s="205"/>
      <c r="G62" s="205"/>
      <c r="H62" s="249">
        <v>0.16</v>
      </c>
      <c r="I62" s="205"/>
      <c r="J62" s="205">
        <f>4283*3*0.16</f>
        <v>2055.84</v>
      </c>
      <c r="K62" s="205">
        <f>4283*D62</f>
        <v>12849</v>
      </c>
      <c r="L62" s="205">
        <f>4283*1.16*3</f>
        <v>14904.84</v>
      </c>
      <c r="M62" s="205">
        <f t="shared" si="4"/>
        <v>4497.15</v>
      </c>
      <c r="N62" s="186" t="s">
        <v>333</v>
      </c>
      <c r="O62" s="252" t="s">
        <v>108</v>
      </c>
    </row>
    <row r="63" spans="1:15" ht="55.5" customHeight="1">
      <c r="A63" s="204">
        <v>4</v>
      </c>
      <c r="B63" s="193" t="s">
        <v>196</v>
      </c>
      <c r="C63" s="205">
        <v>9322</v>
      </c>
      <c r="D63" s="205">
        <v>1</v>
      </c>
      <c r="E63" s="205" t="s">
        <v>295</v>
      </c>
      <c r="F63" s="201"/>
      <c r="G63" s="201"/>
      <c r="H63" s="215"/>
      <c r="I63" s="205"/>
      <c r="J63" s="205"/>
      <c r="K63" s="205">
        <v>3472</v>
      </c>
      <c r="L63" s="205">
        <f>3472</f>
        <v>3472</v>
      </c>
      <c r="M63" s="205">
        <f t="shared" si="4"/>
        <v>1215.1999999999998</v>
      </c>
      <c r="N63" s="185"/>
      <c r="O63" s="253" t="s">
        <v>254</v>
      </c>
    </row>
    <row r="64" spans="1:15" ht="52.5" customHeight="1">
      <c r="A64" s="204">
        <v>5</v>
      </c>
      <c r="B64" s="194" t="s">
        <v>57</v>
      </c>
      <c r="C64" s="205" t="s">
        <v>45</v>
      </c>
      <c r="D64" s="204">
        <v>1</v>
      </c>
      <c r="E64" s="205" t="s">
        <v>296</v>
      </c>
      <c r="F64" s="205"/>
      <c r="G64" s="205"/>
      <c r="H64" s="249">
        <v>0.12</v>
      </c>
      <c r="I64" s="205"/>
      <c r="J64" s="205">
        <f>3820*0.12*2</f>
        <v>916.8</v>
      </c>
      <c r="K64" s="205">
        <f>3820*D64</f>
        <v>3820</v>
      </c>
      <c r="L64" s="205">
        <f>3820*2*1.12</f>
        <v>8556.800000000001</v>
      </c>
      <c r="M64" s="205">
        <f t="shared" si="4"/>
        <v>1337</v>
      </c>
      <c r="N64" s="186" t="s">
        <v>333</v>
      </c>
      <c r="O64" s="194" t="s">
        <v>140</v>
      </c>
    </row>
    <row r="65" spans="1:15" ht="13.5">
      <c r="A65" s="204"/>
      <c r="B65" s="194"/>
      <c r="C65" s="205"/>
      <c r="D65" s="204">
        <f>SUM(D60:D64)</f>
        <v>9</v>
      </c>
      <c r="E65" s="205"/>
      <c r="F65" s="205"/>
      <c r="G65" s="205"/>
      <c r="H65" s="249"/>
      <c r="I65" s="205"/>
      <c r="J65" s="205">
        <f>SUM(J60:J64)</f>
        <v>5260</v>
      </c>
      <c r="K65" s="205">
        <f>SUM(K60:K64)</f>
        <v>36347</v>
      </c>
      <c r="L65" s="222">
        <f>SUM(L60:L64)</f>
        <v>45427</v>
      </c>
      <c r="M65" s="222">
        <f t="shared" si="4"/>
        <v>12721.449999999999</v>
      </c>
      <c r="N65" s="296">
        <f>SUM(L65:M65)</f>
        <v>58148.45</v>
      </c>
      <c r="O65" s="194"/>
    </row>
    <row r="66" spans="1:15" ht="14.25">
      <c r="A66" s="447" t="s">
        <v>117</v>
      </c>
      <c r="B66" s="447"/>
      <c r="C66" s="447"/>
      <c r="D66" s="447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254"/>
    </row>
    <row r="67" spans="1:15" ht="50.25" customHeight="1">
      <c r="A67" s="205">
        <v>1</v>
      </c>
      <c r="B67" s="194" t="s">
        <v>76</v>
      </c>
      <c r="C67" s="205" t="s">
        <v>45</v>
      </c>
      <c r="D67" s="205">
        <v>4</v>
      </c>
      <c r="E67" s="205" t="s">
        <v>298</v>
      </c>
      <c r="F67" s="205"/>
      <c r="G67" s="205"/>
      <c r="H67" s="249">
        <v>0.16</v>
      </c>
      <c r="I67" s="205"/>
      <c r="J67" s="205">
        <f>4283*0.16*4</f>
        <v>2741.12</v>
      </c>
      <c r="K67" s="205">
        <f>4283*D67</f>
        <v>17132</v>
      </c>
      <c r="L67" s="205">
        <f>4283*1.16*4</f>
        <v>19873.12</v>
      </c>
      <c r="M67" s="205">
        <f>K67*0.35</f>
        <v>5996.2</v>
      </c>
      <c r="N67" s="186" t="s">
        <v>333</v>
      </c>
      <c r="O67" s="256" t="s">
        <v>319</v>
      </c>
    </row>
    <row r="68" spans="1:15" ht="60" customHeight="1">
      <c r="A68" s="205">
        <v>2</v>
      </c>
      <c r="B68" s="194" t="s">
        <v>77</v>
      </c>
      <c r="C68" s="205" t="s">
        <v>45</v>
      </c>
      <c r="D68" s="205">
        <v>3</v>
      </c>
      <c r="E68" s="205" t="s">
        <v>338</v>
      </c>
      <c r="F68" s="205"/>
      <c r="G68" s="205"/>
      <c r="H68" s="249">
        <v>0.12</v>
      </c>
      <c r="I68" s="205"/>
      <c r="J68" s="205">
        <f>3820*4*1.12</f>
        <v>17113.600000000002</v>
      </c>
      <c r="K68" s="205">
        <f>3820*D68</f>
        <v>11460</v>
      </c>
      <c r="L68" s="205">
        <f>3820*1.12*4</f>
        <v>17113.600000000002</v>
      </c>
      <c r="M68" s="205">
        <f>K68*0.35</f>
        <v>4010.9999999999995</v>
      </c>
      <c r="N68" s="186" t="s">
        <v>333</v>
      </c>
      <c r="O68" s="256" t="s">
        <v>256</v>
      </c>
    </row>
    <row r="69" spans="1:15" ht="53.25" customHeight="1">
      <c r="A69" s="205">
        <v>3</v>
      </c>
      <c r="B69" s="194" t="s">
        <v>74</v>
      </c>
      <c r="C69" s="205" t="s">
        <v>45</v>
      </c>
      <c r="D69" s="205">
        <v>2</v>
      </c>
      <c r="E69" s="205" t="s">
        <v>294</v>
      </c>
      <c r="F69" s="205"/>
      <c r="G69" s="205"/>
      <c r="H69" s="249">
        <v>0.16</v>
      </c>
      <c r="I69" s="205"/>
      <c r="J69" s="205">
        <f>4283*0.16*2</f>
        <v>1370.56</v>
      </c>
      <c r="K69" s="205">
        <f>4283*D69</f>
        <v>8566</v>
      </c>
      <c r="L69" s="205">
        <f>4283*1.16*2</f>
        <v>9936.56</v>
      </c>
      <c r="M69" s="205">
        <f>K69*0.35</f>
        <v>2998.1</v>
      </c>
      <c r="N69" s="186" t="s">
        <v>333</v>
      </c>
      <c r="O69" s="251" t="s">
        <v>255</v>
      </c>
    </row>
    <row r="70" spans="1:15" ht="51.75" customHeight="1">
      <c r="A70" s="205">
        <v>4</v>
      </c>
      <c r="B70" s="194" t="s">
        <v>75</v>
      </c>
      <c r="C70" s="205" t="s">
        <v>45</v>
      </c>
      <c r="D70" s="205">
        <v>1</v>
      </c>
      <c r="E70" s="205" t="s">
        <v>296</v>
      </c>
      <c r="F70" s="205"/>
      <c r="G70" s="205"/>
      <c r="H70" s="249">
        <v>0.12</v>
      </c>
      <c r="I70" s="205"/>
      <c r="J70" s="205">
        <f>3820*0.12*2</f>
        <v>916.8</v>
      </c>
      <c r="K70" s="205">
        <f>3820*D70</f>
        <v>3820</v>
      </c>
      <c r="L70" s="205">
        <f>3820*2*1.12</f>
        <v>8556.800000000001</v>
      </c>
      <c r="M70" s="205">
        <f>K70*0.35</f>
        <v>1337</v>
      </c>
      <c r="N70" s="186" t="s">
        <v>333</v>
      </c>
      <c r="O70" s="194" t="s">
        <v>257</v>
      </c>
    </row>
    <row r="71" spans="1:15" ht="13.5">
      <c r="A71" s="205"/>
      <c r="B71" s="194" t="s">
        <v>328</v>
      </c>
      <c r="C71" s="205"/>
      <c r="D71" s="205">
        <f>SUM(D67:D70)</f>
        <v>10</v>
      </c>
      <c r="E71" s="205"/>
      <c r="F71" s="205"/>
      <c r="G71" s="205"/>
      <c r="H71" s="249"/>
      <c r="I71" s="205"/>
      <c r="J71" s="205">
        <f>SUM(J67:J70)</f>
        <v>22142.08</v>
      </c>
      <c r="K71" s="222">
        <f>SUM(K67:K70)</f>
        <v>40978</v>
      </c>
      <c r="L71" s="222">
        <f>SUM(L67:L70)</f>
        <v>55480.08</v>
      </c>
      <c r="M71" s="222">
        <f>K71*0.35</f>
        <v>14342.3</v>
      </c>
      <c r="N71" s="225">
        <f>SUM(L71:M71)</f>
        <v>69822.38</v>
      </c>
      <c r="O71" s="194"/>
    </row>
    <row r="72" spans="1:15" ht="14.25">
      <c r="A72" s="447" t="s">
        <v>20</v>
      </c>
      <c r="B72" s="447"/>
      <c r="C72" s="447"/>
      <c r="D72" s="447"/>
      <c r="E72" s="447"/>
      <c r="F72" s="447"/>
      <c r="G72" s="447"/>
      <c r="H72" s="447"/>
      <c r="I72" s="447"/>
      <c r="J72" s="447"/>
      <c r="K72" s="447"/>
      <c r="L72" s="447"/>
      <c r="M72" s="447"/>
      <c r="N72" s="447"/>
      <c r="O72" s="254"/>
    </row>
    <row r="73" spans="1:15" ht="45.75" customHeight="1">
      <c r="A73" s="204">
        <v>1</v>
      </c>
      <c r="B73" s="194" t="s">
        <v>74</v>
      </c>
      <c r="C73" s="205" t="s">
        <v>45</v>
      </c>
      <c r="D73" s="204">
        <v>6</v>
      </c>
      <c r="E73" s="205" t="s">
        <v>299</v>
      </c>
      <c r="F73" s="205"/>
      <c r="G73" s="205"/>
      <c r="H73" s="249">
        <v>0.16</v>
      </c>
      <c r="I73" s="205"/>
      <c r="J73" s="205">
        <f>4537*0.16*6</f>
        <v>4355.5199999999995</v>
      </c>
      <c r="K73" s="205">
        <f>4537*D73</f>
        <v>27222</v>
      </c>
      <c r="L73" s="205">
        <f>4537*1.16*6</f>
        <v>31577.52</v>
      </c>
      <c r="M73" s="205">
        <f>K73*0.35</f>
        <v>9527.699999999999</v>
      </c>
      <c r="N73" s="186" t="s">
        <v>333</v>
      </c>
      <c r="O73" s="194" t="s">
        <v>320</v>
      </c>
    </row>
    <row r="74" spans="1:15" ht="46.5" customHeight="1">
      <c r="A74" s="204">
        <v>2</v>
      </c>
      <c r="B74" s="194" t="s">
        <v>75</v>
      </c>
      <c r="C74" s="205" t="s">
        <v>45</v>
      </c>
      <c r="D74" s="204">
        <v>3</v>
      </c>
      <c r="E74" s="205" t="s">
        <v>300</v>
      </c>
      <c r="F74" s="257"/>
      <c r="G74" s="257"/>
      <c r="H74" s="258">
        <v>0.12</v>
      </c>
      <c r="I74" s="205"/>
      <c r="J74" s="205">
        <f>4028*3*0.12</f>
        <v>1450.08</v>
      </c>
      <c r="K74" s="205">
        <f>4028*D74</f>
        <v>12084</v>
      </c>
      <c r="L74" s="205">
        <f>4028*1.12*3</f>
        <v>13534.080000000002</v>
      </c>
      <c r="M74" s="205">
        <f>K74*0.35</f>
        <v>4229.4</v>
      </c>
      <c r="N74" s="186" t="s">
        <v>333</v>
      </c>
      <c r="O74" s="194" t="s">
        <v>258</v>
      </c>
    </row>
    <row r="75" spans="1:15" ht="13.5">
      <c r="A75" s="204"/>
      <c r="B75" s="194" t="s">
        <v>328</v>
      </c>
      <c r="C75" s="205"/>
      <c r="D75" s="204">
        <f>SUM(D73:D74)</f>
        <v>9</v>
      </c>
      <c r="E75" s="205"/>
      <c r="F75" s="257"/>
      <c r="G75" s="257"/>
      <c r="H75" s="258"/>
      <c r="I75" s="205"/>
      <c r="J75" s="205">
        <f>SUM(J73:J74)</f>
        <v>5805.599999999999</v>
      </c>
      <c r="K75" s="222">
        <f>SUM(K73:K74)</f>
        <v>39306</v>
      </c>
      <c r="L75" s="222">
        <f>SUM(L73:L74)</f>
        <v>45111.600000000006</v>
      </c>
      <c r="M75" s="222">
        <f>K75*0.35</f>
        <v>13757.099999999999</v>
      </c>
      <c r="N75" s="225">
        <f>SUM(L75:M75)</f>
        <v>58868.700000000004</v>
      </c>
      <c r="O75" s="194"/>
    </row>
    <row r="76" spans="1:15" ht="14.25">
      <c r="A76" s="447" t="s">
        <v>72</v>
      </c>
      <c r="B76" s="447"/>
      <c r="C76" s="447"/>
      <c r="D76" s="447"/>
      <c r="E76" s="447"/>
      <c r="F76" s="447"/>
      <c r="G76" s="447"/>
      <c r="H76" s="447"/>
      <c r="I76" s="447"/>
      <c r="J76" s="447"/>
      <c r="K76" s="447"/>
      <c r="L76" s="447"/>
      <c r="M76" s="447"/>
      <c r="N76" s="447"/>
      <c r="O76" s="254"/>
    </row>
    <row r="77" spans="1:15" ht="62.25" customHeight="1">
      <c r="A77" s="198">
        <v>1</v>
      </c>
      <c r="B77" s="194" t="s">
        <v>76</v>
      </c>
      <c r="C77" s="205" t="s">
        <v>45</v>
      </c>
      <c r="D77" s="198">
        <v>6</v>
      </c>
      <c r="E77" s="205" t="s">
        <v>294</v>
      </c>
      <c r="F77" s="205"/>
      <c r="G77" s="205"/>
      <c r="H77" s="249">
        <v>0.16</v>
      </c>
      <c r="I77" s="198"/>
      <c r="J77" s="198">
        <f>4283*0.16*6</f>
        <v>4111.68</v>
      </c>
      <c r="K77" s="198">
        <f>4283*6</f>
        <v>25698</v>
      </c>
      <c r="L77" s="198">
        <f>4283*1.16*D77</f>
        <v>29809.68</v>
      </c>
      <c r="M77" s="198">
        <f>K77*0.35</f>
        <v>8994.3</v>
      </c>
      <c r="N77" s="186" t="s">
        <v>333</v>
      </c>
      <c r="O77" s="194" t="s">
        <v>241</v>
      </c>
    </row>
    <row r="78" spans="1:15" ht="48.75" customHeight="1">
      <c r="A78" s="198">
        <v>2</v>
      </c>
      <c r="B78" s="194" t="s">
        <v>75</v>
      </c>
      <c r="C78" s="205" t="s">
        <v>45</v>
      </c>
      <c r="D78" s="198">
        <v>1</v>
      </c>
      <c r="E78" s="205" t="s">
        <v>296</v>
      </c>
      <c r="F78" s="205"/>
      <c r="G78" s="205"/>
      <c r="H78" s="249">
        <v>0.12</v>
      </c>
      <c r="I78" s="205"/>
      <c r="J78" s="205">
        <f>3820*1*0.12</f>
        <v>458.4</v>
      </c>
      <c r="K78" s="205">
        <f>3820*1</f>
        <v>3820</v>
      </c>
      <c r="L78" s="205">
        <f>3820*1.12*D78</f>
        <v>4278.400000000001</v>
      </c>
      <c r="M78" s="198">
        <f>K78*0.35</f>
        <v>1337</v>
      </c>
      <c r="N78" s="186" t="s">
        <v>333</v>
      </c>
      <c r="O78" s="194" t="s">
        <v>240</v>
      </c>
    </row>
    <row r="79" spans="1:15" ht="48.75" customHeight="1">
      <c r="A79" s="198">
        <v>3</v>
      </c>
      <c r="B79" s="194" t="s">
        <v>74</v>
      </c>
      <c r="C79" s="205" t="s">
        <v>45</v>
      </c>
      <c r="D79" s="198">
        <v>2</v>
      </c>
      <c r="E79" s="205" t="s">
        <v>294</v>
      </c>
      <c r="F79" s="205"/>
      <c r="G79" s="205"/>
      <c r="H79" s="249">
        <v>0.16</v>
      </c>
      <c r="I79" s="198"/>
      <c r="J79" s="198">
        <f>4283*0.16*2</f>
        <v>1370.56</v>
      </c>
      <c r="K79" s="198">
        <f>4283*D79</f>
        <v>8566</v>
      </c>
      <c r="L79" s="198">
        <f>4283*1.16*2</f>
        <v>9936.56</v>
      </c>
      <c r="M79" s="198">
        <f>K79*0.35</f>
        <v>2998.1</v>
      </c>
      <c r="N79" s="186" t="s">
        <v>333</v>
      </c>
      <c r="O79" s="194" t="s">
        <v>321</v>
      </c>
    </row>
    <row r="80" spans="1:15" ht="54">
      <c r="A80" s="198">
        <v>3</v>
      </c>
      <c r="B80" s="206" t="s">
        <v>25</v>
      </c>
      <c r="C80" s="205" t="s">
        <v>45</v>
      </c>
      <c r="D80" s="198"/>
      <c r="E80" s="205">
        <f>1838*1.48</f>
        <v>2720.24</v>
      </c>
      <c r="F80" s="205"/>
      <c r="G80" s="205"/>
      <c r="H80" s="205"/>
      <c r="I80" s="198"/>
      <c r="J80" s="198"/>
      <c r="K80" s="198"/>
      <c r="L80" s="198"/>
      <c r="M80" s="198">
        <f>K80*0.35</f>
        <v>0</v>
      </c>
      <c r="N80" s="255" t="s">
        <v>325</v>
      </c>
      <c r="O80" s="191"/>
    </row>
    <row r="81" spans="1:15" ht="13.5">
      <c r="A81" s="198"/>
      <c r="B81" s="206" t="s">
        <v>328</v>
      </c>
      <c r="C81" s="205"/>
      <c r="D81" s="198">
        <f>SUM(D77:D80)</f>
        <v>9</v>
      </c>
      <c r="E81" s="205"/>
      <c r="F81" s="205"/>
      <c r="G81" s="205"/>
      <c r="H81" s="205"/>
      <c r="I81" s="198"/>
      <c r="J81" s="212">
        <f>SUM(J77:J80)</f>
        <v>5940.639999999999</v>
      </c>
      <c r="K81" s="212">
        <f>SUM(K77:K80)</f>
        <v>38084</v>
      </c>
      <c r="L81" s="212">
        <f>SUM(L77:L80)</f>
        <v>44024.64</v>
      </c>
      <c r="M81" s="212">
        <f>K81*0.35</f>
        <v>13329.4</v>
      </c>
      <c r="N81" s="255">
        <f>SUM(L81:M81)</f>
        <v>57354.04</v>
      </c>
      <c r="O81" s="191"/>
    </row>
    <row r="82" spans="1:15" ht="14.25">
      <c r="A82" s="447" t="s">
        <v>14</v>
      </c>
      <c r="B82" s="447"/>
      <c r="C82" s="447"/>
      <c r="D82" s="447"/>
      <c r="E82" s="447"/>
      <c r="F82" s="447"/>
      <c r="G82" s="447"/>
      <c r="H82" s="447"/>
      <c r="I82" s="447"/>
      <c r="J82" s="447"/>
      <c r="K82" s="447"/>
      <c r="L82" s="447"/>
      <c r="M82" s="447"/>
      <c r="N82" s="447"/>
      <c r="O82" s="254"/>
    </row>
    <row r="83" spans="1:15" ht="48.75" customHeight="1">
      <c r="A83" s="208">
        <v>1</v>
      </c>
      <c r="B83" s="194" t="s">
        <v>50</v>
      </c>
      <c r="C83" s="205" t="s">
        <v>45</v>
      </c>
      <c r="D83" s="197">
        <v>6</v>
      </c>
      <c r="E83" s="205" t="s">
        <v>294</v>
      </c>
      <c r="F83" s="198"/>
      <c r="G83" s="198"/>
      <c r="H83" s="259">
        <v>0.16</v>
      </c>
      <c r="I83" s="198"/>
      <c r="J83" s="198">
        <f>4283*0.16*10</f>
        <v>6852.799999999999</v>
      </c>
      <c r="K83" s="198">
        <f>4283*D83</f>
        <v>25698</v>
      </c>
      <c r="L83" s="198">
        <f>4283*1.16*D83</f>
        <v>29809.68</v>
      </c>
      <c r="M83" s="198">
        <f>K83*0.35</f>
        <v>8994.3</v>
      </c>
      <c r="N83" s="186" t="s">
        <v>333</v>
      </c>
      <c r="O83" s="194" t="s">
        <v>242</v>
      </c>
    </row>
    <row r="84" spans="1:15" ht="54.75" customHeight="1">
      <c r="A84" s="208">
        <v>2</v>
      </c>
      <c r="B84" s="194" t="s">
        <v>49</v>
      </c>
      <c r="C84" s="205" t="s">
        <v>61</v>
      </c>
      <c r="D84" s="197">
        <v>2</v>
      </c>
      <c r="E84" s="205" t="s">
        <v>294</v>
      </c>
      <c r="F84" s="198"/>
      <c r="G84" s="198"/>
      <c r="H84" s="259">
        <v>0.16</v>
      </c>
      <c r="I84" s="198"/>
      <c r="J84" s="198">
        <f>4283*2*0.16</f>
        <v>1370.56</v>
      </c>
      <c r="K84" s="198">
        <f>4283*D84</f>
        <v>8566</v>
      </c>
      <c r="L84" s="198">
        <f>4283*1.16*2</f>
        <v>9936.56</v>
      </c>
      <c r="M84" s="198">
        <f>K84*0.35</f>
        <v>2998.1</v>
      </c>
      <c r="N84" s="186" t="s">
        <v>333</v>
      </c>
      <c r="O84" s="194" t="s">
        <v>246</v>
      </c>
    </row>
    <row r="85" spans="1:15" ht="55.5" customHeight="1">
      <c r="A85" s="208">
        <v>3</v>
      </c>
      <c r="B85" s="194" t="s">
        <v>243</v>
      </c>
      <c r="C85" s="205" t="s">
        <v>61</v>
      </c>
      <c r="D85" s="197">
        <v>4</v>
      </c>
      <c r="E85" s="205" t="s">
        <v>296</v>
      </c>
      <c r="F85" s="198"/>
      <c r="G85" s="198"/>
      <c r="H85" s="259"/>
      <c r="I85" s="198"/>
      <c r="J85" s="198">
        <f>3820*4*0.12</f>
        <v>1833.6</v>
      </c>
      <c r="K85" s="198">
        <f>3820*D85</f>
        <v>15280</v>
      </c>
      <c r="L85" s="198">
        <f>3820*4</f>
        <v>15280</v>
      </c>
      <c r="M85" s="198">
        <f>K85*0.35</f>
        <v>5348</v>
      </c>
      <c r="N85" s="225"/>
      <c r="O85" s="194" t="s">
        <v>244</v>
      </c>
    </row>
    <row r="86" spans="1:15" ht="81">
      <c r="A86" s="197">
        <v>4</v>
      </c>
      <c r="B86" s="194" t="s">
        <v>297</v>
      </c>
      <c r="C86" s="205" t="s">
        <v>62</v>
      </c>
      <c r="D86" s="197">
        <v>1</v>
      </c>
      <c r="E86" s="205" t="s">
        <v>296</v>
      </c>
      <c r="F86" s="198"/>
      <c r="G86" s="198"/>
      <c r="H86" s="259">
        <v>0.12</v>
      </c>
      <c r="I86" s="198"/>
      <c r="J86" s="198">
        <f>3820*1*0.12</f>
        <v>458.4</v>
      </c>
      <c r="K86" s="198">
        <v>3820</v>
      </c>
      <c r="L86" s="198">
        <f>3820*1.12</f>
        <v>4278.400000000001</v>
      </c>
      <c r="M86" s="198">
        <f>K86*0.35</f>
        <v>1337</v>
      </c>
      <c r="N86" s="186" t="s">
        <v>333</v>
      </c>
      <c r="O86" s="199" t="s">
        <v>89</v>
      </c>
    </row>
    <row r="87" spans="1:15" ht="19.5" customHeight="1">
      <c r="A87" s="197"/>
      <c r="B87" s="194" t="s">
        <v>328</v>
      </c>
      <c r="C87" s="205"/>
      <c r="D87" s="197">
        <f>SUM(D83:D86)</f>
        <v>13</v>
      </c>
      <c r="E87" s="205"/>
      <c r="F87" s="198"/>
      <c r="G87" s="198"/>
      <c r="H87" s="259"/>
      <c r="I87" s="198"/>
      <c r="J87" s="212">
        <f>SUM(J83:J86)</f>
        <v>10515.359999999999</v>
      </c>
      <c r="K87" s="212">
        <f>SUM(K83:K86)</f>
        <v>53364</v>
      </c>
      <c r="L87" s="212">
        <f>SUM(L83:L86)</f>
        <v>59304.64</v>
      </c>
      <c r="M87" s="212">
        <f>K87*0.35</f>
        <v>18677.399999999998</v>
      </c>
      <c r="N87" s="225">
        <f>SUM(L87:M87)</f>
        <v>77982.04</v>
      </c>
      <c r="O87" s="199"/>
    </row>
    <row r="88" spans="1:15" ht="18.75" customHeight="1">
      <c r="A88" s="461" t="s">
        <v>301</v>
      </c>
      <c r="B88" s="461"/>
      <c r="C88" s="461"/>
      <c r="D88" s="461"/>
      <c r="E88" s="461"/>
      <c r="F88" s="461"/>
      <c r="G88" s="461"/>
      <c r="H88" s="461"/>
      <c r="I88" s="461"/>
      <c r="J88" s="461"/>
      <c r="K88" s="461"/>
      <c r="L88" s="461"/>
      <c r="M88" s="461"/>
      <c r="N88" s="461"/>
      <c r="O88" s="260"/>
    </row>
    <row r="89" spans="1:15" ht="13.5">
      <c r="A89" s="207"/>
      <c r="B89" s="261" t="s">
        <v>21</v>
      </c>
      <c r="C89" s="204" t="s">
        <v>33</v>
      </c>
      <c r="D89" s="207"/>
      <c r="E89" s="200">
        <v>3160</v>
      </c>
      <c r="F89" s="200"/>
      <c r="G89" s="200"/>
      <c r="H89" s="200"/>
      <c r="I89" s="200"/>
      <c r="J89" s="200"/>
      <c r="K89" s="203"/>
      <c r="L89" s="201"/>
      <c r="M89" s="201"/>
      <c r="N89" s="191"/>
      <c r="O89" s="191"/>
    </row>
    <row r="90" spans="1:15" ht="43.5" customHeight="1">
      <c r="A90" s="207">
        <v>1</v>
      </c>
      <c r="B90" s="194" t="s">
        <v>395</v>
      </c>
      <c r="C90" s="205" t="s">
        <v>45</v>
      </c>
      <c r="D90" s="207">
        <v>1</v>
      </c>
      <c r="E90" s="205" t="s">
        <v>434</v>
      </c>
      <c r="F90" s="205"/>
      <c r="G90" s="205"/>
      <c r="H90" s="249">
        <v>0.12</v>
      </c>
      <c r="I90" s="205"/>
      <c r="J90" s="205">
        <f>3353*0.16</f>
        <v>536.48</v>
      </c>
      <c r="K90" s="205">
        <f>3353</f>
        <v>3353</v>
      </c>
      <c r="L90" s="205">
        <f>3353*1.12*D90</f>
        <v>3755.3600000000006</v>
      </c>
      <c r="M90" s="205">
        <f>K90*0.35</f>
        <v>1173.55</v>
      </c>
      <c r="N90" s="186" t="s">
        <v>333</v>
      </c>
      <c r="O90" s="199" t="s">
        <v>249</v>
      </c>
    </row>
    <row r="91" spans="1:15" ht="69" customHeight="1">
      <c r="A91" s="207">
        <v>2</v>
      </c>
      <c r="B91" s="194" t="s">
        <v>58</v>
      </c>
      <c r="C91" s="205" t="s">
        <v>46</v>
      </c>
      <c r="D91" s="207">
        <v>3</v>
      </c>
      <c r="E91" s="204" t="s">
        <v>435</v>
      </c>
      <c r="F91" s="204"/>
      <c r="G91" s="204"/>
      <c r="H91" s="249">
        <v>0.12</v>
      </c>
      <c r="I91" s="204"/>
      <c r="J91" s="204">
        <f>3353*0.12*3</f>
        <v>1207.08</v>
      </c>
      <c r="K91" s="205">
        <f>3353*D91</f>
        <v>10059</v>
      </c>
      <c r="L91" s="205">
        <f>3473*3*1.12</f>
        <v>11669.28</v>
      </c>
      <c r="M91" s="205">
        <f>K91*0.35</f>
        <v>3520.6499999999996</v>
      </c>
      <c r="N91" s="186" t="s">
        <v>333</v>
      </c>
      <c r="O91" s="194" t="s">
        <v>247</v>
      </c>
    </row>
    <row r="92" spans="1:15" ht="67.5">
      <c r="A92" s="207">
        <v>3</v>
      </c>
      <c r="B92" s="194" t="s">
        <v>59</v>
      </c>
      <c r="C92" s="205" t="s">
        <v>46</v>
      </c>
      <c r="D92" s="207">
        <v>2</v>
      </c>
      <c r="E92" s="205" t="s">
        <v>302</v>
      </c>
      <c r="F92" s="205"/>
      <c r="G92" s="205"/>
      <c r="H92" s="249">
        <v>0.16</v>
      </c>
      <c r="I92" s="205"/>
      <c r="J92" s="205">
        <f>3912*4*0.16</f>
        <v>2503.68</v>
      </c>
      <c r="K92" s="205">
        <f>3912*D92</f>
        <v>7824</v>
      </c>
      <c r="L92" s="205">
        <f>3912*1.16*D92</f>
        <v>9075.84</v>
      </c>
      <c r="M92" s="205">
        <f>K92*0.35</f>
        <v>2738.3999999999996</v>
      </c>
      <c r="N92" s="186" t="s">
        <v>333</v>
      </c>
      <c r="O92" s="199" t="s">
        <v>102</v>
      </c>
    </row>
    <row r="93" spans="1:15" ht="108">
      <c r="A93" s="262">
        <v>4</v>
      </c>
      <c r="B93" s="194" t="s">
        <v>303</v>
      </c>
      <c r="C93" s="205" t="s">
        <v>46</v>
      </c>
      <c r="D93" s="207">
        <v>2</v>
      </c>
      <c r="E93" s="205" t="s">
        <v>302</v>
      </c>
      <c r="F93" s="205"/>
      <c r="G93" s="205"/>
      <c r="H93" s="249">
        <v>0.16</v>
      </c>
      <c r="I93" s="205"/>
      <c r="J93" s="205">
        <f>3912*0.16*4</f>
        <v>2503.68</v>
      </c>
      <c r="K93" s="205">
        <f>3912*D93</f>
        <v>7824</v>
      </c>
      <c r="L93" s="205">
        <f>3912*4*1.16</f>
        <v>18151.68</v>
      </c>
      <c r="M93" s="205">
        <f>K93*0.35</f>
        <v>2738.3999999999996</v>
      </c>
      <c r="N93" s="186" t="s">
        <v>333</v>
      </c>
      <c r="O93" s="199"/>
    </row>
    <row r="94" spans="1:15" ht="18" customHeight="1">
      <c r="A94" s="207"/>
      <c r="B94" s="194" t="s">
        <v>329</v>
      </c>
      <c r="C94" s="205"/>
      <c r="D94" s="207">
        <f>SUM(D90:D93)</f>
        <v>8</v>
      </c>
      <c r="E94" s="205"/>
      <c r="F94" s="205"/>
      <c r="G94" s="205"/>
      <c r="H94" s="249"/>
      <c r="I94" s="205"/>
      <c r="J94" s="222">
        <f>SUM(J90:J93)</f>
        <v>6750.92</v>
      </c>
      <c r="K94" s="222">
        <f>SUM(K90:K93)</f>
        <v>29060</v>
      </c>
      <c r="L94" s="222">
        <f>SUM(L90:L93)</f>
        <v>42652.16</v>
      </c>
      <c r="M94" s="222">
        <f>K94*0.35</f>
        <v>10171</v>
      </c>
      <c r="N94" s="225">
        <f>SUM(L94:M94)</f>
        <v>52823.16</v>
      </c>
      <c r="O94" s="199"/>
    </row>
    <row r="95" spans="1:15" ht="19.5" customHeight="1">
      <c r="A95" s="447" t="s">
        <v>177</v>
      </c>
      <c r="B95" s="447"/>
      <c r="C95" s="447"/>
      <c r="D95" s="447"/>
      <c r="E95" s="447"/>
      <c r="F95" s="447"/>
      <c r="G95" s="447"/>
      <c r="H95" s="447"/>
      <c r="I95" s="447"/>
      <c r="J95" s="447"/>
      <c r="K95" s="447"/>
      <c r="L95" s="447"/>
      <c r="M95" s="447"/>
      <c r="N95" s="447"/>
      <c r="O95" s="254"/>
    </row>
    <row r="96" spans="1:16" ht="56.25" customHeight="1">
      <c r="A96" s="204">
        <v>1</v>
      </c>
      <c r="B96" s="194" t="s">
        <v>400</v>
      </c>
      <c r="C96" s="205">
        <v>8322</v>
      </c>
      <c r="D96" s="204">
        <v>2</v>
      </c>
      <c r="E96" s="205" t="s">
        <v>436</v>
      </c>
      <c r="F96" s="205"/>
      <c r="G96" s="205"/>
      <c r="H96" s="205"/>
      <c r="I96" s="249">
        <v>0.25</v>
      </c>
      <c r="J96" s="205">
        <f>3588*0.25*2</f>
        <v>1794</v>
      </c>
      <c r="K96" s="205">
        <f>3588*2</f>
        <v>7176</v>
      </c>
      <c r="L96" s="205">
        <f>3588*1.25*2</f>
        <v>8970</v>
      </c>
      <c r="M96" s="205">
        <f>K96*0.35</f>
        <v>2511.6</v>
      </c>
      <c r="N96" s="227" t="s">
        <v>323</v>
      </c>
      <c r="O96" s="210" t="s">
        <v>219</v>
      </c>
      <c r="P96" s="227" t="s">
        <v>437</v>
      </c>
    </row>
    <row r="97" spans="1:16" ht="73.5" customHeight="1">
      <c r="A97" s="204">
        <v>2</v>
      </c>
      <c r="B97" s="194" t="s">
        <v>318</v>
      </c>
      <c r="C97" s="205">
        <v>8322</v>
      </c>
      <c r="D97" s="204">
        <v>2</v>
      </c>
      <c r="E97" s="205" t="s">
        <v>441</v>
      </c>
      <c r="F97" s="205"/>
      <c r="G97" s="205"/>
      <c r="H97" s="205"/>
      <c r="I97" s="249">
        <v>0.25</v>
      </c>
      <c r="J97" s="205">
        <f>3768*0.25*2</f>
        <v>1884</v>
      </c>
      <c r="K97" s="205">
        <f>3768*2</f>
        <v>7536</v>
      </c>
      <c r="L97" s="205">
        <f>3768*1.25*2</f>
        <v>9420</v>
      </c>
      <c r="M97" s="205">
        <f aca="true" t="shared" si="5" ref="M97:M104">K97*0.35</f>
        <v>2637.6</v>
      </c>
      <c r="N97" s="227" t="s">
        <v>323</v>
      </c>
      <c r="O97" s="210" t="s">
        <v>259</v>
      </c>
      <c r="P97" s="227" t="s">
        <v>439</v>
      </c>
    </row>
    <row r="98" spans="1:15" ht="50.25" customHeight="1">
      <c r="A98" s="204">
        <v>3</v>
      </c>
      <c r="B98" s="194" t="s">
        <v>316</v>
      </c>
      <c r="C98" s="205">
        <v>8322</v>
      </c>
      <c r="D98" s="204">
        <v>3</v>
      </c>
      <c r="E98" s="205" t="s">
        <v>308</v>
      </c>
      <c r="F98" s="205"/>
      <c r="G98" s="205"/>
      <c r="H98" s="205"/>
      <c r="I98" s="249">
        <v>0.25</v>
      </c>
      <c r="J98" s="205">
        <f>3721*4*0.25</f>
        <v>3721</v>
      </c>
      <c r="K98" s="205">
        <f>3721*D98</f>
        <v>11163</v>
      </c>
      <c r="L98" s="205">
        <f>3721*1.25*3</f>
        <v>13953.75</v>
      </c>
      <c r="M98" s="205">
        <f t="shared" si="5"/>
        <v>3907.0499999999997</v>
      </c>
      <c r="N98" s="227" t="s">
        <v>323</v>
      </c>
      <c r="O98" s="210" t="s">
        <v>159</v>
      </c>
    </row>
    <row r="99" spans="1:15" ht="67.5">
      <c r="A99" s="204">
        <v>4</v>
      </c>
      <c r="B99" s="194" t="s">
        <v>306</v>
      </c>
      <c r="C99" s="205">
        <v>8322</v>
      </c>
      <c r="D99" s="204">
        <v>1</v>
      </c>
      <c r="E99" s="205" t="s">
        <v>309</v>
      </c>
      <c r="F99" s="205"/>
      <c r="G99" s="205"/>
      <c r="H99" s="205"/>
      <c r="I99" s="249">
        <v>0.25</v>
      </c>
      <c r="J99" s="205">
        <f>3770*0.25</f>
        <v>942.5</v>
      </c>
      <c r="K99" s="205">
        <f>3770*D99</f>
        <v>3770</v>
      </c>
      <c r="L99" s="205">
        <f>3770*1.25</f>
        <v>4712.5</v>
      </c>
      <c r="M99" s="205">
        <f t="shared" si="5"/>
        <v>1319.5</v>
      </c>
      <c r="N99" s="227" t="s">
        <v>323</v>
      </c>
      <c r="O99" s="216" t="s">
        <v>160</v>
      </c>
    </row>
    <row r="100" spans="1:15" ht="53.25" customHeight="1">
      <c r="A100" s="204">
        <v>5</v>
      </c>
      <c r="B100" s="194" t="s">
        <v>317</v>
      </c>
      <c r="C100" s="205">
        <v>8322</v>
      </c>
      <c r="D100" s="204">
        <v>6</v>
      </c>
      <c r="E100" s="205" t="s">
        <v>310</v>
      </c>
      <c r="F100" s="205"/>
      <c r="G100" s="205"/>
      <c r="H100" s="205"/>
      <c r="I100" s="249">
        <v>0.25</v>
      </c>
      <c r="J100" s="205">
        <f>3970*0.25*6</f>
        <v>5955</v>
      </c>
      <c r="K100" s="205">
        <f>3970*D100</f>
        <v>23820</v>
      </c>
      <c r="L100" s="205">
        <f>3970*1.25*6</f>
        <v>29775</v>
      </c>
      <c r="M100" s="205">
        <f t="shared" si="5"/>
        <v>8337</v>
      </c>
      <c r="N100" s="227" t="s">
        <v>323</v>
      </c>
      <c r="O100" s="194" t="s">
        <v>218</v>
      </c>
    </row>
    <row r="101" spans="1:15" ht="67.5">
      <c r="A101" s="204">
        <v>6</v>
      </c>
      <c r="B101" s="194" t="s">
        <v>307</v>
      </c>
      <c r="C101" s="205">
        <v>8322</v>
      </c>
      <c r="D101" s="204">
        <v>1</v>
      </c>
      <c r="E101" s="205" t="s">
        <v>311</v>
      </c>
      <c r="F101" s="205"/>
      <c r="G101" s="205"/>
      <c r="H101" s="205"/>
      <c r="I101" s="249">
        <v>0.25</v>
      </c>
      <c r="J101" s="205">
        <f>3770*2*0.25</f>
        <v>1885</v>
      </c>
      <c r="K101" s="205">
        <f>3770*D101</f>
        <v>3770</v>
      </c>
      <c r="L101" s="205">
        <f>3770*1.25*1</f>
        <v>4712.5</v>
      </c>
      <c r="M101" s="205">
        <f t="shared" si="5"/>
        <v>1319.5</v>
      </c>
      <c r="N101" s="227" t="s">
        <v>323</v>
      </c>
      <c r="O101" s="194"/>
    </row>
    <row r="102" spans="1:15" ht="125.25" customHeight="1">
      <c r="A102" s="204">
        <v>7</v>
      </c>
      <c r="B102" s="194" t="s">
        <v>312</v>
      </c>
      <c r="C102" s="205">
        <v>8322</v>
      </c>
      <c r="D102" s="204">
        <v>7</v>
      </c>
      <c r="E102" s="205" t="s">
        <v>339</v>
      </c>
      <c r="F102" s="205"/>
      <c r="G102" s="205"/>
      <c r="H102" s="205"/>
      <c r="I102" s="249">
        <v>0.25</v>
      </c>
      <c r="J102" s="205">
        <f>3994*0.25*7</f>
        <v>6989.5</v>
      </c>
      <c r="K102" s="205">
        <f>3994*D102</f>
        <v>27958</v>
      </c>
      <c r="L102" s="205">
        <f>3994*1.25*7</f>
        <v>34947.5</v>
      </c>
      <c r="M102" s="205">
        <f t="shared" si="5"/>
        <v>9785.3</v>
      </c>
      <c r="N102" s="227" t="s">
        <v>323</v>
      </c>
      <c r="O102" s="194" t="s">
        <v>104</v>
      </c>
    </row>
    <row r="103" spans="1:16" ht="85.5" customHeight="1">
      <c r="A103" s="204">
        <v>8</v>
      </c>
      <c r="B103" s="194" t="s">
        <v>401</v>
      </c>
      <c r="C103" s="205">
        <v>8322</v>
      </c>
      <c r="D103" s="204">
        <v>4</v>
      </c>
      <c r="E103" s="205" t="s">
        <v>440</v>
      </c>
      <c r="F103" s="205"/>
      <c r="G103" s="205"/>
      <c r="H103" s="205"/>
      <c r="I103" s="249">
        <v>0.25</v>
      </c>
      <c r="J103" s="205">
        <f>3768*0.25*4</f>
        <v>3768</v>
      </c>
      <c r="K103" s="205">
        <f>3768*D103</f>
        <v>15072</v>
      </c>
      <c r="L103" s="205">
        <f>3768*1.25*4</f>
        <v>18840</v>
      </c>
      <c r="M103" s="205">
        <f t="shared" si="5"/>
        <v>5275.2</v>
      </c>
      <c r="N103" s="227" t="s">
        <v>323</v>
      </c>
      <c r="O103" s="194" t="s">
        <v>161</v>
      </c>
      <c r="P103" s="227" t="s">
        <v>438</v>
      </c>
    </row>
    <row r="104" spans="1:15" ht="13.5">
      <c r="A104" s="204"/>
      <c r="B104" s="194"/>
      <c r="C104" s="243"/>
      <c r="D104" s="204">
        <f>SUM(D96:D103)</f>
        <v>26</v>
      </c>
      <c r="E104" s="205"/>
      <c r="F104" s="205"/>
      <c r="G104" s="205"/>
      <c r="H104" s="205"/>
      <c r="I104" s="205"/>
      <c r="J104" s="222">
        <f>SUM(J96:J103)</f>
        <v>26939</v>
      </c>
      <c r="K104" s="222">
        <f>SUM(K96:K103)</f>
        <v>100265</v>
      </c>
      <c r="L104" s="222">
        <f>SUM(L96:L103)</f>
        <v>125331.25</v>
      </c>
      <c r="M104" s="222">
        <f t="shared" si="5"/>
        <v>35092.75</v>
      </c>
      <c r="N104" s="297">
        <f>SUM(L104:M104)</f>
        <v>160424</v>
      </c>
      <c r="O104" s="191"/>
    </row>
    <row r="105" spans="1:15" ht="14.25">
      <c r="A105" s="446" t="s">
        <v>175</v>
      </c>
      <c r="B105" s="446"/>
      <c r="C105" s="446"/>
      <c r="D105" s="446"/>
      <c r="E105" s="446"/>
      <c r="F105" s="446"/>
      <c r="G105" s="446"/>
      <c r="H105" s="446"/>
      <c r="I105" s="446"/>
      <c r="J105" s="446"/>
      <c r="K105" s="446"/>
      <c r="L105" s="446"/>
      <c r="M105" s="446"/>
      <c r="N105" s="446"/>
      <c r="O105" s="254"/>
    </row>
    <row r="106" spans="1:16" ht="46.5" customHeight="1">
      <c r="A106" s="263">
        <v>1</v>
      </c>
      <c r="B106" s="193" t="s">
        <v>31</v>
      </c>
      <c r="C106" s="205" t="s">
        <v>63</v>
      </c>
      <c r="D106" s="207">
        <v>1</v>
      </c>
      <c r="E106" s="205" t="s">
        <v>442</v>
      </c>
      <c r="F106" s="205"/>
      <c r="G106" s="205"/>
      <c r="H106" s="249">
        <v>0.16</v>
      </c>
      <c r="I106" s="205"/>
      <c r="J106" s="205">
        <f>4722.68*0.16</f>
        <v>755.6288000000001</v>
      </c>
      <c r="K106" s="205">
        <v>4723</v>
      </c>
      <c r="L106" s="205">
        <f>4723*1.16</f>
        <v>5478.679999999999</v>
      </c>
      <c r="M106" s="205">
        <f>K106*0.35</f>
        <v>1653.05</v>
      </c>
      <c r="N106" s="186" t="s">
        <v>333</v>
      </c>
      <c r="O106" s="199" t="s">
        <v>86</v>
      </c>
      <c r="P106" s="307" t="s">
        <v>443</v>
      </c>
    </row>
    <row r="107" spans="1:16" ht="54.75" customHeight="1">
      <c r="A107" s="263">
        <v>2</v>
      </c>
      <c r="B107" s="193" t="s">
        <v>64</v>
      </c>
      <c r="C107" s="205">
        <v>7214</v>
      </c>
      <c r="D107" s="207">
        <v>2</v>
      </c>
      <c r="E107" s="205" t="s">
        <v>445</v>
      </c>
      <c r="F107" s="205"/>
      <c r="G107" s="205"/>
      <c r="H107" s="249">
        <v>0.12</v>
      </c>
      <c r="I107" s="205"/>
      <c r="J107" s="205">
        <f>3912*0.12*2</f>
        <v>938.88</v>
      </c>
      <c r="K107" s="205">
        <f>3912*D107</f>
        <v>7824</v>
      </c>
      <c r="L107" s="205">
        <f>3912*2*1.12</f>
        <v>8762.880000000001</v>
      </c>
      <c r="M107" s="205">
        <f aca="true" t="shared" si="6" ref="M107:M114">K107*0.35</f>
        <v>2738.3999999999996</v>
      </c>
      <c r="N107" s="186" t="s">
        <v>333</v>
      </c>
      <c r="O107" s="193" t="s">
        <v>248</v>
      </c>
      <c r="P107" s="307" t="s">
        <v>444</v>
      </c>
    </row>
    <row r="108" spans="1:16" ht="78" customHeight="1">
      <c r="A108" s="263">
        <v>3</v>
      </c>
      <c r="B108" s="193" t="s">
        <v>65</v>
      </c>
      <c r="C108" s="205" t="s">
        <v>66</v>
      </c>
      <c r="D108" s="207">
        <v>2</v>
      </c>
      <c r="E108" s="205" t="s">
        <v>294</v>
      </c>
      <c r="F108" s="205"/>
      <c r="G108" s="249">
        <v>0.08</v>
      </c>
      <c r="H108" s="249"/>
      <c r="I108" s="205"/>
      <c r="J108" s="205">
        <f>4283*8%*2</f>
        <v>685.28</v>
      </c>
      <c r="K108" s="205">
        <f>4283*D108</f>
        <v>8566</v>
      </c>
      <c r="L108" s="205">
        <f>4283*2*1.08</f>
        <v>9251.28</v>
      </c>
      <c r="M108" s="205">
        <f t="shared" si="6"/>
        <v>2998.1</v>
      </c>
      <c r="N108" s="227" t="s">
        <v>322</v>
      </c>
      <c r="O108" s="194" t="s">
        <v>126</v>
      </c>
      <c r="P108" s="227" t="s">
        <v>446</v>
      </c>
    </row>
    <row r="109" spans="1:16" ht="44.25" customHeight="1">
      <c r="A109" s="263">
        <v>4</v>
      </c>
      <c r="B109" s="193" t="s">
        <v>153</v>
      </c>
      <c r="C109" s="205">
        <v>7141</v>
      </c>
      <c r="D109" s="207">
        <v>1</v>
      </c>
      <c r="E109" s="205" t="s">
        <v>314</v>
      </c>
      <c r="F109" s="205"/>
      <c r="G109" s="249">
        <v>0.08</v>
      </c>
      <c r="H109" s="249"/>
      <c r="I109" s="205"/>
      <c r="J109" s="205">
        <f>4375*8%</f>
        <v>350</v>
      </c>
      <c r="K109" s="205">
        <f>4375*D109</f>
        <v>4375</v>
      </c>
      <c r="L109" s="205">
        <f>4375*1.08</f>
        <v>4725</v>
      </c>
      <c r="M109" s="205">
        <f t="shared" si="6"/>
        <v>1531.25</v>
      </c>
      <c r="N109" s="227" t="s">
        <v>322</v>
      </c>
      <c r="O109" s="199" t="s">
        <v>83</v>
      </c>
      <c r="P109" s="186" t="s">
        <v>447</v>
      </c>
    </row>
    <row r="110" spans="1:16" ht="46.5" customHeight="1">
      <c r="A110" s="263">
        <v>5</v>
      </c>
      <c r="B110" s="194" t="s">
        <v>68</v>
      </c>
      <c r="C110" s="243" t="s">
        <v>47</v>
      </c>
      <c r="D110" s="204">
        <v>1</v>
      </c>
      <c r="E110" s="205" t="s">
        <v>449</v>
      </c>
      <c r="F110" s="205"/>
      <c r="G110" s="205"/>
      <c r="H110" s="249"/>
      <c r="I110" s="205"/>
      <c r="J110" s="205"/>
      <c r="K110" s="205">
        <f>3632*D110</f>
        <v>3632</v>
      </c>
      <c r="L110" s="205">
        <v>3632</v>
      </c>
      <c r="M110" s="205">
        <f t="shared" si="6"/>
        <v>1271.1999999999998</v>
      </c>
      <c r="N110" s="264"/>
      <c r="O110" s="194" t="s">
        <v>260</v>
      </c>
      <c r="P110" s="307" t="s">
        <v>448</v>
      </c>
    </row>
    <row r="111" spans="1:16" ht="34.5" customHeight="1">
      <c r="A111" s="263">
        <v>6</v>
      </c>
      <c r="B111" s="194" t="s">
        <v>227</v>
      </c>
      <c r="C111" s="265" t="s">
        <v>46</v>
      </c>
      <c r="D111" s="266">
        <v>0.5</v>
      </c>
      <c r="E111" s="267" t="s">
        <v>451</v>
      </c>
      <c r="F111" s="267"/>
      <c r="G111" s="267"/>
      <c r="H111" s="268"/>
      <c r="I111" s="205"/>
      <c r="J111" s="267"/>
      <c r="K111" s="267">
        <f>4148*D111</f>
        <v>2074</v>
      </c>
      <c r="L111" s="205">
        <f>4148/2</f>
        <v>2074</v>
      </c>
      <c r="M111" s="205">
        <f t="shared" si="6"/>
        <v>725.9</v>
      </c>
      <c r="N111" s="264"/>
      <c r="O111" s="194" t="s">
        <v>106</v>
      </c>
      <c r="P111" s="307" t="s">
        <v>450</v>
      </c>
    </row>
    <row r="112" spans="1:16" ht="30" customHeight="1">
      <c r="A112" s="263">
        <v>7</v>
      </c>
      <c r="B112" s="250" t="s">
        <v>157</v>
      </c>
      <c r="C112" s="265" t="s">
        <v>48</v>
      </c>
      <c r="D112" s="266">
        <v>1</v>
      </c>
      <c r="E112" s="205">
        <v>2232.36</v>
      </c>
      <c r="F112" s="205"/>
      <c r="G112" s="205"/>
      <c r="H112" s="249"/>
      <c r="I112" s="205"/>
      <c r="J112" s="205"/>
      <c r="K112" s="205">
        <v>2232</v>
      </c>
      <c r="L112" s="269">
        <v>2232</v>
      </c>
      <c r="M112" s="205">
        <f t="shared" si="6"/>
        <v>781.1999999999999</v>
      </c>
      <c r="N112" s="250"/>
      <c r="O112" s="270" t="s">
        <v>156</v>
      </c>
      <c r="P112" s="308" t="s">
        <v>452</v>
      </c>
    </row>
    <row r="113" spans="1:16" ht="40.5" customHeight="1">
      <c r="A113" s="204">
        <v>8</v>
      </c>
      <c r="B113" s="194" t="s">
        <v>69</v>
      </c>
      <c r="C113" s="243" t="s">
        <v>47</v>
      </c>
      <c r="D113" s="204">
        <v>0.5</v>
      </c>
      <c r="E113" s="205" t="s">
        <v>454</v>
      </c>
      <c r="F113" s="205"/>
      <c r="G113" s="205"/>
      <c r="H113" s="249"/>
      <c r="I113" s="205"/>
      <c r="J113" s="205"/>
      <c r="K113" s="205">
        <f>3267/2</f>
        <v>1633.5</v>
      </c>
      <c r="L113" s="205">
        <v>1634</v>
      </c>
      <c r="M113" s="205">
        <f t="shared" si="6"/>
        <v>571.7249999999999</v>
      </c>
      <c r="N113" s="264"/>
      <c r="O113" s="199" t="s">
        <v>105</v>
      </c>
      <c r="P113" s="307" t="s">
        <v>453</v>
      </c>
    </row>
    <row r="114" spans="1:16" ht="15">
      <c r="A114" s="204"/>
      <c r="B114" s="194" t="s">
        <v>328</v>
      </c>
      <c r="C114" s="243"/>
      <c r="D114" s="204">
        <f>SUM(D106:D113)</f>
        <v>9</v>
      </c>
      <c r="E114" s="205"/>
      <c r="F114" s="205"/>
      <c r="G114" s="205"/>
      <c r="H114" s="249"/>
      <c r="I114" s="205"/>
      <c r="J114" s="205"/>
      <c r="K114" s="222">
        <f>SUM(K106:K113)</f>
        <v>35059.5</v>
      </c>
      <c r="L114" s="222">
        <f>SUM(L106:L113)</f>
        <v>37789.840000000004</v>
      </c>
      <c r="M114" s="222">
        <f t="shared" si="6"/>
        <v>12270.824999999999</v>
      </c>
      <c r="N114" s="298">
        <f>SUM(L114:M114)</f>
        <v>50060.665</v>
      </c>
      <c r="O114" s="199"/>
      <c r="P114" s="278"/>
    </row>
    <row r="115" spans="1:16" ht="14.25">
      <c r="A115" s="446" t="s">
        <v>176</v>
      </c>
      <c r="B115" s="446"/>
      <c r="C115" s="446"/>
      <c r="D115" s="446"/>
      <c r="E115" s="446"/>
      <c r="F115" s="446"/>
      <c r="G115" s="446"/>
      <c r="H115" s="446"/>
      <c r="I115" s="446"/>
      <c r="J115" s="446"/>
      <c r="K115" s="446"/>
      <c r="L115" s="446"/>
      <c r="M115" s="446"/>
      <c r="N115" s="446"/>
      <c r="O115" s="254"/>
      <c r="P115" s="7"/>
    </row>
    <row r="116" spans="1:16" ht="38.25" customHeight="1">
      <c r="A116" s="207">
        <v>1</v>
      </c>
      <c r="B116" s="193" t="s">
        <v>11</v>
      </c>
      <c r="C116" s="205">
        <v>5169</v>
      </c>
      <c r="D116" s="207">
        <v>4</v>
      </c>
      <c r="E116" s="205" t="s">
        <v>456</v>
      </c>
      <c r="F116" s="205"/>
      <c r="G116" s="205"/>
      <c r="H116" s="205"/>
      <c r="I116" s="205"/>
      <c r="J116" s="205"/>
      <c r="K116" s="205">
        <f>2232*4</f>
        <v>8928</v>
      </c>
      <c r="L116" s="205">
        <f>2232*4</f>
        <v>8928</v>
      </c>
      <c r="M116" s="205">
        <f>K116*0.35</f>
        <v>3124.7999999999997</v>
      </c>
      <c r="N116" s="186"/>
      <c r="O116" s="194" t="s">
        <v>103</v>
      </c>
      <c r="P116" s="186" t="s">
        <v>455</v>
      </c>
    </row>
    <row r="117" spans="1:16" ht="45.75" customHeight="1">
      <c r="A117" s="207">
        <v>2</v>
      </c>
      <c r="B117" s="193" t="s">
        <v>12</v>
      </c>
      <c r="C117" s="205">
        <v>9162</v>
      </c>
      <c r="D117" s="207">
        <v>1</v>
      </c>
      <c r="E117" s="205" t="s">
        <v>456</v>
      </c>
      <c r="F117" s="205"/>
      <c r="G117" s="205"/>
      <c r="H117" s="205"/>
      <c r="I117" s="205"/>
      <c r="J117" s="205"/>
      <c r="K117" s="205">
        <f>2232*D117</f>
        <v>2232</v>
      </c>
      <c r="L117" s="205">
        <f>2232</f>
        <v>2232</v>
      </c>
      <c r="M117" s="205">
        <f>K117*0.35</f>
        <v>781.1999999999999</v>
      </c>
      <c r="N117" s="186"/>
      <c r="O117" s="251" t="s">
        <v>238</v>
      </c>
      <c r="P117" s="186" t="s">
        <v>455</v>
      </c>
    </row>
    <row r="118" spans="1:16" ht="46.5" customHeight="1">
      <c r="A118" s="207">
        <v>3</v>
      </c>
      <c r="B118" s="193" t="s">
        <v>13</v>
      </c>
      <c r="C118" s="205">
        <v>9132</v>
      </c>
      <c r="D118" s="207">
        <v>1.5</v>
      </c>
      <c r="E118" s="205" t="s">
        <v>313</v>
      </c>
      <c r="F118" s="205"/>
      <c r="G118" s="205"/>
      <c r="H118" s="205"/>
      <c r="I118" s="205"/>
      <c r="J118" s="205"/>
      <c r="K118" s="205">
        <f>2150*1.5</f>
        <v>3225</v>
      </c>
      <c r="L118" s="219">
        <f>2150*1.5</f>
        <v>3225</v>
      </c>
      <c r="M118" s="205">
        <f>K118*0.35</f>
        <v>1128.75</v>
      </c>
      <c r="N118" s="186"/>
      <c r="O118" s="194" t="s">
        <v>261</v>
      </c>
      <c r="P118" s="186" t="s">
        <v>457</v>
      </c>
    </row>
    <row r="119" spans="1:15" ht="13.5">
      <c r="A119" s="207"/>
      <c r="B119" s="193" t="s">
        <v>328</v>
      </c>
      <c r="C119" s="205"/>
      <c r="D119" s="207">
        <f>SUM(D116:D118)</f>
        <v>6.5</v>
      </c>
      <c r="E119" s="205"/>
      <c r="F119" s="205"/>
      <c r="G119" s="205"/>
      <c r="H119" s="205"/>
      <c r="I119" s="205"/>
      <c r="J119" s="205"/>
      <c r="K119" s="205">
        <f>SUM(K116:K118)</f>
        <v>14385</v>
      </c>
      <c r="L119" s="286">
        <f>SUM(L116:L118)</f>
        <v>14385</v>
      </c>
      <c r="M119" s="222">
        <f>K119*0.35</f>
        <v>5034.75</v>
      </c>
      <c r="N119" s="296">
        <f aca="true" t="shared" si="7" ref="N119:N126">SUM(L119:M119)</f>
        <v>19419.75</v>
      </c>
      <c r="O119" s="194"/>
    </row>
    <row r="120" spans="1:15" ht="27.75" thickBot="1">
      <c r="A120" s="282"/>
      <c r="B120" s="283" t="s">
        <v>24</v>
      </c>
      <c r="C120" s="284"/>
      <c r="D120" s="285">
        <f>D32+D47+D51+D57+D65+D71+D75+D81+D87+D94+D104+D114+D119</f>
        <v>135.25</v>
      </c>
      <c r="E120" s="285"/>
      <c r="F120" s="285">
        <f>F32+F47+F51+F57+F65+F71+F75+F81+F87+F94+F104+F114+F119</f>
        <v>0</v>
      </c>
      <c r="G120" s="285">
        <f>G32+G47+G51+G57+G65+G71+G75+G81+G87+G94+G104+G114+G119</f>
        <v>0</v>
      </c>
      <c r="H120" s="285">
        <f>H32+H47+H51+H57+H65+H71+H75+H81+H87+H94+H104+H114+H119</f>
        <v>0</v>
      </c>
      <c r="I120" s="285">
        <f>I32+I47+I51+I57+I65+I71+I75+I81+I87+I94+I104+I114+I119</f>
        <v>0</v>
      </c>
      <c r="J120" s="285">
        <f>J32+J47+J51+J57+J65+J71+J75+J81+J87+J94+J104+J114+J119</f>
        <v>83353.6</v>
      </c>
      <c r="K120" s="285"/>
      <c r="L120" s="285">
        <f>L32+L47+L51+L57+L65+L71+L75+L81+L87+L94+L104+L114+L119</f>
        <v>691197.234</v>
      </c>
      <c r="M120" s="285">
        <f>M32+M47+M51+M57+M65+M71+M75+M81+M87+M94+M104+M114+M119</f>
        <v>212988.8334</v>
      </c>
      <c r="N120" s="304">
        <f t="shared" si="7"/>
        <v>904186.0674</v>
      </c>
      <c r="O120" s="244"/>
    </row>
    <row r="121" spans="1:15" ht="15">
      <c r="A121" s="233"/>
      <c r="B121" s="228" t="s">
        <v>162</v>
      </c>
      <c r="C121" s="231"/>
      <c r="D121" s="295">
        <f>D32</f>
        <v>18</v>
      </c>
      <c r="E121" s="235"/>
      <c r="F121" s="235"/>
      <c r="G121" s="235"/>
      <c r="H121" s="235"/>
      <c r="I121" s="235"/>
      <c r="J121" s="235"/>
      <c r="K121" s="236"/>
      <c r="L121" s="234">
        <f>L32</f>
        <v>137377.774</v>
      </c>
      <c r="M121" s="234">
        <f>M32</f>
        <v>48082.2209</v>
      </c>
      <c r="N121" s="305">
        <f t="shared" si="7"/>
        <v>185459.9949</v>
      </c>
      <c r="O121" s="45"/>
    </row>
    <row r="122" spans="1:15" ht="15">
      <c r="A122" s="188"/>
      <c r="B122" s="226" t="s">
        <v>163</v>
      </c>
      <c r="C122" s="187"/>
      <c r="D122" s="293">
        <f>D47</f>
        <v>13.25</v>
      </c>
      <c r="E122" s="189"/>
      <c r="F122" s="189"/>
      <c r="G122" s="189"/>
      <c r="H122" s="189"/>
      <c r="I122" s="189"/>
      <c r="J122" s="189"/>
      <c r="K122" s="232"/>
      <c r="L122" s="190">
        <f>L47</f>
        <v>68546.25</v>
      </c>
      <c r="M122" s="234">
        <f>M47</f>
        <v>23991.1875</v>
      </c>
      <c r="N122" s="305">
        <f t="shared" si="7"/>
        <v>92537.4375</v>
      </c>
      <c r="O122" s="45"/>
    </row>
    <row r="123" spans="1:15" ht="25.5">
      <c r="A123" s="188"/>
      <c r="B123" s="226" t="s">
        <v>183</v>
      </c>
      <c r="C123" s="187"/>
      <c r="D123" s="293">
        <f>D57+D51</f>
        <v>4.5</v>
      </c>
      <c r="E123" s="189"/>
      <c r="F123" s="189"/>
      <c r="G123" s="189"/>
      <c r="H123" s="189"/>
      <c r="I123" s="189"/>
      <c r="J123" s="189"/>
      <c r="K123" s="232"/>
      <c r="L123" s="190">
        <f>L52+L57</f>
        <v>15767</v>
      </c>
      <c r="M123" s="234">
        <f>M52+M57</f>
        <v>5518.449999999999</v>
      </c>
      <c r="N123" s="305">
        <f t="shared" si="7"/>
        <v>21285.449999999997</v>
      </c>
      <c r="O123" s="45"/>
    </row>
    <row r="124" spans="1:15" ht="15">
      <c r="A124" s="188"/>
      <c r="B124" s="226" t="s">
        <v>181</v>
      </c>
      <c r="C124" s="187"/>
      <c r="D124" s="293">
        <f>D65+D71+D75+D81+D87+D94</f>
        <v>58</v>
      </c>
      <c r="E124" s="189"/>
      <c r="F124" s="189"/>
      <c r="G124" s="189"/>
      <c r="H124" s="189"/>
      <c r="I124" s="189"/>
      <c r="J124" s="189"/>
      <c r="K124" s="232"/>
      <c r="L124" s="190">
        <f>L65+L71+L75+L81+L87+L94</f>
        <v>292000.12</v>
      </c>
      <c r="M124" s="234">
        <f>M65++M71+M75+M81+M87+M94</f>
        <v>82998.65</v>
      </c>
      <c r="N124" s="305">
        <f t="shared" si="7"/>
        <v>374998.77</v>
      </c>
      <c r="O124" s="45"/>
    </row>
    <row r="125" spans="1:15" ht="15">
      <c r="A125" s="188"/>
      <c r="B125" s="226" t="s">
        <v>182</v>
      </c>
      <c r="C125" s="187"/>
      <c r="D125" s="293">
        <f>D104</f>
        <v>26</v>
      </c>
      <c r="E125" s="189"/>
      <c r="F125" s="189"/>
      <c r="G125" s="189"/>
      <c r="H125" s="189"/>
      <c r="I125" s="189"/>
      <c r="J125" s="189"/>
      <c r="K125" s="232"/>
      <c r="L125" s="190">
        <f>L104</f>
        <v>125331.25</v>
      </c>
      <c r="M125" s="234">
        <f>M104</f>
        <v>35092.75</v>
      </c>
      <c r="N125" s="305">
        <f t="shared" si="7"/>
        <v>160424</v>
      </c>
      <c r="O125" s="45"/>
    </row>
    <row r="126" spans="1:15" ht="38.25">
      <c r="A126" s="188"/>
      <c r="B126" s="226" t="s">
        <v>184</v>
      </c>
      <c r="C126" s="187"/>
      <c r="D126" s="293">
        <f>D114+D119</f>
        <v>15.5</v>
      </c>
      <c r="E126" s="189"/>
      <c r="F126" s="189"/>
      <c r="G126" s="189"/>
      <c r="H126" s="189"/>
      <c r="I126" s="189"/>
      <c r="J126" s="189"/>
      <c r="K126" s="232"/>
      <c r="L126" s="190">
        <f>L114+L119</f>
        <v>52174.840000000004</v>
      </c>
      <c r="M126" s="234">
        <f>M114+M119</f>
        <v>17305.574999999997</v>
      </c>
      <c r="N126" s="305">
        <f t="shared" si="7"/>
        <v>69480.41500000001</v>
      </c>
      <c r="O126" s="45"/>
    </row>
    <row r="127" spans="1:15" ht="15">
      <c r="A127" s="287"/>
      <c r="B127" s="288"/>
      <c r="C127" s="289"/>
      <c r="D127" s="294">
        <f>SUM(D121:D126)</f>
        <v>135.25</v>
      </c>
      <c r="E127" s="291"/>
      <c r="F127" s="291"/>
      <c r="G127" s="291"/>
      <c r="H127" s="291"/>
      <c r="I127" s="291"/>
      <c r="J127" s="291"/>
      <c r="K127" s="292"/>
      <c r="L127" s="290"/>
      <c r="M127" s="290"/>
      <c r="N127" s="289"/>
      <c r="O127" s="45"/>
    </row>
    <row r="128" spans="1:15" ht="15">
      <c r="A128" s="459" t="s">
        <v>335</v>
      </c>
      <c r="B128" s="459"/>
      <c r="C128" s="459"/>
      <c r="D128" s="459"/>
      <c r="E128" s="459"/>
      <c r="F128" s="459"/>
      <c r="G128" s="459"/>
      <c r="H128" s="459"/>
      <c r="I128" s="459"/>
      <c r="J128" s="459"/>
      <c r="K128" s="459"/>
      <c r="L128" s="459"/>
      <c r="M128" s="459"/>
      <c r="N128" s="459"/>
      <c r="O128" s="45"/>
    </row>
    <row r="129" spans="1:15" ht="15">
      <c r="A129" s="459" t="s">
        <v>336</v>
      </c>
      <c r="B129" s="459"/>
      <c r="C129" s="459"/>
      <c r="D129" s="459"/>
      <c r="E129" s="459"/>
      <c r="F129" s="459"/>
      <c r="G129" s="459"/>
      <c r="H129" s="459"/>
      <c r="I129" s="459"/>
      <c r="J129" s="459"/>
      <c r="K129" s="459"/>
      <c r="L129" s="459"/>
      <c r="M129" s="459"/>
      <c r="N129" s="459"/>
      <c r="O129" s="45"/>
    </row>
    <row r="130" spans="1:15" ht="15">
      <c r="A130" s="459"/>
      <c r="B130" s="450"/>
      <c r="C130" s="450"/>
      <c r="D130" s="450"/>
      <c r="E130" s="450"/>
      <c r="F130" s="450"/>
      <c r="G130" s="450"/>
      <c r="H130" s="450"/>
      <c r="I130" s="450"/>
      <c r="J130" s="450"/>
      <c r="K130" s="450"/>
      <c r="L130" s="450"/>
      <c r="M130" s="450"/>
      <c r="N130" s="450"/>
      <c r="O130" s="45"/>
    </row>
    <row r="131" spans="1:15" ht="15">
      <c r="A131" s="271" t="s">
        <v>279</v>
      </c>
      <c r="B131" s="450" t="s">
        <v>322</v>
      </c>
      <c r="C131" s="455"/>
      <c r="D131" s="455"/>
      <c r="E131" s="455"/>
      <c r="F131" s="455"/>
      <c r="G131" s="455"/>
      <c r="H131" s="455"/>
      <c r="I131" s="455"/>
      <c r="J131" s="455"/>
      <c r="K131" s="455"/>
      <c r="L131" s="455"/>
      <c r="M131" s="455"/>
      <c r="N131" s="455"/>
      <c r="O131" s="45"/>
    </row>
    <row r="132" spans="1:15" ht="15">
      <c r="A132" s="271" t="s">
        <v>281</v>
      </c>
      <c r="B132" s="450" t="s">
        <v>325</v>
      </c>
      <c r="C132" s="455"/>
      <c r="D132" s="455"/>
      <c r="E132" s="455"/>
      <c r="F132" s="455"/>
      <c r="G132" s="455"/>
      <c r="H132" s="455"/>
      <c r="I132" s="455"/>
      <c r="J132" s="229"/>
      <c r="K132" s="229"/>
      <c r="L132" s="229"/>
      <c r="M132" s="229"/>
      <c r="N132" s="229"/>
      <c r="O132" s="45"/>
    </row>
    <row r="133" spans="1:15" ht="15">
      <c r="A133" s="271" t="s">
        <v>283</v>
      </c>
      <c r="B133" s="450" t="s">
        <v>323</v>
      </c>
      <c r="C133" s="455"/>
      <c r="D133" s="455"/>
      <c r="E133" s="455"/>
      <c r="F133" s="455"/>
      <c r="G133" s="455"/>
      <c r="H133" s="455"/>
      <c r="I133" s="455"/>
      <c r="J133" s="238"/>
      <c r="K133" s="238"/>
      <c r="L133" s="238"/>
      <c r="M133" s="238"/>
      <c r="N133" s="238"/>
      <c r="O133" s="45"/>
    </row>
    <row r="134" spans="1:15" ht="15">
      <c r="A134" s="271" t="s">
        <v>285</v>
      </c>
      <c r="B134" s="450" t="s">
        <v>324</v>
      </c>
      <c r="C134" s="455"/>
      <c r="D134" s="455"/>
      <c r="E134" s="455"/>
      <c r="F134" s="455"/>
      <c r="G134" s="455"/>
      <c r="H134" s="455"/>
      <c r="I134" s="455"/>
      <c r="J134" s="238"/>
      <c r="K134" s="238"/>
      <c r="L134" s="238"/>
      <c r="M134" s="238"/>
      <c r="N134" s="238"/>
      <c r="O134" s="45"/>
    </row>
    <row r="135" spans="1:15" ht="15">
      <c r="A135" s="237"/>
      <c r="B135" s="462" t="s">
        <v>7</v>
      </c>
      <c r="C135" s="463"/>
      <c r="D135" s="237"/>
      <c r="E135" s="237"/>
      <c r="F135" s="237"/>
      <c r="G135" s="237"/>
      <c r="H135" s="237"/>
      <c r="I135" s="237"/>
      <c r="J135" s="237"/>
      <c r="K135" s="457" t="s">
        <v>28</v>
      </c>
      <c r="L135" s="458"/>
      <c r="M135" s="281"/>
      <c r="N135" s="238"/>
      <c r="O135" s="45"/>
    </row>
    <row r="136" spans="1:15" ht="15">
      <c r="A136" s="237"/>
      <c r="B136" s="453"/>
      <c r="C136" s="453"/>
      <c r="D136" s="240"/>
      <c r="E136" s="240"/>
      <c r="F136" s="240"/>
      <c r="G136" s="240"/>
      <c r="H136" s="240"/>
      <c r="I136" s="240"/>
      <c r="J136" s="240"/>
      <c r="K136" s="454"/>
      <c r="L136" s="454"/>
      <c r="M136" s="279"/>
      <c r="N136" s="238"/>
      <c r="O136" s="45"/>
    </row>
    <row r="137" spans="1:15" ht="15">
      <c r="A137" s="239"/>
      <c r="B137" s="456" t="s">
        <v>73</v>
      </c>
      <c r="C137" s="456"/>
      <c r="D137" s="45"/>
      <c r="E137" s="45"/>
      <c r="F137" s="45"/>
      <c r="G137" s="45"/>
      <c r="H137" s="45"/>
      <c r="I137" s="45"/>
      <c r="J137" s="45"/>
      <c r="K137" s="454" t="s">
        <v>347</v>
      </c>
      <c r="L137" s="454"/>
      <c r="M137" s="279"/>
      <c r="N137" s="239"/>
      <c r="O137" s="45"/>
    </row>
  </sheetData>
  <sheetProtection/>
  <mergeCells count="49">
    <mergeCell ref="A2:B2"/>
    <mergeCell ref="L2:N2"/>
    <mergeCell ref="A3:C3"/>
    <mergeCell ref="L3:N3"/>
    <mergeCell ref="A4:C4"/>
    <mergeCell ref="K4:N4"/>
    <mergeCell ref="A6:N6"/>
    <mergeCell ref="A7:N7"/>
    <mergeCell ref="A8:N8"/>
    <mergeCell ref="A10:A11"/>
    <mergeCell ref="B10:B11"/>
    <mergeCell ref="C10:C11"/>
    <mergeCell ref="D10:D11"/>
    <mergeCell ref="E10:E11"/>
    <mergeCell ref="F10:H10"/>
    <mergeCell ref="I10:K10"/>
    <mergeCell ref="L10:L11"/>
    <mergeCell ref="M10:M11"/>
    <mergeCell ref="N10:N11"/>
    <mergeCell ref="A13:O13"/>
    <mergeCell ref="A33:K33"/>
    <mergeCell ref="A34:N34"/>
    <mergeCell ref="O35:O36"/>
    <mergeCell ref="A48:N48"/>
    <mergeCell ref="A52:K52"/>
    <mergeCell ref="A53:N53"/>
    <mergeCell ref="A58:N58"/>
    <mergeCell ref="A59:N59"/>
    <mergeCell ref="A66:N66"/>
    <mergeCell ref="A72:N72"/>
    <mergeCell ref="A76:N76"/>
    <mergeCell ref="A82:N82"/>
    <mergeCell ref="A88:N88"/>
    <mergeCell ref="A95:N95"/>
    <mergeCell ref="A105:N105"/>
    <mergeCell ref="A115:N115"/>
    <mergeCell ref="A128:N128"/>
    <mergeCell ref="A129:N129"/>
    <mergeCell ref="A130:N130"/>
    <mergeCell ref="B131:N131"/>
    <mergeCell ref="B137:C137"/>
    <mergeCell ref="K137:L137"/>
    <mergeCell ref="B132:I132"/>
    <mergeCell ref="B133:I133"/>
    <mergeCell ref="B134:I134"/>
    <mergeCell ref="B135:C135"/>
    <mergeCell ref="K135:L135"/>
    <mergeCell ref="B136:C136"/>
    <mergeCell ref="K136:L136"/>
  </mergeCells>
  <printOptions/>
  <pageMargins left="0.31496062992125984" right="0.31496062992125984" top="0.5511811023622047" bottom="0.5511811023622047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1"/>
  <sheetViews>
    <sheetView tabSelected="1" zoomScalePageLayoutView="0" workbookViewId="0" topLeftCell="A1">
      <selection activeCell="A5" sqref="A5:C5"/>
    </sheetView>
  </sheetViews>
  <sheetFormatPr defaultColWidth="9.00390625" defaultRowHeight="12.75"/>
  <cols>
    <col min="1" max="1" width="8.00390625" style="0" customWidth="1"/>
    <col min="2" max="2" width="23.125" style="0" customWidth="1"/>
    <col min="6" max="6" width="8.625" style="0" customWidth="1"/>
    <col min="7" max="7" width="7.875" style="0" customWidth="1"/>
    <col min="8" max="8" width="7.75390625" style="0" customWidth="1"/>
    <col min="9" max="9" width="7.00390625" style="0" customWidth="1"/>
    <col min="10" max="10" width="7.125" style="0" customWidth="1"/>
    <col min="11" max="11" width="8.00390625" style="0" customWidth="1"/>
    <col min="12" max="12" width="9.125" style="0" customWidth="1"/>
    <col min="13" max="13" width="9.375" style="0" customWidth="1"/>
    <col min="14" max="14" width="13.375" style="0" customWidth="1"/>
    <col min="15" max="15" width="30.00390625" style="0" customWidth="1"/>
    <col min="16" max="18" width="9.125" style="0" customWidth="1"/>
  </cols>
  <sheetData>
    <row r="1" spans="1:14" ht="12.75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445" t="s">
        <v>464</v>
      </c>
      <c r="M1" s="445"/>
      <c r="N1" s="310"/>
    </row>
    <row r="2" spans="1:14" ht="33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445" t="s">
        <v>465</v>
      </c>
      <c r="L2" s="445"/>
      <c r="M2" s="445"/>
      <c r="N2" s="445"/>
    </row>
    <row r="3" spans="1:14" ht="15">
      <c r="A3" s="417" t="s">
        <v>18</v>
      </c>
      <c r="B3" s="417"/>
      <c r="C3" s="45"/>
      <c r="D3" s="139"/>
      <c r="E3" s="44"/>
      <c r="F3" s="44"/>
      <c r="G3" s="44"/>
      <c r="H3" s="44"/>
      <c r="I3" s="44"/>
      <c r="J3" s="44"/>
      <c r="K3" s="44"/>
      <c r="L3" s="475" t="s">
        <v>0</v>
      </c>
      <c r="M3" s="475"/>
      <c r="N3" s="475"/>
    </row>
    <row r="4" spans="1:14" ht="53.25" customHeight="1">
      <c r="A4" s="477" t="s">
        <v>532</v>
      </c>
      <c r="B4" s="477"/>
      <c r="C4" s="477"/>
      <c r="D4" s="139"/>
      <c r="E4" s="44"/>
      <c r="F4" s="44"/>
      <c r="G4" s="44"/>
      <c r="H4" s="44"/>
      <c r="I4" s="44"/>
      <c r="J4" s="44"/>
      <c r="K4" s="476" t="s">
        <v>531</v>
      </c>
      <c r="L4" s="476"/>
      <c r="M4" s="476"/>
      <c r="N4" s="476"/>
    </row>
    <row r="5" spans="1:14" ht="62.25" customHeight="1">
      <c r="A5" s="421" t="s">
        <v>501</v>
      </c>
      <c r="B5" s="421"/>
      <c r="C5" s="421"/>
      <c r="D5" s="141"/>
      <c r="E5" s="52"/>
      <c r="F5" s="52"/>
      <c r="G5" s="52"/>
      <c r="H5" s="52"/>
      <c r="I5" s="52"/>
      <c r="J5" s="52"/>
      <c r="K5" s="52"/>
      <c r="L5" s="52" t="s">
        <v>504</v>
      </c>
      <c r="M5" s="52"/>
      <c r="N5" s="52"/>
    </row>
    <row r="6" spans="1:14" ht="15.75">
      <c r="A6" s="423" t="s">
        <v>345</v>
      </c>
      <c r="B6" s="423"/>
      <c r="C6" s="423"/>
      <c r="D6" s="139"/>
      <c r="I6" s="44"/>
      <c r="J6" s="44"/>
      <c r="K6" s="424" t="s">
        <v>460</v>
      </c>
      <c r="L6" s="424"/>
      <c r="M6" s="424"/>
      <c r="N6" s="424"/>
    </row>
    <row r="7" spans="1:14" ht="28.5" customHeight="1">
      <c r="A7" s="302"/>
      <c r="B7" s="302"/>
      <c r="C7" s="302"/>
      <c r="D7" s="139"/>
      <c r="I7" s="44"/>
      <c r="J7" s="44"/>
      <c r="K7" s="303"/>
      <c r="L7" s="303"/>
      <c r="M7" s="303"/>
      <c r="N7" s="303"/>
    </row>
    <row r="8" spans="1:14" ht="13.5">
      <c r="A8" s="464" t="s">
        <v>330</v>
      </c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</row>
    <row r="9" spans="1:14" ht="13.5">
      <c r="A9" s="469" t="s">
        <v>530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</row>
    <row r="10" spans="1:14" ht="13.5">
      <c r="A10" s="470" t="s">
        <v>505</v>
      </c>
      <c r="B10" s="470"/>
      <c r="C10" s="470"/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470"/>
    </row>
    <row r="11" spans="1:14" ht="18.75" customHeight="1">
      <c r="A11" s="242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</row>
    <row r="12" spans="1:14" ht="13.5">
      <c r="A12" s="451" t="s">
        <v>275</v>
      </c>
      <c r="B12" s="451" t="s">
        <v>276</v>
      </c>
      <c r="C12" s="451" t="s">
        <v>110</v>
      </c>
      <c r="D12" s="451" t="s">
        <v>112</v>
      </c>
      <c r="E12" s="451"/>
      <c r="F12" s="451"/>
      <c r="G12" s="452"/>
      <c r="H12" s="452"/>
      <c r="I12" s="451"/>
      <c r="J12" s="452"/>
      <c r="K12" s="452"/>
      <c r="L12" s="451"/>
      <c r="M12" s="480"/>
      <c r="N12" s="451"/>
    </row>
    <row r="13" spans="1:14" ht="13.5">
      <c r="A13" s="452"/>
      <c r="B13" s="452"/>
      <c r="C13" s="452"/>
      <c r="D13" s="452"/>
      <c r="E13" s="452"/>
      <c r="F13" s="245"/>
      <c r="G13" s="245"/>
      <c r="H13" s="245"/>
      <c r="I13" s="245"/>
      <c r="J13" s="245"/>
      <c r="K13" s="245"/>
      <c r="L13" s="452"/>
      <c r="M13" s="481"/>
      <c r="N13" s="452"/>
    </row>
    <row r="14" spans="1:14" ht="18.75" customHeight="1">
      <c r="A14" s="205">
        <v>1</v>
      </c>
      <c r="B14" s="205">
        <v>2</v>
      </c>
      <c r="C14" s="205">
        <v>3</v>
      </c>
      <c r="D14" s="205">
        <v>4</v>
      </c>
      <c r="E14" s="205"/>
      <c r="F14" s="205"/>
      <c r="G14" s="205"/>
      <c r="H14" s="205"/>
      <c r="I14" s="205"/>
      <c r="J14" s="205"/>
      <c r="K14" s="205"/>
      <c r="L14" s="205"/>
      <c r="M14" s="361"/>
      <c r="N14" s="205"/>
    </row>
    <row r="15" spans="1:14" ht="19.5" customHeight="1">
      <c r="A15" s="341" t="s">
        <v>162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411"/>
    </row>
    <row r="16" spans="1:14" ht="13.5">
      <c r="A16" s="197">
        <v>1</v>
      </c>
      <c r="B16" s="199" t="s">
        <v>4</v>
      </c>
      <c r="C16" s="197" t="s">
        <v>32</v>
      </c>
      <c r="D16" s="197">
        <v>1</v>
      </c>
      <c r="E16" s="198"/>
      <c r="F16" s="195"/>
      <c r="G16" s="195"/>
      <c r="H16" s="195"/>
      <c r="I16" s="195"/>
      <c r="J16" s="195"/>
      <c r="K16" s="259"/>
      <c r="L16" s="370"/>
      <c r="M16" s="370"/>
      <c r="N16" s="371"/>
    </row>
    <row r="17" spans="1:14" ht="28.5" customHeight="1">
      <c r="A17" s="197">
        <v>2</v>
      </c>
      <c r="B17" s="194" t="s">
        <v>468</v>
      </c>
      <c r="C17" s="197" t="s">
        <v>32</v>
      </c>
      <c r="D17" s="197">
        <v>1</v>
      </c>
      <c r="E17" s="198"/>
      <c r="F17" s="195"/>
      <c r="G17" s="195"/>
      <c r="H17" s="195"/>
      <c r="I17" s="195"/>
      <c r="J17" s="195"/>
      <c r="K17" s="259"/>
      <c r="L17" s="370"/>
      <c r="M17" s="370"/>
      <c r="N17" s="371"/>
    </row>
    <row r="18" spans="1:14" ht="24" customHeight="1">
      <c r="A18" s="197">
        <v>3</v>
      </c>
      <c r="B18" s="194" t="s">
        <v>469</v>
      </c>
      <c r="C18" s="197" t="s">
        <v>32</v>
      </c>
      <c r="D18" s="197">
        <v>1</v>
      </c>
      <c r="E18" s="198"/>
      <c r="F18" s="195"/>
      <c r="G18" s="195"/>
      <c r="H18" s="195"/>
      <c r="I18" s="195"/>
      <c r="J18" s="195"/>
      <c r="K18" s="259"/>
      <c r="L18" s="370"/>
      <c r="M18" s="370"/>
      <c r="N18" s="371"/>
    </row>
    <row r="19" spans="1:14" ht="24.75" customHeight="1">
      <c r="A19" s="197">
        <v>4</v>
      </c>
      <c r="B19" s="196" t="s">
        <v>5</v>
      </c>
      <c r="C19" s="200" t="s">
        <v>38</v>
      </c>
      <c r="D19" s="200">
        <v>1</v>
      </c>
      <c r="E19" s="201"/>
      <c r="F19" s="214"/>
      <c r="G19" s="214"/>
      <c r="H19" s="214"/>
      <c r="I19" s="214"/>
      <c r="J19" s="214"/>
      <c r="K19" s="201"/>
      <c r="L19" s="359"/>
      <c r="M19" s="370"/>
      <c r="N19" s="374"/>
    </row>
    <row r="20" spans="1:14" ht="23.25" customHeight="1">
      <c r="A20" s="197">
        <v>5</v>
      </c>
      <c r="B20" s="216" t="s">
        <v>7</v>
      </c>
      <c r="C20" s="197">
        <v>1231</v>
      </c>
      <c r="D20" s="208">
        <v>1</v>
      </c>
      <c r="E20" s="209"/>
      <c r="F20" s="217"/>
      <c r="G20" s="217"/>
      <c r="H20" s="217"/>
      <c r="I20" s="195"/>
      <c r="J20" s="195"/>
      <c r="K20" s="272"/>
      <c r="L20" s="370"/>
      <c r="M20" s="370"/>
      <c r="N20" s="375"/>
    </row>
    <row r="21" spans="1:14" ht="31.5" customHeight="1">
      <c r="A21" s="197">
        <v>6</v>
      </c>
      <c r="B21" s="193" t="s">
        <v>16</v>
      </c>
      <c r="C21" s="197">
        <v>1231</v>
      </c>
      <c r="D21" s="208">
        <v>1</v>
      </c>
      <c r="E21" s="401"/>
      <c r="F21" s="217"/>
      <c r="G21" s="217"/>
      <c r="H21" s="217"/>
      <c r="I21" s="195"/>
      <c r="J21" s="195"/>
      <c r="K21" s="195"/>
      <c r="L21" s="370"/>
      <c r="M21" s="370"/>
      <c r="N21" s="375"/>
    </row>
    <row r="22" spans="1:14" ht="27.75" customHeight="1">
      <c r="A22" s="197">
        <v>7</v>
      </c>
      <c r="B22" s="192" t="s">
        <v>507</v>
      </c>
      <c r="C22" s="200" t="s">
        <v>35</v>
      </c>
      <c r="D22" s="200">
        <v>1</v>
      </c>
      <c r="E22" s="201"/>
      <c r="F22" s="214"/>
      <c r="G22" s="214"/>
      <c r="H22" s="214"/>
      <c r="I22" s="214"/>
      <c r="J22" s="214"/>
      <c r="K22" s="201"/>
      <c r="L22" s="359"/>
      <c r="M22" s="370"/>
      <c r="N22" s="364"/>
    </row>
    <row r="23" spans="1:14" ht="33.75" customHeight="1">
      <c r="A23" s="197">
        <v>8</v>
      </c>
      <c r="B23" s="261" t="s">
        <v>506</v>
      </c>
      <c r="C23" s="200">
        <v>1231</v>
      </c>
      <c r="D23" s="200">
        <v>1</v>
      </c>
      <c r="E23" s="201"/>
      <c r="F23" s="214"/>
      <c r="G23" s="214"/>
      <c r="H23" s="214"/>
      <c r="I23" s="214"/>
      <c r="J23" s="214"/>
      <c r="K23" s="214"/>
      <c r="L23" s="359"/>
      <c r="M23" s="370"/>
      <c r="N23" s="364"/>
    </row>
    <row r="24" spans="1:14" ht="25.5" customHeight="1">
      <c r="A24" s="197">
        <v>9</v>
      </c>
      <c r="B24" s="194" t="s">
        <v>470</v>
      </c>
      <c r="C24" s="197" t="s">
        <v>36</v>
      </c>
      <c r="D24" s="197">
        <v>1</v>
      </c>
      <c r="E24" s="398"/>
      <c r="F24" s="195"/>
      <c r="G24" s="195"/>
      <c r="H24" s="195"/>
      <c r="I24" s="195"/>
      <c r="J24" s="195"/>
      <c r="K24" s="195"/>
      <c r="L24" s="370"/>
      <c r="M24" s="370"/>
      <c r="N24" s="363"/>
    </row>
    <row r="25" spans="1:14" ht="27" customHeight="1">
      <c r="A25" s="197">
        <v>10</v>
      </c>
      <c r="B25" s="194" t="s">
        <v>529</v>
      </c>
      <c r="C25" s="204" t="s">
        <v>35</v>
      </c>
      <c r="D25" s="204">
        <v>3</v>
      </c>
      <c r="E25" s="397"/>
      <c r="F25" s="206"/>
      <c r="G25" s="206"/>
      <c r="H25" s="206"/>
      <c r="I25" s="206"/>
      <c r="J25" s="206"/>
      <c r="K25" s="206"/>
      <c r="L25" s="348"/>
      <c r="M25" s="370"/>
      <c r="N25" s="365"/>
    </row>
    <row r="26" spans="1:14" ht="26.25" customHeight="1">
      <c r="A26" s="197">
        <v>12</v>
      </c>
      <c r="B26" s="194" t="s">
        <v>508</v>
      </c>
      <c r="C26" s="204" t="s">
        <v>35</v>
      </c>
      <c r="D26" s="204">
        <v>1</v>
      </c>
      <c r="E26" s="397"/>
      <c r="F26" s="206"/>
      <c r="G26" s="206"/>
      <c r="H26" s="206"/>
      <c r="I26" s="206"/>
      <c r="J26" s="206"/>
      <c r="K26" s="206"/>
      <c r="L26" s="348"/>
      <c r="M26" s="370"/>
      <c r="N26" s="365"/>
    </row>
    <row r="27" spans="1:14" ht="27" customHeight="1">
      <c r="A27" s="197">
        <v>14</v>
      </c>
      <c r="B27" s="193" t="s">
        <v>509</v>
      </c>
      <c r="C27" s="204" t="s">
        <v>35</v>
      </c>
      <c r="D27" s="208">
        <v>1</v>
      </c>
      <c r="E27" s="397"/>
      <c r="F27" s="217"/>
      <c r="G27" s="217"/>
      <c r="H27" s="217"/>
      <c r="I27" s="195"/>
      <c r="J27" s="195"/>
      <c r="K27" s="199"/>
      <c r="L27" s="370"/>
      <c r="M27" s="370"/>
      <c r="N27" s="365"/>
    </row>
    <row r="28" spans="1:14" ht="21" customHeight="1">
      <c r="A28" s="197">
        <v>15</v>
      </c>
      <c r="B28" s="195" t="s">
        <v>510</v>
      </c>
      <c r="C28" s="204" t="s">
        <v>35</v>
      </c>
      <c r="D28" s="207">
        <v>1</v>
      </c>
      <c r="E28" s="397"/>
      <c r="F28" s="206"/>
      <c r="G28" s="206"/>
      <c r="H28" s="206"/>
      <c r="I28" s="206"/>
      <c r="J28" s="206"/>
      <c r="K28" s="206"/>
      <c r="L28" s="370"/>
      <c r="M28" s="370"/>
      <c r="N28" s="365"/>
    </row>
    <row r="29" spans="1:14" ht="22.5" customHeight="1">
      <c r="A29" s="197">
        <v>16</v>
      </c>
      <c r="B29" s="194" t="s">
        <v>44</v>
      </c>
      <c r="C29" s="198" t="s">
        <v>36</v>
      </c>
      <c r="D29" s="204">
        <v>1</v>
      </c>
      <c r="E29" s="397"/>
      <c r="F29" s="206"/>
      <c r="G29" s="206"/>
      <c r="H29" s="206"/>
      <c r="I29" s="206"/>
      <c r="J29" s="206"/>
      <c r="K29" s="206"/>
      <c r="L29" s="370"/>
      <c r="M29" s="370"/>
      <c r="N29" s="365"/>
    </row>
    <row r="30" spans="1:14" ht="43.5" customHeight="1">
      <c r="A30" s="197">
        <v>17</v>
      </c>
      <c r="B30" s="193" t="s">
        <v>511</v>
      </c>
      <c r="C30" s="219" t="s">
        <v>35</v>
      </c>
      <c r="D30" s="207">
        <v>1</v>
      </c>
      <c r="E30" s="219"/>
      <c r="F30" s="220"/>
      <c r="G30" s="220"/>
      <c r="H30" s="220"/>
      <c r="I30" s="206"/>
      <c r="J30" s="206"/>
      <c r="K30" s="220"/>
      <c r="L30" s="370"/>
      <c r="M30" s="370"/>
      <c r="N30" s="363"/>
    </row>
    <row r="31" spans="1:14" ht="21" customHeight="1">
      <c r="A31" s="197">
        <v>18</v>
      </c>
      <c r="B31" s="193" t="s">
        <v>512</v>
      </c>
      <c r="C31" s="219">
        <v>1239</v>
      </c>
      <c r="D31" s="207">
        <v>1</v>
      </c>
      <c r="E31" s="399"/>
      <c r="F31" s="220"/>
      <c r="G31" s="220"/>
      <c r="H31" s="220"/>
      <c r="I31" s="206"/>
      <c r="J31" s="206"/>
      <c r="K31" s="220"/>
      <c r="L31" s="370"/>
      <c r="M31" s="370"/>
      <c r="N31" s="363"/>
    </row>
    <row r="32" spans="1:19" ht="18" customHeight="1">
      <c r="A32" s="197"/>
      <c r="B32" s="321" t="s">
        <v>327</v>
      </c>
      <c r="C32" s="286"/>
      <c r="D32" s="366">
        <f>SUM(D16:D31)</f>
        <v>18</v>
      </c>
      <c r="E32" s="286"/>
      <c r="F32" s="323"/>
      <c r="G32" s="323"/>
      <c r="H32" s="323"/>
      <c r="I32" s="324"/>
      <c r="J32" s="324"/>
      <c r="K32" s="220"/>
      <c r="L32" s="325"/>
      <c r="M32" s="212"/>
      <c r="N32" s="326"/>
      <c r="S32" s="380"/>
    </row>
    <row r="33" spans="1:14" ht="19.5" customHeight="1">
      <c r="A33" s="448" t="s">
        <v>163</v>
      </c>
      <c r="B33" s="447"/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</row>
    <row r="34" spans="1:14" ht="29.25" customHeight="1">
      <c r="A34" s="197">
        <v>1</v>
      </c>
      <c r="B34" s="194" t="s">
        <v>123</v>
      </c>
      <c r="C34" s="197" t="s">
        <v>33</v>
      </c>
      <c r="D34" s="197">
        <v>1</v>
      </c>
      <c r="E34" s="198"/>
      <c r="F34" s="198"/>
      <c r="G34" s="198"/>
      <c r="H34" s="198"/>
      <c r="I34" s="198"/>
      <c r="J34" s="198"/>
      <c r="K34" s="198"/>
      <c r="L34" s="370"/>
      <c r="M34" s="370"/>
      <c r="N34" s="363"/>
    </row>
    <row r="35" spans="1:14" ht="27.75" customHeight="1">
      <c r="A35" s="197">
        <v>2</v>
      </c>
      <c r="B35" s="194" t="s">
        <v>334</v>
      </c>
      <c r="C35" s="197" t="s">
        <v>33</v>
      </c>
      <c r="D35" s="197">
        <v>0.1</v>
      </c>
      <c r="E35" s="198"/>
      <c r="F35" s="198"/>
      <c r="G35" s="198"/>
      <c r="H35" s="198"/>
      <c r="I35" s="198"/>
      <c r="J35" s="198"/>
      <c r="K35" s="198"/>
      <c r="L35" s="370"/>
      <c r="M35" s="370"/>
      <c r="N35" s="363"/>
    </row>
    <row r="36" spans="1:14" ht="21" customHeight="1">
      <c r="A36" s="197">
        <v>3</v>
      </c>
      <c r="B36" s="194" t="s">
        <v>22</v>
      </c>
      <c r="C36" s="197" t="s">
        <v>33</v>
      </c>
      <c r="D36" s="197">
        <v>1</v>
      </c>
      <c r="E36" s="205"/>
      <c r="F36" s="198"/>
      <c r="G36" s="198"/>
      <c r="H36" s="198"/>
      <c r="I36" s="198"/>
      <c r="J36" s="198"/>
      <c r="K36" s="198"/>
      <c r="L36" s="370"/>
      <c r="M36" s="370"/>
      <c r="N36" s="363"/>
    </row>
    <row r="37" spans="1:14" ht="21" customHeight="1">
      <c r="A37" s="197">
        <v>4</v>
      </c>
      <c r="B37" s="199" t="s">
        <v>513</v>
      </c>
      <c r="C37" s="197" t="s">
        <v>33</v>
      </c>
      <c r="D37" s="197">
        <v>3</v>
      </c>
      <c r="E37" s="198"/>
      <c r="F37" s="198"/>
      <c r="G37" s="198"/>
      <c r="H37" s="198"/>
      <c r="I37" s="198"/>
      <c r="J37" s="198"/>
      <c r="K37" s="195"/>
      <c r="L37" s="370"/>
      <c r="M37" s="370"/>
      <c r="N37" s="363"/>
    </row>
    <row r="38" spans="1:14" ht="23.25" customHeight="1">
      <c r="A38" s="197">
        <v>5</v>
      </c>
      <c r="B38" s="194" t="s">
        <v>514</v>
      </c>
      <c r="C38" s="204" t="s">
        <v>119</v>
      </c>
      <c r="D38" s="204">
        <v>2</v>
      </c>
      <c r="E38" s="198"/>
      <c r="F38" s="205"/>
      <c r="G38" s="205"/>
      <c r="H38" s="205"/>
      <c r="I38" s="205"/>
      <c r="J38" s="205"/>
      <c r="K38" s="206"/>
      <c r="L38" s="370"/>
      <c r="M38" s="370"/>
      <c r="N38" s="363"/>
    </row>
    <row r="39" spans="1:14" ht="21" customHeight="1">
      <c r="A39" s="197">
        <v>6</v>
      </c>
      <c r="B39" s="193" t="s">
        <v>27</v>
      </c>
      <c r="C39" s="204" t="s">
        <v>33</v>
      </c>
      <c r="D39" s="207">
        <v>1</v>
      </c>
      <c r="E39" s="198"/>
      <c r="F39" s="198"/>
      <c r="G39" s="198"/>
      <c r="H39" s="198"/>
      <c r="I39" s="198"/>
      <c r="J39" s="198"/>
      <c r="K39" s="195"/>
      <c r="L39" s="370"/>
      <c r="M39" s="370"/>
      <c r="N39" s="363"/>
    </row>
    <row r="40" spans="1:14" ht="32.25" customHeight="1">
      <c r="A40" s="197">
        <v>7</v>
      </c>
      <c r="B40" s="194" t="s">
        <v>41</v>
      </c>
      <c r="C40" s="197" t="s">
        <v>34</v>
      </c>
      <c r="D40" s="208">
        <v>2</v>
      </c>
      <c r="E40" s="205"/>
      <c r="F40" s="209"/>
      <c r="G40" s="209"/>
      <c r="H40" s="209"/>
      <c r="I40" s="198"/>
      <c r="J40" s="198"/>
      <c r="K40" s="198"/>
      <c r="L40" s="370"/>
      <c r="M40" s="370"/>
      <c r="N40" s="363"/>
    </row>
    <row r="41" spans="1:14" ht="29.25" customHeight="1">
      <c r="A41" s="197">
        <v>8</v>
      </c>
      <c r="B41" s="194" t="s">
        <v>515</v>
      </c>
      <c r="C41" s="197" t="s">
        <v>34</v>
      </c>
      <c r="D41" s="208">
        <v>2</v>
      </c>
      <c r="E41" s="209"/>
      <c r="F41" s="209"/>
      <c r="G41" s="209"/>
      <c r="H41" s="209"/>
      <c r="I41" s="198"/>
      <c r="J41" s="198"/>
      <c r="K41" s="198"/>
      <c r="L41" s="370"/>
      <c r="M41" s="370"/>
      <c r="N41" s="363"/>
    </row>
    <row r="42" spans="1:14" ht="21" customHeight="1">
      <c r="A42" s="197">
        <v>9</v>
      </c>
      <c r="B42" s="199" t="s">
        <v>8</v>
      </c>
      <c r="C42" s="197" t="s">
        <v>51</v>
      </c>
      <c r="D42" s="197">
        <v>1</v>
      </c>
      <c r="E42" s="198"/>
      <c r="F42" s="198"/>
      <c r="G42" s="198"/>
      <c r="H42" s="198"/>
      <c r="I42" s="198"/>
      <c r="J42" s="198"/>
      <c r="K42" s="198"/>
      <c r="L42" s="370"/>
      <c r="M42" s="370"/>
      <c r="N42" s="363"/>
    </row>
    <row r="43" spans="1:14" ht="30.75" customHeight="1">
      <c r="A43" s="208">
        <v>10</v>
      </c>
      <c r="B43" s="194" t="s">
        <v>516</v>
      </c>
      <c r="C43" s="200" t="s">
        <v>461</v>
      </c>
      <c r="D43" s="200">
        <v>1</v>
      </c>
      <c r="E43" s="201"/>
      <c r="F43" s="201"/>
      <c r="G43" s="201"/>
      <c r="H43" s="201"/>
      <c r="I43" s="201"/>
      <c r="J43" s="201"/>
      <c r="K43" s="203"/>
      <c r="L43" s="370"/>
      <c r="M43" s="359"/>
      <c r="N43" s="400"/>
    </row>
    <row r="44" spans="1:14" ht="39" customHeight="1">
      <c r="A44" s="382">
        <v>11</v>
      </c>
      <c r="B44" s="378" t="s">
        <v>517</v>
      </c>
      <c r="C44" s="382" t="s">
        <v>33</v>
      </c>
      <c r="D44" s="382">
        <v>1</v>
      </c>
      <c r="E44" s="370"/>
      <c r="F44" s="370"/>
      <c r="G44" s="370"/>
      <c r="H44" s="370"/>
      <c r="I44" s="370"/>
      <c r="J44" s="370"/>
      <c r="K44" s="370"/>
      <c r="L44" s="370"/>
      <c r="M44" s="370"/>
      <c r="N44" s="363"/>
    </row>
    <row r="45" spans="1:14" ht="46.5" customHeight="1">
      <c r="A45" s="382">
        <v>12</v>
      </c>
      <c r="B45" s="378" t="s">
        <v>526</v>
      </c>
      <c r="C45" s="382" t="s">
        <v>33</v>
      </c>
      <c r="D45" s="382">
        <v>1</v>
      </c>
      <c r="E45" s="370"/>
      <c r="F45" s="370"/>
      <c r="G45" s="370"/>
      <c r="H45" s="370"/>
      <c r="I45" s="370"/>
      <c r="J45" s="370"/>
      <c r="K45" s="370"/>
      <c r="L45" s="370"/>
      <c r="M45" s="370"/>
      <c r="N45" s="363"/>
    </row>
    <row r="46" spans="1:14" ht="24.75" customHeight="1">
      <c r="A46" s="382">
        <v>13</v>
      </c>
      <c r="B46" s="376" t="s">
        <v>471</v>
      </c>
      <c r="C46" s="382">
        <v>2429</v>
      </c>
      <c r="D46" s="382">
        <v>1</v>
      </c>
      <c r="E46" s="394"/>
      <c r="F46" s="370"/>
      <c r="G46" s="370"/>
      <c r="H46" s="370"/>
      <c r="I46" s="370"/>
      <c r="J46" s="370"/>
      <c r="K46" s="370"/>
      <c r="L46" s="370"/>
      <c r="M46" s="370"/>
      <c r="N46" s="363"/>
    </row>
    <row r="47" spans="1:19" ht="25.5" customHeight="1">
      <c r="A47" s="382"/>
      <c r="B47" s="383" t="s">
        <v>328</v>
      </c>
      <c r="C47" s="384"/>
      <c r="D47" s="385">
        <f>SUM(D34:D46)</f>
        <v>17.1</v>
      </c>
      <c r="E47" s="386"/>
      <c r="F47" s="386"/>
      <c r="G47" s="386"/>
      <c r="H47" s="386"/>
      <c r="I47" s="386"/>
      <c r="J47" s="386"/>
      <c r="K47" s="370"/>
      <c r="L47" s="386"/>
      <c r="M47" s="386"/>
      <c r="N47" s="363"/>
      <c r="S47" s="380"/>
    </row>
    <row r="48" spans="1:14" ht="25.5" customHeight="1">
      <c r="A48" s="478" t="s">
        <v>165</v>
      </c>
      <c r="B48" s="479"/>
      <c r="C48" s="479"/>
      <c r="D48" s="479"/>
      <c r="E48" s="479"/>
      <c r="F48" s="479"/>
      <c r="G48" s="479"/>
      <c r="H48" s="479"/>
      <c r="I48" s="479"/>
      <c r="J48" s="479"/>
      <c r="K48" s="479"/>
      <c r="L48" s="479"/>
      <c r="M48" s="479"/>
      <c r="N48" s="479"/>
    </row>
    <row r="49" spans="1:14" ht="33" customHeight="1">
      <c r="A49" s="387">
        <v>1</v>
      </c>
      <c r="B49" s="372" t="s">
        <v>463</v>
      </c>
      <c r="C49" s="387">
        <v>3423</v>
      </c>
      <c r="D49" s="387">
        <v>1</v>
      </c>
      <c r="E49" s="370"/>
      <c r="F49" s="359"/>
      <c r="G49" s="359"/>
      <c r="H49" s="359"/>
      <c r="I49" s="359"/>
      <c r="J49" s="359"/>
      <c r="K49" s="359"/>
      <c r="L49" s="370"/>
      <c r="M49" s="359"/>
      <c r="N49" s="369"/>
    </row>
    <row r="50" spans="1:14" ht="20.25" customHeight="1">
      <c r="A50" s="382">
        <v>2</v>
      </c>
      <c r="B50" s="381" t="s">
        <v>518</v>
      </c>
      <c r="C50" s="387">
        <v>3119</v>
      </c>
      <c r="D50" s="387">
        <v>1</v>
      </c>
      <c r="E50" s="359"/>
      <c r="F50" s="359"/>
      <c r="G50" s="359"/>
      <c r="H50" s="359"/>
      <c r="I50" s="359"/>
      <c r="J50" s="359"/>
      <c r="K50" s="388"/>
      <c r="L50" s="370"/>
      <c r="M50" s="359"/>
      <c r="N50" s="368"/>
    </row>
    <row r="51" spans="1:19" ht="20.25" customHeight="1">
      <c r="A51" s="382"/>
      <c r="B51" s="389" t="s">
        <v>328</v>
      </c>
      <c r="C51" s="390"/>
      <c r="D51" s="391">
        <f>SUM(D49:D50)</f>
        <v>2</v>
      </c>
      <c r="E51" s="392"/>
      <c r="F51" s="392"/>
      <c r="G51" s="392"/>
      <c r="H51" s="392"/>
      <c r="I51" s="392"/>
      <c r="J51" s="392"/>
      <c r="K51" s="388"/>
      <c r="L51" s="392"/>
      <c r="M51" s="392"/>
      <c r="N51" s="393"/>
      <c r="S51" s="380"/>
    </row>
    <row r="52" spans="1:14" ht="21" customHeight="1">
      <c r="A52" s="478" t="s">
        <v>166</v>
      </c>
      <c r="B52" s="479"/>
      <c r="C52" s="479"/>
      <c r="D52" s="479"/>
      <c r="E52" s="479"/>
      <c r="F52" s="479"/>
      <c r="G52" s="479"/>
      <c r="H52" s="479"/>
      <c r="I52" s="479"/>
      <c r="J52" s="479"/>
      <c r="K52" s="479"/>
      <c r="L52" s="479"/>
      <c r="M52" s="479"/>
      <c r="N52" s="479"/>
    </row>
    <row r="53" spans="1:14" ht="23.25" customHeight="1">
      <c r="A53" s="387">
        <v>1</v>
      </c>
      <c r="B53" s="373" t="s">
        <v>37</v>
      </c>
      <c r="C53" s="387">
        <v>4115</v>
      </c>
      <c r="D53" s="387">
        <v>1</v>
      </c>
      <c r="E53" s="370"/>
      <c r="F53" s="370"/>
      <c r="G53" s="370"/>
      <c r="H53" s="370"/>
      <c r="I53" s="370"/>
      <c r="J53" s="370"/>
      <c r="K53" s="370"/>
      <c r="L53" s="370"/>
      <c r="M53" s="370"/>
      <c r="N53" s="368"/>
    </row>
    <row r="54" spans="1:14" ht="38.25" customHeight="1">
      <c r="A54" s="387">
        <v>2</v>
      </c>
      <c r="B54" s="372" t="s">
        <v>193</v>
      </c>
      <c r="C54" s="387">
        <v>4133</v>
      </c>
      <c r="D54" s="387">
        <v>1</v>
      </c>
      <c r="E54" s="370"/>
      <c r="F54" s="370"/>
      <c r="G54" s="370"/>
      <c r="H54" s="394"/>
      <c r="I54" s="370"/>
      <c r="J54" s="370"/>
      <c r="K54" s="370"/>
      <c r="L54" s="370"/>
      <c r="M54" s="370"/>
      <c r="N54" s="368"/>
    </row>
    <row r="55" spans="1:14" ht="13.5">
      <c r="A55" s="200">
        <v>3</v>
      </c>
      <c r="B55" s="191" t="s">
        <v>120</v>
      </c>
      <c r="C55" s="200">
        <v>3231</v>
      </c>
      <c r="D55" s="200">
        <v>0.5</v>
      </c>
      <c r="E55" s="398"/>
      <c r="F55" s="198"/>
      <c r="G55" s="198"/>
      <c r="H55" s="198"/>
      <c r="I55" s="198"/>
      <c r="J55" s="198"/>
      <c r="K55" s="198"/>
      <c r="L55" s="370"/>
      <c r="M55" s="370"/>
      <c r="N55" s="368"/>
    </row>
    <row r="56" spans="1:19" ht="27.75" customHeight="1">
      <c r="A56" s="200"/>
      <c r="B56" s="315" t="s">
        <v>328</v>
      </c>
      <c r="C56" s="316"/>
      <c r="D56" s="367">
        <f>SUM(D53:D55)</f>
        <v>2.5</v>
      </c>
      <c r="E56" s="212"/>
      <c r="F56" s="212"/>
      <c r="G56" s="212"/>
      <c r="H56" s="212"/>
      <c r="I56" s="212"/>
      <c r="J56" s="212"/>
      <c r="K56" s="198"/>
      <c r="L56" s="212"/>
      <c r="M56" s="212"/>
      <c r="N56" s="191"/>
      <c r="S56" s="380"/>
    </row>
    <row r="57" spans="1:14" ht="28.5" customHeight="1">
      <c r="A57" s="468" t="s">
        <v>315</v>
      </c>
      <c r="B57" s="468"/>
      <c r="C57" s="468"/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</row>
    <row r="58" spans="1:14" ht="32.25" customHeight="1">
      <c r="A58" s="248" t="s">
        <v>71</v>
      </c>
      <c r="B58" s="248"/>
      <c r="C58" s="248"/>
      <c r="D58" s="248"/>
      <c r="E58" s="248"/>
      <c r="F58" s="402"/>
      <c r="G58" s="412"/>
      <c r="H58" s="248"/>
      <c r="I58" s="248"/>
      <c r="J58" s="248"/>
      <c r="K58" s="248"/>
      <c r="L58" s="248"/>
      <c r="M58" s="248"/>
      <c r="N58" s="379"/>
    </row>
    <row r="59" spans="1:14" ht="43.5" customHeight="1">
      <c r="A59" s="204">
        <v>1</v>
      </c>
      <c r="B59" s="194" t="s">
        <v>76</v>
      </c>
      <c r="C59" s="205" t="s">
        <v>45</v>
      </c>
      <c r="D59" s="204">
        <v>3</v>
      </c>
      <c r="E59" s="204"/>
      <c r="F59" s="243"/>
      <c r="G59" s="205"/>
      <c r="H59" s="249"/>
      <c r="I59" s="205"/>
      <c r="J59" s="205"/>
      <c r="K59" s="205"/>
      <c r="L59" s="348"/>
      <c r="M59" s="348"/>
      <c r="N59" s="371"/>
    </row>
    <row r="60" spans="1:14" ht="41.25" customHeight="1">
      <c r="A60" s="204">
        <v>2</v>
      </c>
      <c r="B60" s="194" t="s">
        <v>77</v>
      </c>
      <c r="C60" s="205" t="s">
        <v>45</v>
      </c>
      <c r="D60" s="204">
        <v>2</v>
      </c>
      <c r="E60" s="204"/>
      <c r="F60" s="243"/>
      <c r="G60" s="205"/>
      <c r="H60" s="249"/>
      <c r="I60" s="205"/>
      <c r="J60" s="205"/>
      <c r="K60" s="205"/>
      <c r="L60" s="348"/>
      <c r="M60" s="348"/>
      <c r="N60" s="371"/>
    </row>
    <row r="61" spans="1:14" ht="43.5" customHeight="1">
      <c r="A61" s="204">
        <v>3</v>
      </c>
      <c r="B61" s="194" t="s">
        <v>74</v>
      </c>
      <c r="C61" s="205" t="s">
        <v>45</v>
      </c>
      <c r="D61" s="204">
        <v>4</v>
      </c>
      <c r="E61" s="204"/>
      <c r="F61" s="243"/>
      <c r="G61" s="205"/>
      <c r="H61" s="249"/>
      <c r="I61" s="205"/>
      <c r="J61" s="205"/>
      <c r="K61" s="205"/>
      <c r="L61" s="348"/>
      <c r="M61" s="348"/>
      <c r="N61" s="371"/>
    </row>
    <row r="62" spans="1:14" ht="47.25" customHeight="1">
      <c r="A62" s="352">
        <v>4</v>
      </c>
      <c r="B62" s="251" t="s">
        <v>196</v>
      </c>
      <c r="C62" s="348">
        <v>9322</v>
      </c>
      <c r="D62" s="348">
        <v>1</v>
      </c>
      <c r="E62" s="348"/>
      <c r="F62" s="243"/>
      <c r="G62" s="359"/>
      <c r="H62" s="249"/>
      <c r="I62" s="348"/>
      <c r="J62" s="205"/>
      <c r="K62" s="205"/>
      <c r="L62" s="348"/>
      <c r="M62" s="348"/>
      <c r="N62" s="377"/>
    </row>
    <row r="63" spans="1:14" ht="46.5" customHeight="1">
      <c r="A63" s="204">
        <v>5</v>
      </c>
      <c r="B63" s="194" t="s">
        <v>75</v>
      </c>
      <c r="C63" s="205" t="s">
        <v>45</v>
      </c>
      <c r="D63" s="204">
        <v>1</v>
      </c>
      <c r="E63" s="204"/>
      <c r="F63" s="243"/>
      <c r="G63" s="205"/>
      <c r="H63" s="249"/>
      <c r="I63" s="205"/>
      <c r="J63" s="205"/>
      <c r="K63" s="205"/>
      <c r="L63" s="348"/>
      <c r="M63" s="348"/>
      <c r="N63" s="371"/>
    </row>
    <row r="64" spans="1:19" ht="24.75" customHeight="1">
      <c r="A64" s="204"/>
      <c r="B64" s="357" t="s">
        <v>328</v>
      </c>
      <c r="C64" s="205"/>
      <c r="D64" s="354">
        <f>SUM(D59:D63)</f>
        <v>11</v>
      </c>
      <c r="E64" s="222"/>
      <c r="F64" s="222"/>
      <c r="G64" s="222"/>
      <c r="H64" s="353"/>
      <c r="I64" s="222"/>
      <c r="J64" s="222"/>
      <c r="K64" s="222"/>
      <c r="L64" s="222"/>
      <c r="M64" s="222"/>
      <c r="N64" s="296"/>
      <c r="S64" s="380"/>
    </row>
    <row r="65" spans="1:14" ht="29.25" customHeight="1">
      <c r="A65" s="447" t="s">
        <v>117</v>
      </c>
      <c r="B65" s="447"/>
      <c r="C65" s="447"/>
      <c r="D65" s="447"/>
      <c r="E65" s="447"/>
      <c r="F65" s="447"/>
      <c r="G65" s="447"/>
      <c r="H65" s="447"/>
      <c r="I65" s="447"/>
      <c r="J65" s="447"/>
      <c r="K65" s="447"/>
      <c r="L65" s="447"/>
      <c r="M65" s="447"/>
      <c r="N65" s="447"/>
    </row>
    <row r="66" spans="1:14" ht="57.75" customHeight="1">
      <c r="A66" s="205">
        <v>1</v>
      </c>
      <c r="B66" s="194" t="s">
        <v>76</v>
      </c>
      <c r="C66" s="205" t="s">
        <v>45</v>
      </c>
      <c r="D66" s="205">
        <v>4</v>
      </c>
      <c r="E66" s="204"/>
      <c r="F66" s="243"/>
      <c r="G66" s="205"/>
      <c r="H66" s="249"/>
      <c r="I66" s="205"/>
      <c r="J66" s="205"/>
      <c r="K66" s="205"/>
      <c r="L66" s="348"/>
      <c r="M66" s="348"/>
      <c r="N66" s="371"/>
    </row>
    <row r="67" spans="1:14" ht="54.75" customHeight="1">
      <c r="A67" s="205">
        <v>2</v>
      </c>
      <c r="B67" s="194" t="s">
        <v>77</v>
      </c>
      <c r="C67" s="205" t="s">
        <v>45</v>
      </c>
      <c r="D67" s="205">
        <v>2</v>
      </c>
      <c r="E67" s="204"/>
      <c r="F67" s="243"/>
      <c r="G67" s="205"/>
      <c r="H67" s="249"/>
      <c r="I67" s="205"/>
      <c r="J67" s="205"/>
      <c r="K67" s="205"/>
      <c r="L67" s="348"/>
      <c r="M67" s="348"/>
      <c r="N67" s="371"/>
    </row>
    <row r="68" spans="1:14" ht="51.75" customHeight="1">
      <c r="A68" s="205">
        <v>3</v>
      </c>
      <c r="B68" s="194" t="s">
        <v>74</v>
      </c>
      <c r="C68" s="205" t="s">
        <v>45</v>
      </c>
      <c r="D68" s="205">
        <v>3</v>
      </c>
      <c r="E68" s="204"/>
      <c r="F68" s="243"/>
      <c r="G68" s="205"/>
      <c r="H68" s="249"/>
      <c r="I68" s="205"/>
      <c r="J68" s="205"/>
      <c r="K68" s="205"/>
      <c r="L68" s="348"/>
      <c r="M68" s="348"/>
      <c r="N68" s="371"/>
    </row>
    <row r="69" spans="1:14" ht="49.5" customHeight="1">
      <c r="A69" s="205">
        <v>4</v>
      </c>
      <c r="B69" s="194" t="s">
        <v>75</v>
      </c>
      <c r="C69" s="205" t="s">
        <v>45</v>
      </c>
      <c r="D69" s="205">
        <v>1</v>
      </c>
      <c r="E69" s="204"/>
      <c r="F69" s="243"/>
      <c r="G69" s="205"/>
      <c r="H69" s="249"/>
      <c r="I69" s="205"/>
      <c r="J69" s="205"/>
      <c r="K69" s="205"/>
      <c r="L69" s="348"/>
      <c r="M69" s="348"/>
      <c r="N69" s="371"/>
    </row>
    <row r="70" spans="1:19" ht="29.25" customHeight="1">
      <c r="A70" s="205"/>
      <c r="B70" s="357" t="s">
        <v>328</v>
      </c>
      <c r="C70" s="205"/>
      <c r="D70" s="222">
        <f>SUM(D66:D69)</f>
        <v>10</v>
      </c>
      <c r="E70" s="222"/>
      <c r="F70" s="222"/>
      <c r="G70" s="222"/>
      <c r="H70" s="353"/>
      <c r="I70" s="222"/>
      <c r="J70" s="222"/>
      <c r="K70" s="222"/>
      <c r="L70" s="222"/>
      <c r="M70" s="222"/>
      <c r="N70" s="225"/>
      <c r="S70" s="380"/>
    </row>
    <row r="71" spans="1:14" ht="37.5" customHeight="1">
      <c r="A71" s="447" t="s">
        <v>20</v>
      </c>
      <c r="B71" s="447"/>
      <c r="C71" s="447"/>
      <c r="D71" s="447"/>
      <c r="E71" s="447"/>
      <c r="F71" s="447"/>
      <c r="G71" s="447"/>
      <c r="H71" s="447"/>
      <c r="I71" s="447"/>
      <c r="J71" s="447"/>
      <c r="K71" s="447"/>
      <c r="L71" s="447"/>
      <c r="M71" s="447"/>
      <c r="N71" s="447"/>
    </row>
    <row r="72" spans="1:14" ht="51" customHeight="1">
      <c r="A72" s="204">
        <v>1</v>
      </c>
      <c r="B72" s="194" t="s">
        <v>74</v>
      </c>
      <c r="C72" s="205" t="s">
        <v>45</v>
      </c>
      <c r="D72" s="204">
        <v>7</v>
      </c>
      <c r="E72" s="204"/>
      <c r="F72" s="243"/>
      <c r="G72" s="205"/>
      <c r="H72" s="249"/>
      <c r="I72" s="205"/>
      <c r="J72" s="205"/>
      <c r="K72" s="205"/>
      <c r="L72" s="348"/>
      <c r="M72" s="348"/>
      <c r="N72" s="371"/>
    </row>
    <row r="73" spans="1:14" ht="45.75" customHeight="1">
      <c r="A73" s="204">
        <v>2</v>
      </c>
      <c r="B73" s="194" t="s">
        <v>75</v>
      </c>
      <c r="C73" s="205" t="s">
        <v>45</v>
      </c>
      <c r="D73" s="204">
        <v>4</v>
      </c>
      <c r="E73" s="204"/>
      <c r="F73" s="243"/>
      <c r="G73" s="349"/>
      <c r="H73" s="350"/>
      <c r="I73" s="348"/>
      <c r="J73" s="205"/>
      <c r="K73" s="205"/>
      <c r="L73" s="348"/>
      <c r="M73" s="348"/>
      <c r="N73" s="371"/>
    </row>
    <row r="74" spans="1:19" ht="27.75" customHeight="1">
      <c r="A74" s="204"/>
      <c r="B74" s="357" t="s">
        <v>328</v>
      </c>
      <c r="C74" s="205"/>
      <c r="D74" s="354">
        <f>SUM(D72:D73)</f>
        <v>11</v>
      </c>
      <c r="E74" s="222"/>
      <c r="F74" s="355"/>
      <c r="G74" s="355"/>
      <c r="H74" s="356"/>
      <c r="I74" s="222"/>
      <c r="J74" s="222"/>
      <c r="K74" s="222"/>
      <c r="L74" s="222"/>
      <c r="M74" s="222"/>
      <c r="N74" s="225"/>
      <c r="S74" s="380"/>
    </row>
    <row r="75" spans="1:19" ht="29.25" customHeight="1">
      <c r="A75" s="403"/>
      <c r="B75" s="404"/>
      <c r="C75" s="405"/>
      <c r="D75" s="406"/>
      <c r="E75" s="407"/>
      <c r="F75" s="408"/>
      <c r="G75" s="408"/>
      <c r="H75" s="409"/>
      <c r="I75" s="407"/>
      <c r="J75" s="407"/>
      <c r="K75" s="407"/>
      <c r="L75" s="407"/>
      <c r="M75" s="407"/>
      <c r="N75" s="410"/>
      <c r="S75" s="380"/>
    </row>
    <row r="76" spans="1:14" ht="24.75" customHeight="1">
      <c r="A76" s="447" t="s">
        <v>72</v>
      </c>
      <c r="B76" s="447"/>
      <c r="C76" s="447"/>
      <c r="D76" s="447"/>
      <c r="E76" s="447"/>
      <c r="F76" s="447"/>
      <c r="G76" s="447"/>
      <c r="H76" s="447"/>
      <c r="I76" s="447"/>
      <c r="J76" s="447"/>
      <c r="K76" s="447"/>
      <c r="L76" s="447"/>
      <c r="M76" s="447"/>
      <c r="N76" s="447"/>
    </row>
    <row r="77" spans="1:14" ht="51.75" customHeight="1">
      <c r="A77" s="198">
        <v>1</v>
      </c>
      <c r="B77" s="194" t="s">
        <v>76</v>
      </c>
      <c r="C77" s="205" t="s">
        <v>45</v>
      </c>
      <c r="D77" s="198">
        <v>6</v>
      </c>
      <c r="E77" s="204"/>
      <c r="F77" s="243"/>
      <c r="G77" s="205"/>
      <c r="H77" s="249"/>
      <c r="I77" s="198"/>
      <c r="J77" s="205"/>
      <c r="K77" s="205"/>
      <c r="L77" s="348"/>
      <c r="M77" s="348"/>
      <c r="N77" s="371"/>
    </row>
    <row r="78" spans="1:14" ht="46.5" customHeight="1">
      <c r="A78" s="198">
        <v>2</v>
      </c>
      <c r="B78" s="194" t="s">
        <v>75</v>
      </c>
      <c r="C78" s="205" t="s">
        <v>45</v>
      </c>
      <c r="D78" s="198">
        <v>2</v>
      </c>
      <c r="E78" s="204"/>
      <c r="F78" s="243"/>
      <c r="G78" s="205"/>
      <c r="H78" s="249"/>
      <c r="I78" s="205"/>
      <c r="J78" s="205"/>
      <c r="K78" s="205"/>
      <c r="L78" s="348"/>
      <c r="M78" s="348"/>
      <c r="N78" s="371"/>
    </row>
    <row r="79" spans="1:14" ht="48.75" customHeight="1">
      <c r="A79" s="198">
        <v>3</v>
      </c>
      <c r="B79" s="194" t="s">
        <v>74</v>
      </c>
      <c r="C79" s="205" t="s">
        <v>45</v>
      </c>
      <c r="D79" s="198">
        <v>2</v>
      </c>
      <c r="E79" s="204"/>
      <c r="F79" s="243"/>
      <c r="G79" s="205"/>
      <c r="H79" s="249"/>
      <c r="I79" s="198"/>
      <c r="J79" s="205"/>
      <c r="K79" s="205"/>
      <c r="L79" s="348"/>
      <c r="M79" s="348"/>
      <c r="N79" s="371"/>
    </row>
    <row r="80" spans="1:19" ht="18.75" customHeight="1">
      <c r="A80" s="198"/>
      <c r="B80" s="324" t="s">
        <v>328</v>
      </c>
      <c r="C80" s="222"/>
      <c r="D80" s="212">
        <f>SUM(D77:D79)</f>
        <v>10</v>
      </c>
      <c r="E80" s="222"/>
      <c r="F80" s="222"/>
      <c r="G80" s="222"/>
      <c r="H80" s="222"/>
      <c r="I80" s="198"/>
      <c r="J80" s="212"/>
      <c r="K80" s="212"/>
      <c r="L80" s="212"/>
      <c r="M80" s="212"/>
      <c r="N80" s="255"/>
      <c r="S80" s="380"/>
    </row>
    <row r="81" spans="1:14" ht="21" customHeight="1">
      <c r="A81" s="447" t="s">
        <v>14</v>
      </c>
      <c r="B81" s="447"/>
      <c r="C81" s="447"/>
      <c r="D81" s="447"/>
      <c r="E81" s="447"/>
      <c r="F81" s="447"/>
      <c r="G81" s="447"/>
      <c r="H81" s="447"/>
      <c r="I81" s="447"/>
      <c r="J81" s="447"/>
      <c r="K81" s="447"/>
      <c r="L81" s="447"/>
      <c r="M81" s="447"/>
      <c r="N81" s="447"/>
    </row>
    <row r="82" spans="1:14" ht="45" customHeight="1">
      <c r="A82" s="208">
        <v>1</v>
      </c>
      <c r="B82" s="194" t="s">
        <v>50</v>
      </c>
      <c r="C82" s="205" t="s">
        <v>45</v>
      </c>
      <c r="D82" s="197">
        <v>8</v>
      </c>
      <c r="E82" s="204"/>
      <c r="F82" s="243"/>
      <c r="G82" s="198"/>
      <c r="H82" s="259"/>
      <c r="I82" s="198"/>
      <c r="J82" s="205"/>
      <c r="K82" s="205"/>
      <c r="L82" s="348"/>
      <c r="M82" s="348"/>
      <c r="N82" s="371"/>
    </row>
    <row r="83" spans="1:14" ht="57.75" customHeight="1">
      <c r="A83" s="208">
        <v>2</v>
      </c>
      <c r="B83" s="194" t="s">
        <v>49</v>
      </c>
      <c r="C83" s="205" t="s">
        <v>61</v>
      </c>
      <c r="D83" s="197">
        <v>1</v>
      </c>
      <c r="E83" s="204"/>
      <c r="F83" s="243"/>
      <c r="G83" s="198"/>
      <c r="H83" s="259"/>
      <c r="I83" s="198"/>
      <c r="J83" s="205"/>
      <c r="K83" s="205"/>
      <c r="L83" s="348"/>
      <c r="M83" s="348"/>
      <c r="N83" s="371"/>
    </row>
    <row r="84" spans="1:14" ht="66" customHeight="1">
      <c r="A84" s="208">
        <v>3</v>
      </c>
      <c r="B84" s="194" t="s">
        <v>243</v>
      </c>
      <c r="C84" s="205" t="s">
        <v>61</v>
      </c>
      <c r="D84" s="197">
        <v>5</v>
      </c>
      <c r="E84" s="204"/>
      <c r="F84" s="243"/>
      <c r="G84" s="198"/>
      <c r="H84" s="259"/>
      <c r="I84" s="198"/>
      <c r="J84" s="205"/>
      <c r="K84" s="205"/>
      <c r="L84" s="348"/>
      <c r="M84" s="348"/>
      <c r="N84" s="371"/>
    </row>
    <row r="85" spans="1:14" ht="60" customHeight="1">
      <c r="A85" s="197">
        <v>4</v>
      </c>
      <c r="B85" s="194" t="s">
        <v>297</v>
      </c>
      <c r="C85" s="205" t="s">
        <v>62</v>
      </c>
      <c r="D85" s="197">
        <v>1</v>
      </c>
      <c r="E85" s="204"/>
      <c r="F85" s="243"/>
      <c r="G85" s="198"/>
      <c r="H85" s="259"/>
      <c r="I85" s="198"/>
      <c r="J85" s="205"/>
      <c r="K85" s="205"/>
      <c r="L85" s="348"/>
      <c r="M85" s="348"/>
      <c r="N85" s="371"/>
    </row>
    <row r="86" spans="1:19" ht="21.75" customHeight="1">
      <c r="A86" s="197"/>
      <c r="B86" s="357" t="s">
        <v>328</v>
      </c>
      <c r="C86" s="222"/>
      <c r="D86" s="320">
        <f>SUM(D82:D85)</f>
        <v>15</v>
      </c>
      <c r="E86" s="222"/>
      <c r="F86" s="212"/>
      <c r="G86" s="198"/>
      <c r="H86" s="259"/>
      <c r="I86" s="198"/>
      <c r="J86" s="212"/>
      <c r="K86" s="212"/>
      <c r="L86" s="212"/>
      <c r="M86" s="212"/>
      <c r="N86" s="225"/>
      <c r="S86" s="380"/>
    </row>
    <row r="87" spans="1:14" ht="27" customHeight="1">
      <c r="A87" s="461" t="s">
        <v>301</v>
      </c>
      <c r="B87" s="461"/>
      <c r="C87" s="461"/>
      <c r="D87" s="461"/>
      <c r="E87" s="461"/>
      <c r="F87" s="461"/>
      <c r="G87" s="461"/>
      <c r="H87" s="461"/>
      <c r="I87" s="461"/>
      <c r="J87" s="461"/>
      <c r="K87" s="461"/>
      <c r="L87" s="461"/>
      <c r="M87" s="461"/>
      <c r="N87" s="461"/>
    </row>
    <row r="88" spans="1:14" ht="45.75" customHeight="1">
      <c r="A88" s="207">
        <v>1</v>
      </c>
      <c r="B88" s="194" t="s">
        <v>519</v>
      </c>
      <c r="C88" s="205" t="s">
        <v>45</v>
      </c>
      <c r="D88" s="207">
        <v>1</v>
      </c>
      <c r="E88" s="207"/>
      <c r="F88" s="243"/>
      <c r="G88" s="348"/>
      <c r="H88" s="351"/>
      <c r="I88" s="348"/>
      <c r="J88" s="205"/>
      <c r="K88" s="205"/>
      <c r="L88" s="348"/>
      <c r="M88" s="348"/>
      <c r="N88" s="371"/>
    </row>
    <row r="89" spans="1:14" ht="58.5" customHeight="1">
      <c r="A89" s="207">
        <v>2</v>
      </c>
      <c r="B89" s="194" t="s">
        <v>472</v>
      </c>
      <c r="C89" s="205" t="s">
        <v>46</v>
      </c>
      <c r="D89" s="207">
        <v>3</v>
      </c>
      <c r="E89" s="207"/>
      <c r="F89" s="243"/>
      <c r="G89" s="204"/>
      <c r="H89" s="249"/>
      <c r="I89" s="204"/>
      <c r="J89" s="205"/>
      <c r="K89" s="205"/>
      <c r="L89" s="348"/>
      <c r="M89" s="348"/>
      <c r="N89" s="371"/>
    </row>
    <row r="90" spans="1:14" ht="58.5" customHeight="1">
      <c r="A90" s="207">
        <v>3</v>
      </c>
      <c r="B90" s="194" t="s">
        <v>473</v>
      </c>
      <c r="C90" s="205" t="s">
        <v>46</v>
      </c>
      <c r="D90" s="207">
        <v>2</v>
      </c>
      <c r="E90" s="207"/>
      <c r="F90" s="243"/>
      <c r="G90" s="205"/>
      <c r="H90" s="249"/>
      <c r="I90" s="205"/>
      <c r="J90" s="205"/>
      <c r="K90" s="205"/>
      <c r="L90" s="348"/>
      <c r="M90" s="348"/>
      <c r="N90" s="371"/>
    </row>
    <row r="91" spans="1:14" ht="89.25" customHeight="1">
      <c r="A91" s="262">
        <v>4</v>
      </c>
      <c r="B91" s="194" t="s">
        <v>303</v>
      </c>
      <c r="C91" s="205" t="s">
        <v>46</v>
      </c>
      <c r="D91" s="207">
        <v>2</v>
      </c>
      <c r="E91" s="207"/>
      <c r="F91" s="243"/>
      <c r="G91" s="205"/>
      <c r="H91" s="249"/>
      <c r="I91" s="205"/>
      <c r="J91" s="205"/>
      <c r="K91" s="205"/>
      <c r="L91" s="348"/>
      <c r="M91" s="348"/>
      <c r="N91" s="371"/>
    </row>
    <row r="92" spans="1:19" ht="13.5">
      <c r="A92" s="207"/>
      <c r="B92" s="357" t="s">
        <v>328</v>
      </c>
      <c r="C92" s="222"/>
      <c r="D92" s="322">
        <f>SUM(D88:D91)</f>
        <v>8</v>
      </c>
      <c r="E92" s="205"/>
      <c r="F92" s="205"/>
      <c r="G92" s="205"/>
      <c r="H92" s="249"/>
      <c r="I92" s="205"/>
      <c r="J92" s="222"/>
      <c r="K92" s="222"/>
      <c r="L92" s="222"/>
      <c r="M92" s="222"/>
      <c r="N92" s="225"/>
      <c r="S92" s="380"/>
    </row>
    <row r="93" spans="1:14" ht="24.75" customHeight="1">
      <c r="A93" s="447" t="s">
        <v>177</v>
      </c>
      <c r="B93" s="447"/>
      <c r="C93" s="447"/>
      <c r="D93" s="447"/>
      <c r="E93" s="447"/>
      <c r="F93" s="447"/>
      <c r="G93" s="447"/>
      <c r="H93" s="447"/>
      <c r="I93" s="447"/>
      <c r="J93" s="447"/>
      <c r="K93" s="447"/>
      <c r="L93" s="447"/>
      <c r="M93" s="447"/>
      <c r="N93" s="447"/>
    </row>
    <row r="94" spans="1:14" ht="60.75" customHeight="1">
      <c r="A94" s="204">
        <v>1</v>
      </c>
      <c r="B94" s="194" t="s">
        <v>474</v>
      </c>
      <c r="C94" s="205">
        <v>8322</v>
      </c>
      <c r="D94" s="204">
        <v>5</v>
      </c>
      <c r="E94" s="204"/>
      <c r="F94" s="243"/>
      <c r="G94" s="205"/>
      <c r="H94" s="205"/>
      <c r="I94" s="249"/>
      <c r="J94" s="348"/>
      <c r="K94" s="205"/>
      <c r="L94" s="348"/>
      <c r="M94" s="348"/>
      <c r="N94" s="371"/>
    </row>
    <row r="95" spans="1:15" ht="82.5" customHeight="1">
      <c r="A95" s="204">
        <v>2</v>
      </c>
      <c r="B95" s="194" t="s">
        <v>500</v>
      </c>
      <c r="C95" s="205">
        <v>8322</v>
      </c>
      <c r="D95" s="204">
        <v>6</v>
      </c>
      <c r="E95" s="204"/>
      <c r="F95" s="243"/>
      <c r="G95" s="205"/>
      <c r="H95" s="205"/>
      <c r="I95" s="249"/>
      <c r="J95" s="348"/>
      <c r="K95" s="205"/>
      <c r="L95" s="348"/>
      <c r="M95" s="348"/>
      <c r="N95" s="371"/>
      <c r="O95" s="184"/>
    </row>
    <row r="96" spans="1:15" ht="53.25" customHeight="1">
      <c r="A96" s="204">
        <v>3</v>
      </c>
      <c r="B96" s="194" t="s">
        <v>520</v>
      </c>
      <c r="C96" s="205">
        <v>8322</v>
      </c>
      <c r="D96" s="204">
        <v>3</v>
      </c>
      <c r="E96" s="204"/>
      <c r="F96" s="243"/>
      <c r="G96" s="205"/>
      <c r="H96" s="205"/>
      <c r="I96" s="249"/>
      <c r="J96" s="348"/>
      <c r="K96" s="205"/>
      <c r="L96" s="348"/>
      <c r="M96" s="348"/>
      <c r="N96" s="371"/>
      <c r="O96" s="396"/>
    </row>
    <row r="97" spans="1:15" ht="91.5" customHeight="1">
      <c r="A97" s="204">
        <v>5</v>
      </c>
      <c r="B97" s="251" t="s">
        <v>528</v>
      </c>
      <c r="C97" s="348">
        <v>8322</v>
      </c>
      <c r="D97" s="352">
        <v>12</v>
      </c>
      <c r="E97" s="352"/>
      <c r="F97" s="243"/>
      <c r="G97" s="348"/>
      <c r="H97" s="348"/>
      <c r="I97" s="351"/>
      <c r="J97" s="348"/>
      <c r="K97" s="205"/>
      <c r="L97" s="348"/>
      <c r="M97" s="348"/>
      <c r="N97" s="371"/>
      <c r="O97" s="395"/>
    </row>
    <row r="98" spans="1:15" ht="63.75" customHeight="1">
      <c r="A98" s="204">
        <v>6</v>
      </c>
      <c r="B98" s="194" t="s">
        <v>521</v>
      </c>
      <c r="C98" s="205">
        <v>8322</v>
      </c>
      <c r="D98" s="352">
        <v>2</v>
      </c>
      <c r="E98" s="352"/>
      <c r="F98" s="243"/>
      <c r="G98" s="348"/>
      <c r="H98" s="348"/>
      <c r="I98" s="351"/>
      <c r="J98" s="348"/>
      <c r="K98" s="205"/>
      <c r="L98" s="348"/>
      <c r="M98" s="348"/>
      <c r="N98" s="371"/>
      <c r="O98" s="184"/>
    </row>
    <row r="99" spans="1:15" ht="102" customHeight="1">
      <c r="A99" s="204">
        <v>8</v>
      </c>
      <c r="B99" s="194" t="s">
        <v>527</v>
      </c>
      <c r="C99" s="205">
        <v>8322</v>
      </c>
      <c r="D99" s="204">
        <v>7</v>
      </c>
      <c r="E99" s="204"/>
      <c r="F99" s="243"/>
      <c r="G99" s="205"/>
      <c r="H99" s="205"/>
      <c r="I99" s="249"/>
      <c r="J99" s="348"/>
      <c r="K99" s="205"/>
      <c r="L99" s="348"/>
      <c r="M99" s="348"/>
      <c r="N99" s="371"/>
      <c r="O99" s="395"/>
    </row>
    <row r="100" spans="1:19" ht="25.5" customHeight="1">
      <c r="A100" s="204"/>
      <c r="B100" s="357" t="s">
        <v>328</v>
      </c>
      <c r="C100" s="243"/>
      <c r="D100" s="354">
        <f>SUM(D94:D99)</f>
        <v>35</v>
      </c>
      <c r="E100" s="205"/>
      <c r="F100" s="205"/>
      <c r="G100" s="205"/>
      <c r="H100" s="205"/>
      <c r="I100" s="205"/>
      <c r="J100" s="222"/>
      <c r="K100" s="222"/>
      <c r="L100" s="222"/>
      <c r="M100" s="222"/>
      <c r="N100" s="206"/>
      <c r="O100" s="184"/>
      <c r="S100" s="380"/>
    </row>
    <row r="101" spans="1:15" ht="27" customHeight="1">
      <c r="A101" s="446" t="s">
        <v>175</v>
      </c>
      <c r="B101" s="446"/>
      <c r="C101" s="446"/>
      <c r="D101" s="446"/>
      <c r="E101" s="446"/>
      <c r="F101" s="446"/>
      <c r="G101" s="446"/>
      <c r="H101" s="446"/>
      <c r="I101" s="446"/>
      <c r="J101" s="446"/>
      <c r="K101" s="446"/>
      <c r="L101" s="446"/>
      <c r="M101" s="446"/>
      <c r="N101" s="446"/>
      <c r="O101" s="184"/>
    </row>
    <row r="102" spans="1:15" ht="29.25" customHeight="1">
      <c r="A102" s="263">
        <v>1</v>
      </c>
      <c r="B102" s="193" t="s">
        <v>522</v>
      </c>
      <c r="C102" s="205" t="s">
        <v>63</v>
      </c>
      <c r="D102" s="207">
        <v>1</v>
      </c>
      <c r="E102" s="207"/>
      <c r="F102" s="243"/>
      <c r="G102" s="205"/>
      <c r="H102" s="249"/>
      <c r="I102" s="205"/>
      <c r="J102" s="348"/>
      <c r="K102" s="348"/>
      <c r="L102" s="348"/>
      <c r="M102" s="348"/>
      <c r="N102" s="371"/>
      <c r="O102" s="184"/>
    </row>
    <row r="103" spans="1:15" ht="39" customHeight="1">
      <c r="A103" s="263">
        <v>2</v>
      </c>
      <c r="B103" s="193" t="s">
        <v>479</v>
      </c>
      <c r="C103" s="205">
        <v>7214</v>
      </c>
      <c r="D103" s="207">
        <v>2</v>
      </c>
      <c r="E103" s="207"/>
      <c r="F103" s="243"/>
      <c r="G103" s="205"/>
      <c r="H103" s="249"/>
      <c r="I103" s="205"/>
      <c r="J103" s="348"/>
      <c r="K103" s="348"/>
      <c r="L103" s="348"/>
      <c r="M103" s="348"/>
      <c r="N103" s="371"/>
      <c r="O103" s="184"/>
    </row>
    <row r="104" spans="1:15" ht="48.75" customHeight="1">
      <c r="A104" s="263">
        <v>3</v>
      </c>
      <c r="B104" s="193" t="s">
        <v>502</v>
      </c>
      <c r="C104" s="205" t="s">
        <v>66</v>
      </c>
      <c r="D104" s="207">
        <v>1</v>
      </c>
      <c r="E104" s="207"/>
      <c r="F104" s="243"/>
      <c r="G104" s="249"/>
      <c r="H104" s="249"/>
      <c r="I104" s="205"/>
      <c r="J104" s="348"/>
      <c r="K104" s="348"/>
      <c r="L104" s="348"/>
      <c r="M104" s="348"/>
      <c r="N104" s="371"/>
      <c r="O104" s="184"/>
    </row>
    <row r="105" spans="1:15" ht="51" customHeight="1">
      <c r="A105" s="263">
        <v>4</v>
      </c>
      <c r="B105" s="193" t="s">
        <v>503</v>
      </c>
      <c r="C105" s="205" t="s">
        <v>66</v>
      </c>
      <c r="D105" s="207">
        <v>2</v>
      </c>
      <c r="E105" s="207"/>
      <c r="F105" s="243"/>
      <c r="G105" s="249"/>
      <c r="H105" s="249"/>
      <c r="I105" s="205"/>
      <c r="J105" s="348"/>
      <c r="K105" s="348"/>
      <c r="L105" s="348"/>
      <c r="M105" s="348"/>
      <c r="N105" s="371"/>
      <c r="O105" s="184"/>
    </row>
    <row r="106" spans="1:15" ht="46.5" customHeight="1">
      <c r="A106" s="360">
        <v>5</v>
      </c>
      <c r="B106" s="251" t="s">
        <v>153</v>
      </c>
      <c r="C106" s="348">
        <v>7141</v>
      </c>
      <c r="D106" s="352">
        <v>1</v>
      </c>
      <c r="E106" s="207"/>
      <c r="F106" s="243"/>
      <c r="G106" s="351"/>
      <c r="H106" s="351"/>
      <c r="I106" s="348"/>
      <c r="J106" s="348"/>
      <c r="K106" s="348"/>
      <c r="L106" s="348"/>
      <c r="M106" s="348"/>
      <c r="N106" s="371"/>
      <c r="O106" s="184"/>
    </row>
    <row r="107" spans="1:15" ht="43.5" customHeight="1">
      <c r="A107" s="263">
        <v>6</v>
      </c>
      <c r="B107" s="194" t="s">
        <v>523</v>
      </c>
      <c r="C107" s="205">
        <v>7231</v>
      </c>
      <c r="D107" s="204">
        <v>1</v>
      </c>
      <c r="E107" s="207"/>
      <c r="F107" s="243"/>
      <c r="G107" s="205"/>
      <c r="H107" s="249"/>
      <c r="I107" s="205"/>
      <c r="J107" s="348"/>
      <c r="K107" s="348"/>
      <c r="L107" s="348"/>
      <c r="M107" s="348"/>
      <c r="N107" s="371"/>
      <c r="O107" s="184"/>
    </row>
    <row r="108" spans="1:14" ht="31.5" customHeight="1">
      <c r="A108" s="263">
        <v>7</v>
      </c>
      <c r="B108" s="194" t="s">
        <v>480</v>
      </c>
      <c r="C108" s="265" t="s">
        <v>46</v>
      </c>
      <c r="D108" s="266">
        <v>0.5</v>
      </c>
      <c r="E108" s="207"/>
      <c r="F108" s="243"/>
      <c r="G108" s="267"/>
      <c r="H108" s="268"/>
      <c r="I108" s="205"/>
      <c r="J108" s="348"/>
      <c r="K108" s="348"/>
      <c r="L108" s="348"/>
      <c r="M108" s="348"/>
      <c r="N108" s="371"/>
    </row>
    <row r="109" spans="1:14" ht="23.25" customHeight="1">
      <c r="A109" s="200">
        <v>8</v>
      </c>
      <c r="B109" s="194" t="s">
        <v>157</v>
      </c>
      <c r="C109" s="265" t="s">
        <v>48</v>
      </c>
      <c r="D109" s="204">
        <v>1</v>
      </c>
      <c r="E109" s="204"/>
      <c r="F109" s="243"/>
      <c r="G109" s="205"/>
      <c r="H109" s="249"/>
      <c r="I109" s="205"/>
      <c r="J109" s="348"/>
      <c r="K109" s="348"/>
      <c r="L109" s="348"/>
      <c r="M109" s="348"/>
      <c r="N109" s="251"/>
    </row>
    <row r="110" spans="1:14" ht="44.25" customHeight="1">
      <c r="A110" s="204">
        <v>9</v>
      </c>
      <c r="B110" s="193" t="s">
        <v>523</v>
      </c>
      <c r="C110" s="205">
        <v>7231</v>
      </c>
      <c r="D110" s="204">
        <v>0.5</v>
      </c>
      <c r="E110" s="207"/>
      <c r="F110" s="243"/>
      <c r="G110" s="205"/>
      <c r="H110" s="249"/>
      <c r="I110" s="205"/>
      <c r="J110" s="348"/>
      <c r="K110" s="348"/>
      <c r="L110" s="348"/>
      <c r="M110" s="348"/>
      <c r="N110" s="371"/>
    </row>
    <row r="111" spans="1:19" ht="24.75" customHeight="1">
      <c r="A111" s="204"/>
      <c r="B111" s="357" t="s">
        <v>328</v>
      </c>
      <c r="C111" s="358"/>
      <c r="D111" s="354">
        <f>SUM(D102:D110)</f>
        <v>10</v>
      </c>
      <c r="E111" s="205"/>
      <c r="F111" s="205"/>
      <c r="G111" s="205"/>
      <c r="H111" s="249"/>
      <c r="I111" s="205"/>
      <c r="J111" s="205"/>
      <c r="K111" s="222"/>
      <c r="L111" s="222"/>
      <c r="M111" s="222"/>
      <c r="N111" s="362"/>
      <c r="S111" s="380"/>
    </row>
    <row r="112" spans="1:14" ht="24" customHeight="1">
      <c r="A112" s="446" t="s">
        <v>176</v>
      </c>
      <c r="B112" s="446"/>
      <c r="C112" s="446"/>
      <c r="D112" s="446"/>
      <c r="E112" s="446"/>
      <c r="F112" s="446"/>
      <c r="G112" s="446"/>
      <c r="H112" s="446"/>
      <c r="I112" s="446"/>
      <c r="J112" s="446"/>
      <c r="K112" s="446"/>
      <c r="L112" s="446"/>
      <c r="M112" s="446"/>
      <c r="N112" s="446"/>
    </row>
    <row r="113" spans="1:14" ht="26.25" customHeight="1">
      <c r="A113" s="207">
        <v>1</v>
      </c>
      <c r="B113" s="193" t="s">
        <v>524</v>
      </c>
      <c r="C113" s="205">
        <v>5169</v>
      </c>
      <c r="D113" s="207">
        <v>4</v>
      </c>
      <c r="E113" s="207"/>
      <c r="F113" s="243"/>
      <c r="G113" s="205"/>
      <c r="H113" s="205"/>
      <c r="I113" s="205"/>
      <c r="J113" s="205"/>
      <c r="K113" s="348"/>
      <c r="L113" s="348"/>
      <c r="M113" s="348"/>
      <c r="N113" s="371"/>
    </row>
    <row r="114" spans="1:14" ht="13.5">
      <c r="A114" s="207">
        <v>2</v>
      </c>
      <c r="B114" s="193" t="s">
        <v>525</v>
      </c>
      <c r="C114" s="205">
        <v>9162</v>
      </c>
      <c r="D114" s="207">
        <v>1</v>
      </c>
      <c r="E114" s="207"/>
      <c r="F114" s="243"/>
      <c r="G114" s="205"/>
      <c r="H114" s="205"/>
      <c r="I114" s="205"/>
      <c r="J114" s="205"/>
      <c r="K114" s="348"/>
      <c r="L114" s="348"/>
      <c r="M114" s="348"/>
      <c r="N114" s="371"/>
    </row>
    <row r="115" spans="1:14" ht="32.25" customHeight="1">
      <c r="A115" s="207">
        <v>3</v>
      </c>
      <c r="B115" s="193" t="s">
        <v>13</v>
      </c>
      <c r="C115" s="205">
        <v>9132</v>
      </c>
      <c r="D115" s="207">
        <v>2</v>
      </c>
      <c r="E115" s="207"/>
      <c r="F115" s="243"/>
      <c r="G115" s="205"/>
      <c r="H115" s="205"/>
      <c r="I115" s="205"/>
      <c r="J115" s="205"/>
      <c r="K115" s="348"/>
      <c r="L115" s="348"/>
      <c r="M115" s="348"/>
      <c r="N115" s="371"/>
    </row>
    <row r="116" spans="1:19" ht="15.75" customHeight="1">
      <c r="A116" s="207"/>
      <c r="B116" s="321" t="s">
        <v>328</v>
      </c>
      <c r="C116" s="222"/>
      <c r="D116" s="322">
        <f>SUM(D113:D115)</f>
        <v>7</v>
      </c>
      <c r="E116" s="222"/>
      <c r="F116" s="222"/>
      <c r="G116" s="222"/>
      <c r="H116" s="222"/>
      <c r="I116" s="222"/>
      <c r="J116" s="322"/>
      <c r="K116" s="286"/>
      <c r="L116" s="286"/>
      <c r="M116" s="286"/>
      <c r="N116" s="296"/>
      <c r="S116" s="380"/>
    </row>
    <row r="117" spans="1:19" ht="20.25" customHeight="1" thickBot="1">
      <c r="A117" s="282"/>
      <c r="B117" s="283" t="s">
        <v>24</v>
      </c>
      <c r="C117" s="284"/>
      <c r="D117" s="285">
        <f>D32+D47+D51+D56+D64+D70+D74+D80+D86+D92+D100+D111+D116</f>
        <v>156.6</v>
      </c>
      <c r="E117" s="285"/>
      <c r="F117" s="285"/>
      <c r="G117" s="285"/>
      <c r="H117" s="285"/>
      <c r="I117" s="285"/>
      <c r="J117" s="285"/>
      <c r="K117" s="285"/>
      <c r="L117" s="285"/>
      <c r="M117" s="285"/>
      <c r="N117" s="205"/>
      <c r="S117" s="27"/>
    </row>
    <row r="118" spans="1:19" ht="20.25" customHeight="1">
      <c r="A118" s="233"/>
      <c r="B118" s="228" t="s">
        <v>162</v>
      </c>
      <c r="C118" s="231"/>
      <c r="D118" s="295">
        <f>D32</f>
        <v>18</v>
      </c>
      <c r="E118" s="235"/>
      <c r="F118" s="235"/>
      <c r="G118" s="235"/>
      <c r="H118" s="235"/>
      <c r="I118" s="235"/>
      <c r="J118" s="235"/>
      <c r="K118" s="236"/>
      <c r="L118" s="234"/>
      <c r="M118" s="234"/>
      <c r="N118" s="328"/>
      <c r="S118" s="27"/>
    </row>
    <row r="119" spans="1:14" ht="24" customHeight="1">
      <c r="A119" s="188"/>
      <c r="B119" s="226" t="s">
        <v>163</v>
      </c>
      <c r="C119" s="187"/>
      <c r="D119" s="293">
        <f>D47</f>
        <v>17.1</v>
      </c>
      <c r="E119" s="189"/>
      <c r="F119" s="189"/>
      <c r="G119" s="189"/>
      <c r="H119" s="189"/>
      <c r="I119" s="189"/>
      <c r="J119" s="189"/>
      <c r="K119" s="232"/>
      <c r="L119" s="190"/>
      <c r="M119" s="234"/>
      <c r="N119" s="328"/>
    </row>
    <row r="120" spans="1:14" ht="24" customHeight="1">
      <c r="A120" s="188"/>
      <c r="B120" s="226" t="s">
        <v>183</v>
      </c>
      <c r="C120" s="187"/>
      <c r="D120" s="293">
        <f>D56+D51</f>
        <v>4.5</v>
      </c>
      <c r="E120" s="189"/>
      <c r="F120" s="189"/>
      <c r="G120" s="189"/>
      <c r="H120" s="189"/>
      <c r="I120" s="189"/>
      <c r="J120" s="189"/>
      <c r="K120" s="232"/>
      <c r="L120" s="190"/>
      <c r="M120" s="190"/>
      <c r="N120" s="328"/>
    </row>
    <row r="121" spans="1:14" ht="21" customHeight="1">
      <c r="A121" s="188"/>
      <c r="B121" s="226" t="s">
        <v>181</v>
      </c>
      <c r="C121" s="187"/>
      <c r="D121" s="293">
        <f>D64+D70+D74+D80+D86+D92</f>
        <v>65</v>
      </c>
      <c r="E121" s="189"/>
      <c r="F121" s="189"/>
      <c r="G121" s="189"/>
      <c r="H121" s="189"/>
      <c r="I121" s="189"/>
      <c r="J121" s="189"/>
      <c r="K121" s="232"/>
      <c r="L121" s="190"/>
      <c r="M121" s="234"/>
      <c r="N121" s="328"/>
    </row>
    <row r="122" spans="1:14" ht="19.5" customHeight="1">
      <c r="A122" s="188"/>
      <c r="B122" s="226" t="s">
        <v>182</v>
      </c>
      <c r="C122" s="187"/>
      <c r="D122" s="293">
        <f>D100</f>
        <v>35</v>
      </c>
      <c r="E122" s="189"/>
      <c r="F122" s="189"/>
      <c r="G122" s="189"/>
      <c r="H122" s="189"/>
      <c r="I122" s="189"/>
      <c r="J122" s="189"/>
      <c r="K122" s="232"/>
      <c r="L122" s="190"/>
      <c r="M122" s="234"/>
      <c r="N122" s="328"/>
    </row>
    <row r="123" spans="1:14" ht="27.75" customHeight="1">
      <c r="A123" s="188"/>
      <c r="B123" s="226" t="s">
        <v>184</v>
      </c>
      <c r="C123" s="187"/>
      <c r="D123" s="293">
        <f>D111+D116</f>
        <v>17</v>
      </c>
      <c r="E123" s="189"/>
      <c r="F123" s="189"/>
      <c r="G123" s="189"/>
      <c r="H123" s="189"/>
      <c r="I123" s="189"/>
      <c r="J123" s="189"/>
      <c r="K123" s="232"/>
      <c r="L123" s="190"/>
      <c r="M123" s="234"/>
      <c r="N123" s="328"/>
    </row>
    <row r="124" spans="1:14" ht="15">
      <c r="A124" s="287"/>
      <c r="B124" s="288"/>
      <c r="C124" s="289"/>
      <c r="D124" s="294">
        <f>SUM(D118:D123)</f>
        <v>156.6</v>
      </c>
      <c r="E124" s="291"/>
      <c r="F124" s="291"/>
      <c r="G124" s="291"/>
      <c r="H124" s="291"/>
      <c r="I124" s="291"/>
      <c r="J124" s="291"/>
      <c r="K124" s="292"/>
      <c r="L124" s="290"/>
      <c r="M124" s="290"/>
      <c r="N124" s="289"/>
    </row>
    <row r="125" spans="1:14" ht="78.75" customHeight="1">
      <c r="A125" s="459"/>
      <c r="B125" s="459"/>
      <c r="C125" s="459"/>
      <c r="D125" s="459"/>
      <c r="E125" s="459"/>
      <c r="F125" s="459"/>
      <c r="G125" s="459"/>
      <c r="H125" s="459"/>
      <c r="I125" s="459"/>
      <c r="J125" s="459"/>
      <c r="K125" s="459"/>
      <c r="L125" s="459"/>
      <c r="M125" s="459"/>
      <c r="N125" s="459"/>
    </row>
    <row r="126" spans="1:14" ht="21" customHeight="1">
      <c r="A126" s="271"/>
      <c r="B126" s="450"/>
      <c r="C126" s="450"/>
      <c r="D126" s="450"/>
      <c r="E126" s="450"/>
      <c r="F126" s="450"/>
      <c r="G126" s="450"/>
      <c r="H126" s="450"/>
      <c r="I126" s="450"/>
      <c r="J126" s="450"/>
      <c r="K126" s="450"/>
      <c r="L126" s="450"/>
      <c r="M126" s="450"/>
      <c r="N126" s="450"/>
    </row>
    <row r="127" spans="1:14" ht="21" customHeight="1">
      <c r="A127" s="271"/>
      <c r="B127" s="450"/>
      <c r="C127" s="455"/>
      <c r="D127" s="455"/>
      <c r="E127" s="455"/>
      <c r="F127" s="455"/>
      <c r="G127" s="455"/>
      <c r="H127" s="455"/>
      <c r="I127" s="455"/>
      <c r="J127" s="229"/>
      <c r="K127" s="229"/>
      <c r="L127" s="229"/>
      <c r="M127" s="229"/>
      <c r="N127" s="229"/>
    </row>
    <row r="128" spans="1:14" ht="20.25" customHeight="1">
      <c r="A128" s="271"/>
      <c r="B128" s="450"/>
      <c r="C128" s="455"/>
      <c r="D128" s="455"/>
      <c r="E128" s="455"/>
      <c r="F128" s="455"/>
      <c r="G128" s="455"/>
      <c r="H128" s="455"/>
      <c r="I128" s="455"/>
      <c r="J128" s="238"/>
      <c r="K128" s="238"/>
      <c r="L128" s="238"/>
      <c r="M128" s="238"/>
      <c r="N128" s="238"/>
    </row>
    <row r="129" spans="1:14" ht="22.5" customHeight="1">
      <c r="A129" s="271"/>
      <c r="B129" s="450"/>
      <c r="C129" s="455"/>
      <c r="D129" s="455"/>
      <c r="E129" s="455"/>
      <c r="F129" s="455"/>
      <c r="G129" s="455"/>
      <c r="H129" s="455"/>
      <c r="I129" s="455"/>
      <c r="J129" s="238"/>
      <c r="K129" s="238"/>
      <c r="L129" s="238"/>
      <c r="M129" s="238"/>
      <c r="N129" s="238"/>
    </row>
    <row r="130" spans="1:14" ht="15">
      <c r="A130" s="237"/>
      <c r="M130" s="281"/>
      <c r="N130" s="238"/>
    </row>
    <row r="131" spans="1:14" ht="15">
      <c r="A131" s="237"/>
      <c r="B131" s="462"/>
      <c r="C131" s="463"/>
      <c r="D131" s="237"/>
      <c r="E131" s="237"/>
      <c r="F131" s="237"/>
      <c r="G131" s="237"/>
      <c r="H131" s="237"/>
      <c r="I131" s="237"/>
      <c r="J131" s="237"/>
      <c r="K131" s="457"/>
      <c r="L131" s="458"/>
      <c r="M131" s="279"/>
      <c r="N131" s="238"/>
    </row>
  </sheetData>
  <sheetProtection/>
  <mergeCells count="41">
    <mergeCell ref="B129:I129"/>
    <mergeCell ref="B131:C131"/>
    <mergeCell ref="K131:L131"/>
    <mergeCell ref="A93:N93"/>
    <mergeCell ref="A101:N101"/>
    <mergeCell ref="A112:N112"/>
    <mergeCell ref="A125:N125"/>
    <mergeCell ref="B127:I127"/>
    <mergeCell ref="B128:I128"/>
    <mergeCell ref="A48:N48"/>
    <mergeCell ref="A52:N52"/>
    <mergeCell ref="A57:N57"/>
    <mergeCell ref="B126:N126"/>
    <mergeCell ref="F12:H12"/>
    <mergeCell ref="I12:K12"/>
    <mergeCell ref="L12:L13"/>
    <mergeCell ref="M12:M13"/>
    <mergeCell ref="A87:N87"/>
    <mergeCell ref="N12:N13"/>
    <mergeCell ref="A33:N33"/>
    <mergeCell ref="A65:N65"/>
    <mergeCell ref="A71:N71"/>
    <mergeCell ref="A76:N76"/>
    <mergeCell ref="A81:N81"/>
    <mergeCell ref="A10:N10"/>
    <mergeCell ref="A4:C4"/>
    <mergeCell ref="A5:C5"/>
    <mergeCell ref="A6:C6"/>
    <mergeCell ref="K6:N6"/>
    <mergeCell ref="A12:A13"/>
    <mergeCell ref="B12:B13"/>
    <mergeCell ref="C12:C13"/>
    <mergeCell ref="D12:D13"/>
    <mergeCell ref="E12:E13"/>
    <mergeCell ref="A8:N8"/>
    <mergeCell ref="A9:N9"/>
    <mergeCell ref="L1:M1"/>
    <mergeCell ref="K2:N2"/>
    <mergeCell ref="A3:B3"/>
    <mergeCell ref="L3:N3"/>
    <mergeCell ref="K4:N4"/>
  </mergeCells>
  <printOptions/>
  <pageMargins left="0.31496062992125984" right="0.11811023622047245" top="0.5511811023622047" bottom="0.15748031496062992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Кет</dc:creator>
  <cp:keywords/>
  <dc:description/>
  <cp:lastModifiedBy>G1840-1</cp:lastModifiedBy>
  <cp:lastPrinted>2019-07-29T07:48:18Z</cp:lastPrinted>
  <dcterms:created xsi:type="dcterms:W3CDTF">2007-02-07T13:08:06Z</dcterms:created>
  <dcterms:modified xsi:type="dcterms:W3CDTF">2020-01-24T09:16:19Z</dcterms:modified>
  <cp:category/>
  <cp:version/>
  <cp:contentType/>
  <cp:contentStatus/>
</cp:coreProperties>
</file>