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Лена\Desktop\ПРОЗОРО 2024\Протоколи\"/>
    </mc:Choice>
  </mc:AlternateContent>
  <bookViews>
    <workbookView xWindow="0" yWindow="0" windowWidth="20490" windowHeight="6855"/>
  </bookViews>
  <sheets>
    <sheet name="Sheet" sheetId="1" r:id="rId1"/>
  </sheets>
  <definedNames>
    <definedName name="_xlnm._FilterDatabase" localSheetId="0" hidden="1">Sheet!$A$5:$BI$696</definedName>
  </definedNames>
  <calcPr calcId="152511"/>
</workbook>
</file>

<file path=xl/calcChain.xml><?xml version="1.0" encoding="utf-8"?>
<calcChain xmlns="http://schemas.openxmlformats.org/spreadsheetml/2006/main">
  <c r="B695" i="1" l="1"/>
  <c r="AS694" i="1"/>
  <c r="B694" i="1"/>
  <c r="AS693" i="1"/>
  <c r="B693" i="1"/>
  <c r="B692" i="1"/>
  <c r="B691" i="1"/>
  <c r="AS690" i="1"/>
  <c r="C690" i="1"/>
  <c r="B690" i="1"/>
  <c r="AS689" i="1"/>
  <c r="C689" i="1"/>
  <c r="B689" i="1"/>
  <c r="AS688" i="1"/>
  <c r="C688" i="1"/>
  <c r="B688" i="1"/>
  <c r="AS687" i="1"/>
  <c r="B687" i="1"/>
  <c r="AS686" i="1"/>
  <c r="C686" i="1"/>
  <c r="B686" i="1"/>
  <c r="AS685" i="1"/>
  <c r="C685" i="1"/>
  <c r="B685" i="1"/>
  <c r="AS684" i="1"/>
  <c r="C684" i="1"/>
  <c r="B684" i="1"/>
  <c r="B683" i="1"/>
  <c r="B682" i="1"/>
  <c r="B681" i="1"/>
  <c r="B680" i="1"/>
  <c r="B679" i="1"/>
  <c r="B678" i="1"/>
  <c r="AS677" i="1"/>
  <c r="B677" i="1"/>
  <c r="B676" i="1"/>
  <c r="B675" i="1"/>
  <c r="B674" i="1"/>
  <c r="B673" i="1"/>
  <c r="C672" i="1"/>
  <c r="B672" i="1"/>
  <c r="C671" i="1"/>
  <c r="B671" i="1"/>
  <c r="C670" i="1"/>
  <c r="B670" i="1"/>
  <c r="C669" i="1"/>
  <c r="B669" i="1"/>
  <c r="B668" i="1"/>
  <c r="AS667" i="1"/>
  <c r="C667" i="1"/>
  <c r="B667" i="1"/>
  <c r="AS666" i="1"/>
  <c r="C666" i="1"/>
  <c r="B666" i="1"/>
  <c r="AS665" i="1"/>
  <c r="C665" i="1"/>
  <c r="B665" i="1"/>
  <c r="AS664" i="1"/>
  <c r="C664" i="1"/>
  <c r="B664" i="1"/>
  <c r="C663" i="1"/>
  <c r="B663" i="1"/>
  <c r="C662" i="1"/>
  <c r="B662" i="1"/>
  <c r="AS661" i="1"/>
  <c r="C661" i="1"/>
  <c r="B661" i="1"/>
  <c r="AS660" i="1"/>
  <c r="C660" i="1"/>
  <c r="B660" i="1"/>
  <c r="AS659" i="1"/>
  <c r="C659" i="1"/>
  <c r="B659" i="1"/>
  <c r="AS658" i="1"/>
  <c r="C658" i="1"/>
  <c r="B658" i="1"/>
  <c r="AS657" i="1"/>
  <c r="C657" i="1"/>
  <c r="B657" i="1"/>
  <c r="AS656" i="1"/>
  <c r="C656" i="1"/>
  <c r="B656" i="1"/>
  <c r="AS655" i="1"/>
  <c r="C655" i="1"/>
  <c r="B655" i="1"/>
  <c r="AS654" i="1"/>
  <c r="C654" i="1"/>
  <c r="B654" i="1"/>
  <c r="AS653" i="1"/>
  <c r="C653" i="1"/>
  <c r="B653" i="1"/>
  <c r="B652" i="1"/>
  <c r="B651" i="1"/>
  <c r="B650" i="1"/>
  <c r="B649" i="1"/>
  <c r="B648" i="1"/>
  <c r="AS647" i="1"/>
  <c r="B647" i="1"/>
  <c r="B646" i="1"/>
  <c r="C645" i="1"/>
  <c r="B645" i="1"/>
  <c r="C644" i="1"/>
  <c r="B644" i="1"/>
  <c r="AS643" i="1"/>
  <c r="B643" i="1"/>
  <c r="AS642" i="1"/>
  <c r="C642" i="1"/>
  <c r="B642" i="1"/>
  <c r="AS641" i="1"/>
  <c r="C641" i="1"/>
  <c r="B641" i="1"/>
  <c r="AS640" i="1"/>
  <c r="B640" i="1"/>
  <c r="AS639" i="1"/>
  <c r="B639" i="1"/>
  <c r="B638" i="1"/>
  <c r="B637" i="1"/>
  <c r="B636" i="1"/>
  <c r="B635" i="1"/>
  <c r="B634" i="1"/>
  <c r="B633" i="1"/>
  <c r="AS632" i="1"/>
  <c r="B632" i="1"/>
  <c r="AS631" i="1"/>
  <c r="B631" i="1"/>
  <c r="AS630" i="1"/>
  <c r="C630" i="1"/>
  <c r="B630" i="1"/>
  <c r="AS629" i="1"/>
  <c r="C629" i="1"/>
  <c r="B629" i="1"/>
  <c r="AS628" i="1"/>
  <c r="B628" i="1"/>
  <c r="AS627" i="1"/>
  <c r="C627" i="1"/>
  <c r="B627" i="1"/>
  <c r="C626" i="1"/>
  <c r="B626" i="1"/>
  <c r="B625" i="1"/>
  <c r="AS624" i="1"/>
  <c r="B624" i="1"/>
  <c r="AS623" i="1"/>
  <c r="B623" i="1"/>
  <c r="B622" i="1"/>
  <c r="B621" i="1"/>
  <c r="AS620" i="1"/>
  <c r="B620" i="1"/>
  <c r="AS619" i="1"/>
  <c r="B619" i="1"/>
  <c r="B618" i="1"/>
  <c r="B617" i="1"/>
  <c r="B616" i="1"/>
  <c r="B615" i="1"/>
  <c r="B614" i="1"/>
  <c r="B613" i="1"/>
  <c r="AS612" i="1"/>
  <c r="B612" i="1"/>
  <c r="AS611" i="1"/>
  <c r="B611" i="1"/>
  <c r="AS610" i="1"/>
  <c r="B610" i="1"/>
  <c r="AS609" i="1"/>
  <c r="B609" i="1"/>
  <c r="B608" i="1"/>
  <c r="AS607" i="1"/>
  <c r="B607" i="1"/>
  <c r="AS606" i="1"/>
  <c r="B606" i="1"/>
  <c r="AS605" i="1"/>
  <c r="B605" i="1"/>
  <c r="B604" i="1"/>
  <c r="B603" i="1"/>
  <c r="B602" i="1"/>
  <c r="B601" i="1"/>
  <c r="B600" i="1"/>
  <c r="B599" i="1"/>
  <c r="AS598" i="1"/>
  <c r="B598" i="1"/>
  <c r="AS597" i="1"/>
  <c r="B597" i="1"/>
  <c r="B596" i="1"/>
  <c r="AS595" i="1"/>
  <c r="B595" i="1"/>
  <c r="AS594" i="1"/>
  <c r="C594" i="1"/>
  <c r="B594" i="1"/>
  <c r="AS593" i="1"/>
  <c r="B593" i="1"/>
  <c r="AS592" i="1"/>
  <c r="C592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AS572" i="1"/>
  <c r="B572" i="1"/>
  <c r="B571" i="1"/>
  <c r="B570" i="1"/>
  <c r="B569" i="1"/>
  <c r="B568" i="1"/>
  <c r="B567" i="1"/>
  <c r="AS566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AS542" i="1"/>
  <c r="B542" i="1"/>
  <c r="AS541" i="1"/>
  <c r="B541" i="1"/>
  <c r="AS540" i="1"/>
  <c r="B540" i="1"/>
  <c r="AS539" i="1"/>
  <c r="B539" i="1"/>
  <c r="B538" i="1"/>
  <c r="B537" i="1"/>
  <c r="AS536" i="1"/>
  <c r="B536" i="1"/>
  <c r="B535" i="1"/>
  <c r="B534" i="1"/>
  <c r="B533" i="1"/>
  <c r="B532" i="1"/>
  <c r="B531" i="1"/>
  <c r="B530" i="1"/>
  <c r="AS529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AS503" i="1"/>
  <c r="B503" i="1"/>
  <c r="AS502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AS479" i="1"/>
  <c r="B479" i="1"/>
  <c r="B478" i="1"/>
  <c r="B477" i="1"/>
  <c r="B476" i="1"/>
  <c r="B475" i="1"/>
  <c r="B474" i="1"/>
  <c r="AS473" i="1"/>
  <c r="B473" i="1"/>
  <c r="AS472" i="1"/>
  <c r="B472" i="1"/>
  <c r="AS471" i="1"/>
  <c r="B471" i="1"/>
  <c r="AS470" i="1"/>
  <c r="B470" i="1"/>
  <c r="B469" i="1"/>
  <c r="B468" i="1"/>
  <c r="B467" i="1"/>
  <c r="AS466" i="1"/>
  <c r="B466" i="1"/>
  <c r="AS465" i="1"/>
  <c r="B465" i="1"/>
  <c r="AS464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C452" i="1"/>
  <c r="B452" i="1"/>
  <c r="C451" i="1"/>
  <c r="B451" i="1"/>
  <c r="B450" i="1"/>
  <c r="B449" i="1"/>
  <c r="C448" i="1"/>
  <c r="B448" i="1"/>
  <c r="C447" i="1"/>
  <c r="B447" i="1"/>
  <c r="C446" i="1"/>
  <c r="B446" i="1"/>
  <c r="C445" i="1"/>
  <c r="B445" i="1"/>
  <c r="C444" i="1"/>
  <c r="B444" i="1"/>
  <c r="C443" i="1"/>
  <c r="B443" i="1"/>
  <c r="C442" i="1"/>
  <c r="B442" i="1"/>
  <c r="B441" i="1"/>
  <c r="B440" i="1"/>
  <c r="B439" i="1"/>
  <c r="B438" i="1"/>
  <c r="B437" i="1"/>
  <c r="B436" i="1"/>
  <c r="C435" i="1"/>
  <c r="B435" i="1"/>
  <c r="C434" i="1"/>
  <c r="B434" i="1"/>
  <c r="C433" i="1"/>
  <c r="B433" i="1"/>
  <c r="B432" i="1"/>
  <c r="B431" i="1"/>
  <c r="B430" i="1"/>
  <c r="B429" i="1"/>
  <c r="B428" i="1"/>
  <c r="B427" i="1"/>
  <c r="B426" i="1"/>
  <c r="C425" i="1"/>
  <c r="B425" i="1"/>
  <c r="C424" i="1"/>
  <c r="B424" i="1"/>
  <c r="C423" i="1"/>
  <c r="B423" i="1"/>
  <c r="B422" i="1"/>
  <c r="B421" i="1"/>
  <c r="B420" i="1"/>
  <c r="B419" i="1"/>
  <c r="B418" i="1"/>
  <c r="B417" i="1"/>
  <c r="B416" i="1"/>
  <c r="B415" i="1"/>
  <c r="B414" i="1"/>
  <c r="C413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C397" i="1"/>
  <c r="B397" i="1"/>
  <c r="B396" i="1"/>
  <c r="C395" i="1"/>
  <c r="B395" i="1"/>
  <c r="B394" i="1"/>
  <c r="B393" i="1"/>
  <c r="B392" i="1"/>
  <c r="C391" i="1"/>
  <c r="B391" i="1"/>
  <c r="C390" i="1"/>
  <c r="B390" i="1"/>
  <c r="C389" i="1"/>
  <c r="B389" i="1"/>
  <c r="B388" i="1"/>
  <c r="C387" i="1"/>
  <c r="B387" i="1"/>
  <c r="B386" i="1"/>
  <c r="B385" i="1"/>
  <c r="B384" i="1"/>
  <c r="B383" i="1"/>
  <c r="B382" i="1"/>
  <c r="B381" i="1"/>
  <c r="B380" i="1"/>
  <c r="B379" i="1"/>
  <c r="B378" i="1"/>
  <c r="C377" i="1"/>
  <c r="B377" i="1"/>
  <c r="C376" i="1"/>
  <c r="B376" i="1"/>
  <c r="C375" i="1"/>
  <c r="B375" i="1"/>
  <c r="C374" i="1"/>
  <c r="B374" i="1"/>
  <c r="B373" i="1"/>
  <c r="C372" i="1"/>
  <c r="B372" i="1"/>
  <c r="B371" i="1"/>
  <c r="C370" i="1"/>
  <c r="B370" i="1"/>
  <c r="B369" i="1"/>
  <c r="B368" i="1"/>
  <c r="B367" i="1"/>
  <c r="C366" i="1"/>
  <c r="B366" i="1"/>
  <c r="C365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C351" i="1"/>
  <c r="B351" i="1"/>
  <c r="C350" i="1"/>
  <c r="B350" i="1"/>
  <c r="C349" i="1"/>
  <c r="B349" i="1"/>
  <c r="C348" i="1"/>
  <c r="B348" i="1"/>
  <c r="C347" i="1"/>
  <c r="B347" i="1"/>
  <c r="C346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C326" i="1"/>
  <c r="B326" i="1"/>
  <c r="C325" i="1"/>
  <c r="B325" i="1"/>
  <c r="C324" i="1"/>
  <c r="B324" i="1"/>
  <c r="B323" i="1"/>
  <c r="C322" i="1"/>
  <c r="B322" i="1"/>
  <c r="C321" i="1"/>
  <c r="B321" i="1"/>
  <c r="C320" i="1"/>
  <c r="B320" i="1"/>
  <c r="C319" i="1"/>
  <c r="B319" i="1"/>
  <c r="C318" i="1"/>
  <c r="B318" i="1"/>
  <c r="C317" i="1"/>
  <c r="B317" i="1"/>
  <c r="C316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C295" i="1"/>
  <c r="B295" i="1"/>
  <c r="B294" i="1"/>
  <c r="B293" i="1"/>
  <c r="B292" i="1"/>
  <c r="C291" i="1"/>
  <c r="B291" i="1"/>
  <c r="C290" i="1"/>
  <c r="B290" i="1"/>
  <c r="C289" i="1"/>
  <c r="B289" i="1"/>
  <c r="C288" i="1"/>
  <c r="B288" i="1"/>
  <c r="C287" i="1"/>
  <c r="B287" i="1"/>
  <c r="B286" i="1"/>
  <c r="B285" i="1"/>
  <c r="C284" i="1"/>
  <c r="B284" i="1"/>
  <c r="C283" i="1"/>
  <c r="B283" i="1"/>
  <c r="C282" i="1"/>
  <c r="B282" i="1"/>
  <c r="C281" i="1"/>
  <c r="B281" i="1"/>
  <c r="C280" i="1"/>
  <c r="B280" i="1"/>
  <c r="B279" i="1"/>
  <c r="B278" i="1"/>
  <c r="B277" i="1"/>
  <c r="B276" i="1"/>
  <c r="B275" i="1"/>
  <c r="B274" i="1"/>
  <c r="C273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C259" i="1"/>
  <c r="B259" i="1"/>
  <c r="C258" i="1"/>
  <c r="B258" i="1"/>
  <c r="C257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C242" i="1"/>
  <c r="B242" i="1"/>
  <c r="C241" i="1"/>
  <c r="B241" i="1"/>
  <c r="C240" i="1"/>
  <c r="B240" i="1"/>
  <c r="C239" i="1"/>
  <c r="B239" i="1"/>
  <c r="C238" i="1"/>
  <c r="B238" i="1"/>
  <c r="B237" i="1"/>
  <c r="C236" i="1"/>
  <c r="B236" i="1"/>
  <c r="B235" i="1"/>
  <c r="C234" i="1"/>
  <c r="B234" i="1"/>
  <c r="C233" i="1"/>
  <c r="B233" i="1"/>
  <c r="C232" i="1"/>
  <c r="B232" i="1"/>
  <c r="C231" i="1"/>
  <c r="B231" i="1"/>
  <c r="C230" i="1"/>
  <c r="B230" i="1"/>
  <c r="C229" i="1"/>
  <c r="B229" i="1"/>
  <c r="B228" i="1"/>
  <c r="B227" i="1"/>
  <c r="B226" i="1"/>
  <c r="B225" i="1"/>
  <c r="B224" i="1"/>
  <c r="B223" i="1"/>
  <c r="C222" i="1"/>
  <c r="B222" i="1"/>
  <c r="C221" i="1"/>
  <c r="B221" i="1"/>
  <c r="C220" i="1"/>
  <c r="B220" i="1"/>
  <c r="C219" i="1"/>
  <c r="B219" i="1"/>
  <c r="C218" i="1"/>
  <c r="B218" i="1"/>
  <c r="C217" i="1"/>
  <c r="B217" i="1"/>
  <c r="C216" i="1"/>
  <c r="B216" i="1"/>
  <c r="C215" i="1"/>
  <c r="B215" i="1"/>
  <c r="B214" i="1"/>
  <c r="B213" i="1"/>
  <c r="B212" i="1"/>
  <c r="B211" i="1"/>
  <c r="C210" i="1"/>
  <c r="B210" i="1"/>
  <c r="C209" i="1"/>
  <c r="B209" i="1"/>
  <c r="C208" i="1"/>
  <c r="B208" i="1"/>
  <c r="B207" i="1"/>
  <c r="B206" i="1"/>
  <c r="B205" i="1"/>
  <c r="B204" i="1"/>
  <c r="B203" i="1"/>
  <c r="B202" i="1"/>
  <c r="B201" i="1"/>
  <c r="B200" i="1"/>
  <c r="C199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C186" i="1"/>
  <c r="B186" i="1"/>
  <c r="C185" i="1"/>
  <c r="B185" i="1"/>
  <c r="B184" i="1"/>
  <c r="B183" i="1"/>
  <c r="B182" i="1"/>
  <c r="B181" i="1"/>
  <c r="B180" i="1"/>
  <c r="C179" i="1"/>
  <c r="B179" i="1"/>
  <c r="C178" i="1"/>
  <c r="B178" i="1"/>
  <c r="C177" i="1"/>
  <c r="B177" i="1"/>
  <c r="C176" i="1"/>
  <c r="B176" i="1"/>
  <c r="C175" i="1"/>
  <c r="B175" i="1"/>
  <c r="B174" i="1"/>
  <c r="C173" i="1"/>
  <c r="B173" i="1"/>
  <c r="B172" i="1"/>
  <c r="C171" i="1"/>
  <c r="B171" i="1"/>
  <c r="C170" i="1"/>
  <c r="B170" i="1"/>
  <c r="C169" i="1"/>
  <c r="B169" i="1"/>
  <c r="C168" i="1"/>
  <c r="B168" i="1"/>
  <c r="C167" i="1"/>
  <c r="B167" i="1"/>
  <c r="C166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C130" i="1"/>
  <c r="B130" i="1"/>
  <c r="C129" i="1"/>
  <c r="B129" i="1"/>
  <c r="B128" i="1"/>
  <c r="B127" i="1"/>
  <c r="B126" i="1"/>
  <c r="B125" i="1"/>
  <c r="B124" i="1"/>
  <c r="B123" i="1"/>
  <c r="B122" i="1"/>
  <c r="B121" i="1"/>
  <c r="B120" i="1"/>
  <c r="C119" i="1"/>
  <c r="B119" i="1"/>
  <c r="B118" i="1"/>
  <c r="B117" i="1"/>
  <c r="C116" i="1"/>
  <c r="B116" i="1"/>
  <c r="C115" i="1"/>
  <c r="B115" i="1"/>
  <c r="C114" i="1"/>
  <c r="B114" i="1"/>
  <c r="B113" i="1"/>
  <c r="C112" i="1"/>
  <c r="B112" i="1"/>
  <c r="B111" i="1"/>
  <c r="B110" i="1"/>
  <c r="B109" i="1"/>
  <c r="B108" i="1"/>
  <c r="B107" i="1"/>
  <c r="C106" i="1"/>
  <c r="B106" i="1"/>
  <c r="B105" i="1"/>
  <c r="B104" i="1"/>
  <c r="B103" i="1"/>
  <c r="B102" i="1"/>
  <c r="B101" i="1"/>
  <c r="B100" i="1"/>
  <c r="B99" i="1"/>
  <c r="B98" i="1"/>
  <c r="C97" i="1"/>
  <c r="B97" i="1"/>
  <c r="B96" i="1"/>
  <c r="B95" i="1"/>
  <c r="C94" i="1"/>
  <c r="B94" i="1"/>
  <c r="B93" i="1"/>
  <c r="B92" i="1"/>
  <c r="C91" i="1"/>
  <c r="B91" i="1"/>
  <c r="C90" i="1"/>
  <c r="B90" i="1"/>
  <c r="C89" i="1"/>
  <c r="B89" i="1"/>
  <c r="C88" i="1"/>
  <c r="B88" i="1"/>
  <c r="C87" i="1"/>
  <c r="B87" i="1"/>
  <c r="C86" i="1"/>
  <c r="B86" i="1"/>
  <c r="C85" i="1"/>
  <c r="B85" i="1"/>
  <c r="C84" i="1"/>
  <c r="B84" i="1"/>
  <c r="C83" i="1"/>
  <c r="B83" i="1"/>
  <c r="C82" i="1"/>
  <c r="B82" i="1"/>
  <c r="C81" i="1"/>
  <c r="B81" i="1"/>
  <c r="C80" i="1"/>
  <c r="B80" i="1"/>
  <c r="C79" i="1"/>
  <c r="B79" i="1"/>
  <c r="C78" i="1"/>
  <c r="B78" i="1"/>
  <c r="C77" i="1"/>
  <c r="B77" i="1"/>
  <c r="C76" i="1"/>
  <c r="B76" i="1"/>
  <c r="C75" i="1"/>
  <c r="B75" i="1"/>
  <c r="C74" i="1"/>
  <c r="B74" i="1"/>
  <c r="C73" i="1"/>
  <c r="B73" i="1"/>
  <c r="C72" i="1"/>
  <c r="B72" i="1"/>
  <c r="C71" i="1"/>
  <c r="B71" i="1"/>
  <c r="C70" i="1"/>
  <c r="B70" i="1"/>
  <c r="C69" i="1"/>
  <c r="B69" i="1"/>
  <c r="C68" i="1"/>
  <c r="B68" i="1"/>
  <c r="B67" i="1"/>
  <c r="B66" i="1"/>
  <c r="B65" i="1"/>
  <c r="C64" i="1"/>
  <c r="B64" i="1"/>
  <c r="C63" i="1"/>
  <c r="B63" i="1"/>
  <c r="C62" i="1"/>
  <c r="B62" i="1"/>
  <c r="AS61" i="1"/>
  <c r="C61" i="1"/>
  <c r="B61" i="1"/>
  <c r="C60" i="1"/>
  <c r="B60" i="1"/>
  <c r="C59" i="1"/>
  <c r="B59" i="1"/>
  <c r="C58" i="1"/>
  <c r="B58" i="1"/>
  <c r="C57" i="1"/>
  <c r="B57" i="1"/>
  <c r="C56" i="1"/>
  <c r="B56" i="1"/>
  <c r="C55" i="1"/>
  <c r="B55" i="1"/>
  <c r="B54" i="1"/>
  <c r="B53" i="1"/>
  <c r="B52" i="1"/>
  <c r="B51" i="1"/>
  <c r="B50" i="1"/>
  <c r="B49" i="1"/>
  <c r="C48" i="1"/>
  <c r="B48" i="1"/>
  <c r="C47" i="1"/>
  <c r="B47" i="1"/>
  <c r="C46" i="1"/>
  <c r="B46" i="1"/>
  <c r="C45" i="1"/>
  <c r="B45" i="1"/>
  <c r="C44" i="1"/>
  <c r="B44" i="1"/>
  <c r="B43" i="1"/>
  <c r="B42" i="1"/>
  <c r="B41" i="1"/>
  <c r="C40" i="1"/>
  <c r="B40" i="1"/>
  <c r="B39" i="1"/>
  <c r="B38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B21" i="1"/>
  <c r="B20" i="1"/>
  <c r="B19" i="1"/>
  <c r="C18" i="1"/>
  <c r="B18" i="1"/>
  <c r="C17" i="1"/>
  <c r="B17" i="1"/>
  <c r="C16" i="1"/>
  <c r="B16" i="1"/>
  <c r="B15" i="1"/>
  <c r="B14" i="1"/>
  <c r="B13" i="1"/>
  <c r="C12" i="1"/>
  <c r="B12" i="1"/>
  <c r="C11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<sst xmlns="http://schemas.openxmlformats.org/spreadsheetml/2006/main" count="20975" uniqueCount="2177">
  <si>
    <t xml:space="preserve"> Бензин А-92 Energy, Бензин А-95</t>
  </si>
  <si>
    <t xml:space="preserve"> Бензин А-95</t>
  </si>
  <si>
    <t xml:space="preserve"> Послуги Інтернет-провайдерів (Послуги з надання хостингу, оренди серверів, технічної підтримки розміщення, обслуговування інформаційного web-сайту)</t>
  </si>
  <si>
    <t>% зниження</t>
  </si>
  <si>
    <t>+0380501699103</t>
  </si>
  <si>
    <t>+0563715377</t>
  </si>
  <si>
    <t>+0563729981</t>
  </si>
  <si>
    <t>+305053207862</t>
  </si>
  <si>
    <t>+30563715377</t>
  </si>
  <si>
    <t>+30674577493</t>
  </si>
  <si>
    <t>+30675663399</t>
  </si>
  <si>
    <t>+3080501483017</t>
  </si>
  <si>
    <t>+3080567898202</t>
  </si>
  <si>
    <t>+3080676360411</t>
  </si>
  <si>
    <t>+308562343000</t>
  </si>
  <si>
    <t>+308952333244</t>
  </si>
  <si>
    <t>+30952333244</t>
  </si>
  <si>
    <t>+30982337766</t>
  </si>
  <si>
    <t>+380442476803</t>
  </si>
  <si>
    <t>+380501699103</t>
  </si>
  <si>
    <t>+380502239796</t>
  </si>
  <si>
    <t>+380503621146</t>
  </si>
  <si>
    <t>+380504201826</t>
  </si>
  <si>
    <t>+3805053207862</t>
  </si>
  <si>
    <t>+380505352000</t>
  </si>
  <si>
    <t>+380507294596</t>
  </si>
  <si>
    <t>+380508580759</t>
  </si>
  <si>
    <t>+3805637145377</t>
  </si>
  <si>
    <t>+380563715377</t>
  </si>
  <si>
    <t>+3805637158377</t>
  </si>
  <si>
    <t>+380563729981</t>
  </si>
  <si>
    <t>+380567199376</t>
  </si>
  <si>
    <t>+380567255216</t>
  </si>
  <si>
    <t>+380567265905</t>
  </si>
  <si>
    <t>+380567319550</t>
  </si>
  <si>
    <t>+380567403502</t>
  </si>
  <si>
    <t>+380567441594</t>
  </si>
  <si>
    <t>+380567479949</t>
  </si>
  <si>
    <t>+380567660556</t>
  </si>
  <si>
    <t>+380567701155</t>
  </si>
  <si>
    <t>+380567870404</t>
  </si>
  <si>
    <t>+380567905050</t>
  </si>
  <si>
    <t>+380631929130</t>
  </si>
  <si>
    <t>+380636481181</t>
  </si>
  <si>
    <t>+380660580781</t>
  </si>
  <si>
    <t>+380660694398</t>
  </si>
  <si>
    <t>+380667909900</t>
  </si>
  <si>
    <t>+380668100015, +380989621232</t>
  </si>
  <si>
    <t>+380671196977</t>
  </si>
  <si>
    <t>+380672085759</t>
  </si>
  <si>
    <t>+380672336577</t>
  </si>
  <si>
    <t>+380672578585</t>
  </si>
  <si>
    <t>+380672950407</t>
  </si>
  <si>
    <t>+380674450909</t>
  </si>
  <si>
    <t>+380675657650</t>
  </si>
  <si>
    <t>+380675663399</t>
  </si>
  <si>
    <t>+380675663399, +380687572277, +380505352000</t>
  </si>
  <si>
    <t>+380675681549</t>
  </si>
  <si>
    <t>+380676224848</t>
  </si>
  <si>
    <t>+380676360411</t>
  </si>
  <si>
    <t>+380676375889</t>
  </si>
  <si>
    <t>+380676395627</t>
  </si>
  <si>
    <t>+380676520286</t>
  </si>
  <si>
    <t>+380676740960</t>
  </si>
  <si>
    <t>+380677173192</t>
  </si>
  <si>
    <t>+380677599361</t>
  </si>
  <si>
    <t>+380677715711</t>
  </si>
  <si>
    <t>+380677881520</t>
  </si>
  <si>
    <t>+380677909900</t>
  </si>
  <si>
    <t>+3806779339200</t>
  </si>
  <si>
    <t>+380679294547</t>
  </si>
  <si>
    <t>+380681400545</t>
  </si>
  <si>
    <t>+380681650056</t>
  </si>
  <si>
    <t>+380684776598</t>
  </si>
  <si>
    <t>+380685454252</t>
  </si>
  <si>
    <t>+380688689871</t>
  </si>
  <si>
    <t>+380879210469</t>
  </si>
  <si>
    <t>+380911141702</t>
  </si>
  <si>
    <t>+380932602803</t>
  </si>
  <si>
    <t>+380933704327</t>
  </si>
  <si>
    <t>+380951214590</t>
  </si>
  <si>
    <t>+380952333244</t>
  </si>
  <si>
    <t>+380953444283</t>
  </si>
  <si>
    <t>+380955279358</t>
  </si>
  <si>
    <t>+380957321212</t>
  </si>
  <si>
    <t>+380958385758</t>
  </si>
  <si>
    <t>+380959009840</t>
  </si>
  <si>
    <t>+380959200480</t>
  </si>
  <si>
    <t>+380960040101</t>
  </si>
  <si>
    <t>+380960428777</t>
  </si>
  <si>
    <t>+380965067813</t>
  </si>
  <si>
    <t>+380968097240</t>
  </si>
  <si>
    <t>+380969249286</t>
  </si>
  <si>
    <t>+380969946000</t>
  </si>
  <si>
    <t>+380974158134</t>
  </si>
  <si>
    <t>+380974422856</t>
  </si>
  <si>
    <t>+380978570832</t>
  </si>
  <si>
    <t>+380979210469</t>
  </si>
  <si>
    <t>+380982337766</t>
  </si>
  <si>
    <t>+380984037543</t>
  </si>
  <si>
    <t>+380986340624</t>
  </si>
  <si>
    <t>+380986474400</t>
  </si>
  <si>
    <t>+380987608030</t>
  </si>
  <si>
    <t>+380987869949</t>
  </si>
  <si>
    <t>+380989119114</t>
  </si>
  <si>
    <t>+385053207862</t>
  </si>
  <si>
    <t>+80567441594</t>
  </si>
  <si>
    <t>+80567870710</t>
  </si>
  <si>
    <t>,,</t>
  </si>
  <si>
    <t>-</t>
  </si>
  <si>
    <t>0 (0)</t>
  </si>
  <si>
    <t>0264-6-СК</t>
  </si>
  <si>
    <t>031-23</t>
  </si>
  <si>
    <t>03341305</t>
  </si>
  <si>
    <t>03450000-9 Розсадницька продукція</t>
  </si>
  <si>
    <t>0436-СК-Д</t>
  </si>
  <si>
    <t>0442262541</t>
  </si>
  <si>
    <t>0443640784</t>
  </si>
  <si>
    <t>0503208072</t>
  </si>
  <si>
    <t>0508384563</t>
  </si>
  <si>
    <t>0563715377</t>
  </si>
  <si>
    <t>0563729981</t>
  </si>
  <si>
    <t>0563732513</t>
  </si>
  <si>
    <t>0567400611</t>
  </si>
  <si>
    <t>0567441594</t>
  </si>
  <si>
    <t>0567446448</t>
  </si>
  <si>
    <t>0567887693</t>
  </si>
  <si>
    <t>0567898202</t>
  </si>
  <si>
    <t>0567909900</t>
  </si>
  <si>
    <t>0631631764</t>
  </si>
  <si>
    <t>0672990499</t>
  </si>
  <si>
    <t>0675542610</t>
  </si>
  <si>
    <t>0675681549</t>
  </si>
  <si>
    <t>0676360411</t>
  </si>
  <si>
    <t>067643</t>
  </si>
  <si>
    <t>067643/10</t>
  </si>
  <si>
    <t>0676542040</t>
  </si>
  <si>
    <t>0677172364</t>
  </si>
  <si>
    <t>0677173540</t>
  </si>
  <si>
    <t>0677347470</t>
  </si>
  <si>
    <t>0677701155</t>
  </si>
  <si>
    <t>0681400545</t>
  </si>
  <si>
    <t>0681650056</t>
  </si>
  <si>
    <t>09130000-9 Нафта і дистиляти</t>
  </si>
  <si>
    <t>09310000-5 Електрична енергія</t>
  </si>
  <si>
    <t>09320000-8 Пара, гаряча вода та пов’язана продукція</t>
  </si>
  <si>
    <t>0932602803</t>
  </si>
  <si>
    <t>0951214590</t>
  </si>
  <si>
    <t>0986340624</t>
  </si>
  <si>
    <t>0990359542</t>
  </si>
  <si>
    <t>0992582259</t>
  </si>
  <si>
    <t>0992964369</t>
  </si>
  <si>
    <t>1</t>
  </si>
  <si>
    <t>1 (0)</t>
  </si>
  <si>
    <t>10</t>
  </si>
  <si>
    <t>100</t>
  </si>
  <si>
    <t>101</t>
  </si>
  <si>
    <t>10106832</t>
  </si>
  <si>
    <t>102</t>
  </si>
  <si>
    <t>103</t>
  </si>
  <si>
    <t>104</t>
  </si>
  <si>
    <t>105</t>
  </si>
  <si>
    <t>106</t>
  </si>
  <si>
    <t>107</t>
  </si>
  <si>
    <t>108</t>
  </si>
  <si>
    <t>109</t>
  </si>
  <si>
    <t>11</t>
  </si>
  <si>
    <t>110</t>
  </si>
  <si>
    <t>110000058127РЕ-2024</t>
  </si>
  <si>
    <t>111</t>
  </si>
  <si>
    <t>112</t>
  </si>
  <si>
    <t>113</t>
  </si>
  <si>
    <t>114</t>
  </si>
  <si>
    <t>115</t>
  </si>
  <si>
    <t>1151.0266594</t>
  </si>
  <si>
    <t>1151.0310865</t>
  </si>
  <si>
    <t>116</t>
  </si>
  <si>
    <t>117</t>
  </si>
  <si>
    <t>118</t>
  </si>
  <si>
    <t>119</t>
  </si>
  <si>
    <t>12</t>
  </si>
  <si>
    <t>120</t>
  </si>
  <si>
    <t>121</t>
  </si>
  <si>
    <t>122</t>
  </si>
  <si>
    <t>123</t>
  </si>
  <si>
    <t>123/22-П</t>
  </si>
  <si>
    <t>124</t>
  </si>
  <si>
    <t>125</t>
  </si>
  <si>
    <t>126</t>
  </si>
  <si>
    <t>127</t>
  </si>
  <si>
    <t>128</t>
  </si>
  <si>
    <t>129</t>
  </si>
  <si>
    <t>13</t>
  </si>
  <si>
    <t>130</t>
  </si>
  <si>
    <t>131</t>
  </si>
  <si>
    <t>132</t>
  </si>
  <si>
    <t>133</t>
  </si>
  <si>
    <t>134</t>
  </si>
  <si>
    <t>13418758</t>
  </si>
  <si>
    <t>13418758,НАУКОВО-ВИРОБНИЧЕ ТОВАРИСТВО З ОБМЕЖЕНОЮ ВІДПОВІДАЛЬНІСТЮ "ДИЛ, ЛТД",Україна</t>
  </si>
  <si>
    <t>13418758,НАУКОВО-ВИРОБНИЧЕ ТОВАРИСТВО З ОБМЕЖЕНОЮ ВІДПОВІДАЛЬНІСТЮ "ДИЛ, ЛТД",Україна;42156652,ТОВ "ТК ГЕРМЕС ТРЕЙД",Україна</t>
  </si>
  <si>
    <t>13418847</t>
  </si>
  <si>
    <t>13418847,ТОВ "АП"Агроекспо",Україна</t>
  </si>
  <si>
    <t>135</t>
  </si>
  <si>
    <t>136</t>
  </si>
  <si>
    <t>137</t>
  </si>
  <si>
    <t>138</t>
  </si>
  <si>
    <t>139</t>
  </si>
  <si>
    <t>14</t>
  </si>
  <si>
    <t>140</t>
  </si>
  <si>
    <t>141</t>
  </si>
  <si>
    <t>142</t>
  </si>
  <si>
    <t>14210000-6 Гравій, пісок, щебінь і наповнювачі</t>
  </si>
  <si>
    <t>143</t>
  </si>
  <si>
    <t>144</t>
  </si>
  <si>
    <t>145</t>
  </si>
  <si>
    <t>146</t>
  </si>
  <si>
    <t>147</t>
  </si>
  <si>
    <t>148</t>
  </si>
  <si>
    <t>149</t>
  </si>
  <si>
    <t>15</t>
  </si>
  <si>
    <t>150</t>
  </si>
  <si>
    <t>151</t>
  </si>
  <si>
    <t>152</t>
  </si>
  <si>
    <t>153</t>
  </si>
  <si>
    <t>1533511687</t>
  </si>
  <si>
    <t>1533511687,ФОП "ТКАЧОВА ОЛЕКСАНДРА ГРИГОРІВНА",Україна</t>
  </si>
  <si>
    <t>1533511687,ФОП "ТКАЧОВА ОЛЕКСАНДРА ГРИГОРІВНА",Україна;3178911466,ФОП  МИХАЙЛОВА ВАЛЕРІЯ ВАСИЛІВНА,Україна</t>
  </si>
  <si>
    <t>154</t>
  </si>
  <si>
    <t>155</t>
  </si>
  <si>
    <t>156</t>
  </si>
  <si>
    <t>157</t>
  </si>
  <si>
    <t>158</t>
  </si>
  <si>
    <t>159</t>
  </si>
  <si>
    <t>15\09</t>
  </si>
  <si>
    <t>16</t>
  </si>
  <si>
    <t>16/2021</t>
  </si>
  <si>
    <t>160</t>
  </si>
  <si>
    <t>161</t>
  </si>
  <si>
    <t>162</t>
  </si>
  <si>
    <t>163</t>
  </si>
  <si>
    <t>16310000-1 Косарки</t>
  </si>
  <si>
    <t>164</t>
  </si>
  <si>
    <t>165</t>
  </si>
  <si>
    <t>166</t>
  </si>
  <si>
    <t>167</t>
  </si>
  <si>
    <t>168</t>
  </si>
  <si>
    <t>169</t>
  </si>
  <si>
    <t>16\09</t>
  </si>
  <si>
    <t>17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</si>
  <si>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</si>
  <si>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</si>
  <si>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</si>
  <si>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</si>
  <si>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</si>
  <si>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</si>
  <si>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</si>
  <si>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</si>
  <si>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</si>
  <si>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</si>
  <si>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17\09</t>
  </si>
  <si>
    <t>18</t>
  </si>
  <si>
    <t>180</t>
  </si>
  <si>
    <t>181</t>
  </si>
  <si>
    <t>18140000-2 Аксесуари до робочого одягу</t>
  </si>
  <si>
    <t>182</t>
  </si>
  <si>
    <t>183</t>
  </si>
  <si>
    <t>184</t>
  </si>
  <si>
    <t>185</t>
  </si>
  <si>
    <t>186</t>
  </si>
  <si>
    <t>187</t>
  </si>
  <si>
    <t>188</t>
  </si>
  <si>
    <t>189</t>
  </si>
  <si>
    <t>19</t>
  </si>
  <si>
    <t>190</t>
  </si>
  <si>
    <t>191</t>
  </si>
  <si>
    <t>192</t>
  </si>
  <si>
    <t>1923400586,ФОП ПОЛЯКОВА ОЛЕНА ОЛЕКСАНДРІВНА,Україна;2825518344,ФОП "Сахно Ганна Костянтинівна",Україна</t>
  </si>
  <si>
    <t>19243047</t>
  </si>
  <si>
    <t>193</t>
  </si>
  <si>
    <t>194</t>
  </si>
  <si>
    <t>1946620464</t>
  </si>
  <si>
    <t>1946620464,ФОП "АНТОНОВА ВІРА ВОЛОДИМИРІВНА",Україна;23070670,МАЛЕ ПРИВАТНЕ ПІДПРИЄМСТВО БАГАТОГАЛУЗЕВА ФІРМА "ДОНБАС -ПРОМАГРОСЕРВІС",Україна</t>
  </si>
  <si>
    <t>195</t>
  </si>
  <si>
    <t>196</t>
  </si>
  <si>
    <t>19640000-4 Поліетиленові мішки та пакети для сміття</t>
  </si>
  <si>
    <t>197</t>
  </si>
  <si>
    <t>198</t>
  </si>
  <si>
    <t>199</t>
  </si>
  <si>
    <t>2</t>
  </si>
  <si>
    <t>2 (0)</t>
  </si>
  <si>
    <t>20</t>
  </si>
  <si>
    <t>200</t>
  </si>
  <si>
    <t>201</t>
  </si>
  <si>
    <t>202</t>
  </si>
  <si>
    <t>20200379</t>
  </si>
  <si>
    <t>20200379,ТОВ "Виробничо-комерційна фірма "РАДІУС" ЛТД",Україна</t>
  </si>
  <si>
    <t>20200379@ukr.net</t>
  </si>
  <si>
    <t>2021</t>
  </si>
  <si>
    <t>2021-05-13</t>
  </si>
  <si>
    <t>2021-05-17</t>
  </si>
  <si>
    <t>2021-05-19</t>
  </si>
  <si>
    <t>2021-05-21</t>
  </si>
  <si>
    <t>2021-05-26</t>
  </si>
  <si>
    <t>2021-05-28</t>
  </si>
  <si>
    <t>2021-06-09</t>
  </si>
  <si>
    <t>2021-06-14</t>
  </si>
  <si>
    <t>2021-06-15</t>
  </si>
  <si>
    <t>2021-06-16</t>
  </si>
  <si>
    <t>2021-06-18</t>
  </si>
  <si>
    <t>2021-06-24</t>
  </si>
  <si>
    <t>2021-06-25</t>
  </si>
  <si>
    <t>2021-06-29</t>
  </si>
  <si>
    <t>2021-07-02</t>
  </si>
  <si>
    <t>2021-07-05</t>
  </si>
  <si>
    <t>2021-07-09</t>
  </si>
  <si>
    <t>2021-07-13</t>
  </si>
  <si>
    <t>2021-07-17</t>
  </si>
  <si>
    <t>2021-07-21</t>
  </si>
  <si>
    <t>2021-07-26</t>
  </si>
  <si>
    <t>2021-07-30</t>
  </si>
  <si>
    <t>2021-07-31</t>
  </si>
  <si>
    <t>2021-08-04</t>
  </si>
  <si>
    <t>2021-08-08</t>
  </si>
  <si>
    <t>2021-08-10</t>
  </si>
  <si>
    <t>2021-08-18</t>
  </si>
  <si>
    <t>2021-08-19</t>
  </si>
  <si>
    <t>2021-08-20</t>
  </si>
  <si>
    <t>2021-08-25</t>
  </si>
  <si>
    <t>2021-08-26</t>
  </si>
  <si>
    <t>2021-08-27</t>
  </si>
  <si>
    <t>2021-08-29</t>
  </si>
  <si>
    <t>2021-08-30</t>
  </si>
  <si>
    <t>2021-09-01</t>
  </si>
  <si>
    <t>2021-09-03</t>
  </si>
  <si>
    <t>2021-09-07</t>
  </si>
  <si>
    <t>2021-09-08</t>
  </si>
  <si>
    <t>2021-09-09</t>
  </si>
  <si>
    <t>2021-09-13</t>
  </si>
  <si>
    <t>2021-09-14</t>
  </si>
  <si>
    <t>2021-09-20</t>
  </si>
  <si>
    <t>2021-09-21</t>
  </si>
  <si>
    <t>2021-09-22</t>
  </si>
  <si>
    <t>2021-09-24</t>
  </si>
  <si>
    <t>2021-09-28</t>
  </si>
  <si>
    <t>2021-09-30</t>
  </si>
  <si>
    <t>2021-10-01</t>
  </si>
  <si>
    <t>2021-10-03</t>
  </si>
  <si>
    <t>2021-10-04</t>
  </si>
  <si>
    <t>2021-10-06</t>
  </si>
  <si>
    <t>2021-10-07</t>
  </si>
  <si>
    <t>2021-10-08</t>
  </si>
  <si>
    <t>2021-10-11</t>
  </si>
  <si>
    <t>2021-10-12</t>
  </si>
  <si>
    <t>2021-10-13</t>
  </si>
  <si>
    <t>2021-10-17</t>
  </si>
  <si>
    <t>2021-10-18</t>
  </si>
  <si>
    <t>2021-10-19</t>
  </si>
  <si>
    <t>2021-10-21</t>
  </si>
  <si>
    <t>2021-10-22</t>
  </si>
  <si>
    <t>2021-10-23</t>
  </si>
  <si>
    <t>2021-10-24</t>
  </si>
  <si>
    <t>2021-10-25</t>
  </si>
  <si>
    <t>2021-10-27</t>
  </si>
  <si>
    <t>2021-10-28</t>
  </si>
  <si>
    <t>2021-10-29</t>
  </si>
  <si>
    <t>2021-10-30</t>
  </si>
  <si>
    <t>2021-11-02</t>
  </si>
  <si>
    <t>2021-11-03</t>
  </si>
  <si>
    <t>2021-11-04</t>
  </si>
  <si>
    <t>2021-11-05</t>
  </si>
  <si>
    <t>2021-11-06</t>
  </si>
  <si>
    <t>2021-11-07</t>
  </si>
  <si>
    <t>2021-11-08</t>
  </si>
  <si>
    <t>2021-11-09</t>
  </si>
  <si>
    <t>2021-11-10</t>
  </si>
  <si>
    <t>2021-11-11</t>
  </si>
  <si>
    <t>2021-11-12</t>
  </si>
  <si>
    <t>2021-11-15</t>
  </si>
  <si>
    <t>2021-11-16</t>
  </si>
  <si>
    <t>2021-11-17</t>
  </si>
  <si>
    <t>2021-11-18</t>
  </si>
  <si>
    <t>2021-11-19</t>
  </si>
  <si>
    <t>2021-11-20</t>
  </si>
  <si>
    <t>2021-11-21</t>
  </si>
  <si>
    <t>2021-11-22</t>
  </si>
  <si>
    <t>2021-11-23</t>
  </si>
  <si>
    <t>2021-11-24</t>
  </si>
  <si>
    <t>2021-11-25</t>
  </si>
  <si>
    <t>2021-11-26</t>
  </si>
  <si>
    <t>2021-11-27</t>
  </si>
  <si>
    <t>2021-11-29</t>
  </si>
  <si>
    <t>2021-11-30</t>
  </si>
  <si>
    <t>2021-12-01</t>
  </si>
  <si>
    <t>2021-12-02</t>
  </si>
  <si>
    <t>2021-12-03</t>
  </si>
  <si>
    <t>2021-12-06</t>
  </si>
  <si>
    <t>2021-12-07</t>
  </si>
  <si>
    <t>2021-12-08</t>
  </si>
  <si>
    <t>2021-12-09</t>
  </si>
  <si>
    <t>2021-12-10</t>
  </si>
  <si>
    <t>2021-12-13</t>
  </si>
  <si>
    <t>2021-12-14</t>
  </si>
  <si>
    <t>2021-12-15</t>
  </si>
  <si>
    <t>2021-12-16</t>
  </si>
  <si>
    <t>2021-12-17</t>
  </si>
  <si>
    <t>2021-12-19</t>
  </si>
  <si>
    <t>2021-12-21</t>
  </si>
  <si>
    <t>2021-12-22</t>
  </si>
  <si>
    <t>2021-12-24</t>
  </si>
  <si>
    <t>2021-12-26</t>
  </si>
  <si>
    <t>2021-12-27</t>
  </si>
  <si>
    <t>2022</t>
  </si>
  <si>
    <t>2022-01-03</t>
  </si>
  <si>
    <t>2022-01-04</t>
  </si>
  <si>
    <t>2022-01-05</t>
  </si>
  <si>
    <t>2022-01-09</t>
  </si>
  <si>
    <t>2022-01-10</t>
  </si>
  <si>
    <t>2022-01-25</t>
  </si>
  <si>
    <t>2022-01-26</t>
  </si>
  <si>
    <t>2022-01-30</t>
  </si>
  <si>
    <t>2022-01-31</t>
  </si>
  <si>
    <t>2022-02-10</t>
  </si>
  <si>
    <t>2022-02-11</t>
  </si>
  <si>
    <t>2022-02-14</t>
  </si>
  <si>
    <t>2022-02-16</t>
  </si>
  <si>
    <t>2022-02-22</t>
  </si>
  <si>
    <t>2022-02-25</t>
  </si>
  <si>
    <t>2022-03-02</t>
  </si>
  <si>
    <t>2022-03-07</t>
  </si>
  <si>
    <t>2022-07-28</t>
  </si>
  <si>
    <t>2022-08-03</t>
  </si>
  <si>
    <t>2022-08-09</t>
  </si>
  <si>
    <t>2022-08-16</t>
  </si>
  <si>
    <t>2022-08-22</t>
  </si>
  <si>
    <t>2022-08-26</t>
  </si>
  <si>
    <t>2022-08-28</t>
  </si>
  <si>
    <t>2022-09-01</t>
  </si>
  <si>
    <t>2022-09-05</t>
  </si>
  <si>
    <t>2022-09-07</t>
  </si>
  <si>
    <t>2022-09-09</t>
  </si>
  <si>
    <t>2022-09-11</t>
  </si>
  <si>
    <t>2022-09-13</t>
  </si>
  <si>
    <t>2022-09-14</t>
  </si>
  <si>
    <t>2022-09-15</t>
  </si>
  <si>
    <t>2022-09-19</t>
  </si>
  <si>
    <t>2022-09-20</t>
  </si>
  <si>
    <t>2022-09-21</t>
  </si>
  <si>
    <t>2022-09-24</t>
  </si>
  <si>
    <t>2022-09-26</t>
  </si>
  <si>
    <t>2022-09-28</t>
  </si>
  <si>
    <t>2022-10-03</t>
  </si>
  <si>
    <t>2022-10-04</t>
  </si>
  <si>
    <t>2022-10-05</t>
  </si>
  <si>
    <t>2022-10-07</t>
  </si>
  <si>
    <t>2022-10-10</t>
  </si>
  <si>
    <t>2022-10-11</t>
  </si>
  <si>
    <t>2022-10-13</t>
  </si>
  <si>
    <t>2022-10-17</t>
  </si>
  <si>
    <t>2022-10-18</t>
  </si>
  <si>
    <t>2022-10-19</t>
  </si>
  <si>
    <t>2022-10-20</t>
  </si>
  <si>
    <t>2022-10-27</t>
  </si>
  <si>
    <t>2022-11-01</t>
  </si>
  <si>
    <t>2022-11-06</t>
  </si>
  <si>
    <t>2022-11-07</t>
  </si>
  <si>
    <t>2022-11-09</t>
  </si>
  <si>
    <t>2022-11-14</t>
  </si>
  <si>
    <t>2022-11-16</t>
  </si>
  <si>
    <t>2022-11-17</t>
  </si>
  <si>
    <t>2022-11-21</t>
  </si>
  <si>
    <t>2022-11-22</t>
  </si>
  <si>
    <t>2022-11-28</t>
  </si>
  <si>
    <t>2022-11-30</t>
  </si>
  <si>
    <t>2022-12-03</t>
  </si>
  <si>
    <t>2022-12-04</t>
  </si>
  <si>
    <t>2022-12-05</t>
  </si>
  <si>
    <t>2022-12-10</t>
  </si>
  <si>
    <t>2022-12-12</t>
  </si>
  <si>
    <t>2022-12-14</t>
  </si>
  <si>
    <t>2022-12-15</t>
  </si>
  <si>
    <t>2022-12-19</t>
  </si>
  <si>
    <t>2022-12-20</t>
  </si>
  <si>
    <t>2022-12-22</t>
  </si>
  <si>
    <t>2022-12-24</t>
  </si>
  <si>
    <t>2022-12-25</t>
  </si>
  <si>
    <t>2022-12-29</t>
  </si>
  <si>
    <t>2023</t>
  </si>
  <si>
    <t>2023-01-03</t>
  </si>
  <si>
    <t>2023-01-04</t>
  </si>
  <si>
    <t>2023-01-09</t>
  </si>
  <si>
    <t>2023-01-13</t>
  </si>
  <si>
    <t>2023-01-17</t>
  </si>
  <si>
    <t>2023-01-22</t>
  </si>
  <si>
    <t>2023-02-05</t>
  </si>
  <si>
    <t>2023-02-06</t>
  </si>
  <si>
    <t>2023-02-08</t>
  </si>
  <si>
    <t>2023-02-11</t>
  </si>
  <si>
    <t>2023-02-13</t>
  </si>
  <si>
    <t>2023-02-15</t>
  </si>
  <si>
    <t>2023-02-21</t>
  </si>
  <si>
    <t>2023-02-27</t>
  </si>
  <si>
    <t>2023-03-03</t>
  </si>
  <si>
    <t>2023-03-07</t>
  </si>
  <si>
    <t>2023-03-09</t>
  </si>
  <si>
    <t>2023-03-12</t>
  </si>
  <si>
    <t>2023-03-28</t>
  </si>
  <si>
    <t>2023-03-30</t>
  </si>
  <si>
    <t>2023-04-04</t>
  </si>
  <si>
    <t>2023-04-07</t>
  </si>
  <si>
    <t>2023-04-09</t>
  </si>
  <si>
    <t>2023-04-10</t>
  </si>
  <si>
    <t>2023-04-14</t>
  </si>
  <si>
    <t>2023-04-15</t>
  </si>
  <si>
    <t>2023-04-18</t>
  </si>
  <si>
    <t>2023-04-21</t>
  </si>
  <si>
    <t>2023-04-27</t>
  </si>
  <si>
    <t>2023-04-28</t>
  </si>
  <si>
    <t>2023-05-03</t>
  </si>
  <si>
    <t>2023-05-04</t>
  </si>
  <si>
    <t>2023-05-07</t>
  </si>
  <si>
    <t>2023-05-08</t>
  </si>
  <si>
    <t>2023-05-12</t>
  </si>
  <si>
    <t>2023-05-14</t>
  </si>
  <si>
    <t>2023-05-16</t>
  </si>
  <si>
    <t>2023-05-19</t>
  </si>
  <si>
    <t>2023-05-21</t>
  </si>
  <si>
    <t>2023-05-23</t>
  </si>
  <si>
    <t>2023-05-24</t>
  </si>
  <si>
    <t>2023-05-29</t>
  </si>
  <si>
    <t>2023-05-31</t>
  </si>
  <si>
    <t>2023-06-01</t>
  </si>
  <si>
    <t>2023-06-02</t>
  </si>
  <si>
    <t>2023-06-04</t>
  </si>
  <si>
    <t>2023-06-06</t>
  </si>
  <si>
    <t>2023-06-10</t>
  </si>
  <si>
    <t>2023-06-11</t>
  </si>
  <si>
    <t>2023-06-12</t>
  </si>
  <si>
    <t>2023-06-13</t>
  </si>
  <si>
    <t>2023-06-14</t>
  </si>
  <si>
    <t>2023-06-15</t>
  </si>
  <si>
    <t>2023-06-17</t>
  </si>
  <si>
    <t>2023-06-19</t>
  </si>
  <si>
    <t>2023-06-20</t>
  </si>
  <si>
    <t>2023-06-21</t>
  </si>
  <si>
    <t>2023-06-23</t>
  </si>
  <si>
    <t>2023-06-25</t>
  </si>
  <si>
    <t>2023-06-27</t>
  </si>
  <si>
    <t>2023-06-29</t>
  </si>
  <si>
    <t>2023-07-01</t>
  </si>
  <si>
    <t>2023-07-06</t>
  </si>
  <si>
    <t>2023-07-07</t>
  </si>
  <si>
    <t>2023-07-16</t>
  </si>
  <si>
    <t>2023-08-17</t>
  </si>
  <si>
    <t>2023-08-18</t>
  </si>
  <si>
    <t>2023-08-22</t>
  </si>
  <si>
    <t>2023-08-25</t>
  </si>
  <si>
    <t>2023-09-04</t>
  </si>
  <si>
    <t>2023-09-09</t>
  </si>
  <si>
    <t>2023-09-10</t>
  </si>
  <si>
    <t>2023-09-11</t>
  </si>
  <si>
    <t>2023-09-14</t>
  </si>
  <si>
    <t>2023-09-15</t>
  </si>
  <si>
    <t>2023-09-16</t>
  </si>
  <si>
    <t>2023-09-18</t>
  </si>
  <si>
    <t>2023-09-20</t>
  </si>
  <si>
    <t>2023-09-22</t>
  </si>
  <si>
    <t>2023-09-23</t>
  </si>
  <si>
    <t>2023-09-25</t>
  </si>
  <si>
    <t>2023-09-26</t>
  </si>
  <si>
    <t>2023-09-27</t>
  </si>
  <si>
    <t>2023-09-29</t>
  </si>
  <si>
    <t>2023-09-30</t>
  </si>
  <si>
    <t>2023-10-03</t>
  </si>
  <si>
    <t>2023-10-05</t>
  </si>
  <si>
    <t>2023-10-06</t>
  </si>
  <si>
    <t>2023-10-07</t>
  </si>
  <si>
    <t>2023-10-09</t>
  </si>
  <si>
    <t>2023-10-12</t>
  </si>
  <si>
    <t>2023-10-13</t>
  </si>
  <si>
    <t>2023-10-17</t>
  </si>
  <si>
    <t>2023-10-19</t>
  </si>
  <si>
    <t>2023-10-20</t>
  </si>
  <si>
    <t>2023-10-22</t>
  </si>
  <si>
    <t>2023-10-23</t>
  </si>
  <si>
    <t>2023-10-27</t>
  </si>
  <si>
    <t>2023-11-07</t>
  </si>
  <si>
    <t>2023-11-08</t>
  </si>
  <si>
    <t>2023-11-09</t>
  </si>
  <si>
    <t>2023-11-13</t>
  </si>
  <si>
    <t>2023-11-15</t>
  </si>
  <si>
    <t>2023-11-17</t>
  </si>
  <si>
    <t>2023-11-19</t>
  </si>
  <si>
    <t>2023-11-20</t>
  </si>
  <si>
    <t>2023-11-22</t>
  </si>
  <si>
    <t>2023-11-24</t>
  </si>
  <si>
    <t>2023-11-27</t>
  </si>
  <si>
    <t>2023-12-03</t>
  </si>
  <si>
    <t>2023-12-06</t>
  </si>
  <si>
    <t>2023-12-07</t>
  </si>
  <si>
    <t>2023-12-13</t>
  </si>
  <si>
    <t>2023-12-16</t>
  </si>
  <si>
    <t>20232669</t>
  </si>
  <si>
    <t>2024</t>
  </si>
  <si>
    <t>2024-01-05</t>
  </si>
  <si>
    <t>2024-01-11</t>
  </si>
  <si>
    <t>2024-01-12</t>
  </si>
  <si>
    <t>2024-01-22</t>
  </si>
  <si>
    <t>2024-01-23</t>
  </si>
  <si>
    <t>2024-02-01</t>
  </si>
  <si>
    <t>2024-02-02</t>
  </si>
  <si>
    <t>2024-02-07</t>
  </si>
  <si>
    <t>2024-02-09</t>
  </si>
  <si>
    <t>2024-02-12</t>
  </si>
  <si>
    <t>2024-02-13</t>
  </si>
  <si>
    <t>2024-02-18</t>
  </si>
  <si>
    <t>2024-02-19</t>
  </si>
  <si>
    <t>2024-02-22</t>
  </si>
  <si>
    <t>2024-02-24</t>
  </si>
  <si>
    <t>2024-02-27</t>
  </si>
  <si>
    <t>2024-02-28</t>
  </si>
  <si>
    <t>2024-03-03</t>
  </si>
  <si>
    <t>2024-03-04</t>
  </si>
  <si>
    <t>2024-03-08</t>
  </si>
  <si>
    <t>2024-03-18</t>
  </si>
  <si>
    <t>2024-03-28</t>
  </si>
  <si>
    <t>2024-04-10</t>
  </si>
  <si>
    <t>2024-04-15</t>
  </si>
  <si>
    <t>2024-04-22</t>
  </si>
  <si>
    <t>2024-04-27</t>
  </si>
  <si>
    <t>2024-05-06</t>
  </si>
  <si>
    <t>2024-05-08</t>
  </si>
  <si>
    <t>2024-05-09</t>
  </si>
  <si>
    <t>2024-05-13</t>
  </si>
  <si>
    <t>2024-05-14</t>
  </si>
  <si>
    <t>2024-05-16</t>
  </si>
  <si>
    <t>2024-05-20</t>
  </si>
  <si>
    <t>2024-05-21</t>
  </si>
  <si>
    <t>2024-05-22</t>
  </si>
  <si>
    <t>2024-05-24</t>
  </si>
  <si>
    <t>2024-05-25</t>
  </si>
  <si>
    <t>2024-05-27</t>
  </si>
  <si>
    <t>2024-05-29</t>
  </si>
  <si>
    <t>2024-05-31</t>
  </si>
  <si>
    <t>2024-06-01</t>
  </si>
  <si>
    <t>2024-06-03</t>
  </si>
  <si>
    <t>2024-06-06</t>
  </si>
  <si>
    <t>2024-06-09</t>
  </si>
  <si>
    <t>2024-06-12</t>
  </si>
  <si>
    <t>2024-06-13</t>
  </si>
  <si>
    <t>2024-06-14</t>
  </si>
  <si>
    <t>2024-06-16</t>
  </si>
  <si>
    <t>2024-06-17</t>
  </si>
  <si>
    <t>2024-06-18</t>
  </si>
  <si>
    <t>2024-06-19</t>
  </si>
  <si>
    <t>2024-06-21</t>
  </si>
  <si>
    <t>2024-06-23</t>
  </si>
  <si>
    <t>2024-06-25</t>
  </si>
  <si>
    <t>2024-06-26</t>
  </si>
  <si>
    <t>2024-06-28</t>
  </si>
  <si>
    <t>2024-07-01</t>
  </si>
  <si>
    <t>2024-07-02</t>
  </si>
  <si>
    <t>2024-07-05</t>
  </si>
  <si>
    <t>2024-07-07</t>
  </si>
  <si>
    <t>2024-07-09</t>
  </si>
  <si>
    <t>2024-07-11</t>
  </si>
  <si>
    <t>2024-07-12</t>
  </si>
  <si>
    <t>2024-07-15</t>
  </si>
  <si>
    <t>2024-07-16</t>
  </si>
  <si>
    <t>2024-07-17</t>
  </si>
  <si>
    <t>2024-07-19</t>
  </si>
  <si>
    <t>2024-07-20</t>
  </si>
  <si>
    <t>2024-07-21</t>
  </si>
  <si>
    <t>2024-07-24</t>
  </si>
  <si>
    <t>2024-07-25</t>
  </si>
  <si>
    <t>2024-07-26</t>
  </si>
  <si>
    <t>2024-07-29</t>
  </si>
  <si>
    <t>2024-07-30</t>
  </si>
  <si>
    <t>2024-07-31</t>
  </si>
  <si>
    <t>2024-08-01</t>
  </si>
  <si>
    <t>2024-08-02</t>
  </si>
  <si>
    <t>2024-08-03</t>
  </si>
  <si>
    <t>2024-08-04</t>
  </si>
  <si>
    <t>2024-08-06</t>
  </si>
  <si>
    <t>2024-08-08</t>
  </si>
  <si>
    <t>2024-08-10</t>
  </si>
  <si>
    <t>2024-08-11</t>
  </si>
  <si>
    <t>2024-08-14</t>
  </si>
  <si>
    <t>2024-08-18</t>
  </si>
  <si>
    <t>2024-08-21</t>
  </si>
  <si>
    <t>2024-08-24</t>
  </si>
  <si>
    <t>2024-08-31</t>
  </si>
  <si>
    <t>203</t>
  </si>
  <si>
    <t>204</t>
  </si>
  <si>
    <t>205</t>
  </si>
  <si>
    <t>206</t>
  </si>
  <si>
    <t>207</t>
  </si>
  <si>
    <t>208</t>
  </si>
  <si>
    <t>209</t>
  </si>
  <si>
    <t>21</t>
  </si>
  <si>
    <t>210</t>
  </si>
  <si>
    <t>211</t>
  </si>
  <si>
    <t>212</t>
  </si>
  <si>
    <t>213</t>
  </si>
  <si>
    <t>214</t>
  </si>
  <si>
    <t>215</t>
  </si>
  <si>
    <t>21560766</t>
  </si>
  <si>
    <t>216</t>
  </si>
  <si>
    <t>217</t>
  </si>
  <si>
    <t>218</t>
  </si>
  <si>
    <t>21870998</t>
  </si>
  <si>
    <t>219</t>
  </si>
  <si>
    <t>22</t>
  </si>
  <si>
    <t>220</t>
  </si>
  <si>
    <t>221</t>
  </si>
  <si>
    <t>222</t>
  </si>
  <si>
    <t>2225116338</t>
  </si>
  <si>
    <t>2226016238,ФОП "ФЕНІН ЮРІЙ МИКОЛАЙОВИЧ",Україна;13418758,НАУКОВО-ВИРОБНИЧЕ ТОВАРИСТВО З ОБМЕЖЕНОЮ ВІДПОВІДАЛЬНІСТЮ "ДИЛ, ЛТД",Україна</t>
  </si>
  <si>
    <t>2226016238,ФОП "ФЕНІН ЮРІЙ МИКОЛАЙОВИЧ",Україна;42215107,ТОВ "АБРИС-БУД",Україна</t>
  </si>
  <si>
    <t>223</t>
  </si>
  <si>
    <t>2230903428</t>
  </si>
  <si>
    <t>224</t>
  </si>
  <si>
    <t>225</t>
  </si>
  <si>
    <t>226</t>
  </si>
  <si>
    <t>227</t>
  </si>
  <si>
    <t>228</t>
  </si>
  <si>
    <t>22820000-4 Бланки</t>
  </si>
  <si>
    <t>229</t>
  </si>
  <si>
    <t>23</t>
  </si>
  <si>
    <t>230</t>
  </si>
  <si>
    <t>231</t>
  </si>
  <si>
    <t>232</t>
  </si>
  <si>
    <t>233</t>
  </si>
  <si>
    <t>23359034</t>
  </si>
  <si>
    <t>234</t>
  </si>
  <si>
    <t>235</t>
  </si>
  <si>
    <t>236</t>
  </si>
  <si>
    <t>237</t>
  </si>
  <si>
    <t>238</t>
  </si>
  <si>
    <t>239</t>
  </si>
  <si>
    <t>24</t>
  </si>
  <si>
    <t>240</t>
  </si>
  <si>
    <t>2404/1</t>
  </si>
  <si>
    <t>241</t>
  </si>
  <si>
    <t>242</t>
  </si>
  <si>
    <t>24229227</t>
  </si>
  <si>
    <t>24229227,ТОВ "СЕВЕРНИЙ РИНОК",Україна</t>
  </si>
  <si>
    <t>243</t>
  </si>
  <si>
    <t>244</t>
  </si>
  <si>
    <t>245</t>
  </si>
  <si>
    <t>246</t>
  </si>
  <si>
    <t>247</t>
  </si>
  <si>
    <t>24738845</t>
  </si>
  <si>
    <t>248</t>
  </si>
  <si>
    <t>249</t>
  </si>
  <si>
    <t>2490200400</t>
  </si>
  <si>
    <t>24950000-8 Спеціалізована хімічна продукція</t>
  </si>
  <si>
    <t>25</t>
  </si>
  <si>
    <t>250</t>
  </si>
  <si>
    <t>251</t>
  </si>
  <si>
    <t>252</t>
  </si>
  <si>
    <t>2524215935</t>
  </si>
  <si>
    <t>26</t>
  </si>
  <si>
    <t>2608822659</t>
  </si>
  <si>
    <t>2633902098</t>
  </si>
  <si>
    <t>2647512672,ФОП "Боярко Богдан Валерійович",Україна;3113600595,ФОП Ланчуковський Сергій Павлович,Україна;2879814314,ФОП Онищенко О.В.,Україна</t>
  </si>
  <si>
    <t>2663800569</t>
  </si>
  <si>
    <t>27</t>
  </si>
  <si>
    <t>2745000199</t>
  </si>
  <si>
    <t>2774706493</t>
  </si>
  <si>
    <t>2778518568</t>
  </si>
  <si>
    <t>2792620914</t>
  </si>
  <si>
    <t>2795614674</t>
  </si>
  <si>
    <t>28</t>
  </si>
  <si>
    <t>2847516058,ФОП "МЕДОЛИЗ РОМАН ВОЛОДИМИРОВИЧ",Україна;13418758,НАУКОВО-ВИРОБНИЧЕ ТОВАРИСТВО З ОБМЕЖЕНОЮ ВІДПОВІДАЛЬНІСТЮ "ДИЛ, ЛТД",Україна</t>
  </si>
  <si>
    <t>2847516058,ФОП "МЕДОЛИЗ РОМАН ВОЛОДИМИРОВИЧ",Україна;1946620464,ФОП "АНТОНОВА ВІРА ВОЛОДИМИРІВНА",Україна;3780412775,ФОП "ГАЙДАЙ ЯРОСЛАВ ВАДИМОВИЧ",Україна</t>
  </si>
  <si>
    <t>2847516058,ФОП "МЕДОЛИЗ РОМАН ВОЛОДИМИРОВИЧ",Україна;1946620464,ФОП "АНТОНОВА ВІРА ВОЛОДИМИРІВНА",Україна;43105805,ТОВ "ВУПІ",Україна</t>
  </si>
  <si>
    <t>2847516058,ФОП "МЕДОЛИЗ РОМАН ВОЛОДИМИРОВИЧ",Україна;41711231,ТОВАРИСТВО З ОБМЕЖЕНОЮ ВІДПОВІДАЛЬНІСТЮ "ОЛІСТЕР ГРУП",Україна</t>
  </si>
  <si>
    <t>2847516058,ФОП "МЕДОЛИЗ РОМАН ВОЛОДИМИРОВИЧ",Україна;41711231,ТОВАРИСТВО З ОБМЕЖЕНОЮ ВІДПОВІДАЛЬНІСТЮ "ОЛІСТЕР ГРУП",Україна;13418758,НАУКОВО-ВИРОБНИЧЕ ТОВАРИСТВО З ОБМЕЖЕНОЮ ВІДПОВІДАЛЬНІСТЮ "ДИЛ, ЛТД",Україна</t>
  </si>
  <si>
    <t>2847516058,ФОП "МЕДОЛИЗ РОМАН ВОЛОДИМИРОВИЧ",Україна;42156652,ТОВ "ТК ГЕРМЕС ТРЕЙД",Україна</t>
  </si>
  <si>
    <t>2847516058,ФОП "МЕДОЛИЗ РОМАН ВОЛОДИМИРОВИЧ",Україна;42156652,ТОВ "ТК ГЕРМЕС ТРЕЙД",Україна;13418758,НАУКОВО-ВИРОБНИЧЕ ТОВАРИСТВО З ОБМЕЖЕНОЮ ВІДПОВІДАЛЬНІСТЮ "ДИЛ, ЛТД",Україна</t>
  </si>
  <si>
    <t>2847516058,ФОП "МЕДОЛИЗ РОМАН ВОЛОДИМИРОВИЧ",Україна;42156652,ТОВ "ТК ГЕРМЕС ТРЕЙД",Україна;13418758,НАУКОВО-ВИРОБНИЧЕ ТОВАРИСТВО З ОБМЕЖЕНОЮ ВІДПОВІДАЛЬНІСТЮ "ДИЛ, ЛТД",Україна;44190776,ТОВ "СТРОЙ СПЕКТР",Україна</t>
  </si>
  <si>
    <t>2847516058,ФОП "МЕДОЛИЗ РОМАН ВОЛОДИМИРОВИЧ",Україна;44040901,ТОВ "ІНСТРАД БУД",Україна;39719069,ПП "БЕРГ 2004",Україна</t>
  </si>
  <si>
    <t>2847516058,ФОП "МЕДОЛИЗ РОМАН ВОЛОДИМИРОВИЧ",Україна;44190776,ТОВ "СТРОЙ СПЕКТР",Україна;41716575,ТОВАРИСТВО З ОБМЕЖЕНОЮ ВІДПОВІДАЛЬНІСТЮ "ГЛОРІЯ-В",Україна;42156652,ТОВ "ТК ГЕРМЕС ТРЕЙД",Україна</t>
  </si>
  <si>
    <t>2857706232,ФОП ГРИГОРЕНКО КОСТЯНТИН ІВАНОВИЧ,Україна;32781303,ПП "ФЕНІКС",Україна</t>
  </si>
  <si>
    <t>2862519619</t>
  </si>
  <si>
    <t>2868914336</t>
  </si>
  <si>
    <t>2879814314</t>
  </si>
  <si>
    <t>29</t>
  </si>
  <si>
    <t>29/11</t>
  </si>
  <si>
    <t>2919501878,ФОП Половенко Олександр Володимирович,Україна</t>
  </si>
  <si>
    <t>2939618563</t>
  </si>
  <si>
    <t>2953002278</t>
  </si>
  <si>
    <t>2953002278,ФОП "ГІРКО СЕРГІЙ ОЛЕКСАНДРОВИЧ",Україна</t>
  </si>
  <si>
    <t>2953002278@ukr.net</t>
  </si>
  <si>
    <t>2974300628,ФОП Кутенкова О.О.,Україна;39417349,ТОВ "АВЕРС КАНЦЕЛЯРІЯ",Україна</t>
  </si>
  <si>
    <t>2983719441</t>
  </si>
  <si>
    <t>2983719441,ФОП САФОНОВА ІННА ВОЛОДИМИРІВНА,Україна</t>
  </si>
  <si>
    <t>2983719441,ФОП САФОНОВА ІННА ВОЛОДИМИРІВНА,Україна;3360013358,ФОП Бобров Кирило Євгенович,Україна</t>
  </si>
  <si>
    <t>3</t>
  </si>
  <si>
    <t>3 (0)</t>
  </si>
  <si>
    <t>3/2</t>
  </si>
  <si>
    <t>30</t>
  </si>
  <si>
    <t>30172123</t>
  </si>
  <si>
    <t>30190000-7 Офісне устаткування та приладдя різне</t>
  </si>
  <si>
    <t>30230000-0 Комп’ютерне обладнання</t>
  </si>
  <si>
    <t>3026019470</t>
  </si>
  <si>
    <t>3026019470,ФОП "ЗАКАСОВСЬКИЙ ВІТАЛІЙ ВОЛОДИМИРОВИЧ",Україна</t>
  </si>
  <si>
    <t>3063707694</t>
  </si>
  <si>
    <t>3063707694,ФОП "ДОМАНОВ АРТУР ОЛЕГОВИЧ",Україна</t>
  </si>
  <si>
    <t>3077319458</t>
  </si>
  <si>
    <t>30927520</t>
  </si>
  <si>
    <t>31</t>
  </si>
  <si>
    <t>31150000-2 Баласти для розрядних ламп чи трубок</t>
  </si>
  <si>
    <t>31220000-4 Елементи електричних схем</t>
  </si>
  <si>
    <t>3143213511</t>
  </si>
  <si>
    <t>3143213511,ФОП "ОГУРЦОВ ДМИТРО  СЕРГІЙОВИЧ",Україна</t>
  </si>
  <si>
    <t>3143213511,ФОП "ОГУРЦОВ ДМИТРО  СЕРГІЙОВИЧ",Україна;3800603166,ФОП "БОГОМОЛОВА ТЕТЯНА ДЕНИСІВНА 
",Україна</t>
  </si>
  <si>
    <t>3148208078</t>
  </si>
  <si>
    <t>31497254,ТОВ "ЛАНДШАФТ",Україна;41864547,ТОВ "БУДІВЕЛЬНА ГРУПА "ТАТРИМ",Україна</t>
  </si>
  <si>
    <t>3153612712</t>
  </si>
  <si>
    <t>3159208530</t>
  </si>
  <si>
    <t>3159208530,ФІЗИЧНА ОСОБА-ПІДПРИЄМЕЦЬ  РОГОЖА ЄВГЕНІЙ СЕРГІЙОВИЧ,Україна</t>
  </si>
  <si>
    <t>3164802111,ФОП "ІВАНІН АРТЕМ ВОЛОДИМИРОВИЧ",Україна;1533511687,ФОП "ТКАЧОВА ОЛЕКСАНДРА ГРИГОРІВНА",Україна</t>
  </si>
  <si>
    <t>3179022437</t>
  </si>
  <si>
    <t>32</t>
  </si>
  <si>
    <t>3206414961</t>
  </si>
  <si>
    <t>32781303</t>
  </si>
  <si>
    <t>32781303,ПП "ФЕНІКС",Україна</t>
  </si>
  <si>
    <t>32999141</t>
  </si>
  <si>
    <t>33</t>
  </si>
  <si>
    <t>33115419</t>
  </si>
  <si>
    <t>33115419,ТОВ "СП Техноліфт",Україна</t>
  </si>
  <si>
    <t>33115419,ТОВ "СП Техноліфт",Україна;41972612,ТОВ EЛ-ЕКСПРЕС,Україна</t>
  </si>
  <si>
    <t>33160037</t>
  </si>
  <si>
    <t>3328206281</t>
  </si>
  <si>
    <t>33644464,ТОВАРИСТВО З ОБМЕЖЕНОЮ ВІДПОВІДАЛЬНІСТЮ "БУДІВЕЛЬНА ФІРМА "ПРОГРЕС ЛТД",Україна;41071167,ТОВ "ВАУ ІВЕНТС",Україна</t>
  </si>
  <si>
    <t>33760000-5 Туалетний папір, носові хустинки, рушники для рук і серветки</t>
  </si>
  <si>
    <t>3384414872</t>
  </si>
  <si>
    <t>34</t>
  </si>
  <si>
    <t>34148492</t>
  </si>
  <si>
    <t>34320000-6 Механічні запасні частини, крім двигунів і частин двигунів</t>
  </si>
  <si>
    <t>34350000-5 Шини для транспортних засобів великої та малої тоннажності</t>
  </si>
  <si>
    <t>3441611286</t>
  </si>
  <si>
    <t>34501857</t>
  </si>
  <si>
    <t>34501857,ТОВАРИСТВО З ОБМЕЖЕНОЮ ВІДПОВІДАЛЬНІСТЮ "МЕГАПЛАНТ ",Україна</t>
  </si>
  <si>
    <t>34501857,ТОВАРИСТВО З ОБМЕЖЕНОЮ ВІДПОВІДАЛЬНІСТЮ "МЕГАПЛАНТ ",Україна;2974221676,ФОП ТЕРЕЩЕНКО РОМАН ВОЛОДИМИРОВИЧ,Україна</t>
  </si>
  <si>
    <t>3463605322</t>
  </si>
  <si>
    <t>34825022,ТОВ "ЗМПО ПРОГРЕС",Україна;42215107,ТОВ "АБРИС-БУД",Україна</t>
  </si>
  <si>
    <t>35</t>
  </si>
  <si>
    <t>35/17/03-2023</t>
  </si>
  <si>
    <t>3500611434</t>
  </si>
  <si>
    <t>35110000-8 Протипожежне, рятувальне та захисне обладнання</t>
  </si>
  <si>
    <t>3561802308</t>
  </si>
  <si>
    <t>35821000-5 Прапори</t>
  </si>
  <si>
    <t>35941335</t>
  </si>
  <si>
    <t>36</t>
  </si>
  <si>
    <t>36216548</t>
  </si>
  <si>
    <t>3655706119</t>
  </si>
  <si>
    <t>36952814,ПП СІАД-СЕРВІС,Україна;2983719441,ФОП САФОНОВА ІННА ВОЛОДИМИРІВНА,Україна</t>
  </si>
  <si>
    <t>37</t>
  </si>
  <si>
    <t>3780412775</t>
  </si>
  <si>
    <t>3780412775,ФОП "ГАЙДАЙ ЯРОСЛАВ ВАДИМОВИЧ",Україна</t>
  </si>
  <si>
    <t>3780412775,ФОП "ГАЙДАЙ ЯРОСЛАВ ВАДИМОВИЧ",Україна;23070670,МАЛЕ ПРИВАТНЕ ПІДПРИЄМСТВО БАГАТОГАЛУЗЕВА ФІРМА "ДОНБАС -ПРОМАГРОСЕРВІС",Україна</t>
  </si>
  <si>
    <t>3780412775,ФОП "ГАЙДАЙ ЯРОСЛАВ ВАДИМОВИЧ",Україна;43105805,ТОВ "ВУПІ",Україна</t>
  </si>
  <si>
    <t>38</t>
  </si>
  <si>
    <t>380445858588</t>
  </si>
  <si>
    <t>380502239796</t>
  </si>
  <si>
    <t>380503345114</t>
  </si>
  <si>
    <t>380503345135</t>
  </si>
  <si>
    <t>380505265418</t>
  </si>
  <si>
    <t>380567886172</t>
  </si>
  <si>
    <t>380676107071</t>
  </si>
  <si>
    <t>380676340840</t>
  </si>
  <si>
    <t>380676496210</t>
  </si>
  <si>
    <t>380966898837</t>
  </si>
  <si>
    <t>38330000-7 Ручні прилади для вимірювання відстаней</t>
  </si>
  <si>
    <t>38470642</t>
  </si>
  <si>
    <t>39</t>
  </si>
  <si>
    <t>39110000-6 Сидіння, стільці та супутні вироби і частини до них</t>
  </si>
  <si>
    <t>39220000-0 Кухонне приладдя, товари для дому та господарства і приладдя для закладів громадського харчування</t>
  </si>
  <si>
    <t>39417349</t>
  </si>
  <si>
    <t>39417349,ТОВ "АВЕРС КАНЦЕЛЯРІЯ",Україна</t>
  </si>
  <si>
    <t>39520000-3 Готові текстильні вироби</t>
  </si>
  <si>
    <t>39572642</t>
  </si>
  <si>
    <t>39572642,Товариство з обмеженою відповідальністю "Дніпропетровськгаз збут",Україна</t>
  </si>
  <si>
    <t>39818952</t>
  </si>
  <si>
    <t>39821153</t>
  </si>
  <si>
    <t>39821420</t>
  </si>
  <si>
    <t>39830000-9 Продукція для чищення</t>
  </si>
  <si>
    <t>39942877</t>
  </si>
  <si>
    <t>39942877,ТОВАРИСТВО З ОБМЕЖЕНОЮ ВІДПОВІДАЛЬНІСТЮ "НАДІЯ СТРОЙ",Україна</t>
  </si>
  <si>
    <t>4</t>
  </si>
  <si>
    <t>4 (4)</t>
  </si>
  <si>
    <t>40</t>
  </si>
  <si>
    <t>40109168</t>
  </si>
  <si>
    <t>40308189</t>
  </si>
  <si>
    <t>40371795</t>
  </si>
  <si>
    <t>4041c</t>
  </si>
  <si>
    <t>4041в</t>
  </si>
  <si>
    <t>4041с</t>
  </si>
  <si>
    <t>40515336</t>
  </si>
  <si>
    <t>40876703</t>
  </si>
  <si>
    <t>41</t>
  </si>
  <si>
    <t>41071167</t>
  </si>
  <si>
    <t>41071167,ТОВ "ВАУ ІВЕНТС",Україна</t>
  </si>
  <si>
    <t>41071167,ТОВ "ВАУ ІВЕНТС",Україна;44427364,ТОВ "ВЕКТОР СЕРВІС КОМПАНІ",Україна</t>
  </si>
  <si>
    <t>41110000-3 Питна вода</t>
  </si>
  <si>
    <t>41226940</t>
  </si>
  <si>
    <t>41416585</t>
  </si>
  <si>
    <t>41416585,ТОВАРИСТВО З ОБМЕЖЕНОЮ ВІДПОВІДАЛЬНІСТЮ "ОМЕГА ТЕРМ",Україна</t>
  </si>
  <si>
    <t>41436140</t>
  </si>
  <si>
    <t>41436140,ТОВ "УКРСТРОЙДНІПРО",Україна;3115201270,ФОП "МАЛЕНЧЕНКО ОЛЕКСІЙ ОЛЕКСІЙОВИЧ",Україна</t>
  </si>
  <si>
    <t>41442510</t>
  </si>
  <si>
    <t>41442510,ТОВ "РЕМРЕФДНІПРО",Україна</t>
  </si>
  <si>
    <t>41449359</t>
  </si>
  <si>
    <t>41864547</t>
  </si>
  <si>
    <t>41864547,ТОВ "БУДІВЕЛЬНА ГРУПА "ТАТРИМ",Україна</t>
  </si>
  <si>
    <t>41864547,ТОВ "БУДІВЕЛЬНА ГРУПА "ТАТРИМ",Україна;31497254,ТОВ "ЛАНДШАФТ",Україна</t>
  </si>
  <si>
    <t>41880181,ТОВАРИСТВО З ОБМЕЖЕНОЮ ВІДПОВІДАЛЬНІСТЮ "ЕКО РЕЦИКЛІНГ ГРУП",Україна;3143213511,ФОП "ОГУРЦОВ ДМИТРО  СЕРГІЙОВИЧ",Україна</t>
  </si>
  <si>
    <t>42</t>
  </si>
  <si>
    <t>42014314</t>
  </si>
  <si>
    <t>42082379</t>
  </si>
  <si>
    <t>42082379,ТОВ "ДНІПРОВСЬКІ ЕНЕРГЕТИЧНІ ПОСЛУГИ",Україна</t>
  </si>
  <si>
    <t>42082379,ТОВ "ДНІПРОВСЬКІ ЕНЕРГЕТИЧНІ ПОСЛУГИ",Україна;39572642,Товариство з обмеженою відповідальністю "Дніпропетровськгаз збут",Україна;37856467,ТОВАРИСТВО З ОБМЕЖЕНОЮ ВІДПОВІДАЛЬНІСТЮ "ЕНЕРГЕТИЧНЕ ПАРТНЕРСТВО",Україна</t>
  </si>
  <si>
    <t>42082379,ТОВАРИСТВО З ОБМЕЖЕНОЮ ВІДПОВІДАЛЬНІСТЮ "ДНІПРОВСЬКІ ЕНЕРГЕТИЧНІ ПОСЛУГИ",Україна</t>
  </si>
  <si>
    <t>42092455</t>
  </si>
  <si>
    <t>42092455,ТОВ "САНЛАЙФ ХОЛД",Україна</t>
  </si>
  <si>
    <t>42120000-6 Насоси та компресори</t>
  </si>
  <si>
    <t>42156652,ТОВ "ТК ГЕРМЕС ТРЕЙД",Україна</t>
  </si>
  <si>
    <t>42156652,ТОВ "ТК ГЕРМЕС ТРЕЙД",Україна;13418758,НАУКОВО-ВИРОБНИЧЕ ТОВАРИСТВО З ОБМЕЖЕНОЮ ВІДПОВІДАЛЬНІСТЮ "ДИЛ, ЛТД",Україна</t>
  </si>
  <si>
    <t>42215107</t>
  </si>
  <si>
    <t>42215107,ТОВ "АБРИС-БУД",Україна</t>
  </si>
  <si>
    <t>42353652</t>
  </si>
  <si>
    <t>42650000-7 Ручні інструменти пневматичні чи моторизовані</t>
  </si>
  <si>
    <t>42662615,ТОВ "ІНТЕРНА.",Україна;13418847,ТОВ "АП"Агроекспо",Україна</t>
  </si>
  <si>
    <t>42796515</t>
  </si>
  <si>
    <t>42960985</t>
  </si>
  <si>
    <t>43</t>
  </si>
  <si>
    <t>43461158</t>
  </si>
  <si>
    <t>43461158,ТОВ "НЕЙМУС",Україна</t>
  </si>
  <si>
    <t>43483674</t>
  </si>
  <si>
    <t>43483674,ТОВАРИСТВО З ОБМЕЖЕНОЮ ВІДПОВІДАЛЬНІСТЮ "КДМ-СТРОЙ",Україна</t>
  </si>
  <si>
    <t>43581380</t>
  </si>
  <si>
    <t>43581380,ТОВ "ЮНІР ІНЖИНІРИНГ",Україна</t>
  </si>
  <si>
    <t>43735626</t>
  </si>
  <si>
    <t>43735626,ТОВ "НОВОДНІПРО",Україна</t>
  </si>
  <si>
    <t>43938788</t>
  </si>
  <si>
    <t>43983076</t>
  </si>
  <si>
    <t>43983076,ТОВ "БРАНС",Україна;42215107,ТОВ "АБРИС-БУД",Україна</t>
  </si>
  <si>
    <t>44</t>
  </si>
  <si>
    <t>44040901</t>
  </si>
  <si>
    <t>44040901,ТОВ "ІНСТРАД БУД",Україна</t>
  </si>
  <si>
    <t>44040901,ТОВ "ІНСТРАД БУД",Україна;39719069,ПП "БЕРГ 2004",Україна</t>
  </si>
  <si>
    <t>44124043</t>
  </si>
  <si>
    <t>44124043,ТОВ "ТУТУБІКО",Україна</t>
  </si>
  <si>
    <t>44150403,ТОВАРИСТВО З ОБМЕЖЕНОЮ ВІДПОВІДАЛЬНІСТЮ "ЗЕЛЕНА САДИБА РІВНЕ",Україна;34501857,ТОВАРИСТВО З ОБМЕЖЕНОЮ ВІДПОВІДАЛЬНІСТЮ "МЕГАПЛАНТ ",Україна;3450811615,ФОП СИРУНЯН ВАРДГЕС СУРЕНОВИЧ,Україна</t>
  </si>
  <si>
    <t>44221220-3 Протипожежні двері</t>
  </si>
  <si>
    <t>44276580</t>
  </si>
  <si>
    <t>44510000-8 Знаряддя</t>
  </si>
  <si>
    <t>44574166</t>
  </si>
  <si>
    <t>44614867</t>
  </si>
  <si>
    <t>45</t>
  </si>
  <si>
    <t>45000000-7 Будівельні роботи та поточний ремонт</t>
  </si>
  <si>
    <t>45110000-1 Руйнування та знесення будівель і земляні роботи</t>
  </si>
  <si>
    <t>45220000-5 Інженерні та будівельні роботи</t>
  </si>
  <si>
    <t>45230000-8 Будівництво трубопроводів, ліній зв’язку та електропередач, шосе, доріг, аеродромів і залізничних доріг; вирівнювання поверхонь</t>
  </si>
  <si>
    <t>45260000-7 Покрівельні роботи та інші спеціалізовані будівельні роботи</t>
  </si>
  <si>
    <t>45309653</t>
  </si>
  <si>
    <t>45309653,ТОВ "АСТРУМСТРОЙ-ЕКО",Україна</t>
  </si>
  <si>
    <t>45310000-3 Електромонтажні роботи</t>
  </si>
  <si>
    <t>45330000-9 Водопровідні та санітарно-технічні роботи</t>
  </si>
  <si>
    <t>45340000-2 Зведення огорож, монтаж поручнів і захисних засобів</t>
  </si>
  <si>
    <t>45420000-7 Столярні та теслярні роботи</t>
  </si>
  <si>
    <t>45421100-5 Встановлення дверей, вікон і пов’язаних конструкцій</t>
  </si>
  <si>
    <t>45440000-3 Фарбування та скління</t>
  </si>
  <si>
    <t>45450000-6 Інші завершальні будівельні роботи</t>
  </si>
  <si>
    <t>45584619</t>
  </si>
  <si>
    <t>45584619,ТОВ "БРИТБУД",Україна</t>
  </si>
  <si>
    <t>46</t>
  </si>
  <si>
    <t>47</t>
  </si>
  <si>
    <t>4748</t>
  </si>
  <si>
    <t>4751</t>
  </si>
  <si>
    <t>4751/Р</t>
  </si>
  <si>
    <t>48</t>
  </si>
  <si>
    <t>488/43/23/17/203-2023</t>
  </si>
  <si>
    <t>49</t>
  </si>
  <si>
    <t>5</t>
  </si>
  <si>
    <t>5 (0)</t>
  </si>
  <si>
    <t>50</t>
  </si>
  <si>
    <t>50110000-9 Послуги з ремонту і технічного обслуговування мототранспортних засобів і супутнього обладнання</t>
  </si>
  <si>
    <t>50310000-1 Технічне обслуговування і ремонт офісної техніки</t>
  </si>
  <si>
    <t>50410000-2 Послуги з ремонту і технічного обслуговування вимірювальних, випробувальних і контрольних приладів</t>
  </si>
  <si>
    <t>50530000-9 Послуги з ремонту і технічного обслуговування техніки</t>
  </si>
  <si>
    <t>50710000-5 Послуги з ремонту і технічного обслуговування електричного і механічного устаткування будівель</t>
  </si>
  <si>
    <t>50720000-8 Послуги з ремонту і технічного обслуговування систем центрального опалення</t>
  </si>
  <si>
    <t>50730000-1 Послуги з ремонту і технічного обслуговування охолоджувальних установок</t>
  </si>
  <si>
    <t>51</t>
  </si>
  <si>
    <t>52</t>
  </si>
  <si>
    <t>53</t>
  </si>
  <si>
    <t>54</t>
  </si>
  <si>
    <t>55</t>
  </si>
  <si>
    <t>55510000-8 Послуги їдалень</t>
  </si>
  <si>
    <t>56</t>
  </si>
  <si>
    <t>57</t>
  </si>
  <si>
    <t>58</t>
  </si>
  <si>
    <t>59</t>
  </si>
  <si>
    <t>6</t>
  </si>
  <si>
    <t>60</t>
  </si>
  <si>
    <t>60140000-1 Нерегулярні пасажирські перевезення</t>
  </si>
  <si>
    <t>60SB497-1784-21</t>
  </si>
  <si>
    <t>60SB497-344-22</t>
  </si>
  <si>
    <t>61</t>
  </si>
  <si>
    <t>61825/2022</t>
  </si>
  <si>
    <t>61825/2022/1</t>
  </si>
  <si>
    <t>61825/2022/2</t>
  </si>
  <si>
    <t>61825/2023</t>
  </si>
  <si>
    <t>61825/2024</t>
  </si>
  <si>
    <t>62</t>
  </si>
  <si>
    <t>63</t>
  </si>
  <si>
    <t>64</t>
  </si>
  <si>
    <t>64210000-1 Послуги телефонного зв’язку та передачі даних</t>
  </si>
  <si>
    <t>65</t>
  </si>
  <si>
    <t>65110000-7 Розподіл води</t>
  </si>
  <si>
    <t>65310000-9 Розподіл електричної енергії</t>
  </si>
  <si>
    <t>66</t>
  </si>
  <si>
    <t>66510000-8 Страхові послуги</t>
  </si>
  <si>
    <t>67</t>
  </si>
  <si>
    <t>68</t>
  </si>
  <si>
    <t>69</t>
  </si>
  <si>
    <t>69106</t>
  </si>
  <si>
    <t>7</t>
  </si>
  <si>
    <t>70</t>
  </si>
  <si>
    <t>71</t>
  </si>
  <si>
    <t>71240000-2 Архітектурні, інженерні та планувальні послуги</t>
  </si>
  <si>
    <t>71520000-9 Послуги з нагляду за виконанням будівельних робіт</t>
  </si>
  <si>
    <t>71630000-3 Послуги з технічного огляду та випробовувань</t>
  </si>
  <si>
    <t>72</t>
  </si>
  <si>
    <t>72250000-2 Послуги, пов’язані із системами та підтримкою</t>
  </si>
  <si>
    <t>72260000-5 Послуги, пов’язані з програмним забезпеченням</t>
  </si>
  <si>
    <t>72310000-1 Послуги з обробки даних</t>
  </si>
  <si>
    <t>72410000-7 Послуги провайдерів</t>
  </si>
  <si>
    <t>73</t>
  </si>
  <si>
    <t>73/2021</t>
  </si>
  <si>
    <t>74</t>
  </si>
  <si>
    <t>75</t>
  </si>
  <si>
    <t>75250000-3 Послуги пожежних і рятувальних служб</t>
  </si>
  <si>
    <t>76</t>
  </si>
  <si>
    <t>77</t>
  </si>
  <si>
    <t>77/22</t>
  </si>
  <si>
    <t>77210000-5 Лісозаготівельні послуги</t>
  </si>
  <si>
    <t>77310000-6 Послуги з озеленення територій та утримання зелених насаджень</t>
  </si>
  <si>
    <t>77340000-5 Підрізання дерев і живих огорож</t>
  </si>
  <si>
    <t>78</t>
  </si>
  <si>
    <t>79</t>
  </si>
  <si>
    <t>79340000-9 Рекламні та маркетингові послуги</t>
  </si>
  <si>
    <t>79710000-4 Охоронні послуги</t>
  </si>
  <si>
    <t>8</t>
  </si>
  <si>
    <t>80</t>
  </si>
  <si>
    <t>80510000-2 Послуги з професійної підготовки спеціалістів</t>
  </si>
  <si>
    <t>81</t>
  </si>
  <si>
    <t>82</t>
  </si>
  <si>
    <t>82/17/03-2024</t>
  </si>
  <si>
    <t>83</t>
  </si>
  <si>
    <t>84</t>
  </si>
  <si>
    <t>85</t>
  </si>
  <si>
    <t>86</t>
  </si>
  <si>
    <t>86470</t>
  </si>
  <si>
    <t>87</t>
  </si>
  <si>
    <t>88</t>
  </si>
  <si>
    <t>89</t>
  </si>
  <si>
    <t>9</t>
  </si>
  <si>
    <t>90</t>
  </si>
  <si>
    <t>90430000-0 Послуги з відведення стічних вод</t>
  </si>
  <si>
    <t>90510000-5 Утилізація/видалення сміття та поводження зі сміттям</t>
  </si>
  <si>
    <t>90610000-6 Послуги з прибирання та підмітання вулиць</t>
  </si>
  <si>
    <t>90620000-9 Послуги з прибирання снігу</t>
  </si>
  <si>
    <t>9089</t>
  </si>
  <si>
    <t>91</t>
  </si>
  <si>
    <t>92</t>
  </si>
  <si>
    <t>9204</t>
  </si>
  <si>
    <t>93</t>
  </si>
  <si>
    <t>94</t>
  </si>
  <si>
    <t>9452</t>
  </si>
  <si>
    <t>95</t>
  </si>
  <si>
    <t>95/17/03-2022</t>
  </si>
  <si>
    <t>96</t>
  </si>
  <si>
    <t>97</t>
  </si>
  <si>
    <t>98</t>
  </si>
  <si>
    <t>9833</t>
  </si>
  <si>
    <t>99</t>
  </si>
  <si>
    <t>Alina.Olhovikova@dpgaszbut.104.ua</t>
  </si>
  <si>
    <t>MEIS-2984</t>
  </si>
  <si>
    <t>MEIS-3446</t>
  </si>
  <si>
    <t>MEIS-3874</t>
  </si>
  <si>
    <t>OMEGATHERM@I.UA</t>
  </si>
  <si>
    <t>ROGOJA2018@UKR.NET</t>
  </si>
  <si>
    <t>SCHERBINA_OLYA@MAIL.RU</t>
  </si>
  <si>
    <t>TENDERS@MEGAPLANT.UA</t>
  </si>
  <si>
    <t>Tehnolift@i.ua</t>
  </si>
  <si>
    <t>UAH</t>
  </si>
  <si>
    <t>agroekspo@mail.ua</t>
  </si>
  <si>
    <t>akkbs9842@gmail.com</t>
  </si>
  <si>
    <t>alekseyonischenko1978@gmail.com</t>
  </si>
  <si>
    <t>arturdomanov@ukr.net</t>
  </si>
  <si>
    <t>astrumlogistic@gmail.com</t>
  </si>
  <si>
    <t>astrumstroy.eko2023@gmail.com</t>
  </si>
  <si>
    <t>astrumstroy@gmail.com</t>
  </si>
  <si>
    <t>bgtatrim.ltd@gmail.com</t>
  </si>
  <si>
    <t>boe@ak.ua</t>
  </si>
  <si>
    <t>brans2020biz@gmail.com</t>
  </si>
  <si>
    <t>britikovb@gmail.com</t>
  </si>
  <si>
    <t>budabris2018@gmail.com</t>
  </si>
  <si>
    <t>buduvanns@gmail.com</t>
  </si>
  <si>
    <t>danya712@ukr.net</t>
  </si>
  <si>
    <t>fopsafonovainna@gmail.com</t>
  </si>
  <si>
    <t>i.a.sedykh@gmail.com</t>
  </si>
  <si>
    <t>instradbuild@gmail.com</t>
  </si>
  <si>
    <t>kdm-stroy@ukr.net</t>
  </si>
  <si>
    <t>kuznetsovaov@yasno.com.ua</t>
  </si>
  <si>
    <t>nikonbilkur@gmail.com</t>
  </si>
  <si>
    <t>o-ggg@ukr.net</t>
  </si>
  <si>
    <t>ogurtsovds@gmail.com</t>
  </si>
  <si>
    <t>paramonovaov@yasno.com.ua</t>
  </si>
  <si>
    <t>remrefdnipro@gmail.com</t>
  </si>
  <si>
    <t>report-feedback@zakupivli.pro</t>
  </si>
  <si>
    <t>rynoksevernyj7@gmail.com</t>
  </si>
  <si>
    <t>stremoukhoa@yasno.com.ua</t>
  </si>
  <si>
    <t>tcachovaog@gmail.com</t>
  </si>
  <si>
    <t>tytybiko2021@gmail.com</t>
  </si>
  <si>
    <t>ukrstroydnipro@gmail.com</t>
  </si>
  <si>
    <t>v.dinevich@gmail.com</t>
  </si>
  <si>
    <t>vauivents@gmail.com</t>
  </si>
  <si>
    <t>veraantonovafop@gmail.com</t>
  </si>
  <si>
    <t>yarikhaidai@icloud.com</t>
  </si>
  <si>
    <t>ЄГОРОВА КАТЕРИНА СЕРГІЇВНА</t>
  </si>
  <si>
    <t>ЄДРПОУ організатора</t>
  </si>
  <si>
    <t>ЄДРПОУ переможця</t>
  </si>
  <si>
    <t>ЄФІМОВ ОЛЕКСАНДР СЕРГІЙОВИЧ</t>
  </si>
  <si>
    <t>Ідентифікатор закупівлі</t>
  </si>
  <si>
    <t>Ідентифікатор лота</t>
  </si>
  <si>
    <t>Інформаційно-консультативні послуги з супроводження ПЗ "M.E.Doc"</t>
  </si>
  <si>
    <t>Інформаційно-консультативні послуги з супроводження ПЗ M.Doc-Облік ПДВ</t>
  </si>
  <si>
    <t>Інформаційно-консультативні послуги з супроводження ПЗ «Звітність»</t>
  </si>
  <si>
    <t>Інформаційні послуги</t>
  </si>
  <si>
    <t>АДМІНІСТРАЦІЯ АМУР-НИЖНЬОДНІПРОВСЬКОГО РАЙОНУ ДНІПРОВСЬКОЇ МІСЬКОЇ РАДИ</t>
  </si>
  <si>
    <t>АКЦІОНЕРНЕ ТОВАРИСТВО "ДТЕК ДНІПРОВСЬКІ ЕЛЕКТРОМЕРЕЖІ"</t>
  </si>
  <si>
    <t>АКЦІОНЕРНЕ ТОВАРИСТВО "УКРТЕЛЕКОМ"</t>
  </si>
  <si>
    <t>АПС-0580-Д</t>
  </si>
  <si>
    <t>АПС-0614-Д</t>
  </si>
  <si>
    <t>АТЛ-0121-Д</t>
  </si>
  <si>
    <t>АТЛ-0221-Д</t>
  </si>
  <si>
    <t>АТЛ-0321-Д</t>
  </si>
  <si>
    <t>Автозапчастини</t>
  </si>
  <si>
    <t>Автозапчастини та матеріали для ремонту автомобільного транспорту</t>
  </si>
  <si>
    <t>Автоочищувач скла (зима) Luksusowy (-25) 5 л.</t>
  </si>
  <si>
    <t>Автошина 175/70 R13 82T Premiorri (Україна)</t>
  </si>
  <si>
    <t>Автошина 175/70 R13 STARMAXX Tolero  ST330 82T Турція</t>
  </si>
  <si>
    <t>Автошина 195/55R15 Premiorri ViaMaggiore ( з установкою)</t>
  </si>
  <si>
    <t>Автошини з установкою</t>
  </si>
  <si>
    <t>БІЛАН ПАВЛО ОЛЕКСАНДРОВИЧ</t>
  </si>
  <si>
    <t>Бедрій Роман Олександрович</t>
  </si>
  <si>
    <t>Бензин А-92 Energy (скретч-картки); Бензин А-95 (скретч-картки)</t>
  </si>
  <si>
    <t>Бензин А-95</t>
  </si>
  <si>
    <t>Бензин А-95 (скретч-картки)</t>
  </si>
  <si>
    <t>Бензин А-95 (скретч-картки); Бензин А-95 Energy (скретч-картки)</t>
  </si>
  <si>
    <t>Бензин А-95, Бензин А-95 Energy</t>
  </si>
  <si>
    <t>Боброва Карина Юріївна</t>
  </si>
  <si>
    <t>В електронній системі закупівель оприлюднено звернення щодо технічних вимог оголошення про проведення закупівлі. Згідно абз. 3 п. 7 ст. 14 Закону замовник протягом одного робочого дня з дня їх оприлюднення зобов’язаний надати роз’яснення на звернення учасників спрощеної закупівлі, які оприлюднюються в електронній системі закупівель. З 03.12.2021 00 год. 00 хв.  оголошення про закупівлю набуло статусу «Прийом пропозицій», що унеможливлює надання замовником відповідей на звернення.</t>
  </si>
  <si>
    <t>ВДОВІЧЕНКО ДАР'Я ОЛЕКСІЇВНА</t>
  </si>
  <si>
    <t>Валюта</t>
  </si>
  <si>
    <t>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 згідно з поадресним переліком</t>
  </si>
  <si>
    <t>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пров. Кожем'яки, буд. 12а; 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Кожем'яки, буд. 58; 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Кожем'яки, буд. 69; 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Кожем'яки, буд. 75; 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Кожем'яки, буд. 77; 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пров. Динника, буд. 78; 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Івана Пулюя, буд. 20; Виконання заходів з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Івана Пулюя, буд. 28</t>
  </si>
  <si>
    <t>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 згідно з поадресним переліком</t>
  </si>
  <si>
    <t>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Кожем’яки, буд. 60; 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Кожем’яки, буд. 62; 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Кожем’яки, буд.56; 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Кожем’яки, буд.66; 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Дніпро, вул. Кожем’яки, буд.71; 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 пров. Динника, буд.4; Виконання попереднього технічного обстеження пошкоджених внаслідок збройної агресії російської федерації будівель і споруд на території Амур-Нижньодніпровського району м. Дніпр пров. Динника, буд.1</t>
  </si>
  <si>
    <t>Висновком комісії стосовно витрачання коштів бюджету Дніпровської міської територіальної громади, передбачених на фінансування Програми сприяння розвитку територій м. Дніпра на 2021 – 2025 роки від 09.11.2021 № 1200 «Про визнання недійсним висновку» визнано недійсним висновок комісії від 23.09.2021№ 797 «Про виділення коштів з бюджету Дніпровської міської територіальної громади, передбачених на фінансування Програми сприяння розвитку територій м. Дніпра на 2021 – 2025 роки»</t>
  </si>
  <si>
    <t>Влаштування тротуарного покриття від буд. 24 по вул. Калинова до буд. 18 по вул. Решетилівська</t>
  </si>
  <si>
    <t>Вогнегасник ВП-5</t>
  </si>
  <si>
    <t>Вода "Утренняя роса" негзована 6 л</t>
  </si>
  <si>
    <t xml:space="preserve">Вода питна (негазовага) </t>
  </si>
  <si>
    <t>Всього вимог (без рішення)</t>
  </si>
  <si>
    <t>Всього запитань (без відповіді)</t>
  </si>
  <si>
    <t>Всього скарг (без рішення)</t>
  </si>
  <si>
    <t>Всі учасники закупки</t>
  </si>
  <si>
    <t>Відкриті торги</t>
  </si>
  <si>
    <t>Відкриті торги з особливостями</t>
  </si>
  <si>
    <t>Відсутнє</t>
  </si>
  <si>
    <t>Відсутність Додатку № 2 до оголошення «Форма цінової пропозиції» в оголошенні про проведення спрощеної закупівлі послуг через систему електронних закупівель</t>
  </si>
  <si>
    <t>ГАЙДАЙ ЯРОСЛАВ ВАДИМОВИЧ</t>
  </si>
  <si>
    <t>ГРЕК КОСТЯНТИН ІВАНОВИЧ</t>
  </si>
  <si>
    <t>ГРИЩЕНКО АНТОН ГЕННАДІЙОВИЧ</t>
  </si>
  <si>
    <t xml:space="preserve">Ганчірки для миття полу  50 х 60 см.
; Ганчірки для витирання пилу 5 шт. в упаковці
</t>
  </si>
  <si>
    <t>ДОМАНОВ АРТУР ОЛЕГОВИЧ</t>
  </si>
  <si>
    <t>ДОЧІРНЄ ПІДПРИЄМСТВО "ПОЖЕЖНА СИГНАЛІЗАЦІЯ"</t>
  </si>
  <si>
    <t>ДПР39</t>
  </si>
  <si>
    <t>Дата аукціону</t>
  </si>
  <si>
    <t>Дата закінчення процедури</t>
  </si>
  <si>
    <t>Дата публікації закупівлі</t>
  </si>
  <si>
    <t>Дата публікації повідомлення про намір укласти договір</t>
  </si>
  <si>
    <t>Дата підписання договору:</t>
  </si>
  <si>
    <t>Дата уточнення до:</t>
  </si>
  <si>
    <t>Дата уточнення з:</t>
  </si>
  <si>
    <t>Двері металеві протипожежні ЕІ-30 однопільні (1900-950) з установкою; Двері металеві протипожежні ЕІ-30 однопільні (2010-950) з установкою</t>
  </si>
  <si>
    <t>Державна та протокольна атрибутика: Прапор України</t>
  </si>
  <si>
    <t>Джерело безперебійного живлення 600/800/1000ВА</t>
  </si>
  <si>
    <t>Дизпаливо Energy</t>
  </si>
  <si>
    <t>Дизпаливо Energy (скретч-картки)</t>
  </si>
  <si>
    <t xml:space="preserve">Диск для тримера 255х25.4 mm 40 TCT Light Зенит ; Тример бензиновий Tekhmann BCG-2215 ; Шпулька для бензотримера </t>
  </si>
  <si>
    <t>Договір діє до:</t>
  </si>
  <si>
    <t>Договір діє з:</t>
  </si>
  <si>
    <t>Електрична енергія</t>
  </si>
  <si>
    <t>Електрична енергія :Електрична енергія</t>
  </si>
  <si>
    <t>Електрична енергія з урахуванням послуг з передачі та розподілу</t>
  </si>
  <si>
    <t>Електрична енергія з урахуванням послуг з передачі та розподілу:Електрична енергія з урахуванням послуг з передачі та розподілу</t>
  </si>
  <si>
    <t>Електрична енергія з урахуванням розподілу</t>
  </si>
  <si>
    <t>Електронна пошта переможця тендеру</t>
  </si>
  <si>
    <t>З ПДВ</t>
  </si>
  <si>
    <t>Завершити закупівлю</t>
  </si>
  <si>
    <t>Закупівля без використання електронної системи</t>
  </si>
  <si>
    <t>Заміна АКБ</t>
  </si>
  <si>
    <t>Заправка картриджів; Відновлення картриджів</t>
  </si>
  <si>
    <t xml:space="preserve">Запчастини та матеріали для ремонту автомобільного транспорту </t>
  </si>
  <si>
    <t>Запчастини та матеріали для ремонту автомобільного транспорту (автошини)</t>
  </si>
  <si>
    <t>Засоби пожежогасіння (вогнегасники ВП-5)</t>
  </si>
  <si>
    <t>Засоби пожежогасіння для облаштування найпростішого укриття</t>
  </si>
  <si>
    <t>Засіб КЗІ електрон. ключ "Secure Token-338M"</t>
  </si>
  <si>
    <t>Захищені носії особистих ключів</t>
  </si>
  <si>
    <t>Заходи (зокрема ремонтні роботи) з усунення аварій в житловому фонді  (Послуги з поточного ремонту вимощення біля під’їздів № 1 та № 2 житлового будинку № 6 по вул. Зиновія Матли, м. Дніпро)</t>
  </si>
  <si>
    <t>Заходи (зокрема ремонтні роботи) з усунення аварій в житловому фонді  (Послуги з поточного ремонту вимощення біля під’їздів № 11 та № 12 житлового будинку № 29 по вул. Степана Рудницького, м. Дніпро)</t>
  </si>
  <si>
    <t>Заходи (зокрема ремонтні роботи) з усунення аварій в житловому фонді  (Послуги з поточного ремонту вимощення біля під’їздів № 11 та № 12 житлового будинку № 29 по вул. Степана Рудницького, м. Дніпро):Заходи (зокрема ремонтні роботи) з усунення аварій в житловому фонді  (Послуги з поточного ремонту вимощення біля під’їздів № 11 та № 12 житлового будинку № 29 по вул. Степана Рудницького,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</si>
  <si>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Зиновія Матли, буд. 8,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</si>
  <si>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65,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</si>
  <si>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65, м. Дніпро):Заходи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65,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</si>
  <si>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75,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</si>
  <si>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75, м. Дніпро):Заходи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75,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</si>
  <si>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76,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</si>
  <si>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76, м. Дніпро):Заходи (зокрема ремонтні роботи) з усунення аварій в житловому фонді  (Послуги з поточного ремонту вимощення житлового будинку за адресою: вул. Калинова, буд. 76,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</si>
  <si>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Обоянська, буд. 2,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</si>
  <si>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вул. Обоянська, буд. 2, м. Дніпро):Заходи (зокрема ремонтні роботи) з усунення аварій в житловому фонді  (Послуги з поточного ремонту вимощення житлового будинку за адресою: вул. Обоянська, буд. 2,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</si>
  <si>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просп. Мануйлівський, буд. 75, м. Дніпро)</t>
  </si>
  <si>
    <t>Заходи (зокрема ремонтні роботи) з усунення аварій в житловому фонді  (Послуги з поточного ремонту вимощення житлового будинку за адресою: просп. Мануйлівський, буд. 75, м. Дніпро):Заходи (зокрема ремонтні роботи) з усунення аварій в житловому фонді  (Послуги з поточного ремонту вимощення житлового будинку за адресою: просп. Мануйлівський, буд. 75, м. Дніпро)</t>
  </si>
  <si>
    <t>Заходи (зокрема ремонтні роботи) з усунення аварій в житловому фонді  (Послуги з поточного ремонту вхідної групи та ганку житлового будинку за адресою: вул. Котляревського, буд. 7а, м. Дніпро)</t>
  </si>
  <si>
    <t>Заходи (зокрема ремонтні роботи) з усунення аварій в житловому фонді  (Послуги з поточного ремонту вхідної групи та ганку житлового будинку за адресою: вул. Котляревського, буд. 7а, м. Дніпро):Заходи (зокрема ремонтні роботи) з усунення аварій в житловому фонді  (Послуги з поточного ремонту вхідної групи та ганку житлового будинку за адресою: вул. Котляревського, буд. 7а, м. Дніпро)</t>
  </si>
  <si>
    <t>Заходи (зокрема ремонтні роботи) з усунення аварій в житловому фонді  (Послуги з поточного ремонту електромереж у житловому будинку № 12 по вул. Бєляєва, м. Дніпро)</t>
  </si>
  <si>
    <t>Заходи (зокрема ремонтні роботи) з усунення аварій в житловому фонді  (Послуги з поточного ремонту електромереж у першому під’їзді житлового будинку № 82 по вул. Любарського,   м. Дніпро)</t>
  </si>
  <si>
    <t>Заходи (зокрема ремонтні роботи) з усунення аварій в житловому фонді  (Послуги з поточного ремонту електромереж у під’їздах № 7 та № 8 житлового будинку № 15 по Донецькому шосе, м. Дніпро)</t>
  </si>
  <si>
    <t>Заходи (зокрема ремонтні роботи) з усунення аварій в житловому фонді  (Послуги з поточного ремонту електромереж у під’їздах № 7 та № 8 житлового будинку № 15 по Донецькому шосе, м. Дніпро):Заходи (зокрема ремонтні роботи) з усунення аварій в житловому фонді  (Послуги з поточного ремонту електромереж у під’їздах № 7 та № 8 житлового будинку № 15 по Донецькому шосе, м. Дніпро)</t>
  </si>
  <si>
    <t>Заходи (зокрема ремонтні роботи) з усунення аварій в житловому фонді  (Послуги з поточного ремонту міжпанельних швів  під’їздів №1-4 житлового будинку № 19 по вул. Степана Рудницького, м. Дніпро)</t>
  </si>
  <si>
    <t>Заходи (зокрема ремонтні роботи) з усунення аварій в житловому фонді  (Послуги з поточного ремонту міжпанельних швів  під’їздів №1-4 житлового будинку № 19 по вул. Степана Рудницького, м. Дніпро):Заходи (зокрема ремонтні роботи) з усунення аварій в житловому фонді  (Послуги з поточного ремонту міжпанельних швів  під’їздів №1-4 житлового будинку № 19 по вул. Степана Рудницького, м. Дніпро)</t>
  </si>
  <si>
    <t>Заходи (зокрема ремонтні роботи) з усунення аварій в житловому фонді  (Послуги з поточного ремонту міжпанельних швів  під’їздів №1-4 житлового будинку № 7 по Донецькому шосе,м. Дніпро)</t>
  </si>
  <si>
    <t>Заходи (зокрема ремонтні роботи) з усунення аварій в житловому фонді  (Послуги з поточного ремонту міжпанельних швів  під’їздів №1-4 житлового будинку № 7 по Донецькому шосе,м. Дніпро):Заходи (зокрема ремонтні роботи) з усунення аварій в житловому фонді  (Послуги з поточного ремонту міжпанельних швів  під’їздів №1-4 житлового будинку № 7 по Донецькому шосе,м. Дніпро)</t>
  </si>
  <si>
    <t>Заходи (зокрема ремонтні роботи) з усунення аварій в житловому фонді  (Послуги з поточного ремонту міжпанельних швів  у житловому будинку № 73 по просп. Слобожанський, м. Дніпро)</t>
  </si>
  <si>
    <t>Заходи (зокрема ремонтні роботи) з усунення аварій в житловому фонді  (Послуги з поточного ремонту міжпанельних швів  у житловому будинку № 73 по просп. Слобожанський, м. Дніпро):Заходи (зокрема ремонтні роботи) з усунення аварій в житловому фонді  (Послуги з поточного ремонту міжпанельних швів  у житловому будинку № 73 по просп. Слобожанський, м. Дніпро)</t>
  </si>
  <si>
    <t>Заходи (зокрема ремонтні роботи) з усунення аварій в житловому фонді  (Послуги з поточного ремонту міжпанельних швів в житловому будинку № 14 по вул. Зиновія Матли, м. Дніпро)</t>
  </si>
  <si>
    <t xml:space="preserve">Заходи (зокрема ремонтні роботи) з усунення аварій в житловому фонді  (Послуги з поточного ремонту міжпанельних швів в житловому будинку № 14 по вул. Зиновія Матли, м. Дніпро)
</t>
  </si>
  <si>
    <t xml:space="preserve">Заходи (зокрема ремонтні роботи) з усунення аварій в житловому фонді  (Послуги з поточного ремонту міжпанельних швів в житловому будинку № 14 по вул. Зиновія Матли, м. Дніпро)
:Заходи (зокрема ремонтні роботи) з усунення аварій в житловому фонді  (Послуги з поточного ремонту міжпанельних швів в житловому будинку № 14 по вул. Зиновія Матли, м. Дніпро)
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</si>
  <si>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вул. Детальбудівська, буд. 2, м. Дніпро)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</si>
  <si>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вул. Детальбудівська, буд. 2, м. Дніпро):Заходи (зокрема ремонтні роботи) з усунення аварій в житловому фонді  (Послуги з поточного ремонту покрівлі житлового будинку за адресою: вул. Детальбудівська, буд. 2, м. Дніпро)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</si>
  <si>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вул. Детальбудівська, буд. 8, м. Дніпро)</t>
  </si>
  <si>
    <t xml:space="preserve">Заходи (зокрема ремонтні роботи) з усунення аварій в житловому фонді  (Послуги з поточного ремонту покрівлі житлового будинку за адресою: вул. Детальбудівська, буд. 8, м. Дніпро):Заходи (зокрема ремонтні роботи) з усунення аварій в житловому фонді  (Послуги з поточного ремонту покрівлі житлового будинку за адресою: вул. Детальбудівська, буд. 8, м. Дніпро)
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</si>
  <si>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вул. Сонячна Набережна, буд. 36, м. Дніпро)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</si>
  <si>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вул. Сонячна Набережна, буд. 36, м. Дніпро):Заходи (зокрема ремонтні роботи) з усунення аварій в житловому фонді  (Послуги з поточного ремонту покрівлі житлового будинку за адресою: вул. Сонячна Набережна, буд. 36, м. Дніпро)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</si>
  <si>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вул. Ю. Залюбовської, буд. 28, під’їзд № 1,№ 2, № 3, м. Дніпро)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</si>
  <si>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вул. Ю. Залюбовської, буд. 28, під’їзд № 1,№ 2, № 3, м. Дніпро):Заходи (зокрема ремонтні роботи) з усунення аварій в житловому фонді  (Послуги з поточного ремонту покрівлі житлового будинку за адресою: вул. Ю. Залюбовської, буд. 28, під’їзд № 1,№ 2, № 3, м. Дніпро)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</si>
  <si>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пров. Крушельницької, буд. 8, під’їзд № 1, № 2, м. Дніпро)</t>
  </si>
  <si>
    <t>Заходи (зокрема ремонтні роботи) з усунення аварій в житловому фонді  (Послуги з поточного ремонту покрівлі житлового будинку за адресою: пров. Крушельницької, буд. 8, під’їзд № 1, № 2, м. Дніпро):Заходи (зокрема ремонтні роботи) з усунення аварій в житловому фонді  (Послуги з поточного ремонту покрівлі житлового будинку за адресою: пров. Крушельницької, буд. 8, під’їзд № 1, № 2, м. Дніпро)</t>
  </si>
  <si>
    <t>Заходи (зокрема ремонтні роботи) з усунення аварій в житловому фонді  (Послуги з поточного ремонту піддашків на входах у під’їзди житлового будинку за адресою: пров. Василівський, буд. 2, м. Дніпро)</t>
  </si>
  <si>
    <t>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12, м. Дніпро)</t>
  </si>
  <si>
    <t>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12, м. Дніпро):Заходи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12, м. Дніпро)</t>
  </si>
  <si>
    <t>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16, м. Дніпро)</t>
  </si>
  <si>
    <t>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16, м. Дніпро):Заходи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16, м. Дніпро)</t>
  </si>
  <si>
    <t>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20, м. Дніпро)</t>
  </si>
  <si>
    <t>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20, м. Дніпро):Заходи (зокрема ремонтні роботи) з усунення аварій в житловому фонді  (Послуги з поточного ремонту системи опалення житлового будинку за адресою: пров. Любарського, буд. 20, м. Дніпро)</t>
  </si>
  <si>
    <t>Заходи (зокрема ремонтні роботи) з усунення аварій в житловому фонді  (Послуги з поточного ремонту системи холодного водопостачання житлового будинку за адресою: вул. Сонячна Набережна, буд. 20, м. Дніпро)</t>
  </si>
  <si>
    <t>Заходи (зокрема ремонтні роботи) з усунення аварій в житловому фонді  (Послуги з технічного нагляду за наданням послуг з поточного ремонту ліфтового обладнання в житловому будинку, розташованому за адресою: вул. Калинова, 61, під’їзд 1, 3, м. Дніпро)</t>
  </si>
  <si>
    <t>Заходи (зокрема ремонтні роботи) з усунення аварій в житловому фонді  (Послуги з технічного нагляду за наданням послуг з поточного ремонту ліфтового обладнання в житловому будинку, розташованому за адресою: вул. Калинова, 83, корпус 2, під’їзд 1, корпус 3, під’їзд 1,  м. Дніпро)</t>
  </si>
  <si>
    <t>Заходи (зокрема ремонтні роботи) з усунення аварій в житловому фонді  (Послуги з технічного нагляду за наданням послуг з поточного ремонту ліфтового обладнання в житловому будинку, розташованому за адресою: вул. Котляревського, 7, під’їзд 2, 3, м. Дніпро)</t>
  </si>
  <si>
    <t>Заходи (зокрема ремонтні роботи) з усунення аварій в житловому фонді  (послуги з технічного консультування та складання дефектних актів на проведення поточних ремонтів ліфтового обладнання в житлових будинках Амур-Нижньодніпровського району м. Дніпра)</t>
  </si>
  <si>
    <t>Заходи (зокрема ремонтні роботи) з усунення аварій в житловому фонді ( Послуги з технічного нагляду за наданням послуг з поточного ремонту міжпанельних швів у житловому будинку № 22 по вул. Бєляєва, м. Дніпро)</t>
  </si>
  <si>
    <t>Заходи (зокрема ремонтні роботи) з усунення аварій в житловому фонді (Послуги з поточного ремонту вентиляційних каналів на даху житлового будинку за адресою: вул. Софії Ковалевської, буд. 49, м. Дніпро).</t>
  </si>
  <si>
    <t xml:space="preserve">Заходи (зокрема ремонтні роботи) з усунення аварій в житловому фонді (Послуги з поточного ремонту вентиляційних каналів на даху житлового будинку за адресою: вул. Софії Ковалевської, буд. 49, м. Дніпро).
</t>
  </si>
  <si>
    <t xml:space="preserve">Заходи (зокрема ремонтні роботи) з усунення аварій в житловому фонді (Послуги з поточного ремонту вимощення житлового будинку за адресою: вул. Артеківська, буд. 14, м. Дніпро)
</t>
  </si>
  <si>
    <t xml:space="preserve">Заходи (зокрема ремонтні роботи) з усунення аварій в житловому фонді (Послуги з поточного ремонту вимощення житлового будинку за адресою: вул. Артеківська, буд. 14, м. Дніпро)
:Заходи (зокрема ремонтні роботи) з усунення аварій в житловому фонді (Послуги з поточного ремонту вимощення житлового будинку за адресою: вул. Артеківська, буд. 14, м. Дніпро)
</t>
  </si>
  <si>
    <t>Заходи (зокрема ремонтні роботи) з усунення аварій в житловому фонді (Послуги з поточного ремонту вимощення житлового будинку за адресою: вул. Кожем'яки, буд. 1, м. Дніпро).</t>
  </si>
  <si>
    <t>Заходи (зокрема ремонтні роботи) з усунення аварій в житловому фонді (Послуги з поточного ремонту вимощення житлового будинку за адресою: вул. Кожем'яки, буд. 1, м. Дніпро).
:Заходи (зокрема ремонтні роботи) з усунення аварій в житловому фонді (Послуги з поточного ремонту вимощення житлового будинку за адресою: вул. Кожем'яки, буд. 1, м. Дніпро).</t>
  </si>
  <si>
    <t>Заходи (зокрема ремонтні роботи) з усунення аварій в житловому фонді (Послуги з поточного ремонту вимощення житлового будинку за адресою: просп. Слобожанський, буд. 77, м. Дніпро)</t>
  </si>
  <si>
    <t>Заходи (зокрема ремонтні роботи) з усунення аварій в житловому фонді (Послуги з поточного ремонту вимощення житлового будинку за адресою: просп. Слобожанський, буд. 77, м. Дніпро)
:Заходи (зокрема ремонтні роботи) з усунення аварій в житловому фонді (Послуги з поточного ремонту вимощення житлового будинку за адресою: просп. Слобожанський, буд. 77, м. Дніпро)</t>
  </si>
  <si>
    <t>Заходи (зокрема ремонтні роботи) з усунення аварій в житловому фонді (Послуги з поточного ремонту вимощення та світлових приямків житлового будинку за адресою: вул. Радистів, 10, м. Дніпро)</t>
  </si>
  <si>
    <t xml:space="preserve">Заходи (зокрема ремонтні роботи) з усунення аварій в житловому фонді (Послуги з поточного ремонту вимощення та світлових приямків житлового будинку за адресою: вул. Радистів, 10, м. Дніпро) :Заходи (зокрема ремонтні роботи) з усунення аварій в житловому фонді (Послуги з поточного ремонту вимощення та світлових приямків житлового будинку за адресою: вул. Радистів, 10, м. Дніпро) </t>
  </si>
  <si>
    <t xml:space="preserve">Заходи (зокрема ремонтні роботи) з усунення аварій в житловому фонді (Послуги з поточного ремонту внутрішньої мережі електроживлення насосної станції (два насоси, які підвищують тиск холодної води) у підвальному приміщенні під'їзду №4 будинку №8 по просп. Мануйлівський, м. Дніпро) </t>
  </si>
  <si>
    <t xml:space="preserve">Заходи (зокрема ремонтні роботи) з усунення аварій в житловому фонді (Послуги з поточного ремонту внутрішньої мережі електроживлення насосної станції (два насоси, які підвищують тиск холодної води) у підвальному приміщенні під'їзду №4 будинку №8 по просп. Мануйлівський, м. Дніпро) :Заходи (зокрема ремонтні роботи) з усунення аварій в житловому фонді (Послуги з поточного ремонту внутрішньої мережі електроживлення насосної станції (два насоси, які підвищують тиск холодної води) у підвальному приміщенні під'їзду №4 будинку №8 по просп. Мануйлівський, м. Дніпро) </t>
  </si>
  <si>
    <t xml:space="preserve">Заходи (зокрема ремонтні роботи) з усунення аварій в житловому фонді (Послуги з поточного ремонту внутрішньої мережі холодного водопостачання у підвальному приміщенні житлового будинку за адресою: вул. Радистів, 10, м. Дніпро) </t>
  </si>
  <si>
    <t xml:space="preserve">Заходи (зокрема ремонтні роботи) з усунення аварій в житловому фонді (Послуги з поточного ремонту внутрішньої мережі холодного водопостачання у підвальному приміщенні житлового будинку за адресою: вул. Радистів, 10, м. Дніпро) :Заходи (зокрема ремонтні роботи) з усунення аварій в житловому фонді (Послуги з поточного ремонту внутрішньої мережі холодного водопостачання у підвальному приміщенні житлового будинку за адресою: вул. Радистів, 10, м. Дніпро) </t>
  </si>
  <si>
    <t>Заходи (зокрема ремонтні роботи) з усунення аварій в житловому фонді (Послуги з поточного ремонту вікон із заміною на металопластикові у житловому будинку № 6 Б по вул. Полонської-Василенко, м. Дніпро).</t>
  </si>
  <si>
    <t>Заходи (зокрема ремонтні роботи) з усунення аварій в житловому фонді (Послуги з поточного ремонту вікон із заміною на металопластикові у житловому будинку № 6 Б по вул. Полонської-Василенко, м. Дніпро).
:Заходи (зокрема ремонтні роботи) з усунення аварій в житловому фонді (Послуги з поточного ремонту вікон із заміною на металопластикові у житловому будинку № 6 Б по вул. Полонської-Василенко, м. Дніпро).</t>
  </si>
  <si>
    <t>Заходи (зокрема ремонтні роботи) з усунення аварій в житловому фонді (Послуги з поточного ремонту вікон із заміною на металопластикові у машинних приміщеннях ліфтів житлового будинку № 77 по просп. Мануйлівський, м. Дніпро).</t>
  </si>
  <si>
    <t>Заходи (зокрема ремонтні роботи) з усунення аварій в житловому фонді (Послуги з поточного ремонту вікон із заміною на металопластикові у машинних приміщеннях ліфтів житлового будинку № 77 по просп. Мануйлівський, м. Дніпро).
:Заходи (зокрема ремонтні роботи) з усунення аварій в житловому фонді (Послуги з поточного ремонту вікон із заміною на металопластикові у машинних приміщеннях ліфтів житлового будинку № 77 по просп. Мануйлівський, м. Дніпро).</t>
  </si>
  <si>
    <t xml:space="preserve">Заходи (зокрема ремонтні роботи) з усунення аварій в житловому фонді (Послуги з поточного ремонту ганку під'їзду №5 будинку №8 по проспекту Мануйлівський, м. Дніпро) </t>
  </si>
  <si>
    <t xml:space="preserve">Заходи (зокрема ремонтні роботи) з усунення аварій в житловому фонді (Послуги з поточного ремонту ганку під'їзду №5 будинку №8 по проспекту Мануйлівський, м. Дніпро) :Заходи (зокрема ремонтні роботи) з усунення аварій в житловому фонді (Послуги з поточного ремонту ганку під'їзду №5 будинку №8 по проспекту Мануйлівський, м. Дніпро) </t>
  </si>
  <si>
    <t>Заходи (зокрема ремонтні роботи) з усунення аварій в житловому фонді (Послуги з поточного ремонту дверей із заміною на металопластикові у житловому будинку № 42 по вул. Янтарна, м. Дніпро).</t>
  </si>
  <si>
    <t xml:space="preserve">Заходи (зокрема ремонтні роботи) з усунення аварій в житловому фонді (Послуги з поточного ремонту дверей із заміною на металопластикові у житловому будинку № 42 по вул. Янтарна, м. Дніпро).
</t>
  </si>
  <si>
    <t xml:space="preserve">Заходи (зокрема ремонтні роботи) з усунення аварій в житловому фонді (Послуги з поточного ремонту електромереж житлового будинку, розташованого за адресою: вул. Бєляєва, 12, м. Дніпро)
</t>
  </si>
  <si>
    <t xml:space="preserve">Заходи (зокрема ремонтні роботи) з усунення аварій в житловому фонді (Послуги з поточного ремонту електромереж житлового будинку, розташованого за адресою: вул. Калинова, 53, під’їзд 3, м. Дніпро)
</t>
  </si>
  <si>
    <t>Заходи (зокрема ремонтні роботи) з усунення аварій в житловому фонді (Послуги з поточного ремонту електромереж житлового будинку, розташованого за адресою: вул. Шолохова, 7, під’їзд 8, м. Дніпро)</t>
  </si>
  <si>
    <t xml:space="preserve">Заходи (зокрема ремонтні роботи) з усунення аварій в житловому фонді (Послуги з поточного ремонту електромереж житлового будинку, розташованого за адресою: вул. Шолохова, 7, під’їзд 8, м. Дніпро)
</t>
  </si>
  <si>
    <t xml:space="preserve">Заходи (зокрема ремонтні роботи) з усунення аварій в житловому фонді (Послуги з поточного ремонту електромереж під'їздів №9, №10, №11  житлового будинку за адресою: Донецьке шосе, буд. 15, м. Дніпро) </t>
  </si>
  <si>
    <t xml:space="preserve">Заходи (зокрема ремонтні роботи) з усунення аварій в житловому фонді (Послуги з поточного ремонту електромереж під'їздів №9, №10, №11  житлового будинку за адресою: Донецьке шосе, буд. 15, м. Дніпро) :Заходи (зокрема ремонтні роботи) з усунення аварій в житловому фонді (Послуги з поточного ремонту електромереж під'їздів №9, №10, №11  житлового будинку за адресою: Донецьке шосе, буд. 15, м. Дніпро) </t>
  </si>
  <si>
    <t>Заходи (зокрема ремонтні роботи) з усунення аварій в житловому фонді (Послуги з поточного ремонту електромереж під’їзд № 1 житлового будинку, розташованого за адресою: вул. Калинова, буд. 53, м. Дніпро).</t>
  </si>
  <si>
    <t xml:space="preserve">Заходи (зокрема ремонтні роботи) з усунення аварій в житловому фонді (Послуги з поточного ремонту електромереж під’їзд № 1 житлового будинку, розташованого за адресою: вул. Калинова, буд. 53, м. Дніпро).
</t>
  </si>
  <si>
    <t xml:space="preserve">Заходи (зокрема ремонтні роботи) з усунення аварій в житловому фонді (Послуги з поточного ремонту електромереж під’їзду № 1 житлового будинку за адресою: вул. Маршала Малиновського, буд. 44, м. Дніпро).
</t>
  </si>
  <si>
    <t xml:space="preserve">Заходи (зокрема ремонтні роботи) з усунення аварій в житловому фонді (Послуги з поточного ремонту електромереж під’їзду № 1 житлового будинку за адресою: вул. Маршала Малиновського, буд. 44, м. Дніпро).
</t>
  </si>
  <si>
    <t xml:space="preserve">Заходи (зокрема ремонтні роботи) з усунення аварій в житловому фонді (Послуги з поточного ремонту електромереж у підвальному приміщенні  під’їздів № 4, №5 житлового будинку № 61 по вул. Калинова, м. Дніпро).
</t>
  </si>
  <si>
    <t>Заходи (зокрема ремонтні роботи) з усунення аварій в житловому фонді (Послуги з поточного ремонту електромереж у підвальному приміщенні житлового будинку, розташованого за адресою: вул. Обоянська, буд. 4, м. Дніпро).</t>
  </si>
  <si>
    <t xml:space="preserve">Заходи (зокрема ремонтні роботи) з усунення аварій в житловому фонді (Послуги з поточного ремонту електромереж у підвальному приміщенні житлового будинку, розташованого за адресою: вул. Обоянська, буд. 4, м. Дніпро).
</t>
  </si>
  <si>
    <t xml:space="preserve">Заходи (зокрема ремонтні роботи) з усунення аварій в житловому фонді (Послуги з поточного ремонту електромереж у підвальному приміщенні під’їзду № 4 житлового будинку, розташованого за адресою: вул. Янтарна, 42, м. Дніпро)
</t>
  </si>
  <si>
    <t>Заходи (зокрема ремонтні роботи) з усунення аварій в житловому фонді (Послуги з поточного ремонту електрощитового обладнання у житловому будинку № 76 по вул. Галини Мазепи, м. Дніпро).</t>
  </si>
  <si>
    <t xml:space="preserve">Заходи (зокрема ремонтні роботи) з усунення аварій в житловому фонді (Послуги з поточного ремонту електрощитового обладнання у житловому будинку № 76 по вул. Галини Мазепи, м. Дніпро).
</t>
  </si>
  <si>
    <t>Заходи (зокрема ремонтні роботи) з усунення аварій в житловому фонді (Послуги з поточного ремонту каналізаційних випусків з під’їздів № 5, № 6 житлового будинку, розташованого за адресою: вул. Калинова, буд. 49,  м. Дніпро).</t>
  </si>
  <si>
    <t xml:space="preserve">Заходи (зокрема ремонтні роботи) з усунення аварій в житловому фонді (Послуги з поточного ремонту каналізаційних випусків з під’їздів № 5, № 6 житлового будинку, розташованого за адресою: вул. Калинова, буд. 49,  м. Дніпро).
</t>
  </si>
  <si>
    <t xml:space="preserve">Заходи (зокрема ремонтні роботи) з усунення аварій в житловому фонді (Послуги з поточного ремонту каналізаційної системи під’їзду № 1 житлового будинку за адресою: вул. Придніпровська, буд. 1, м. Дніпро).
</t>
  </si>
  <si>
    <t xml:space="preserve">Заходи (зокрема ремонтні роботи) з усунення аварій в житловому фонді (Послуги з поточного ремонту каналізаційної системи під’їзду № 1 житлового будинку за адресою: вул. Придніпровська, буд. 1, м. Дніпро).
</t>
  </si>
  <si>
    <t>Заходи (зокрема ремонтні роботи) з усунення аварій в житловому фонді (Послуги з поточного ремонту каналізаційної системи у підвальному приміщенні житлового будинку, розташованого за адресою: вул. Прогресивна, буд. 7, м. Дніпро).</t>
  </si>
  <si>
    <t xml:space="preserve">Заходи (зокрема ремонтні роботи) з усунення аварій в житловому фонді (Послуги з поточного ремонту каналізаційної системи у підвальному приміщенні житлового будинку, розташованого за адресою: вул. Прогресивна, буд. 7, м. Дніпро).
</t>
  </si>
  <si>
    <t>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Калинова, буд. 73, під'їзд 1, м. Дніпро).</t>
  </si>
  <si>
    <t>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Калинова, буд. 73, під'їзд 1, м. Дніпро).
:Заходи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Калинова, буд. 73, під'їзд 1, м. Дніпро).</t>
  </si>
  <si>
    <t xml:space="preserve">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Маршала Малиновського, буд. 10, під'їзд 5, м. Дніпро).
</t>
  </si>
  <si>
    <t xml:space="preserve">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Маршала Малиновського, буд. 10, під'їзд 5, м. Дніпро).
:Заходи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Маршала Малиновського, буд. 10, під'їзд 5, м. Дніпро).
</t>
  </si>
  <si>
    <t>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Маршала Малиновського, буд. 20, під'їзд 2, м. Дніпро).</t>
  </si>
  <si>
    <t>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Маршала Малиновського, буд. 20, під'їзд 2, м. Дніпро).
:Заходи (зокрема ремонтні роботи) з усунення аварій в житловому фонді (Послуги з поточного ремонту ліфтового обладнання  в житловому будинку, розташованому за адресою: вул. Маршала Малиновського, буд. 20, під'їзд 2, м. Дніпро).</t>
  </si>
  <si>
    <t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61, під’їзд 1, 3, м. Дніпро).</t>
  </si>
  <si>
    <t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61, під’їзд 1, 3, м. Дніпро).
:Заходи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61, під’їзд 1, 3, м. Дніпро).</t>
  </si>
  <si>
    <t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71, під’їзд 1, м. Дніпро)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</si>
  <si>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71, під’їзд 1, м. Дніпро)
</t>
  </si>
  <si>
    <t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83, корпус 2, під’їзд 1, корпус 3, під'їзд, 1, м. Дніпро).</t>
  </si>
  <si>
    <t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83, корпус 2, під’їзд 1, корпус 3, під'їзд, 1, м. Дніпро).
:Заходи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Калинова, 83, корпус 2, під’їзд 1, корпус 3, під'їзд, 1, м. Дніпро).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</si>
  <si>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Котляревського, 7, під’їзд 2, 3, м. Дніпро).
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</si>
  <si>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Котляревського, 7, під’їзд 2, 3, м. Дніпро).
:Заходи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Котляревського, 7, під’їзд 2, 3, м. Дніпро).
</t>
  </si>
  <si>
    <t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Прогресивна, буд. 8, під'їзд 4, м. Дніпро).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</si>
  <si>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Прогресивна, буд. 8, під'їзд 4, м. Дніпро).
</t>
  </si>
  <si>
    <t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Янтарна, буд. 34, під'їзд 3, м. Дніпро).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</si>
  <si>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вул. Янтарна, буд. 34, під'їзд 3, м. Дніпро).
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</si>
  <si>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просп. Слобожанський, 77, під’їзд 2, м. Дніпро)
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</si>
  <si>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просп. Слобожанський, буд. 77, під'їзд 2, м. Дніпро).
</t>
  </si>
  <si>
    <t xml:space="preserve">Заходи (зокрема ремонтні роботи) з усунення аварій в житловому фонді (Послуги з поточного ремонту ліфтового обладнання в житловому будинку, розташованому за адресою: просп. Слобожанський, буд. 77, під'їзд 2, м. Дніпро).
</t>
  </si>
  <si>
    <t>Заходи (зокрема ремонтні роботи) з усунення аварій в житловому фонді (Послуги з поточного ремонту ліфтового обладнання із заміною ліфтових кабін в житловому будинку, розташованому за адресою: вул. Калинова, буд. 83, під'їзд 1 корпусу 1, під'їзд 2 корпусу 4, м. Дніпро).</t>
  </si>
  <si>
    <t xml:space="preserve">Заходи (зокрема ремонтні роботи) з усунення аварій в житловому фонді (Послуги з поточного ремонту ліфтового обладнання із заміною ліфтових кабін в житловому будинку, розташованому за адресою: вул. Калинова, буд. 83, під'їзд 1 корпусу 1, під'їзд 2 корпусу 4, м. Дніпро).
</t>
  </si>
  <si>
    <t>Заходи (зокрема ремонтні роботи) з усунення аварій в житловому фонді (Послуги з поточного ремонту міжпанельних швів 
під’їздів №№ 5, 6, 7, 8 житлового будинку № 57 по вул. Софії Ковалевської, м. Дніпро).</t>
  </si>
  <si>
    <t>Заходи (зокрема ремонтні роботи) з усунення аварій в житловому фонді (Послуги з поточного ремонту міжпанельних швів 
під’їздів №№ 5, 6, 7, 8 житлового будинку № 57 по вул. Софії Ковалевської, м. Дніпро).
:Заходи (зокрема ремонтні роботи) з усунення аварій в житловому фонді (Послуги з поточного ремонту міжпанельних швів 
під’їздів №№ 5, 6, 7, 8 житлового будинку № 57 по вул. Софії Ковалевської, м. Дніпро).</t>
  </si>
  <si>
    <t>Заходи (зокрема ремонтні роботи) з усунення аварій в житловому фонді (Послуги з поточного ремонту міжпанельних швів під’їздів №№ 5, 9, 10, 11, 12 житлового будинку № 7 по Донецькому шосе, м. Дніпро).</t>
  </si>
  <si>
    <t>Заходи (зокрема ремонтні роботи) з усунення аварій в житловому фонді (Послуги з поточного ремонту міжпанельних швів під’їздів №№ 5, 9, 10, 11, 12 житлового будинку № 7 по Донецькому шосе, м. Дніпро).
:Заходи (зокрема ремонтні роботи) з усунення аварій в житловому фонді (Послуги з поточного ремонту міжпанельних швів під’їздів №№ 5, 9, 10, 11, 12 житлового будинку № 7 по Донецькому шосе, м. Дніпро).</t>
  </si>
  <si>
    <t xml:space="preserve">Заходи (зокрема ремонтні роботи) з усунення аварій в житловому фонді (Послуги з поточного ремонту міжпанельних швів під’їздів №№ 5, 9, 10, 11, 12 житлового будинку № 7 по Донецькому шосе, м. Дніпро).
:Заходи (зокрема ремонтні роботи) з усунення аварій в житловому фонді (Послуги з поточного ремонту міжпанельних швів під’їздів №№ 5, 9, 10, 11, 12 житлового будинку № 7 по Донецькому шосе, м. Дніпро).
</t>
  </si>
  <si>
    <t>Заходи (зокрема ремонтні роботи) з усунення аварій в житловому фонді (Послуги з поточного ремонту міжпанельних швів під’їздів №№1, 2 житлового будинку № 77 по проспекту Слобожанський, м. Дніпро).</t>
  </si>
  <si>
    <t>Заходи (зокрема ремонтні роботи) з усунення аварій в житловому фонді (Послуги з поточного ремонту міжпанельних швів під’їздів №№1, 2 житлового будинку № 77 по проспекту Слобожанський, м. Дніпро).
:Заходи (зокрема ремонтні роботи) з усунення аварій в житловому фонді (Послуги з поточного ремонту міжпанельних швів під’їздів №№1, 2 житлового будинку № 77 по проспекту Слобожанський, м. Дніпро).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</si>
  <si>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12 по Донецькому шосе, м. Дніпро).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</si>
  <si>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12 по Донецькому шосе, м. Дніпро).
:Заходи (зокрема ремонтні роботи) з усунення аварій в житловому фонді (Послуги з поточного ремонту міжпанельних швів у житловому будинку № 12 по Донецькому шосе, м. Дніпро).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</si>
  <si>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12 по Донецькому шосе, м. Дніпро).
:Заходи (зокрема ремонтні роботи) з усунення аварій в житловому фонді (Послуги з поточного ремонту міжпанельних швів у житловому будинку № 12 по Донецькому шосе, м. Дніпро).
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</si>
  <si>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14 по вул. Сонячна Набережна, м. Дніпро).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</si>
  <si>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14 по вул. Сонячна Набережна, м. Дніпро).
:Заходи (зокрема ремонтні роботи) з усунення аварій в житловому фонді (Послуги з поточного ремонту міжпанельних швів у житловому будинку № 14 по вул. Сонячна Набережна, м. Дніпро).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</si>
  <si>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14 по вул. Сонячна Набережна, м. Дніпро).
:Заходи (зокрема ремонтні роботи) з усунення аварій в житловому фонді (Послуги з поточного ремонту міжпанельних швів у житловому будинку № 14 по вул. Сонячна Набережна, м. Дніпро).
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</si>
  <si>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22 по вул. Бєляєва, м. Дніпро)
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</si>
  <si>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22 по вул. Бєляєва, м. Дніпро)
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</si>
  <si>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22 по вул. Сонячна Набережна, м. Дніпро).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</si>
  <si>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22 по вул. Сонячна Набережна, м. Дніпро).
:Заходи (зокрема ремонтні роботи) з усунення аварій в житловому фонді (Послуги з поточного ремонту міжпанельних швів у житловому будинку № 22 по вул. Сонячна Набережна, м. Дніпро).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</si>
  <si>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22 по вул. Сонячна Набережна, м. Дніпро).
:Заходи (зокрема ремонтні роботи) з усунення аварій в житловому фонді (Послуги з поточного ремонту міжпанельних швів у житловому будинку № 22 по вул. Сонячна Набережна, м. Дніпро).
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</si>
  <si>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33 по вул. Решетилівська, м. Дніпро).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</si>
  <si>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33 по вул. Решетилівська, м. Дніпро).
:Заходи (зокрема ремонтні роботи) з усунення аварій в житловому фонді (Послуги з поточного ремонту міжпанельних швів у житловому будинку № 33 по вул. Решетилівська, м. Дніпро).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</si>
  <si>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33 по вул. Решетилівська, м. Дніпро).
:Заходи (зокрема ремонтні роботи) з усунення аварій в житловому фонді (Послуги з поточного ремонту міжпанельних швів у житловому будинку № 33 по вул. Решетилівська, м. Дніпро).
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</si>
  <si>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34 по вул. Сонячна Набережна, м. Дніпро).
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</si>
  <si>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34 по вул. Сонячна Набережна, м. Дніпро).
:Заходи (зокрема ремонтні роботи) з усунення аварій в житловому фонді (Послуги з поточного ремонту міжпанельних швів у житловому будинку № 34 по вул. Сонячна Набережна, м. Дніпро).
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</si>
  <si>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48 по вул. Сонячна Набережна, м. Дніпро).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</si>
  <si>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48 по вул. Сонячна Набережна, м. Дніпро).
</t>
  </si>
  <si>
    <t>Заходи (зокрема ремонтні роботи) з усунення аварій в житловому фонді (Послуги з поточного ремонту міжпанельних швів у житловому будинку № 48 по вул. Сонячна Набережна, м. Дніпро).
:Заходи (зокрема ремонтні роботи) з усунення аварій в житловому фонді (Послуги з поточного ремонту міжпанельних швів у житловому будинку № 48 по вул. Сонячна Набережна, м. Дніпро).</t>
  </si>
  <si>
    <t xml:space="preserve">Заходи (зокрема ремонтні роботи) з усунення аварій в житловому фонді (Послуги з поточного ремонту міжпанельних швів у житловому будинку № 48 по вул. Сонячна Набережна, м. Дніпро).
:Заходи (зокрема ремонтні роботи) з усунення аварій в житловому фонді (Послуги з поточного ремонту міжпанельних швів у житловому будинку № 48 по вул. Сонячна Набережна, м. Дніпро).
</t>
  </si>
  <si>
    <t>Заходи (зокрема ремонтні роботи) з усунення аварій в житловому фонді (Послуги з поточного ремонту парапету даху житлового будинку № 30 по вул. Енеїди, м. Дніпро)</t>
  </si>
  <si>
    <t>Заходи (зокрема ремонтні роботи) з усунення аварій в житловому фонді (Послуги з поточного ремонту парапету даху житлового будинку № 30 по вул. Енеїди, м. Дніпро).
:Заходи (зокрема ремонтні роботи) з усунення аварій в житловому фонді (Послуги з поточного ремонту парапету даху житлового будинку № 30 по вул. Енеїди, м. Дніпро)</t>
  </si>
  <si>
    <t>Заходи (зокрема ремонтні роботи) з усунення аварій в житловому фонді (Послуги з поточного ремонту покрівлі  під'їзду № 5 житлового будинку № 25 по вул. Шолохова, м. Дніпро)</t>
  </si>
  <si>
    <t>Заходи (зокрема ремонтні роботи) з усунення аварій в житловому фонді (Послуги з поточного ремонту покрівлі  під'їзду № 5 житлового будинку № 25 по вул. Шолохова, м. Дніпро):Заходи (зокрема ремонтні роботи) з усунення аварій в житловому фонді (Послуги з поточного ремонту покрівлі  під'їзду № 5 житлового будинку № 25 по вул. Шолохова,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</si>
  <si>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Галини Мазепи, буд. 59, м. Дніпро).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</si>
  <si>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вул. Галини Мазепи, буд. 59, м. Дніпро).
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</si>
  <si>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Маршала Малиновського, буд. 22,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</si>
  <si>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Маршала Малиновського, буд. 22, м. Дніпро):Заходи (зокрема ремонтні роботи) з усунення аварій в житловому фонді (Послуги з поточного ремонту покрівлі житлового будинку за адресою: вул. Маршала Малиновського, буд. 22, м. Дніпро)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</si>
  <si>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вул. Маршала Малиновського, буд. 8. Дніпро).
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</si>
  <si>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вул. Решетилівська, буд. 33, м. Дніпро).
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</si>
  <si>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вул. Терещенківська, 21, м. Дніпро)
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</si>
  <si>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вул. Терещенківська, 21, м. Дніпро)
:Заходи (зокрема ремонтні роботи) з усунення аварій в житловому фонді (Послуги з поточного ремонту покрівлі житлового будинку за адресою: вул. Терещенківська, 21, м. Дніпро)
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</si>
  <si>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23,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</si>
  <si>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23, м. Дніпро):Заходи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23,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</si>
  <si>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29, під’їзд № 1-4, 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</si>
  <si>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29, під’їзд № 1-4,  м. Дніпро)
:Заходи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29, під’їзд № 1-4, 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</si>
  <si>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39,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</si>
  <si>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39, м. Дніпро):Заходи (зокрема ремонтні роботи) з усунення аварій в житловому фонді (Послуги з поточного ремонту покрівлі житлового будинку за адресою: вул. Шолохова, буд. 39, м. Дніпро)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</si>
  <si>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вул. Ю. Залюбовської, буд. 26, м. Дніпро)
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</si>
  <si>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Янтарна, буд. 32, під'їзд № 3, №4, м. Дніпро)</t>
  </si>
  <si>
    <t>Заходи (зокрема ремонтні роботи) з усунення аварій в житловому фонді (Послуги з поточного ремонту покрівлі житлового будинку за адресою: вул. Янтарна, буд. 32, під'їзд № 3, №4, м. Дніпро):Заходи (зокрема ремонтні роботи) з усунення аварій в житловому фонді (Послуги з поточного ремонту покрівлі житлового будинку за адресою: вул. Янтарна, буд. 32, під'їзд № 3, №4, м. Дніпро)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</si>
  <si>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просп. Мануйлівський, 75, під’їзд 3, м. Дніпро)
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</si>
  <si>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просп. Мануйлівський, 75, під’їзд 3, м. Дніпро)
:Заходи (зокрема ремонтні роботи) з усунення аварій в житловому фонді (Послуги з поточного ремонту покрівлі житлового будинку за адресою: просп. Мануйлівський, 75, під’їзд 3, м. Дніпро)
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</si>
  <si>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проспект Мануйлівський, буд. 75, під'їзд №1, №2, м. Дніпро) </t>
  </si>
  <si>
    <t xml:space="preserve">Заходи (зокрема ремонтні роботи) з усунення аварій в житловому фонді (Послуги з поточного ремонту покрівлі житлового будинку за адресою: проспект Мануйлівський, буд. 75, під'їзд №1, №2, м. Дніпро) :Заходи (зокрема ремонтні роботи) з усунення аварій в житловому фонді (Послуги з поточного ремонту покрівлі житлового будинку за адресою: проспект Мануйлівський, буд. 75, під'їзд №1, №2, м. Дніпро) </t>
  </si>
  <si>
    <t>Заходи (зокрема ремонтні роботи) з усунення аварій в житловому фонді (Послуги з поточного ремонту покрівлі ліфтових житлового будинку за адресою: вул. Шолохова, буд. 19, під’їзд № 1-4,  м. Дніпро)</t>
  </si>
  <si>
    <t>Заходи (зокрема ремонтні роботи) з усунення аварій в житловому фонді (Послуги з поточного ремонту покрівлі ліфтових житлового будинку за адресою: вул. Шолохова, буд. 19, під’їзд № 1-4,  м. Дніпро)
:Заходи (зокрема ремонтні роботи) з усунення аварій в житловому фонді (Послуги з поточного ремонту покрівлі ліфтових житлового будинку за адресою: вул. Шолохова, буд. 19, під’їзд № 1-4,  м. Дніпро)</t>
  </si>
  <si>
    <t>Заходи (зокрема ремонтні роботи) з усунення аварій в житловому фонді (Послуги з поточного ремонту системи водопостачання у підвальному приміщенні житлового будинку, розташованого за адресою: вул. Калинова, буд. 51, м. Дніпро).</t>
  </si>
  <si>
    <t xml:space="preserve">Заходи (зокрема ремонтні роботи) з усунення аварій в житловому фонді (Послуги з поточного ремонту системи водопостачання у підвальному приміщенні житлового будинку, розташованого за адресою: вул. Калинова, буд. 51, м. Дніпро).
</t>
  </si>
  <si>
    <t xml:space="preserve">Заходи (зокрема ремонтні роботи) з усунення аварій в житловому фонді (Послуги з поточного ремонту системи водопостачання у підвальному приміщенні під’їздів № 1, № 2  житлового будинку за адресою: вул. Калинова, буд. 79а, корпус 1, м. Дніпро).
</t>
  </si>
  <si>
    <t xml:space="preserve">Заходи (зокрема ремонтні роботи) з усунення аварій в житловому фонді (Послуги з поточного ремонту системи водопостачання у підвальному приміщенні під’їздів № 1, № 2  житлового будинку за адресою: вул. Калинова, буд. 79а, корпус 1, м. Дніпро).
</t>
  </si>
  <si>
    <t>Заходи (зокрема ремонтні роботи) з усунення аварій в житловому фонді (Послуги з поточного ремонту системи водопостачання у підвальному приміщенні під’їздів №4, №5, житлового будинку за адресою: вул. Дементьєва, буд. 6, м. Дніпро).</t>
  </si>
  <si>
    <t xml:space="preserve">Заходи (зокрема ремонтні роботи) з усунення аварій в житловому фонді (Послуги з поточного ремонту системи водопостачання у підвальному приміщенні під’їздів №4, №5, житлового будинку за адресою: вул. Дементьєва, буд. 6, м. Дніпро).
</t>
  </si>
  <si>
    <t xml:space="preserve">Заходи (зокрема ремонтні роботи) з усунення аварій в житловому фонді (Послуги з поточного ремонту системи централізованого опалення житлового будинку, розташованого за адресою: вул. Калинова, 51, м. Дніпро)
</t>
  </si>
  <si>
    <t>Заходи (зокрема ремонтні роботи) з усунення аварій в житловому фонді (Послуги з поточного ремонту системи централізованого опалення житлового будинку, розташованого за адресою: вул. Калинова, 79-А, корпус 1, м. Дніпро).</t>
  </si>
  <si>
    <t xml:space="preserve">Заходи (зокрема ремонтні роботи) з усунення аварій в житловому фонді (Послуги з поточного ремонту системи централізованого опалення житлового будинку, розташованого за адресою: вул. Калинова, 79-А, корпус 1, м. Дніпро).
</t>
  </si>
  <si>
    <t>Заходи (зокрема ремонтні роботи) з усунення аварій в житловому фонді (Послуги з поточного ремонту системи централізованого опалення житлового будинку, розташованого за адресою: вул. Решетилівська, 33, м. Дніпро).</t>
  </si>
  <si>
    <t xml:space="preserve">Заходи (зокрема ремонтні роботи) з усунення аварій в житловому фонді (Послуги з поточного ремонту системи централізованого опалення житлового будинку, розташованого за адресою: вул. Решетилівська, 33, м. Дніпро).
</t>
  </si>
  <si>
    <t xml:space="preserve">Заходи (зокрема ремонтні роботи) з усунення аварій в житловому фонді (Послуги з поточного ремонту системи централізованого опалення у підвальних приміщеннях під’їздів № 3, № 4 житлового будинку № 36 по  вул. Маршала Малиновського, м. Дніпро).
</t>
  </si>
  <si>
    <t>Заходи (зокрема ремонтні роботи) з усунення аварій в житловому фонді (Послуги з поточного ремонту системи централізованого опалення у підвальному приміщенні житлового будинку за адресою: вул. Шолохова, буд. 19, під’їзд 10, 11, м. Дніпро)</t>
  </si>
  <si>
    <t>Заходи (зокрема ремонтні роботи) з усунення аварій в житловому фонді (Послуги з поточного ремонту системи централізованого опалення у підвальному приміщенні житлового будинку за адресою: вул. Шолохова, буд. 19, під’їзд 10, 11, м. Дніпро)
:Заходи (зокрема ремонтні роботи) з усунення аварій в житловому фонді (Послуги з поточного ремонту системи централізованого опалення у підвальному приміщенні житлового будинку за адресою: вул. Шолохова, буд. 19, під’їзд 10, 11, м. Дніпро)</t>
  </si>
  <si>
    <t>Заходи (зокрема ремонтні роботи) з усунення аварій в житловому фонді (Послуги з поточного ремонту системи централізованого опалення у підвальному приміщенні та технічному поверсі під'їздів № 1, № 2 житлового будинку, розташованого за адресою: вул. Шолохова, буд. 7, м. Дніпро)</t>
  </si>
  <si>
    <t>Заходи (зокрема ремонтні роботи) з усунення аварій в житловому фонді (Послуги з поточного ремонту системи централізованого опалення у підвальному приміщенні та технічному поверсі під'їздів № 1, № 2 житлового будинку, розташованого за адресою: вул. Шолохова, буд. 7, м. Дніпро):Заходи (зокрема ремонтні роботи) з усунення аварій в житловому фонді (Послуги з поточного ремонту системи централізованого опалення у підвальному приміщенні та технічному поверсі під'їздів № 1, № 2 житлового будинку, розташованого за адресою: вул. Шолохова, буд. 7, м. Дніпро)</t>
  </si>
  <si>
    <t>Заходи (зокрема ремонтні роботи) з усунення аварій в житловому фонді (Послуги з технічного консультування та складання дефектних актів на проведення поточних ремонтів з усунення аварій в житловому фонді Амур-Нижньодніпровського району міста Дніпра)</t>
  </si>
  <si>
    <t>Заходи (зокрема ремонтні роботи) з усунення аварій в житловому фонді (Послуги з технічного консультування та складання дефектних актів на проведення поточних ремонтів з усунення аварій в житловому фонді Амур-Нижньодніпровського району міста Дніпра):Заходи (зокрема ремонтні роботи) з усунення аварій в житловому фонді (Послуги з технічного консультування та складання дефектних актів на проведення поточних ремонтів з усунення аварій в житловому фонді Амур-Нижньодніпровського району міста Дніпра)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</si>
  <si>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вимощення житлового будинку за адресою: вул. Артеківська, буд. 14,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</si>
  <si>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вимощення житлового будинку за адресою: вул. Кожем'яки, буд. 1,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</si>
  <si>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вимощення житлового будинку за адресою: просп. Слобожанський, буд. 77,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</si>
  <si>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вимощення та світлових приямків  житлового будинку за адресою: вул. Радистів, буд. 10,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</si>
  <si>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внутрішньої мережі електроживлення насосної станції (два насоси, які підвищують тиск холодної води) у підвальному приміщенні під’їзду № 4 будинку № 8 по проспекту Мануйлівський,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</si>
  <si>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внутрішньої мережі холодного водопостачання у підвальному приміщенні житлового будинку  за адресою: вул. Радистів, буд. 10,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</si>
  <si>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внутрішньої мережі холодного водопостачання у підвальному приміщенні першого та другого під’їзду житлового будинку за адресою: вул. Василя Тютюнника, буд. 12,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</si>
  <si>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вікон із заміною на металопластикові на технічному поверсі у під’їздах №№1, 2, буд. 6 по вул. Дементьєва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</si>
  <si>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ганку під’їзду № 5 будинку № 8 по проспекту Мануйлівський,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</si>
  <si>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електромереж під’їздів № 9, № 10, №11 житлового будинку за адресою: Донецьке шосе, буд. 15,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</si>
  <si>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міжпанельних швів під’їздів №№ 5, 9, 10, 11, 12 житлового будинку № 7 по Донецькому шосе,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</si>
  <si>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міжпанельних швів під’їздів №№1,2 житлового будинку № 77 по проспекту Слобожанський,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</si>
  <si>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міжпанельних швів під’їздів №№5, 6, 7, 8 житлового будинку № 57 по вул. Софії Ковалевської,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</si>
  <si>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міжпанельних швів у житловому будинку № 12 по Донецькому шосе,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</si>
  <si>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покрівлі житлового будинку за адресою: вул. Шолохова, буд. 29, під’їзд № 1-4,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</si>
  <si>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покрівлі житлового будинку за адресою: просп. Мануйлівський, буд. 75, під’їзд № 1, № 2,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</si>
  <si>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покрівлі ліфтових житлового будинку за адресою: вул. Шолохова, буд. 19, під’їзд № 1-4, м. Дніпро)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</si>
  <si>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системи централізованого опалення у підвальному приміщенні житлового будинку за адресою: вул. Шолохова, буд. 19, під’їзд 10, 11, м. Дніпро)</t>
  </si>
  <si>
    <t>Заходи (зокрема ремонтні роботи) з усунення аварій в житловому фонді (Послуги зі здійснення технічного нагляду за проведенням поточних ремонтів з усунення аварій в житловому фонді Амур-Нижньодніпровського району міста Дніпра)</t>
  </si>
  <si>
    <t>Заходи (зокрема ремонтні роботи) з усунення аварій в житловому фонді (Послуги зі здійснення технічного нагляду за проведенням поточних ремонтів з усунення аварій в житловому фонді Амур-Нижньодніпровського району міста Дніпра):Заходи (зокрема ремонтні роботи) з усунення аварій в житловому фонді (Послуги зі здійснення технічного нагляду за проведенням поточних ремонтів з усунення аварій в житловому фонді Амур-Нижньодніпровського району міста Дніпра)</t>
  </si>
  <si>
    <t xml:space="preserve">Заходи (зокрема ремонтні роботи) з усунення аварій в житловому фонді (Поточний ремонт внутрішньої мережі холодного водопостачання у підвальному приміщенні першого та другого під’їзду житлового будинку за адресою:  вул. Василя Тютюнника, буд. 12, м. Дніпро)
</t>
  </si>
  <si>
    <t xml:space="preserve">Заходи (зокрема ремонтні роботи) з усунення аварій в житловому фонді (Поточний ремонт вікон із заміною на металопластикові на технічному поверсі у  під’їздах №№ 1, 2, буд. 6 по вул. Дементьєва, м. Дніпро)
</t>
  </si>
  <si>
    <t xml:space="preserve">Заходи (зокрема ремонтні роботи) з усунення аварій в житловому фонді (послуги з технічного нагляду за наданням послуг з поточного ремонту в житловому фонді) </t>
  </si>
  <si>
    <t>Заходи (зокрема ремонтні роботи) з усунення аварій в житловому фонді (послуги з технічного нагляду за наданням послуг з поточного ремонту парапету даху житлового будинку № 30 по вул. Енеїди,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</si>
  <si>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вентиляційних каналів на даху житлового будинку за адресою: вул. Софії Ковалевської, буд. 49,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</si>
  <si>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електромереж під'їзд №1  житлового будинку, розташованого за адресою: вул. Калинова, буд. 53,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</si>
  <si>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електромереж під'їзду №1 житлового будинку за адресою: вул. Маршала Малиновського, буд. 44,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</si>
  <si>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електромереж у підвальному приміщенні  житлового будинку, розташованому за адресою: вул. Обоянська, буд. 4,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</si>
  <si>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електромереж у підвальному приміщенні під'їздів №4, №5  житлового будинку № 61 по вул. Калинова,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</si>
  <si>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каналізаційної системи у підвальному приміщенні житлового будинку, розташованого за адресою: вул. Прогресивна, буд. 7,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</si>
  <si>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ліфтового обладнання в житловому будинку, розташованому за адресою: вул. Калинова, буд. 73, під'їзд 1,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</si>
  <si>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ліфтового обладнання в житловому будинку, розташованому за адресою: вул. Маршала Малиновського, буд. 10, під'їзд 5,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</si>
  <si>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ліфтового обладнання в житловому будинку, розташованому за адресою: вул. Маршала Малиновського, буд. 20, під'їзд 2,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</si>
  <si>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покрівлі  під'їзду №5 житлового будинку № 25 по вул. Шолохова, 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</si>
  <si>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покрівлі житлового будинку за адресою: вул. Маршала Малиновського, буд. 22,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</si>
  <si>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покрівлі житлового будинку за адресою: вул. Шолохова, буд. 23,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</si>
  <si>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покрівлі житлового будинку за адресою: вул. Шолохова, буд. 39,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</si>
  <si>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покрівлі житлового будинку за адресою: вул. Янтарна, буд. 32, під'їзд №3, №4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</si>
  <si>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системи водопостачання у підвальному приміщенні  житлового будинку за адресою: вул. Калинова, буд. 51, м. Дніпро)</t>
  </si>
  <si>
    <t>Заходи (зокрема ремонті роботи) з усунення аварій в житловому фонді (Послуги з технічного нагляду за наданням послуг  з поточного ремонту системи централізованого опалення у підвальному приміщенні та технічному поверсі під'їздів № 1, № 2 житлового будинку, розташованого за адресою: вул. Шолохова, буд. 7,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</si>
  <si>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каналізаційних випусків з під'їздів № 5, №6 житлового будинку, розташованого за адресою: вул. Калинова, буд. 49,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</si>
  <si>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каналізаційної системи під'їзду № 1 житлового будинку за адресою: вул. Придніпровська, буд. 1,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</si>
  <si>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ліфтового обладнання  в житловому будинку, розташованому за адресою: вул. Прогресивна, буд. 8, під'їзд 4,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</si>
  <si>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ліфтового обладнання  в житловому будинку, розташованому за адресою: вул. Янтарна, буд. 34, під'їзд 3,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</si>
  <si>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ліфтового обладнання  в житловому будинку, розташованому за адресою: просп. Слобожанський,  буд. 77, під'їзд 2,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</si>
  <si>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ліфтового обладнання із заміною ліфтових кабін в житловому будинку за адресою: вул. Калинова, буд. 83, під'їзд 1 корпусу 1, під'їзд 2 корпусу 4,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</si>
  <si>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покрівлі житлового будинку за адресою: вул. Маршала Малиновського, буд. 8,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</si>
  <si>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покрівлі житлового будинку за адресою: вул. Решетилівська, буд. 33,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</si>
  <si>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системи водопостачання у підвальному приміщенні під'їздів № 1, №2, житлового будинку за адресою: вул. Калинова, буд. 79а, корпус 1,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</si>
  <si>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системи водопостачання у підвальному приміщенні під'їздів № 4, №5 житлового будинку за адресою: вул. Дементьєва, буд. 6, м. Дніпро)</t>
  </si>
  <si>
    <t>Заходи (зокрема ремонті роботи) з усунення аварій в житловому фонді (Послуги з технічного нагляду за наданням послуг поточного ремонту системи централізованого опалення у підвальних приміщеннях під'їздів № 3, №4 житлового будинку №36 по вул. Маршала Малиновського,  м. Дніпро)</t>
  </si>
  <si>
    <t>Звіт створено 9 вересня о 11:59 з використанням http://zakupivli.pro</t>
  </si>
  <si>
    <t>Знаряддя для господарських потреб</t>
  </si>
  <si>
    <t>КЕП</t>
  </si>
  <si>
    <t>КОМУНАЛЬНЕ ПІДПРИЄМСТВО "ДНІПРОВОДОКАНАЛ" ДНІПРОВСЬКОЇ МІСЬКОЇ РАДИ</t>
  </si>
  <si>
    <t>КОПАНІЧУК БОГДАН ДМИТРОВИЧ</t>
  </si>
  <si>
    <t>Каналізаційний насос SEG.40.12.Е.2.50В</t>
  </si>
  <si>
    <t>Канцелярські товари</t>
  </si>
  <si>
    <t>Класифікатор</t>
  </si>
  <si>
    <t>Колесо вимірювальне та рулетки</t>
  </si>
  <si>
    <t>Комп'ютерна техніка</t>
  </si>
  <si>
    <t>Консультаційні послуги з навчання у сфері здійснення публічних закупівель</t>
  </si>
  <si>
    <t>Контактний телефон переможця тендеру</t>
  </si>
  <si>
    <t>Крок зниження</t>
  </si>
  <si>
    <t>Курвіметр, рулетки</t>
  </si>
  <si>
    <t>Курвіметр; Рулетка вимірювальна 5 м; Рулетка вимірювальна 50 м</t>
  </si>
  <si>
    <t>Курвіметр; Рулетка вимірювальна 50 м; Рулетка вимірювальна 5 м</t>
  </si>
  <si>
    <t>Кіловат-година</t>
  </si>
  <si>
    <t>Кількість одиниць</t>
  </si>
  <si>
    <t>Кількість учасників аукціону</t>
  </si>
  <si>
    <t>ЛЄОНОВ ВАЛЕРІЙ ОЛЕКСАНДРОВИЧ</t>
  </si>
  <si>
    <t>Лавки без спинки; Нари</t>
  </si>
  <si>
    <t>Лопати (тип Єнот)</t>
  </si>
  <si>
    <t>Лопати (тип Єнот); Пакети для сміття (120 л); Перчатки; Граблі віялові</t>
  </si>
  <si>
    <t>Лопати (тип Єнот); Пакети; Перчатки; Граблі віялові</t>
  </si>
  <si>
    <t>М/97/01/2022</t>
  </si>
  <si>
    <t>М/97/01/2023</t>
  </si>
  <si>
    <t>М/97/01/2024</t>
  </si>
  <si>
    <t>М/97/11/2021</t>
  </si>
  <si>
    <t>МІКРЮКОВ СЕРГІЙ МИХАЙЛОВИЧ</t>
  </si>
  <si>
    <t>МАЛИШЕВ ОЛЕКСАНДР ЛЕОНІДОВИЧ</t>
  </si>
  <si>
    <t>МАЛОЛЄТНЄВА ЛАРИСА АНАТОЛІЇВНА</t>
  </si>
  <si>
    <t>Мажара Володимир Іванович</t>
  </si>
  <si>
    <t>Масло GM 10w40 5 л; Антифриз G12 Вамп 10л; Автоочищувач скла (зима) Sniezyca 5 л</t>
  </si>
  <si>
    <t>Масло напівсинт. 10W-40 GM SL/CF 5 л; Автоочищувач скла (зима) Luksusowy (-25) 5 л; Тосол Nordica 10кг. (-40С)</t>
  </si>
  <si>
    <t>Масло напівсинт. 10W-40GM 5л</t>
  </si>
  <si>
    <t xml:space="preserve">Мастило напівсинтетичне </t>
  </si>
  <si>
    <t>Матеріали для автомобільного транспорту (автоочищувач скла)</t>
  </si>
  <si>
    <t>Миючий засіб для підлоги Gala 400 гр; Миючий засіб для туалету Туалетне каченя 0,9 л; Засіб чистящий Gala 0,5 кг; Серветки для прибирання 5 шт. у упаковці; Мило господарче 200 гр.; Мило Fax 5*70 гр. в упак.; Поліроль для меблів Pronto 430 гр; Серветка для миття полу 50х60 см.; Засіб миючий для посуду Gala 0.5 кг</t>
  </si>
  <si>
    <t xml:space="preserve">Миючий засіб для підлоги Mr/Proper 400 гр.; Миючий засіб для туалету Туалетне каченя 0,9 л.; Засіб чистящий Grunwald  500  гр.; Засіб миючий для посуду RIO 495 ml; Мило господарче  200 гр.; Мило Fax 5*70 гр в упак. 
</t>
  </si>
  <si>
    <t>Миючий засіб для підлоги Mr/Proper 400 гр.; Миючий засіб для туалету Туалетне каченя 0,9 л; Засіб чистящий Сана 500 гр; Засіб миючий для посуду RIO 495 гр.; Мило господарче 200 гр.; Мило Fax 5*70 гр в упак.; Засіб рідкий Білизна 0,9 л</t>
  </si>
  <si>
    <t>Миючі та дезінфікуючі засоби</t>
  </si>
  <si>
    <t>Мотокоса</t>
  </si>
  <si>
    <t>Мої дії</t>
  </si>
  <si>
    <t>НАУКОВО-ВИРОБНИЧЕ ТОВАРИСТВО З ОБМЕЖЕНОЮ ВІДПОВІДАЛЬНІСТЮ "ДИЛ, ЛТД"</t>
  </si>
  <si>
    <t>НЕЩЕРЕТ ОЛЬГА МИКОЛАЇВНА</t>
  </si>
  <si>
    <t>НОВІКОВА НАТАЛІЯ ВІТАЛІЇВНА</t>
  </si>
  <si>
    <t>Назва потенційного переможця (з найменшою ціною)</t>
  </si>
  <si>
    <t>Немає лотів</t>
  </si>
  <si>
    <t>Неможливість усунення порушень, що виникли через виявлені порушення законодавства з питань публічних закупівель (в специфікації до закупівлі зазначено неповну інформацію)</t>
  </si>
  <si>
    <t>Необхідність внесення істотних змін до Додатку № 3 «Інформація про необхідні технічні, якісні та кількісні характеристики предмета закупівлі», необхідність уточнення очікуваної вартості закупівлі та внесення змін до розпорядження міського голови.</t>
  </si>
  <si>
    <t>Нецінові критерії</t>
  </si>
  <si>
    <t>Номер договору</t>
  </si>
  <si>
    <t>Ноутбук ASUS X515EA-BQ1461 (90NB0TY1-M00EL0)15.6'', 1920x1080 (FullHD), матова, IPS, 60Hz, Intel ; Багатофункціональний пристрій Canon MF443dw c Wi-Fi</t>
  </si>
  <si>
    <t>Ні</t>
  </si>
  <si>
    <t>ОГУРЦОВ ДМИТРО  СЕРГІЙОВИЧ</t>
  </si>
  <si>
    <t>ОНИЩЕНКО ОЛЕКСІЙ ВОЛОДИМИРОВИЧ</t>
  </si>
  <si>
    <t>Обладнання для господарської діяльності (Каналізаційний насос SEG.40.12.Е.2.50В)</t>
  </si>
  <si>
    <t>Облаштування найпростішого укриття ( Послуги з установлення каналізаційного насосу)</t>
  </si>
  <si>
    <t>Облаштування споруд цивільного захисту (Послуги з облаштування металевим пандусом найпростішого укриття в адміністративній будівлі за адресою: м. Дніпро, просп. Мануйлівський, буд. 31)</t>
  </si>
  <si>
    <t>Обов'язкове страхування цивільно-правової  відповідальності власника наземного транспортного засобу ( Daewoo LANOS AE4943PP); Обов'язкове страхування цивільно-правової  відповідальності власника наземного транспортного засобу ( Daewoo SENS AE1173AT); Обов'язкове страхування цивільно-правової  відповідальності власника наземного транспортного засобу ( Chery A21 ELARA AE0027CH)</t>
  </si>
  <si>
    <t>Обов'язкове страхування цивільно-правової  відповідальності власників наземних транспортних засобів</t>
  </si>
  <si>
    <t>Обов'язкове страхування цивільно-правової  відповідальності власників наземних транспортних засобів (Daewoo LANOS AE4943PP); Обов'язкове страхування цивільно-правової  відповідальності власників наземних транспортних засобів (Daewoo SENS AE1173АТ); Обов'язкове страхування цивільно-правової  відповідальності власників наземних транспортних засобів (Chery A21 ELARA AE0027CH)</t>
  </si>
  <si>
    <t>Огурцов Дмитро Сергійович</t>
  </si>
  <si>
    <t>Одиниця виміру</t>
  </si>
  <si>
    <t>Олена Сосницька</t>
  </si>
  <si>
    <t>Ольга Аралова</t>
  </si>
  <si>
    <t>Організатор</t>
  </si>
  <si>
    <t>Організатор закупівлі</t>
  </si>
  <si>
    <t>Основний контакт</t>
  </si>
  <si>
    <t>Очікувана вартість закупівлі</t>
  </si>
  <si>
    <t>Очікувана вартість лота</t>
  </si>
  <si>
    <t>Очікувана вартість, одиниця</t>
  </si>
  <si>
    <t>ПІДКОПАЄВ ДЕНИС ВОЛОДИМИРОВИЧ</t>
  </si>
  <si>
    <t>ПП "ФЕНІКС"</t>
  </si>
  <si>
    <t>ПП СІАД-СЕРВІС</t>
  </si>
  <si>
    <t>ПРИВАТНЕ АКЦІОНЕРНЕ ТОВАРИСТВО "СТРАХОВА КОМПАНІЯ "ГРАВЕ УКРАЇНА"</t>
  </si>
  <si>
    <t>ПРИВАТНЕ АКЦІОНЕРНЕ ТОВАРИСТВО "СТРАХОВА КОМПАНІЯ "САЛАМАНДРА"</t>
  </si>
  <si>
    <t>ПРИВАТНЕ ПІДПРИЄМСТВО "ПРИВАТНА ВИРОБНИЧО-ТОРГІВЕЛЬНА ФІРМА"ДУТАН"</t>
  </si>
  <si>
    <t>ПРИВАТНЕ ПІДПРИЄМСТВО "ФЕНІКС"</t>
  </si>
  <si>
    <t>Пакет для сміття чорний 120л./30 шт.; Пакет для сміття чорний 20л./30 шт.</t>
  </si>
  <si>
    <t>Пакети для сміття</t>
  </si>
  <si>
    <t>Пакети для сміття (35 кг.)</t>
  </si>
  <si>
    <t>Пакети для сміття 120 л (10) 70 х 110 см., 25 мкм</t>
  </si>
  <si>
    <t>Пакети для сміття 120л(10) 70х110см., 25мкм</t>
  </si>
  <si>
    <t>Папір А4 500 арк.  Явір  (Papir PTE)  80 г/м.кв. 5 пач/ящ</t>
  </si>
  <si>
    <t>Папір А4 500арк idea! (Papir PTE) 80г/м.кв.; Ручка кулькова Josef Otten 555A синя 50 шт/уп; Ручка кулькова  ВМ 8117-03 Корвіна червона 50/1000 шт/уп; Ручка кулькова  Delta 2051-01 чорна 50/1000 шт/уп 37249; Гумка для олівця Neon L0999 80шт/уп; Коректор з пензликом 20 мл Delta 7016 12/576шт/уп; Клей-олівець 36г PVP BM 4918 12 шт/уп; Ножиці офісні 160мм BM 450712/144шт/уп; Маркер текстовий BM 8903-08 жовтий 12шт/уп; Затиск для паперу 51 мм BM 5301 12/60шт/уп; Сегрегатор А4 70 мм односторонній бузковий BM 3011-26 10/24шт/уп; Степлер №24/26 20 арк 50мм  BM 4258 асорті 12/144шт/уп; Скоби №24/6 25л 1000шт Е40302 Economix 10/1000шт/уп; Скріпки 28мм 100шт нікельовані заокруглені  41013 10/500шт/уп; Скріпки 50мм 100шт нікельовані заокруглені  ВМ 5001 10/500шт/уп; Файл А4+30мкм глянцевий 100шт Fresh Up 20-30/20уп в ящ/; Папір з липким шаром 51х12 4х100арк пастельний ВМ 2306-99 24/288 шт/уп; Папір з липким шаром 75х75 100арк зелений  Economix Е20932-13 12/384шт/уп; Книга А4 офсетна 96арк клітинка тверда ламінована обкладинка ВМ 2408 асорти; Швидкосшивач картонний А4+0,30мм  50шт/уп; Папка для паперів із зав’язками картон А4+0,30мм  50шт/уп; Швидкозшивач пластиковий з перфорацією А4 Economiх Light 38504-02 синій  10/100шт/уп; Папка-бокс архівна із зав’язками А4   картон 0,40мм 50шт/уп; Лампа розжарювання 60W E27 PHILIPS A55 100шт/уп; Затиск для паперу 41мм ВМ 5302 12/120шт/уп</t>
  </si>
  <si>
    <t>Папір для друку</t>
  </si>
  <si>
    <t xml:space="preserve">Папір туалетний
; Рушник паперовий 160 шт./уп.
</t>
  </si>
  <si>
    <t>Пара та гаряча вода</t>
  </si>
  <si>
    <t xml:space="preserve">Пара та гаряча вода </t>
  </si>
  <si>
    <t>Пара та гаряча вода, постачання пари та гарячої води</t>
  </si>
  <si>
    <t xml:space="preserve">Пара та гаряча вода, постачання пари та гарячої води </t>
  </si>
  <si>
    <t>Паркові лавки</t>
  </si>
  <si>
    <t>Паркові лавки для встановлення на території ж/м Кам’янський</t>
  </si>
  <si>
    <t>Переговорна процедура, скорочена</t>
  </si>
  <si>
    <t>Перчатки  трикотажні робочі</t>
  </si>
  <si>
    <t xml:space="preserve">Подовжувач 3 гнізда 5 метрів
; Подовжувач 3 гнізда 3 метри
; Подовжувач 3 гнізда 30 метрів
</t>
  </si>
  <si>
    <t>Подяки; Почесні грамоти</t>
  </si>
  <si>
    <t>Покіс карантинної рослинності на території Амур-Нижньодніпровського району м. Дніпро</t>
  </si>
  <si>
    <t>Поліетиленова продукція для пакування відходів (пакети для сміття)</t>
  </si>
  <si>
    <t>Посилання на редукціон</t>
  </si>
  <si>
    <t>Послуга з поточного ремонту та технічного обслуговування обладнання (Послуга з періодичної повірки лічильника води на місці експлуатації)</t>
  </si>
  <si>
    <t>Послуги  із благоустрою населених пунктів (послуги з технічного нагляду за наданням послуг з  благоустрою території біля буд. № 12  по вул. Решетилівська, м. Дніпро)</t>
  </si>
  <si>
    <t>Послуги  із благоустрою населених пунктів (послуги з технічного нагляду за наданням послуг з  благоустрою території біля буд. № 7 та №9 по вул. Новоселівська, м. Дніпро)</t>
  </si>
  <si>
    <t>Послуги  із благоустрою населених пунктів (послуги з технічного нагляду за наданням послуг з  благоустрою тротуарної доріжки від улаштованої дороги по вул. Котляревського, в районі буд. № 11а, до території навчального шкільного закладу)</t>
  </si>
  <si>
    <t>Послуги  із благоустрою населених пунктів (послуги з технічного нагляду за наданням послуг з  поточного ремонту – улаштування огорожі біля під’їзду № 5, №8 житлового будинку № 19 по вул. Шолохова, м. Дніпро)</t>
  </si>
  <si>
    <t>Послуги  із благоустрою населених пунктів (послуги з технічного нагляду за наданням послуг з  поточного ремонту – улаштування огорожі біля під’їздів №№ 5, 6, 7, 8, 9 житлового будинку № 42 по вул. Янтарна, м. Дніпро)</t>
  </si>
  <si>
    <t>Послуги  із благоустрою населених пунктів (послуги з технічного нагляду за наданням послуг з  ремонту дорожнього покриття приватного сектору Амур-Нижньодніпровського району м. Дніпро шляхом улаштування підстильних та вирівнювальних основ із шлаку, у тому числі грейдерування)</t>
  </si>
  <si>
    <t>Послуги  із благоустрою населених пунктів (послуги з технічного нагляду за наданням послуг з благоустрою території біля буд.  № 4 по вул. Дарницька, м. Дніпро)</t>
  </si>
  <si>
    <t>Послуги  із благоустрою населених пунктів (послуги з технічного нагляду за наданням послуг з благоустрою території біля під’їзду № 6 будинку   № 19 по вул. Шолохова, м. Дніпро)</t>
  </si>
  <si>
    <t>Послуги  із благоустрою населених пунктів (послуги з технічного нагляду за наданням послуг з улаштування огорожі біля будинку № 9 по вул. Новоселівська, м. Дніпро)</t>
  </si>
  <si>
    <t>Послуги Інтернет-провайдерів (Послуги з надання хостингу, оренди серверів, технічної підтримки розміщення, обслуговування інформаційного web-сайту)</t>
  </si>
  <si>
    <t>Послуги гарячого харчування мешканців м. Дніпро під час проведення заходів</t>
  </si>
  <si>
    <t xml:space="preserve">Послуги гарячого харчування мешканців м. Дніпро під час проведення заходів </t>
  </si>
  <si>
    <t>Послуги з адміністрування (обслуг-ня) програмного забезпечення / Чиж-бухгалтерія комплекс; Послуги з адміністрування (обслуг-ня) дод. робочого місця / Чиж-бухгалтерія комплекс; Послуги з адміністрування (обслуг-ня) дод. робочого місця / Казна; Послуги з адміністрування (обслуг-ня) програмного забезпечення / Казна; Послуги з адміністрування (обслуг-ня) програмного забезпечення / Казна/Банк; Послуги з адміністрування (обслуг-ня) програмного забезпечення / Казна/Угоди</t>
  </si>
  <si>
    <t>Послуги з адміністрування (обслуг-ня) програмного забезпечення/Чиж-бухгалтерія комплекс; Послуги з адміністрування (обслуг-ня) дод. робочого місця/Чиж-бухгалтерія комплекс; Послуги з адміністрування (обслуг-ня) дод. робочого місця/Казна; Послуги з адміністрування (обслуг-ня) програмного забезпечення/Казна; Послуги з адміністрування (обслуг-ня) програмного забезпечення/Казна/Банк; Послуги з адміністрування (обслуг-ня) програмного забезпечення/Казна/Угоди</t>
  </si>
  <si>
    <t>Послуги з адміністрування (обслуговування) програмного забезпечення "Зарплатні звіти", "Казна", "Чиж-Бухгалтерія" та телефонні консультації</t>
  </si>
  <si>
    <t xml:space="preserve">Послуги з благоустрою двору вздовж будинку 15 по шосе Донецькому </t>
  </si>
  <si>
    <t>Послуги з благоустрою двору вздовж будинків № 68 по вулиці Калинова, № 49 по вулиці С. Ковалевської</t>
  </si>
  <si>
    <t>Послуги з благоустрою двору за адресою: вул. Калинова, буд. 65</t>
  </si>
  <si>
    <t>Послуги з благоустрою двору за адресою: вул. Калинова, буд. 79 А</t>
  </si>
  <si>
    <t>Послуги з благоустрою двору за адресою: вул. Терещенківська, 4</t>
  </si>
  <si>
    <t>Послуги з благоустрою двору за адресою: вул. Янтарна, буд. 42</t>
  </si>
  <si>
    <t>Послуги з благоустрою двору за адресою: пров. Крушельницької, 5, 7</t>
  </si>
  <si>
    <t>Послуги з благоустрою двору за адресою: пров. Крушельницької, буд. 2</t>
  </si>
  <si>
    <t>Послуги з благоустрою двору за адресою: пров. Крушельницької, буд. 6</t>
  </si>
  <si>
    <t>Послуги з благоустрою двору за адресою: пров. Крушельницької, буд. 8</t>
  </si>
  <si>
    <t>Послуги з благоустрою двору за адресою: просп. Мануйлівський, буд. 75</t>
  </si>
  <si>
    <t>Послуги з благоустрою двору по  вул. Бажова 36</t>
  </si>
  <si>
    <t>Послуги з благоустрою двору по вул. Калинова, 45</t>
  </si>
  <si>
    <t>Послуги з благоустрою двору по вулиці Кожем’яки 11</t>
  </si>
  <si>
    <t>Послуги з благоустрою двору по вулиці Малиновського, 36</t>
  </si>
  <si>
    <t>Послуги з благоустрою двору по вулиці Мольєра, 44</t>
  </si>
  <si>
    <t>Послуги з благоустрою двору по вулиці Прогресивна 7</t>
  </si>
  <si>
    <t>Послуги з благоустрою двору по вулиці Терещенківська 18</t>
  </si>
  <si>
    <t>Послуги з благоустрою двору по вулиці Шолохова, 25</t>
  </si>
  <si>
    <t>Послуги з благоустрою двору по просп. Слобожанський, 77</t>
  </si>
  <si>
    <t>Послуги з благоустрою двору по проспекту Слобожанський  85</t>
  </si>
  <si>
    <t>Послуги з благоустрою населених пунктів (Послуги з технічного нагляду за наданням послуг  з улаштування огорожі вздовж будинку № 7 по Донецькому шосе,  м. Дніпро)</t>
  </si>
  <si>
    <t>Послуги з благоустрою населених пунктів (Послуги з технічного нагляду за наданням послуг з благоустрою прибудинкової території біля буд. № 2 по провулку Бахчисарайський,м. Дніпро)</t>
  </si>
  <si>
    <t>Послуги з благоустрою населених пунктів (Послуги з технічного нагляду за наданням послуг з благоустрою прибудинкової території біля буд. № 7-а по вул. Софії Ковалевської, м. Дніпро)</t>
  </si>
  <si>
    <t>Послуги з благоустрою населених пунктів (Послуги з технічного нагляду за наданням послуг з благоустрою прибудинкової території біля буд. №196 по вул. Богомаза, м. Дніпро)</t>
  </si>
  <si>
    <t>Послуги з благоустрою населених пунктів (Послуги з технічного нагляду за наданням послуг з благоустрою території біля буд. № 14 по вул. Артеківська, м. Дніпро)</t>
  </si>
  <si>
    <t>Послуги з благоустрою населених пунктів (Послуги з технічного нагляду за наданням послуг з благоустрою території в районі буд. № 60 по вул. Сонячна Набережна, м. Дніпро)</t>
  </si>
  <si>
    <t>Послуги з благоустрою населених пунктів (Послуги з технічного нагляду за наданням послуг з благоустрою території навколо дитячого майданчика за адресою:  вул. Бєляєва, 4, м. Дніпро)</t>
  </si>
  <si>
    <t>Послуги з благоустрою населених пунктів (Послуги з технічного нагляду за наданням послуг з облаштування майданчика під сміттєві баки та майданчика для негабаритного сміття за адресою: вул. Канівська, 21Г, м. Дніпро)</t>
  </si>
  <si>
    <t xml:space="preserve">Послуги з благоустрою населених пунктів (Послуги з технічного нагляду за наданням послуг з облаштування майданчика під сміттєві баки та майданчика для негабаритного сміття між буд. №7-а по вул. Софії Ковалевської та буд. 29 по вул. Артеківська, м. Дніпро) </t>
  </si>
  <si>
    <t>Послуги з благоустрою населених пунктів (Послуги з технічного нагляду за наданням послуг з улаштування огорожі вздовж будинку № 7 по Донецькому шосе,  м. Дніпро)</t>
  </si>
  <si>
    <t>Послуги з благоустрою населених пунктів (Послуги з технічного нагляду за наданням послуг з улаштування тротуарної доріжки біля буд. № 51 по вул. Софії Ковалевської, м. Дніпро)</t>
  </si>
  <si>
    <t>Послуги з благоустрою населених пунктів (Послуги з технічного нагляду за улаштуванням тротуарної доріжки від будинку № 5 по провулку Крушельницької, м. Дніпро)</t>
  </si>
  <si>
    <t>Послуги з благоустрою населених пунктів (Послуги з технічного нагляду за улаштуванням тротуарної доріжки від будинку №188Д по вул. Богомаза до будинку №5 по провулку Крушельницької, м. Дніпро)</t>
  </si>
  <si>
    <t>Послуги з благоустрою населених пунктів (Послуги з технічного нагляду на наданням послуг з облаштування майданчика під сміттєві баки навпроти буд. 61 по вул. Осипенка, м. Дніпро)</t>
  </si>
  <si>
    <t xml:space="preserve">Послуги з благоустрою пішохідних зон та дворів Амур-Нижньодніпровського району м. Дніпро.
:Послуги з благоустрою двору вздовж будинку 15 по шосе Донецькому </t>
  </si>
  <si>
    <t>Послуги з благоустрою пішохідних зон та дворів Амур-Нижньодніпровського району м. Дніпро.
:Послуги з благоустрою двору вздовж будинків № 68 по вулиці Калинова, № 49 по вулиці С. Ковалевської</t>
  </si>
  <si>
    <t xml:space="preserve">Послуги з благоустрою пішохідних зон та дворів Амур-Нижньодніпровського району м. Дніпро.
:Послуги з благоустрою двору по  вул. Бажова 36
</t>
  </si>
  <si>
    <t>Послуги з благоустрою пішохідних зон та дворів Амур-Нижньодніпровського району м. Дніпро.
:Послуги з благоустрою двору по вулиці Богомаза, 200</t>
  </si>
  <si>
    <t>Послуги з благоустрою пішохідних зон та дворів Амур-Нижньодніпровського району м. Дніпро.
:Послуги з благоустрою двору по вулиці Кожем’яки 11</t>
  </si>
  <si>
    <t>Послуги з благоустрою пішохідних зон та дворів Амур-Нижньодніпровського району м. Дніпро.
:Послуги з благоустрою двору по вулиці Малиновського, 36</t>
  </si>
  <si>
    <t>Послуги з благоустрою пішохідних зон та дворів Амур-Нижньодніпровського району м. Дніпро.
:Послуги з благоустрою двору по вулиці Мольєра, 44</t>
  </si>
  <si>
    <t>Послуги з благоустрою пішохідних зон та дворів Амур-Нижньодніпровського району м. Дніпро.
:Послуги з благоустрою двору по вулиці Прогресивна 7</t>
  </si>
  <si>
    <t>Послуги з благоустрою пішохідних зон та дворів Амур-Нижньодніпровського району м. Дніпро.
:Послуги з благоустрою двору по вулиці Терещенківська 18</t>
  </si>
  <si>
    <t>Послуги з благоустрою пішохідних зон та дворів Амур-Нижньодніпровського району м. Дніпро.
:Послуги з благоустрою двору по вулиці Шолохова, 25</t>
  </si>
  <si>
    <t>Послуги з благоустрою пішохідних зон та дворів Амур-Нижньодніпровського району м. Дніпро.
:Послуги з благоустрою двору по проспекту Слобожанський  85</t>
  </si>
  <si>
    <t>Послуги з благоустрою пішохідних зон та дворів Амур-Нижньодніпровського району м. Дніпро.
:Послуги з благоустрою території  вздовж вулиці Передова 427 А, 427 Б, 427 К</t>
  </si>
  <si>
    <t>Послуги з благоустрою пішохідних зон та дворів Амур-Нижньодніпровського району м. Дніпро.
:Послуги з благоустрою території від вулиці Берегова, 1 до вулиці Скрябіна, 46 (СЗОШ 56)</t>
  </si>
  <si>
    <t>Послуги з благоустрою пішохідних зон та дворів Амур-Нижньодніпровського району:Послуги з благоустрою двору по вул. Калинова, 45</t>
  </si>
  <si>
    <t>Послуги з благоустрою пішохідних зон та дворів Амур-Нижньодніпровського району:Послуги з благоустрою двору по просп. Слобожанський, 77</t>
  </si>
  <si>
    <t xml:space="preserve">Послуги з благоустрою пішохідних зон та дворів Амур-Нижньодніпровського району:Послуги з благоустрою пішохідної зони по просп. Слобожанському від буд. 77 до буд. 79  </t>
  </si>
  <si>
    <t>Послуги з благоустрою пішохідної зони від будинку 106 по шосе Донецькому до буд. 202 по вул. Богомаза, із встановленням урн, лавок, світильників та огорожі</t>
  </si>
  <si>
    <t>Послуги з благоустрою пішохідної зони від будинку 106 по шосе Донецькому до будинку 202 по вул. Богомаза, зі встановленням урн, лавок, світильників та огорожі</t>
  </si>
  <si>
    <t xml:space="preserve">Послуги з благоустрою пішохідної зони по просп. Слобожанському від буд. 77 до буд. 79  </t>
  </si>
  <si>
    <t>Послуги з благоустрою спортивного майданчика за адресою: вул. Обоянська, буд. 4</t>
  </si>
  <si>
    <t>Послуги з благоустрою території  вздовж вулиці Передова 427 А, 427 Б, 427 К</t>
  </si>
  <si>
    <t>Послуги з благоустрою території  за адресою: вул. Артеківська, буд. 29</t>
  </si>
  <si>
    <t>Послуги з благоустрою території від вулиці Берегова, 1 до вулиці Скрябіна, 46 (СЗОШ 56)</t>
  </si>
  <si>
    <t>Послуги з благоустрою території за адресою: вул. Артеківська, буд. 29</t>
  </si>
  <si>
    <t>Послуги з благоустрою території між буд. 45 та буд. 35 по вул. Каруни</t>
  </si>
  <si>
    <t>Послуги з благоустрою щодо озеленення території за адресою: вул. Передова, уздовж будинків № № 427 А, 427 Б, 427</t>
  </si>
  <si>
    <t>Послуги з благоустрою, а саме: демонтаж бетонних конструкцій по вул. Водопровідній, навпроти будинків № № 123-125, 127, 129,131, 133, 135</t>
  </si>
  <si>
    <t>Послуги з грейдерування доріг Амур-Нижньодніпровського району м. Дніпра</t>
  </si>
  <si>
    <t>Послуги з збирання вручну випадкового сміття на території Амур-Нижньодніпровського району м. Дніпра</t>
  </si>
  <si>
    <t>Послуги з збирання вручну випадкового сміття на території Амур-Нижньодніпровського району м. Дніпра, ДК 021:2015: 90610000-6 – Послуги з прибирання та підмітання вулиць</t>
  </si>
  <si>
    <t>Послуги з збирання вручну випадкового сміття на території Амур-Нижньодніпровського району, м. Дніпра</t>
  </si>
  <si>
    <t>Послуги з ліквідації сміттєзвалищ на території Амур-Нижньодніпровського району м. Дніпра</t>
  </si>
  <si>
    <t>Послуги з ліквідації стихійних сміттєзвалищ на території Амур-Нижньодніпровського району м. Дніпро</t>
  </si>
  <si>
    <t>Послуги з надання хостингу, оренди серверів, технічної підтримки розміщення, обслуговування інформаційного web-сайту</t>
  </si>
  <si>
    <t xml:space="preserve">Послуги з нерегулярних пасажирських перевезень для забезпечення проведення рейдових заходів з виявлення та усунення дитячої бездоглядності та злочинності на території Амур-Нижньодніпровського району міста Дніпра </t>
  </si>
  <si>
    <t>Послуги з обслуговування протипожежної сигналізації (здійснення цілодобового спостереження за виникненням пожежі (загорання)) в приміщеннях (будинках, спорудах) об’єкту</t>
  </si>
  <si>
    <t>Послуги з обслуговування протипожежної сигналізації (здійснення цілодобового спостереження за виникненням пожежі (загорання)) в приміщеннях найпростішого укриття</t>
  </si>
  <si>
    <t>Послуги з очищення доріг від снігу на території Амур-Нижньодніпровського району міста Дніпра</t>
  </si>
  <si>
    <t>Послуги з передавання даних і повідомлень (електронні комунікаційні послуги), а також послуги, пов’язані технологічно з електронними комунікаційними послугами</t>
  </si>
  <si>
    <t>Послуги з передавання даних і повідомлень (телекомунікаційні послуги) та послуги, пов'язані технологічно з телекомунікаційними послугами</t>
  </si>
  <si>
    <t>Послуги з поводження з побутовими відходами</t>
  </si>
  <si>
    <t>Послуги з поводження з побутовими відходами в частині вивезення та захоронення твердих побутових відходів</t>
  </si>
  <si>
    <t>Послуги з поводження з побутовими відходами в частині вивезення та захоронення твердих побутових відходів
Загальна сума договору становить 19537,23 грн. (114,40 м.куб.), у т. ч. ПДВ - 3256,21 грн., (адміністрація: 16531,50 грн. (96,8 м.куб.); орендарі: 3005,73 грн., (17,6 м.куб.)</t>
  </si>
  <si>
    <t>Послуги з постійного технічного супроводу комп'ютерної програми "Єдина інформаційна система управління місцевим бюджетом"</t>
  </si>
  <si>
    <t>Послуги з поточного ремонту автомобіля ДЕУ Ланос із заміною автозапчастин</t>
  </si>
  <si>
    <t>Послуги з поточного ремонту автомобіля ДЕУ Сенс АЕ 1173 АТ, ДЕУ Ланос АЕ 4993 РР з заміною автозапчастин</t>
  </si>
  <si>
    <t>Послуги з поточного ремонту автомобіля Черрі Еллара</t>
  </si>
  <si>
    <t xml:space="preserve">Послуги з поточного ремонту багатофункціонального пристрою Canon i-sensys MF3010 </t>
  </si>
  <si>
    <t>Послуги з поточного ремонту системи опалення у будинку № 9 по вул. Марії Лисиченко з встановленням вузла обліку теплової енергії</t>
  </si>
  <si>
    <t>Послуги з поточного ремонту системи пожежної сигналізації</t>
  </si>
  <si>
    <t>Послуги з поточного ремонту та обслуговування комп'ютерної та організаційної техніки</t>
  </si>
  <si>
    <t xml:space="preserve">Послуги з поточного ремонту та обслуговування комп'ютерної та організаційної техніки </t>
  </si>
  <si>
    <t>Послуги з поточного ремонту та обслуговування комп’ютерної та організаційної техніки (Послуги з поточного ремонту багатофункціонального пристрою Canon i-sensys MF3010)</t>
  </si>
  <si>
    <t>Послуги з поточного ремонту та обслуговування комп’ютерної та організаційної техніки (Послуги з поточного ремонту безперебійного блоку живлення Delta VX-1000 VA)</t>
  </si>
  <si>
    <t>Послуги з поточного ремонту і технічного обслуговування обладнання охоронної сигналізації</t>
  </si>
  <si>
    <t>Послуги з підтримки та обслуговування веб-сайту адміністрації</t>
  </si>
  <si>
    <t>Послуги з рекультивації та очищення ґрунту між вул. Передовою, буд. 530 В та вул. Водопровідною, буд. 131</t>
  </si>
  <si>
    <t>Послуги з ремонту та облаштування споруд цивільного захисту (укриття, бомбосховища тощо), а саме послуги з поточного ремонту підвального приміщення адміністративної будівлі, що використовується як найпростіше укриття за адресою:  м. Дніпро, проспект Мануйлівський, будинок 31</t>
  </si>
  <si>
    <t>Послуги з ремонту та облаштування споруд цивільного захисту (укриття, бомбосховища тощо), а саме послуги з поточного ремонту підвального приміщення адміністративної будівлі, що використовується як найпростіше укриття за адресою:  м. Дніпро, проспект Мануйлівський, будинок 31:Послуги з ремонту та облаштування споруд цивільного захисту (укриття, бомбосховища тощо), а саме послуги з поточного ремонту підвального приміщення адміністративної будівлі, що використовується як найпростіше укриття за адресою:  м. Дніпро, проспект Мануйлівський, будинок 31.</t>
  </si>
  <si>
    <t>Послуги з ремонту та облаштування споруд цивільного захисту (укриття, бомбосховища тощо), а саме послуги з технічного консультування та складання дефектного акту на поточний ремонт підвального приміщення адміністративної будівлі, що використовується як найпростіше укриття за адресою: м. Дніпро, проспект Мануйлівський, будинок 31</t>
  </si>
  <si>
    <t>Послуги з ремонту та облаштування споруд цивільного захисту (укриття, бомбосховища тощо), а саме послуги зі встановлення пожежної  сигналізації у підвальному приміщенні адміністративної будівлі, що використовується як найпростіше укриття за адресою: проспект Мануйлівський, будинок 31, м. Дніпро.</t>
  </si>
  <si>
    <t>Послуги з розподілу електричної енергії</t>
  </si>
  <si>
    <t>Послуги з технічного консультування та складання дефектного акту на поточний ремонт найпростішого укриття</t>
  </si>
  <si>
    <t>Послуги з технічного нагляду за наданням послуг з ремонту та облаштування споруд цивільного захисту (укриття, бомбосховища тощо), а саме послуг з поточного ремонту підвального приміщення адміністративної будівлі, що буде використовуватися як найпростіше укриття за адресою: м. Дніпро, проспект Мануйлівський, буд. 31</t>
  </si>
  <si>
    <t>Послуги з технічного обслуговування обладнання (кондиціонерів)</t>
  </si>
  <si>
    <t>Послуги з технічного обслуговування обладнання (повірка лічильника теплової енергії)</t>
  </si>
  <si>
    <t>Послуги з технічного обслуговування і ремонту автомобільного транспорту</t>
  </si>
  <si>
    <t>Послуги з технічного обслуговування і ремонту автомобільного транспорту ( CHERY ELARA AE 0027 CH) із заміною автозапчастин</t>
  </si>
  <si>
    <t>Послуги з технічного обслуговування і ремонту автомобільного транспорту (CHERY ELARA  AE 0027 CH) із заміною автозапчастин</t>
  </si>
  <si>
    <t>Послуги з технічного обслуговування і ремонту автомобільного транспорту (CHERY ELARA AE 0027 CH) із заміною автозапчастин</t>
  </si>
  <si>
    <t xml:space="preserve">Послуги з технічного обслуговування і ремонту автомобільного транспорту (CHERY ELARA AE 0027 CH) із заміною автозапчастин </t>
  </si>
  <si>
    <t>Послуги з технічного обслуговування і ремонту автомобільного транспорту (CHERY ELARA АЕ 0027 СН  ) із заміною автозапчастин</t>
  </si>
  <si>
    <t>Послуги з технічного обслуговування і ремонту автомобільного транспорту (DAEWOO SENS AE 1173 AT) із заміною автозапчастин</t>
  </si>
  <si>
    <t>Послуги з технічного обслуговування і ремонту автомобільного транспорту (DAEWOO SENS, CHERY ELARA) із заміною автозапчастин</t>
  </si>
  <si>
    <t>Послуги з технічного обслуговування і ремонту автомобільного транспорту (Део Ланос АЕ 4943 РР) із заміною автозапчастин</t>
  </si>
  <si>
    <t>Послуги з технічного обслуговування і ремонту автомобільного транспорту (Ланос АЕ 4943 РР)</t>
  </si>
  <si>
    <t>Послуги з технічного обслуговування і ремонту автомобільного транспорту (Ланос АЕ 4943 РР) із заміною автозапчастин</t>
  </si>
  <si>
    <t>Послуги з технічного обслуговування і ремонту автомобільного транспорту (Шевроле Авео АЕ 4972 ІО) із заміною автозапчастин</t>
  </si>
  <si>
    <t>Послуги з технічного обслуговування і ремонту автомобільного транспорту із заміною автозапчастин</t>
  </si>
  <si>
    <t>Послуги з технічного обслуговування і ремонту автомобіля ДЕУ Ланос АЕ 4943 РР із заміною автозапчастин</t>
  </si>
  <si>
    <t>Послуги з технічного супроводу комп'ютерної програми "Єдина інформаційна система управління місцевим бюджетом"</t>
  </si>
  <si>
    <t>Послуги з технічного супроводу комп'ютерної програми "Єдина інформаційна система управління місцевим бюджетом" ("ЄІСУБ для місцевого бюджету")</t>
  </si>
  <si>
    <t>Послуги з улаштування тротуарного покриття від зупинки громадського транспорту "Школа № 115" по вул. Передовій до вул. Водопровідної</t>
  </si>
  <si>
    <t>Послуги з управління побутовими відходами</t>
  </si>
  <si>
    <t>Послуги з централізованого водовідведення</t>
  </si>
  <si>
    <t>Послуги з централізованого водопостачання</t>
  </si>
  <si>
    <t xml:space="preserve">Послуги з централізованого водопостачання
</t>
  </si>
  <si>
    <t xml:space="preserve">Послуги з централізованого водопостачання </t>
  </si>
  <si>
    <t>Послуги зв’язку (послуги з передавання даних і повідомлень (електронні комунікаційні послуги)), а також послуги, пов’язані технологічно з електронними комунікаційними послугами</t>
  </si>
  <si>
    <t xml:space="preserve">Послуги зі здійснення цілодобового спостереження за виникненням пожежі (загорання) в приміщеннях (будинках, спорудах)  об'єкту </t>
  </si>
  <si>
    <t xml:space="preserve">Послуги зі здійснення цілодобового спостереження за виникненням пожежі (загорання) в приміщеннях відділу ведення державного реєстра виборців </t>
  </si>
  <si>
    <t>Послуги зі здійснення цілодобового спостереження за виникненням пожежі (загорання) в приміщеннях відділу ведення державного реєстру виборців</t>
  </si>
  <si>
    <t>Послуги зі здійснення цілодобового спостереження за виникненням пожежі (загоряння) в приміщеннях (будинках, спорудах) об'єкту</t>
  </si>
  <si>
    <t>Послуги зі знесення самостійних дерев (порослі), корчування пнів уздовж вул. Передової, будинки 427, 427 А, 427 Б</t>
  </si>
  <si>
    <t>Послуги по заміні кабелю ПСВВ нг (60м) ; Послуги демонтажу; Послуги монтажу; Послуги по заміні датчика СПД 3; Послуги по заміні ручника СПР-1</t>
  </si>
  <si>
    <t>Послуги по заправці картриджів</t>
  </si>
  <si>
    <t>Послуги по обслуговуванню сигналізації встановленої в приміщенні відділу ведення держреєстру</t>
  </si>
  <si>
    <t>Послуги по обслуговуванню сигналізації встановленої в приміщенні відділу реєстру</t>
  </si>
  <si>
    <t>Послуги по обслуговуванню сигналізації, встановленої на об'єктах</t>
  </si>
  <si>
    <t>Послуги щодо відновлення бази даних стосовно програмного забезпечення для бухгалтерського обліку</t>
  </si>
  <si>
    <t>Послуги із благоустрою населених пунктів  (Послуги з технічного нагляду за наданням послуг з благоустрою території двору буд. 17 по вул. Кожум’яки, м. Дніпро)</t>
  </si>
  <si>
    <t xml:space="preserve">Послуги із благоустрою населених пунктів  (Послуги з технічного нагляду за наданням послуг з благоустрою території двору буд. 17 по вул. Кожум’яки, м. Дніпро)
</t>
  </si>
  <si>
    <t xml:space="preserve">Послуги із благоустрою населених пунктів  (Послуги з технічного нагляду за наданням послуг з благоустрою території двору буд. 61 по вул. Калинова, м. Дніпро)
</t>
  </si>
  <si>
    <t>Послуги із благоустрою населених пунктів  (Послуги з технічного нагляду за наданням послуг з благоустрою території між буд. № 1 та буд. № 3 по вул. Планетна, м. Дніпро)</t>
  </si>
  <si>
    <t xml:space="preserve">Послуги із благоустрою населених пунктів  (Послуги з технічного нагляду за наданням послуг з благоустрою території між буд. № 1 та буд. № 3 по вул. Планетна, м. Дніпро)
</t>
  </si>
  <si>
    <t xml:space="preserve">Послуги із благоустрою населених пунктів  (Послуги з технічного нагляду за наданням послуг з благоустрою території навпроти буд. №54 вул. Сонячна Набережна, м. Дніпро)
</t>
  </si>
  <si>
    <t>Послуги із благоустрою населених пунктів  (Послуги з технічного нагляду за наданням послуг з облаштування майданчика під сміттєві баки та майданчика для негабаритного сміття за адресою: вул. Вітчизняна, 39, м. Дніпро)</t>
  </si>
  <si>
    <t xml:space="preserve">Послуги із благоустрою населених пунктів  (Послуги з технічного нагляду за наданням послуг з облаштування майданчика під сміттєві баки та майданчика для негабаритного сміття за адресою: вул. Вітчизняна, 39, м. Дніпро)
</t>
  </si>
  <si>
    <t xml:space="preserve">Послуги із благоустрою населених пунктів  (Послуги з технічного нагляду за наданням послуг з облаштування майданчика під сміттєві баки та майданчика для негабаритного сміття за адресою: вул. Щукіна, 1, м. Дніпро)
</t>
  </si>
  <si>
    <t xml:space="preserve">Послуги із благоустрою населених пунктів  (Послуги з технічного нагляду за наданням послуг з поточного ремонту дорожнього  покриття вулиць приватного сектору Амур-Нижньодніпровського району м. Дніпро)
</t>
  </si>
  <si>
    <t>Послуги із благоустрою населених пунктів  (Послуги з технічного нагляду за наданням послуг з поточного ремонту металевих сходів, які знаходяться навпроти буд. 60 по вул. Сонячна Набережна, в районі пам’ятки «Пам’ятника льотчикам 17-ї повітряної армії», м. Дніпро)</t>
  </si>
  <si>
    <t xml:space="preserve">Послуги із благоустрою населених пунктів  (Послуги з технічного нагляду за наданням послуг з поточного ремонту металевих сходів, які знаходяться навпроти буд. 60 по вул. Сонячна Набережна, в районі пам’ятки «Пам’ятника льотчикам 17-ї повітряної армії», м. Дніпро)
</t>
  </si>
  <si>
    <t>Послуги із благоустрою населених пунктів ( Послуги з благоустрою території біля буд. № 35 по вул. Шолохова, м. Дніпро)</t>
  </si>
  <si>
    <t>Послуги із благоустрою населених пунктів ( Послуги з благоустрою території біля буд. № 35 по вул. Шолохова, м. Дніпро):Послуги із благоустрою населених пунктів ( Послуги з благоустрою території біля буд. № 35 по вул. Шолохова, м. Дніпро)</t>
  </si>
  <si>
    <t>Послуги із благоустрою населених пунктів ( Послуги з благоустрою території біля буд. № 36 по вул. Бажова, м. Дніпро)</t>
  </si>
  <si>
    <t>Послуги із благоустрою населених пунктів ( Послуги з благоустрою території біля буд. № 36 по вул. Бажова, м. Дніпро):Послуги із благоустрою населених пунктів ( Послуги з благоустрою території біля буд. № 36 по вул. Бажова, м. Дніпро)</t>
  </si>
  <si>
    <t>Послуги із благоустрою населених пунктів ( Послуги з благоустрою території в районі буд. 204В по вул. Моторна, м. Дніпро)</t>
  </si>
  <si>
    <t>Послуги із благоустрою населених пунктів ( Послуги з благоустрою території в районі буд. 204В по вул. Моторна, м. Дніпро):Послуги із благоустрою населених пунктів ( Послуги з благоустрою території в районі буд. 204В по вул. Моторна, м. Дніпро)</t>
  </si>
  <si>
    <t>Послуги із благоустрою населених пунктів ( Послуги з благоустрою території в районі буд. 64 по вул. Белградська, м. Дніпро)</t>
  </si>
  <si>
    <t>Послуги із благоустрою населених пунктів ( Послуги з благоустрою території в районі буд. 64 по вул. Белградська, м. Дніпро):Послуги із благоустрою населених пунктів ( Послуги з благоустрою території в районі буд. 64 по вул. Белградська, м. Дніпро)</t>
  </si>
  <si>
    <t>Послуги із благоустрою населених пунктів (Благоустрій зеленої зони навпроти будинку 528 А по вул. Передовій)</t>
  </si>
  <si>
    <t>Послуги із благоустрою населених пунктів (Благоустрій зеленої зони навпроти будинку 528 А по вул. Передовій):Послуги із благоустрою населених пунктів (Благоустрій зеленої зони навпроти будинку 528 А по вул. Передовій)</t>
  </si>
  <si>
    <t>Послуги із благоустрою населених пунктів (Влаштування тротуарної доріжки біля біля буд. №14 по вул. Терещенківська, м. Дніпро)</t>
  </si>
  <si>
    <t>Послуги із благоустрою населених пунктів (Грейдерування та відсипка доріг вулиць приватного сектору Амур-Нижньодніпровського району м. Дніпро).</t>
  </si>
  <si>
    <t>Послуги із благоустрою населених пунктів (Грейдерування та відсипка доріг вулиць приватного сектору Амур-Нижньодніпровського району м. Дніпро).:Послуги із благоустрою населених пунктів (Грейдерування та відсипка доріг вулиць приватного сектору Амур-Нижньодніпровського району м. Дніпро).</t>
  </si>
  <si>
    <t>Послуги із благоустрою населених пунктів (Озеленення території та утримання зелених насаджень навпроти будинку 528 А по вул. Передовій)</t>
  </si>
  <si>
    <t>Послуги із благоустрою населених пунктів (Озеленення території та утримання зелених насаджень навпроти будинку 528 А по вул. Передовій):Послуги із благоустрою населених пунктів (Озеленення території та утримання зелених насаджень навпроти будинку 528 А по вул. Передовій)</t>
  </si>
  <si>
    <t>Послуги із благоустрою населених пунктів (Покіс карантинної рослинності та бур'яну на території Амур-Нижньодніпровського району міста Дніпра</t>
  </si>
  <si>
    <t xml:space="preserve">Послуги із благоустрою населених пунктів (Покіс карантинної рослинності та бур'яну на території Амур-Нижньодніпровського району міста Дніпра)
</t>
  </si>
  <si>
    <t xml:space="preserve">Послуги із благоустрою населених пунктів (Покіс карантинної рослинності та бур'яну на території Амур-Нижньодніпровського району міста Дніпра):Послуги із благоустрою населених пунктів (Покіс карантинної рослинності та бур'яну на території Амур-Нижньодніпровського району міста Дніпра)
</t>
  </si>
  <si>
    <t>Послуги із благоустрою населених пунктів (Покіс карантинної рослинності та бур'яну на території Амур-Нижньодніпровського району міста Дніпра:Послуги із благоустрою населених пунктів (Покіс карантинної рослинності та бур'яну на території Амур-Нижньодніпровського району міста Дніпра</t>
  </si>
  <si>
    <t>Послуги із благоустрою населених пунктів (Послуги з благоустрою двору за адресою: вул. Терещенківська, буд. 14, м. Дніпро)</t>
  </si>
  <si>
    <t>Послуги із благоустрою населених пунктів (Послуги з благоустрою двору за адресою: вул. Терещенківська, буд. 18, м. Дніпро)</t>
  </si>
  <si>
    <t>Послуги із благоустрою населених пунктів (Послуги з благоустрою двору за адресою: вул. Терещенківська, буд. 18, м. Дніпро):Послуги із благоустрою населених пунктів (Послуги з благоустрою двору за адресою: вул. Терещенківська, буд. 18, м. Дніпро)</t>
  </si>
  <si>
    <t>Послуги із благоустрою населених пунктів (Послуги з благоустрою прибудинкової території біля буд. № 2 по провулку Бахчисарайський,                               м. Дніпро):Послуги із благоустрою населених пунктів (Послуги з благоустрою прибудинкової території біля буд. № 2 по провулку Бахчисарайський, м. Дніпро)</t>
  </si>
  <si>
    <t>Послуги із благоустрою населених пунктів (Послуги з благоустрою прибудинкової території біля буд. № 2 по провулку Бахчисарайський, м. Дніпро)</t>
  </si>
  <si>
    <t>Послуги із благоустрою населених пунктів (Послуги з благоустрою прибудинкової території біля буд. № 7-а по вул. Софії Ковалевської,                               м. Дніпро):Послуги із благоустрою населених пунктів (Послуги з благоустрою прибудинкової території біля буд. № 7-а по вул. Софії Ковалевської, м. Дніпро)</t>
  </si>
  <si>
    <t>Послуги із благоустрою населених пунктів (Послуги з благоустрою прибудинкової території біля буд. № 7-а по вул. Софії Ковалевської, м. Дніпро)</t>
  </si>
  <si>
    <t>Послуги із благоустрою населених пунктів (Послуги з благоустрою прибудинкової території біля буд. №196 по вул. Богомаза, м. Дніпро).</t>
  </si>
  <si>
    <t>Послуги із благоустрою населених пунктів (Послуги з благоустрою території  біля буд. № 14 по вул. Артеківська, м. Дніпро)</t>
  </si>
  <si>
    <t>Послуги із благоустрою населених пунктів (Послуги з благоустрою території  біля буд. № 14 по вул. Артеківська, м. Дніпро):Послуги із благоустрою населених пунктів (Послуги з благоустрою території  біля буд. № 14 по вул. Артеківська, м. Дніпро)</t>
  </si>
  <si>
    <t>Послуги із благоустрою населених пунктів (Послуги з благоустрою території біля буд. № 12 по вул. Решетилівська, м. Дніпро)</t>
  </si>
  <si>
    <t>Послуги із благоустрою населених пунктів (Послуги з благоустрою території біля буд. № 15 по вул. Каспійська, м. Дніпро)</t>
  </si>
  <si>
    <t>Послуги із благоустрою населених пунктів (Послуги з благоустрою території біля буд. № 32 по вул. Бажова, м. Дніпро)</t>
  </si>
  <si>
    <t>Послуги із благоустрою населених пунктів (Послуги з благоустрою території біля буд. № 32 по вул. Бажова, м. Дніпро):Послуги із благоустрою населених пунктів (Послуги з благоустрою території біля буд. № 32 по вул. Бажова, м. Дніпро)</t>
  </si>
  <si>
    <t>Послуги із благоустрою населених пунктів (Послуги з благоустрою території біля буд. № 34 по вул. Бажова, м. Дніпро)</t>
  </si>
  <si>
    <t>Послуги із благоустрою населених пунктів (Послуги з благоустрою території біля буд. № 34 по вул. Бажова, м. Дніпро):Послуги із благоустрою населених пунктів (Послуги з благоустрою території біля буд. № 34 по вул. Бажова, м. Дніпро)</t>
  </si>
  <si>
    <t>Послуги із благоустрою населених пунктів (Послуги з благоустрою території біля буд. № 36 по вул. Бажова, м. Дніпро)</t>
  </si>
  <si>
    <t>Послуги із благоустрою населених пунктів (Послуги з благоустрою території біля буд. № 36 по вул. Бажова, м. Дніпро):Послуги із благоустрою населених пунктів (Послуги з благоустрою території біля буд. № 36 по вул. Бажова, м. Дніпро)</t>
  </si>
  <si>
    <t>Послуги із благоустрою населених пунктів (Послуги з благоустрою території біля буд. № 4 по вул. Дарницька, м. Дніпро)</t>
  </si>
  <si>
    <t>Послуги із благоустрою населених пунктів (Послуги з благоустрою території біля буд. № 4 по вул. Дарницька, м. Дніпро):Послуги із благоустрою населених пунктів (Послуги з благоустрою території біля буд. № 4 по вул. Дарницька, м. Дніпро)</t>
  </si>
  <si>
    <t>Послуги із благоустрою населених пунктів (Послуги з благоустрою території біля буд. № 7 по вул. Шолохова, м. Дніпро)</t>
  </si>
  <si>
    <t>Послуги із благоустрою населених пунктів (Послуги з благоустрою території біля буд. № 7 по вул. Шолохова, м. Дніпро):Послуги із благоустрою населених пунктів (Послуги з благоустрою території біля буд. № 7 по вул. Шолохова, м. Дніпро)</t>
  </si>
  <si>
    <t>Послуги із благоустрою населених пунктів (Послуги з благоустрою території біля буд. № 7 та буд. № 9 по вул. Новоселівська, м. Дніпро)</t>
  </si>
  <si>
    <t>Послуги із благоустрою населених пунктів (Послуги з благоустрою території біля буд. № 7 та буд. № 9 по вул. Новоселівська, м. Дніпро):Послуги із благоустрою населених пунктів (Послуги з благоустрою території біля буд. № 7 та буд. № 9 по вул. Новоселівська, м. Дніпро)</t>
  </si>
  <si>
    <t>Послуги із благоустрою населених пунктів (Послуги з благоустрою території біля буд. №15 по Донецькому шосе, м. Дніпро)</t>
  </si>
  <si>
    <t>Послуги із благоустрою населених пунктів (Послуги з благоустрою території біля буд. №15 по Донецькому шосе, м. Дніпро):Послуги із благоустрою населених пунктів (Послуги з благоустрою території біля буд. №15 по Донецькому шосе, м. Дніпро)</t>
  </si>
  <si>
    <t>Послуги із благоустрою населених пунктів (Послуги з благоустрою території біля буд. №16 по вул. Бєляєва, м. Дніпро)</t>
  </si>
  <si>
    <t>Послуги із благоустрою населених пунктів (Послуги з благоустрою території біля буд. №27 по вул. Терещенківська, м. Дніпро)</t>
  </si>
  <si>
    <t>Послуги із благоустрою населених пунктів (Послуги з благоустрою території біля буд. №27 по вул. Терещенківська, м. Дніпро):Послуги із благоустрою населених пунктів (Послуги з благоустрою території біля буд. №27 по вул. Терещенківська, м. Дніпро)</t>
  </si>
  <si>
    <t>Послуги із благоустрою населених пунктів (Послуги з благоустрою території біля буд. №3 по Донецькому шосе, м. Дніпро)</t>
  </si>
  <si>
    <t>Послуги із благоустрою населених пунктів (Послуги з благоустрою території біля буд. №5 по вул. Придніпровська, м. Дніпро)</t>
  </si>
  <si>
    <t>Послуги із благоустрою населених пунктів (Послуги з благоустрою території біля буд. №5 по вул. Придніпровська, м. Дніпро):Послуги із благоустрою населених пунктів (Послуги з благоустрою території біля буд. №5 по вул. Придніпровська, м. Дніпро)</t>
  </si>
  <si>
    <t>Послуги із благоустрою населених пунктів (Послуги з благоустрою території біля буд. №5 по вул. Софії Ковалевської, м. Дніпро)</t>
  </si>
  <si>
    <t>Послуги із благоустрою населених пунктів (Послуги з благоустрою території біля буд. №5 по вул. Софії Ковалевської, м. Дніпро):Послуги із благоустрою населених пунктів (Послуги з благоустрою території біля буд. №5 по вул. Софії Ковалевської, м. Дніпро)</t>
  </si>
  <si>
    <t>Послуги із благоустрою населених пунктів (Послуги з благоустрою території біля під’їзду № 6 будинку № 19 по вул. Шолохова, м. Дніпро)</t>
  </si>
  <si>
    <t>Послуги із благоустрою населених пунктів (Послуги з благоустрою території в районі буд. № 60 по вул. Сонячна Набережна, м. Дніпро)</t>
  </si>
  <si>
    <t>Послуги із благоустрою населених пунктів (Послуги з благоустрою території в районі буд. № 60 по вул. Сонячна Набережна, м. Дніпро):Послуги із благоустрою населених пунктів (Послуги з благоустрою території в районі буд. № 60 по вул. Сонячна Набережна, м. Дніпро)</t>
  </si>
  <si>
    <t xml:space="preserve">Послуги із благоустрою населених пунктів (Послуги з благоустрою території двору буд. 17 по вул. Кожум'яки, м. Дніпро) </t>
  </si>
  <si>
    <t xml:space="preserve">Послуги із благоустрою населених пунктів (Послуги з благоустрою території двору буд. 17 по вул. Кожум'яки, м. Дніпро) :Послуги із благоустрою населених пунктів (Послуги з благоустрою території двору буд. 17 по вул. Кожум'яки, м. Дніпро) </t>
  </si>
  <si>
    <t>Послуги із благоустрою населених пунктів (Послуги з благоустрою території двору буд. 61 по вул. Калинова, м. Дніпро)</t>
  </si>
  <si>
    <t>Послуги із благоустрою населених пунктів (Послуги з благоустрою території двору буд. 61 по вул. Калинова, м. Дніпро):Послуги із благоустрою населених пунктів (Послуги з благоустрою території двору буд. 61 по вул. Калинова, м. Дніпро)</t>
  </si>
  <si>
    <t>Послуги із благоустрою населених пунктів (Послуги з благоустрою території між буд. № 1 та буд. № 3 по вул. Планетна, м. Дніпро)</t>
  </si>
  <si>
    <t>Послуги із благоустрою населених пунктів (Послуги з благоустрою території між буд. № 1 та буд. № 3 по вул. Планетна, м. Дніпро).</t>
  </si>
  <si>
    <t>Послуги із благоустрою населених пунктів (Послуги з благоустрою території між буд. № 1 та буд. № 3 по вул. Планетна, м. Дніпро).:Послуги із благоустрою населених пунктів (Послуги з благоустрою території між буд. № 1 та буд. № 3 по вул. Планетна, м. Дніпро).</t>
  </si>
  <si>
    <t>Послуги із благоустрою населених пунктів (Послуги з благоустрою території між буд. №81 та буд. №77 по просп. Слобожанський, м. Дніпро)</t>
  </si>
  <si>
    <t>Послуги із благоустрою населених пунктів (Послуги з благоустрою території між буд. №81 та буд. №77 по просп. Слобожанський, м. Дніпро):Послуги із благоустрою населених пунктів (Послуги з благоустрою території між буд. №81 та буд. №77 по просп. Слобожанський, м. Дніпро)</t>
  </si>
  <si>
    <t>Послуги із благоустрою населених пунктів (Послуги з благоустрою території навколо дитячого майданчика за адресою: вул. Бєляєва, 4, м. Дніпро)</t>
  </si>
  <si>
    <t>Послуги із благоустрою населених пунктів (Послуги з благоустрою території навколо дитячого майданчика за адресою: вул. Бєляєва, 4, м. Дніпро):Послуги із благоустрою населених пунктів (Послуги з благоустрою території навколо дитячого майданчика за адресою: вул. Бєляєва, 4, м. Дніпро)</t>
  </si>
  <si>
    <t>Послуги із благоустрою населених пунктів (Послуги з благоустрою території навпроти буд. № 54 по вул. Сонячна Набережна, м. Дніпро)</t>
  </si>
  <si>
    <t>Послуги із благоустрою населених пунктів (Послуги з благоустрою території навпроти буд. № 54 по вул. Сонячна Набережна, м. Дніпро):Послуги із благоустрою населених пунктів (Послуги з благоустрою території навпроти буд. № 54 по вул. Сонячна Набережна, м. Дніпро)</t>
  </si>
  <si>
    <t>Послуги із благоустрою населених пунктів (Послуги з благоустрою тротуарної доріжки  від улаштованої дороги по вул. Котляревського, в районі буд. № 11а, до території навчального шкільного закладу)</t>
  </si>
  <si>
    <t>Послуги із благоустрою населених пунктів (Послуги з вивозу опалого листя, гілля та інших безпечних відходів на території Амур-Нижньодніпровського району міста Дніпра</t>
  </si>
  <si>
    <t>Послуги із благоустрою населених пунктів (Послуги з вивозу опалого листя, гілля та інших безпечних відходів на території Амур-Нижньодніпровського району міста Дніпра)</t>
  </si>
  <si>
    <t>Послуги із благоустрою населених пунктів (Послуги з вивозу опалого листя, гілля та інших безпечних відходів на території Амур-Нижньодніпровського району міста Дніпра):Послуги із благоустрою населених пунктів (Послуги з вивозу опалого листя, гілля та інших безпечних відходів на території Амур-Нижньодніпровського району міста Дніпра)</t>
  </si>
  <si>
    <t>Послуги із благоустрою населених пунктів (Послуги з висадки саджанців дерев та кущів на території Амур-Нижньодніпровського району м. Дніпро)</t>
  </si>
  <si>
    <t>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</t>
  </si>
  <si>
    <t>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</t>
  </si>
  <si>
    <t>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Дніпра):Послуги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</t>
  </si>
  <si>
    <t xml:space="preserve">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Дніпра):Послуги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
</t>
  </si>
  <si>
    <t>Послуги із благоустрою населених пунктів (Послуги з облаштування майданчика під сміттєві баки в районі буд. 63-65 по вул. Осипенка, м. Дніпро)</t>
  </si>
  <si>
    <t>Послуги із благоустрою населених пунктів (Послуги з облаштування майданчика під сміттєві баки навпроти буд. 61 по вул. Осипенка, м. Дніпро)</t>
  </si>
  <si>
    <t>Послуги із благоустрою населених пунктів (Послуги з облаштування майданчика під сміттєві баки навпроти буд. 61 по вул. Осипенка, м. Дніпро):Послуги із благоустрою населених пунктів (Послуги з облаштування майданчика під сміттєві баки навпроти буд. 61 по вул. Осипенка,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</si>
  <si>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за адресою: вул. Вітчизняна, 39,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</si>
  <si>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за адресою: вул. Вітчизняна, 39, м. Дніпро):Послуги із благоустрою населених пунктів (Послуги з облаштування майданчика під сміттєві баки та майданчика для негабаритного сміття за адресою: вул. Вітчизняна, 39,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</si>
  <si>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за адресою: вул. Канівська, 21Г,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</si>
  <si>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за адресою: вул. Канівська, 21Г, м. Дніпро):Послуги із благоустрою населених пунктів (Послуги з облаштування майданчика під сміттєві баки та майданчика для негабаритного сміття за адресою: вул. Канівська, 21Г,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</si>
  <si>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за адресою: вул. Щукіна, 1,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</si>
  <si>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за адресою: вул. Щукіна, 1, м. Дніпро):Послуги із благоустрою населених пунктів (Послуги з облаштування майданчика під сміттєві баки та майданчика для негабаритного сміття за адресою: вул. Щукіна, 1,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</si>
  <si>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між буд. № 7-а по вул. Софії Ковалевської та буд. 29 по вул. Артеківська, м. Дніпро)</t>
  </si>
  <si>
    <t>Послуги із благоустрою населених пунктів (Послуги з облаштування майданчика під сміттєві баки та майданчика для негабаритного сміття між буд. № 7-а по вул. Софії Ковалевської та буд. 29 по вул. Артеківська, м. Дніпро):Послуги із благоустрою населених пунктів (Послуги з облаштування майданчика під сміттєві баки та майданчика для негабаритного сміття між буд. № 7-а по вул. Софії Ковалевської та буд. 29 по вул. Артеківська, м. Дніпро)</t>
  </si>
  <si>
    <t>Послуги із благоустрою населених пунктів (Послуги з обрізки аварійних гілок та гілок вздовж ліній електропередач на території Амур-Нижньодніпровського району м. Дніпро)</t>
  </si>
  <si>
    <t>Послуги із благоустрою населених пунктів (Послуги з обрізки аварійних гілок та гілок вздовж ліній електропередач на території Амур-Нижньодніпровського району м. Дніпро):Послуги із благоустрою населених пунктів (Послуги з обрізки аварійних гілок та гілок вздовж ліній електропередач на території Амур-Нижньодніпровського району м. Дніпро)</t>
  </si>
  <si>
    <t>Послуги із благоустрою населених пунктів (Послуги з омолодження дерев, обрізки аварійних гілок та гілок вздовж ліній електропередач на території Амур-Нижньодніпровського району м. Дніпро)</t>
  </si>
  <si>
    <t>Послуги із благоустрою населених пунктів (Послуги з омолодження дерев, обрізки аварійних гілок та гілок вздовж ліній електропередач на території Амур-Нижньодніпровського району м. Дніпро):Послуги із благоустрою населених пунктів (Послуги з омолодження дерев, обрізки аварійних гілок та гілок вздовж ліній електропередач на території Амур-Нижньодніпровського району м. Дніпро)</t>
  </si>
  <si>
    <t>Послуги із благоустрою населених пунктів (Послуги з омолодження та санітарної обрізки дерев на території Амур-Нижньодніпровського району м. Дніпро)</t>
  </si>
  <si>
    <t>Послуги із благоустрою населених пунктів (Послуги з омолодження та санітарної обрізки дерев на території Амур-Нижньодніпровського району м. Дніпро):Послуги із благоустрою населених пунктів (Послуги з омолодження та санітарної обрізки дерев на території Амур-Нижньодніпровського району м. Дніпро)</t>
  </si>
  <si>
    <t>Послуги із благоустрою населених пунктів (Послуги з очищення внутрішньоквартальних доріг від снігу на території Амур-Нижньодніпровського району міста Дніпра)</t>
  </si>
  <si>
    <t>Послуги із благоустрою населених пунктів (Послуги з очищення внутрішньоквартальних доріг від снігу на території Амур-Нижньодніпровського району міста Дніпра):Послуги із благоустрою населених пунктів (Послуги з очищення внутрішньоквартальних доріг від снігу на території Амур-Нижньодніпровського району міста Дніпра)</t>
  </si>
  <si>
    <t>Послуги із благоустрою населених пунктів (Послуги з очищення доріг від снігу на території Амур-Нижньодніпровського району міста Дніпра)</t>
  </si>
  <si>
    <t>Послуги із благоустрою населених пунктів (Послуги з поточного ремонту дорожнього покриття вулиць приватного сектору Амур-Нижньодніпровського району  м. Дніпро)</t>
  </si>
  <si>
    <t>Послуги із благоустрою населених пунктів (Послуги з поточного ремонту дорожнього покриття вулиць приватного сектору Амур-Нижньодніпровського району  м. Дніпро):Послуги із благоустрою населених пунктів (Послуги з поточного ремонту дорожнього покриття вулиць приватного сектору Амур-Нижньодніпровського району  м. Дніпро)</t>
  </si>
  <si>
    <t>Послуги із благоустрою населених пунктів (Послуги з поточного ремонту металевих сходів, які знаходяться навпроти буд. 60 по вул. Сонячна Набережна, в районі пам’ятки «Пам’ятка льотчикам 17-ї повітряна армії», м. Дніпро)</t>
  </si>
  <si>
    <t>Послуги із благоустрою населених пунктів (Послуги з ремонту дорожнього покриття приватного сектору Амур-Нижньодніпровського району м. Дніпро шляхом улаштування підстильних та вирівнювальних основ із шлаку, у тому числі грейдерування)</t>
  </si>
  <si>
    <t>Послуги із благоустрою населених пунктів (Послуги з ремонту дорожнього покриття приватного сектору Амур-Нижньодніпровського району м. Дніпро шляхом улаштування підстильних та вирівнювальних основ із шлаку, у тому числі грейдерування):Послуги із благоустрою населених пунктів (Послуги з ремонту дорожнього покриття приватного сектору Амур-Нижньодніпровського району м. Дніпро шляхом улаштування підстильних та вирівнювальних основ із шлаку, у тому числі грейдерування)</t>
  </si>
  <si>
    <t>Послуги із благоустрою населених пунктів (Послуги з технічного консультування та складання дефектних актів на благоустрій територій Амур-Нижньодніпровського району м. Дніпра)</t>
  </si>
  <si>
    <t>Послуги із благоустрою населених пунктів (Послуги з технічного нагляду за наданням послуг  з благоустрою території  біля буд. № 35 по вул. Шолохова, м. Дніпро)</t>
  </si>
  <si>
    <t>Послуги із благоустрою населених пунктів (Послуги з технічного нагляду за наданням послуг  з благоустрою території в районі буд. № 204В по вул. Моторна, м. Дніпро)</t>
  </si>
  <si>
    <t>Послуги із благоустрою населених пунктів (Послуги з технічного нагляду за наданням послуг  з благоустрою території в районі буд. № 64 по вул. Белградська, м. Дніпро)</t>
  </si>
  <si>
    <t>Послуги із благоустрою населених пунктів (Послуги з технічного нагляду за наданням послуг  з грейдерування та відсипки доріг вулиць приватного сектору Амур-Нижньодніпровського району м. Дніпро)</t>
  </si>
  <si>
    <t>Послуги із благоустрою населених пунктів (Послуги з технічного нагляду за наданням послуг  з облаштування майданчика під сміттєві баки в районі буд. 63-65 по вул. Осипенка, м. Дніпро)</t>
  </si>
  <si>
    <t>Послуги із благоустрою населених пунктів (Послуги з технічного нагляду за наданням послуг  з улаштування огорожі біля будинку №5 по вул. Софії Ковалевської, м. Дніпро)</t>
  </si>
  <si>
    <t>Послуги із благоустрою населених пунктів (Послуги з технічного нагляду за наданням послуг  з улаштування тротуарної доріжки до дитячого майданчика у дворі будинку №1 по вул. Придніпровська, м. Дніпро)</t>
  </si>
  <si>
    <t>Послуги із благоустрою населених пунктів (Послуги з технічного нагляду за наданням послуг з благоустрою на території Амур-Нижньодніпровського району м. Дніпра)</t>
  </si>
  <si>
    <t>Послуги із благоустрою населених пунктів (Послуги з технічного нагляду за наданням послуг з благоустрою території біля буд. № 15 по вул. Каспійська, м. Дніпро)</t>
  </si>
  <si>
    <t>Послуги із благоустрою населених пунктів (Послуги з технічного нагляду за наданням послуг з благоустрою території біля буд. № 32 по вул. Бажова, м. Дніпро)</t>
  </si>
  <si>
    <t>Послуги із благоустрою населених пунктів (Послуги з технічного нагляду за наданням послуг з благоустрою території біля буд. № 34 по вул. Бажова, м. Дніпро)</t>
  </si>
  <si>
    <t>Послуги із благоустрою населених пунктів (Послуги з технічного нагляду за наданням послуг з благоустрою території біля буд. № 36 по вул. Бажова, м. Дніпро)</t>
  </si>
  <si>
    <t>Послуги із благоустрою населених пунктів (Послуги з технічного нагляду за наданням послуг з грейдерування та відсипки доріг вулиць приватного сектору Амур-Нижньодніпровського району м. Дніпро)</t>
  </si>
  <si>
    <t>Послуги із благоустрою населених пунктів (Послуги з улаштування пішохідної доріжки біля буд. 15 по шосе Донецькому, м. Дніпро)</t>
  </si>
  <si>
    <t>Послуги із благоустрою населених пунктів (Послуги з улаштування пішохідної доріжки біля буд. 15 по шосе Донецькому, м. Дніпро):Послуги із благоустрою населених пунктів (Послуги з улаштування пішохідної доріжки біля буд. 15 по шосе Донецькому, м. Дніпро)</t>
  </si>
  <si>
    <t>Послуги із благоустрою населених пунктів (Послуги з улаштування пішохідної доріжки від буд. 397 по вул. Петрозаводській до буд. 28 по вул. Щитовій, м. Дніпро)</t>
  </si>
  <si>
    <t>Послуги із благоустрою населених пунктів (Послуги з улаштування пішохідної доріжки від буд. 397 по вул. Петрозаводській до буд. 28 по вул. Щитовій, м. Дніпро):Послуги із благоустрою населених пунктів (Послуги з улаштування пішохідної доріжки від буд. 397 по вул. Петрозаводській до буд. 28 по вул. Щитовій, м. Дніпро)</t>
  </si>
  <si>
    <t>Послуги із благоустрою населених пунктів (Послуги з утримання внутрішньоквартальних доріг приватного сектору у зимовий період в Амур-Нижньодніпровському районі м. Дніпро)</t>
  </si>
  <si>
    <t>Послуги із благоустрою населених пунктів (Послуги з утримання внутрішньоквартальних доріг приватного сектору у зимовий період в Амур-Нижньодніпровському районі м. Дніпро):Послуги із благоустрою населених пунктів (Послуги з утримання внутрішньоквартальних доріг приватного сектору у зимовий період в Амур-Нижньодніпровському районі м. Дніпро)</t>
  </si>
  <si>
    <t>Послуги із благоустрою населених пунктів (Послуги зі встановлення малих архітектурних форм (вуличних лавок та урн) за адресою: вул. Каруни, буд. 127, м. Дніпро)</t>
  </si>
  <si>
    <t>Послуги із благоустрою населених пунктів (Послуги зі встановлення малих архітектурних форм (вуличних лавок та урн) за адресою: вул. Каруни, буд. 127, м. Дніпро):Послуги із благоустрою населених пунктів (Послуги зі встановлення малих архітектурних форм (вуличних лавок та урн) за адресою: вул. Каруни, буд. 127, м. Дніпро)</t>
  </si>
  <si>
    <t>Послуги із благоустрою населених пунктів (Послуги зі встановлення малих архітектурних форм (вуличних лавок та урн) на території Амур-Нижньодніпровського району м. Дніпро)</t>
  </si>
  <si>
    <t>Послуги із благоустрою населених пунктів (Послуги зі встановлення малих архітектурних форм (вуличних лавок та урн) на території Амур-Нижньодніпровського району м. Дніпро):Послуги із благоустрою населених пунктів (Послуги зі встановлення малих архітектурних форм (вуличних лавок та урн) на території Амур-Нижньодніпровського району м. Дніпро)</t>
  </si>
  <si>
    <t xml:space="preserve">Послуги із благоустрою населених пунктів (Послуги зі встановлення малих архітектурних форм біля буд. № 33 по вул. Решетилівська, м. Дніпро) </t>
  </si>
  <si>
    <t xml:space="preserve">Послуги із благоустрою населених пунктів (Послуги зі встановлення малих архітектурних форм біля буд. № 63 по просп. Слобожанський, м. Дніпро) </t>
  </si>
  <si>
    <t>Послуги із благоустрою населених пунктів (Послуги зі встановлення малих архітектурних форм на території ж/м Кам'янський, м. Дніпро)</t>
  </si>
  <si>
    <t>Послуги із благоустрою населених пунктів (Послуги зі встановлення малих архітектурних форм на території ж/м Кам'янський, м. Дніпро):Послуги із благоустрою населених пунктів (Послуги зі встановлення малих архітектурних форм на території ж/м Кам'янський, м. Дніпро)</t>
  </si>
  <si>
    <t>Послуги із благоустрою населених пунктів (Послуги зі встановлення малих архітектурних форм поблизу буд. № 9 по вул. Новоселівська, м. Дніпро)</t>
  </si>
  <si>
    <t>Послуги із благоустрою населених пунктів (Послуги зі збирання вручну випадкового сміття на території Амур-Нижньодніпровського району міста Дніпра)</t>
  </si>
  <si>
    <t>Послуги із благоустрою населених пунктів (Послуги зі збирання вручну випадкового сміття на території Амур-Нижньодніпровського району міста Дніпра):Послуги із благоустрою населених пунктів (Послуги зі збирання вручну випадкового сміття на території Амур-Нижньодніпровського району міста Дніпра)</t>
  </si>
  <si>
    <t>Послуги із благоустрою населених пунктів (Поточний ремонт - улаштування огорожі біля під’їзду №5, № 8 житлового будинку № 19 по вул. Шолохова, м. Дніпро)</t>
  </si>
  <si>
    <t>Послуги із благоустрою населених пунктів (Поточний ремонт - улаштування огорожі біля під’їздів №№5, 6, 7, 8, 9 житлового будинку № 42 по вул. Янтарна, м. Дніпро)</t>
  </si>
  <si>
    <t>Послуги із благоустрою населених пунктів (Поточний ремонт контейнерного майданчика для збору твердих побутових відходів на розі вулиць Березанівська та Мохова у м. Дніпро)</t>
  </si>
  <si>
    <t>Послуги із благоустрою населених пунктів (Улаштування огорожі біля будинку № 5 по вул. Софії Ковалевської, м. Дніпро)</t>
  </si>
  <si>
    <t>Послуги із благоустрою населених пунктів (Улаштування огорожі біля будинку № 9 по вул. Новоселівська, м. Дніпро)</t>
  </si>
  <si>
    <t>Послуги із благоустрою населених пунктів (Улаштування огорожі вздовж будинку № 7 по Донецькому шосе, м. Дніпро)</t>
  </si>
  <si>
    <t>Послуги із благоустрою населених пунктів (Улаштування огорожі вздовж будинку № 7 по Донецькому шосе, м. Дніпро):Послуги із благоустрою населених пунктів (Улаштування огорожі вздовж будинку № 7 по Донецькому шосе, м. Дніпро)</t>
  </si>
  <si>
    <t>Послуги із благоустрою населених пунктів (Улаштування тротуарної доріжки біля буд. № 32 по вул. Енеїди, м. Дніпро)</t>
  </si>
  <si>
    <t>Послуги із благоустрою населених пунктів (Улаштування тротуарної доріжки біля буд. № 34 по вул. Енеїди, м. Дніпро)</t>
  </si>
  <si>
    <t>Послуги із благоустрою населених пунктів (Улаштування тротуарної доріжки біля буд. № 36 по вул. Енеїди, м. Дніпро)</t>
  </si>
  <si>
    <t>Послуги із благоустрою населених пунктів (Улаштування тротуарної доріжки біля буд. № 51 по вул. Софії Ковалевської, м. Дніпро)</t>
  </si>
  <si>
    <t>Послуги із благоустрою населених пунктів (Улаштування тротуарної доріжки біля буд. № 51 по вул. Софії Ковалевської, м. Дніпро):Послуги із благоустрою населених пунктів (Улаштування тротуарної доріжки біля буд. № 51 по вул. Софії Ковалевської, м. Дніпро)</t>
  </si>
  <si>
    <t>Послуги із благоустрою населених пунктів (Улаштування тротуарної доріжки від будинку № 188Д по вул. Богомаза до будинку № 5 по                                                     провулку Крушельницької, м. Дніпро).:Послуги із благоустрою населених пунктів (Улаштування тротуарної доріжки від будинку № 188Д по вул. Богомаза до будинку № 5 по провулку Крушельницької, м. Дніпро).</t>
  </si>
  <si>
    <t>Послуги із благоустрою населених пунктів (Улаштування тротуарної доріжки від будинку № 188Д по вул. Богомаза до будинку № 5 по провулку Крушельницької, м. Дніпро).</t>
  </si>
  <si>
    <t>Послуги із благоустрою населених пунктів (Улаштування тротуарної доріжки від будинку № 5 по провулку Крушельницької, м. Дніпро).</t>
  </si>
  <si>
    <t>Послуги із благоустрою населених пунктів (Улаштування тротуарної доріжки від будинку № 5 по провулку Крушельницької, м. Дніпро).:Послуги із благоустрою населених пунктів (Улаштування тротуарної доріжки від будинку № 5 по провулку Крушельницької, м. Дніпро).</t>
  </si>
  <si>
    <t>Послуги із благоустрою населених пунктів (Улаштування тротуарної доріжки до дитячого майданчика у дворі будинку № 1 по вул. Придніпровська, м. Дніпро)</t>
  </si>
  <si>
    <t>Послуги із благоустрою населених пунктів (збирання вручну випадкового сміття на території Амур-Нижньодніпровського району міста Дніпра)</t>
  </si>
  <si>
    <t>Послуги із благоустрою населених пунктів (покіс карантинної рослинності та бур'яну на території Амур-Нижньодніпровського району міста Дніпра)</t>
  </si>
  <si>
    <t>Послуги із благоустрою населених пунктів (покіс карантинної рослинності, бур'яну та видалення порослі на території Амур-Нижньодніпровського району міста Дніпра)</t>
  </si>
  <si>
    <t>Послуги із благоустрою населених пунктів (послуги з благоустрою місць загального користування за адресою: вул. Придніпровська, 1, м. Дніпро</t>
  </si>
  <si>
    <t>Послуги із благоустрою населених пунктів (послуги з благоустрою території зеленої зони навпроти буд. 528А по вул. Передова , м. Дніпро</t>
  </si>
  <si>
    <t>Послуги із благоустрою населених пунктів (послуги з благоустрою території між буд. № 12 та буд. № 14 по провулку Крушельницької, м. Дніпро</t>
  </si>
  <si>
    <t>Послуги із благоустрою населених пунктів (послуги з вивозу опалого листя, гілля та інших безпечних відходів на території Амур-Нижньодніпровського району міста Дніпра)</t>
  </si>
  <si>
    <t>Послуги із благоустрою населених пунктів (послуги з вивозу опалого листя, гілля та інших безпечних відходів на території Амур-Нижньодніпровського району міста Дніпра):Послуги із благоустрою населених пунктів (послуги з вивозу опалого листя, гілля та інших безпечних відходів на території Амур-Нижньодніпровського району міста Дніпра)</t>
  </si>
  <si>
    <t>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</t>
  </si>
  <si>
    <t>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Дніпра):Послуги із благоустрою населених пунктів (послуги з ліквідації несанкціонованих і неконтрольованих сміттєзвалищ на території Амур-Нижньодніпровського району міста Дніпра)</t>
  </si>
  <si>
    <t>Послуги із благоустрою населених пунктів (послуги з технічного нагляду за наданням послуг з благоустрою території біля буд. № 3 по Донецькому шосе, м. Дніпро)</t>
  </si>
  <si>
    <t>Послуги із благоустрою населених пунктів (послуги з технічного нагляду за наданням послуг з благоустрою території біля буд. №14 по вул. Терещенківська, м. Дніпро)</t>
  </si>
  <si>
    <t>Послуги із благоустрою населених пунктів (послуги з технічного нагляду за наданням послуг з благоустрою території біля буд. №15 по Донецькому шосе, м. Дніпро)</t>
  </si>
  <si>
    <t>Послуги із благоустрою населених пунктів (послуги з технічного нагляду за наданням послуг з благоустрою території біля буд. №16 по вул. Бєляєва, м. Дніпро)</t>
  </si>
  <si>
    <t>Послуги із благоустрою населених пунктів (послуги з технічного нагляду за наданням послуг з благоустрою території біля буд. №27 по вул. Терещенківська, м. Дніпро)</t>
  </si>
  <si>
    <t>Послуги із благоустрою населених пунктів (послуги з технічного нагляду за наданням послуг з благоустрою території біля буд. №5 по вул. Придніпровська, м. Дніпро)</t>
  </si>
  <si>
    <t>Послуги із благоустрою населених пунктів (послуги з технічного нагляду за наданням послуг з благоустрою території біля буд. №5 по вул. Софії Ковалевської, м. Дніпро)</t>
  </si>
  <si>
    <t>Послуги із благоустрою населених пунктів (послуги з технічного нагляду за наданням послуг з благоустрою території між буд. №81 та буд. №77 по просп. Слобожанський, м. Дніпро)</t>
  </si>
  <si>
    <t>Послуги із благоустрою населених пунктів (поточний ремонт елементів благоустрою за адресою: вул. Янтарна, 44, м. Дніпро)</t>
  </si>
  <si>
    <t>Послуги із благоустрою населених пунктів (поточний ремонт елементів благоустрою між буд. № 79 та буд. № 81 по просп. Слобожанський, м. Дніпро)</t>
  </si>
  <si>
    <t>Послуги із благоустрою населених пунктів (поточний ремонт малих архітектурних форм за адресою: вул. Кожем’яки, 7, м. Дніпро)</t>
  </si>
  <si>
    <t>Послуги із благоустрою населених пунктів (поточний ремонт тротуару за адресою: вул. Янтарна, 42, м. Дніпро)</t>
  </si>
  <si>
    <t>Послуги із забезпечення перетікань реактивної електричної енергії</t>
  </si>
  <si>
    <t>Послуги, пов'язані з програмним забезпеченням та супроводженням "Чиж-Бухгалтерія" та "Чиж-Казна"</t>
  </si>
  <si>
    <t xml:space="preserve">Поточний ремонт вимощення житлового будинку за адресою: вул. Саранська, 10 </t>
  </si>
  <si>
    <t>Поточний ремонт вимощення житлового будинку за адресою:шосе Донецьке, 3</t>
  </si>
  <si>
    <t>Поточний ремонт вимощення та заміна козирків у житловому будинку за адресою: вул. Любарського, буд. 86</t>
  </si>
  <si>
    <t>Поточний ремонт внутрішньоквартальних доріг приватного сектора шляхом улаштування підстильних та вирівнювальних основ із відвального шлаку на перехресті вулиць Таганрозької, буд. 143 та Тернової, буд. 162</t>
  </si>
  <si>
    <t>Поточний ремонт елементів благоустрою за адресою: вул. Калинова, буд. 53</t>
  </si>
  <si>
    <t>Поточний ремонт елементів благоустрою за адресою: вул. Терещенківська, буд. 16</t>
  </si>
  <si>
    <t>Поточний ремонт елементів благоустрою за адресою: вул. Терещенківська, буд. 2</t>
  </si>
  <si>
    <t>Поточний ремонт коридору та душових приміщень у будинку за адресою: вул. Каспійська, буд. 16</t>
  </si>
  <si>
    <t xml:space="preserve">Поточний ремонт ліфтового обладнання житлового будинку за адресою: 
вул. Калинова, 61
</t>
  </si>
  <si>
    <t>Поточний ремонт малих архітектурних форм (встановлення антипаркувальних стовпчиків) за адресою: вул. Аржанова, буд. 12</t>
  </si>
  <si>
    <t>Поточний ремонт міжпанельних швів житлового будинку за адресою: вул. Саранська, буд. 8 А</t>
  </si>
  <si>
    <t xml:space="preserve">Поточний ремонт міжпанельних швів житлового будинку за адресою: пров. Крушельницької, буд. 5 </t>
  </si>
  <si>
    <t>Поточний ремонт міжпанельних швів під’їздів № 3 та № 4 житлового будинку за адресою: вул. Дементьєва, буд. 12</t>
  </si>
  <si>
    <t>Поточний ремонт міжпанельних швів під’їздів № № 2-4 житлового будинку за адресою: вул. Калинова, буд. 76</t>
  </si>
  <si>
    <t>Поточний ремонт міжпанельних швів секцій № 4 та № 5 і вхідної групи секції № 4 житлового будинку за адресою: просп. Мануйлівський,8</t>
  </si>
  <si>
    <t xml:space="preserve">Поточний ремонт міжпанельних швів секцій № 4 та № 5 і вхідної групи секції № 4 житлового будинку за адресою: просп. Мануйлівський,8
</t>
  </si>
  <si>
    <t>Поточний ремонт пiд`їзду iз замiни вiкон та дверей на металопластиковi житлового будинку за адресою: вул. Берегова, буд. 1</t>
  </si>
  <si>
    <t>Поточний ремонт по улаштуванню пандусу у житловому будинку за адресою: просп. Слобожанський, 69</t>
  </si>
  <si>
    <t>Поточний ремонт покрівлі житлового будинку за адресою: вул. Богомаза, буд. 122</t>
  </si>
  <si>
    <t>Поточний ремонт покрівлі житлового будинку за адресою: вул. Маршала Малиновського, 10</t>
  </si>
  <si>
    <t>Поточний ремонт під'їзду № 7 житлового будинку за адресою: вул. Янтарна, 42</t>
  </si>
  <si>
    <t>Поточний ремонт під'їздів із заміни вікон на металопластикові житлового будинку за адресою: вул. Верстова, буд. 3 А</t>
  </si>
  <si>
    <t>Поточний ремонт під'їздів із заміни вікон та дверей  на металопластикові житлового будинку за адресою: вул. Берегова, буд. 3</t>
  </si>
  <si>
    <t xml:space="preserve">Поточний ремонт під'їздів № 1 та № 3 із заміни дверей на металопластикові житлового будинку за адресою: вул. Богомаза, буд. 120
</t>
  </si>
  <si>
    <t>Поточний ремонт під’їзду із заміни вікон на металопластикові  житлового будинку за адресою: просп. Слобожанський, буд. 67</t>
  </si>
  <si>
    <t>Поточний ремонт під’їзду із заміни вікон на металопластикові житлового будинку за адресою: вул. Мольєра, 44</t>
  </si>
  <si>
    <t xml:space="preserve">Поточний ремонт під’їздів  житлового будинку за адресою: вул. Придніпровська, 1
</t>
  </si>
  <si>
    <t>Поточний ремонт під’їздів  із заміни дверей на металопластикові житлового будинку за адресою: вул. Саранська, 10</t>
  </si>
  <si>
    <t xml:space="preserve">Поточний ремонт під’їздів житлового будинку за адресою: вул. Придніпровська, 1
</t>
  </si>
  <si>
    <t xml:space="preserve">Поточний ремонт під’їздів житлового будинку за адресою: пров. Бахчисарайський, 2
:Поточний ремонт під’їздів житлового будинку за адресою: пров. Бахчисарайський, 2 </t>
  </si>
  <si>
    <t xml:space="preserve">Поточний ремонт під’їздів житлового будинку за адресою: пров. Бахчисарайський, 2
:Поточний ремонт під’їздів із заміни дверей на металопластикові житлового будинку за адресою: пров. Бахчисарайський, 2
</t>
  </si>
  <si>
    <t xml:space="preserve">Поточний ремонт під’їздів житлового будинку за адресою: пров. Бахчисарайський, 2
:Поточний ремонт під’їздів № 2, 3, 4 із заміни дверей на металопластикові житлового будинку за адресою: пров. Бахчисарайський, 2
</t>
  </si>
  <si>
    <t xml:space="preserve">Поточний ремонт під’їздів житлового будинку за адресою: пров. Бахчисарайський, 2
:Поточний ремонт під’їздів № 3, 4 житлового будинку за адресою: пров. Бахчисарайський, 2 </t>
  </si>
  <si>
    <t xml:space="preserve">Поточний ремонт під’їздів житлового будинку за адресою: пров. Бахчисарайський, 2 </t>
  </si>
  <si>
    <t xml:space="preserve">Поточний ремонт під’їздів із заміни дверей на металопластикові житлового будинку за адресою: пров. Бахчисарайський, 2
</t>
  </si>
  <si>
    <t xml:space="preserve">Поточний ремонт під’їздів із заміни дверей на металопластикові та вимощення житлового будинку за адресою: 
вул. Саранська, 10
:Поточний ремонт вимощення житлового будинку за адресою: вул. Саранська, 10 </t>
  </si>
  <si>
    <t xml:space="preserve">Поточний ремонт під’їздів із заміни дверей на металопластикові та вимощення житлового будинку за адресою: 
вул. Саранська, 10
:Поточний ремонт під’їздів  із заміни дверей на металопластикові житлового будинку за адресою: вул. Саранська, 10
</t>
  </si>
  <si>
    <t xml:space="preserve">Поточний ремонт під’їздів із заміни дверей на металопластикові та вимощення житлового будинку за адресою: 
вул. Саранська, 10
:Поточний ремонт під’їздів № 1, 2, 3, 4 із заміни дверей на металопластикові житлового будинку за адресою: вул. Саранська, 10
</t>
  </si>
  <si>
    <t>Поточний ремонт під’їздів із заміни дверних блоків на металопластикові житлового будинку за адресою: вул. Крюкова, 45</t>
  </si>
  <si>
    <t>Поточний ремонт під’їздів № 1 та № 2 із заміни вікон та дверей на металопластикові житлового будинку за адресою: вул. Лісопильна,           буд. 4</t>
  </si>
  <si>
    <t>Поточний ремонт під’їздів № 1, 2, 3, 4 із заміни дверей на металопластикові житлового будинку за адресою: вул. Саранська, 10</t>
  </si>
  <si>
    <t xml:space="preserve">Поточний ремонт під’їздів № 1, № 2 житлового будинку за адресою: 
вул. Калинова, 78
</t>
  </si>
  <si>
    <t xml:space="preserve">Поточний ремонт під’їздів № 2, 3, 4 із заміни дверей на металопластикові житлового будинку за адресою: пров. Бахчисарайський, 2
</t>
  </si>
  <si>
    <t xml:space="preserve">Поточний ремонт під’їздів № 3 та № 4 житлового будинку за адресою: вул. Калинова, буд. 78
</t>
  </si>
  <si>
    <t xml:space="preserve">Поточний ремонт під’їздів № 3, 4 житлового будинку за адресою: вул. Придніпровська, 5 </t>
  </si>
  <si>
    <t xml:space="preserve">Поточний ремонт під’їздів № 3, 4 житлового будинку за адресою: пров. Бахчисарайський, 2 </t>
  </si>
  <si>
    <t xml:space="preserve">Поточний ремонт під’їздів № 3, 4, 5 житлового будинку за адресою: вул. Придніпровська, 1
</t>
  </si>
  <si>
    <t>Поточний ремонт під’їздів № 7 та № 8 із заміни дверей на металопластикові житлового будинку за адресою: вул. Шолохова, буд. 7</t>
  </si>
  <si>
    <t>Поточний ремонт під’їздів № № 1, 2, 3, 4  із заміни дверей на металопластикові житлового будинку за адресою: вул. Саранська, 10</t>
  </si>
  <si>
    <t>Поточний ремонт під’їздів № № 1-3 із заміни вікон та дверей на металопластикові житлового будинку за адресою: вул. Лісопильна,           буд. 4 Б</t>
  </si>
  <si>
    <t>Поточний ремонт під’їздів № № 1-4 житлового будинку за адресою: вул. Дементьєва,  буд. 2</t>
  </si>
  <si>
    <t>Поточний ремонт під’їздів № № 1-4 із заміни вікон на металопластикові житлового будинку за адресою: вул. Шолохова, буд. 19</t>
  </si>
  <si>
    <t>Поточний ремонт системи опалення житлового будинку за адресою: вул. Маршала Малиновського, 44</t>
  </si>
  <si>
    <t>Поточний ремонт тротуарного покриття за адресою: вул. Калинова, буд. 74</t>
  </si>
  <si>
    <t>Поточний ремонт із заміни вікон сходової клітки на металопластикові у під’їздах житлового будинку за адресою: вул. Мурманська, буд. 2</t>
  </si>
  <si>
    <t>Поточний ремонт із заміни вікон сходової клітки та вхідних дверей на металопластикові у під’їздах житлового будинку за адресою: вул. Мурманська, буд. 6</t>
  </si>
  <si>
    <t>Поточний ремонт із заміни вікон та дверей на металопластикові житлового будинку за адресою: вул. Дементьєва, буд. 8</t>
  </si>
  <si>
    <t>Поточний ремонт із заміни дверей на металопластикові  у житловому будинку за адресою: вул. Бєляєва, буд. 16, під’їзди № № 1, 2, 3</t>
  </si>
  <si>
    <t>Поточний ремонт із заміни дверних блоків на металопластикові житлового будинку за адресою: вул. Саранська, 8 А</t>
  </si>
  <si>
    <t>Прапор України зшивний 140*90 см, поліестер</t>
  </si>
  <si>
    <t>Предмет закупівлі</t>
  </si>
  <si>
    <t>При внесенні інформації про закупівлю було допущено технічну (механічну) помилку під час заповнення розділу "Пропозиція учасника" та зазначено суму пропозиції  Учасника 1050651,79 грн., а не 1050651,59 грн., яка є остаточною за результатами переговорів.</t>
  </si>
  <si>
    <t>Придбання багаторічних хвойних дерев та кущів</t>
  </si>
  <si>
    <t>Придбання господарчих товарів для благоустрою населених пунктів в місцях загального користування (Тример бензиновий Tekhmann BCG-2215 з розхідним матеріалом)</t>
  </si>
  <si>
    <t>Придбання знаряддя для господарських потреб</t>
  </si>
  <si>
    <t xml:space="preserve">Придбання кущів та дерев для озеленення Амур-Нижньодніпровського району 
м. Дніпро
</t>
  </si>
  <si>
    <t>Придбання поліетиленової продукції для пакування відходів (Пакетів для сміття)</t>
  </si>
  <si>
    <t>Прийом пропозицій до:</t>
  </si>
  <si>
    <t>Прийом пропозицій з</t>
  </si>
  <si>
    <t>Причина скасування закупівлі</t>
  </si>
  <si>
    <t>Проведення поточного ремонту вимощення житлового будинку за адресою: вул. Калинова, буд. 51</t>
  </si>
  <si>
    <t>Проведення поточного ремонту вимощення житлового будинку за адресою: вул. Калинова, буд. 53</t>
  </si>
  <si>
    <t>Проведення поточного ремонту електромереж під’їзду житлового будинку за адресою: пров. Любарського, буд. 82</t>
  </si>
  <si>
    <t>Проведення поточного ремонту електромереж під’їздів № 5 та № 6 житлового будинку за адресою: вул. Маршала Малиновського, буд. 12</t>
  </si>
  <si>
    <t>Проведення поточного ремонту ліфтових приміщень житлового будинку за адресою: просп. Слобожанський, буд. 77</t>
  </si>
  <si>
    <t xml:space="preserve">Проведення поточного ремонту ліфтового обладнання житлового будинку за адресою: вул. Калинова, буд. 83 </t>
  </si>
  <si>
    <t>Проведення поточного ремонту покрівлі житлового будинку за адресою: вул. Прапорна, буд. 3</t>
  </si>
  <si>
    <t>Проведення поточного ремонту під’їзду житлового будинку за адресою: вул. Каспійська, буд. 15</t>
  </si>
  <si>
    <t>Проведення поточного ремонту під’їзду житлового будинку за адресою: просп. Мануйлівський, буд. 75</t>
  </si>
  <si>
    <t>Проведення поточного ремонту під’їзду із заміни вікон на металопластикові житлового будинку за адресою: вул. Висоцького,  буд. 2</t>
  </si>
  <si>
    <t>Проведення поточного ремонту під’їзду № 1 житлового будинку за адресою: вул. Маршала Малиновського, буд. 14</t>
  </si>
  <si>
    <t>Проведення поточного ремонту під’їзду № 3 житлового будинку за адресою: вул. Крюкова,  буд. 45</t>
  </si>
  <si>
    <t>Проведення поточного ремонту під’їздів № 1 та № 2 з улаштуванням віконних укосів житлового будинку за адресою: вул. Маршала Малиновського, 36</t>
  </si>
  <si>
    <t>Проведення поточного ремонту під’їздів № 1 та № 2 з улаштуванням віконних укосів житлового будинку за адресою: вул. Прогресивна, 7</t>
  </si>
  <si>
    <t>Проведення поточного ремонту під’їздів № 1 та № 2 з улаштуванням віконних укосів житлового будинку за адресою: вул. Прогресивна, 8</t>
  </si>
  <si>
    <t>Проведення поточного ремонту під’їздів № 5 та № 6 житлового будинку за адресою: вул. Придніпровська,  буд. 5</t>
  </si>
  <si>
    <t>Проведення поточного ремонту під’їздів № № 1, 2, 3 із заміни вікон та дверей на металопластикові житлового будинку за адресою:                 вул. Верстова,  буд. 1</t>
  </si>
  <si>
    <t>Проведення поточного ремонту із заміни вікон на металопластикові з улаштуванням укосів у житловому будинку за адресою:       вул. Висоцького, 4</t>
  </si>
  <si>
    <t>Проведення поточного ремонту із заміни віконних блоків на металопластикові з улаштуванням укосів у під'їздах житлового будинку за
адресою: вул. Висоцького, буд. 4</t>
  </si>
  <si>
    <t xml:space="preserve">Проведення поточного ремонту із заміни віконних блоків на металопластикові з улаштуванням укосів у під'їздах житлового будинку за
адресою: вул. Висоцького, буд. 4
</t>
  </si>
  <si>
    <t>Проведення поточного ремонту із заміни віконних блоків на металопластикові за адресою: просп. Мануйлівський, 31, м. Дніпро</t>
  </si>
  <si>
    <t>Проведення поточного ремонту із заміни дверей на металопластикові у житловому будинку за адресою: вул. Бєляєва, буд. 4</t>
  </si>
  <si>
    <t>Проведення поточного ремонту із заміни дверних блоків на металопластикові у під'їзді житлового будинку за адресою: пров. Любарського, буд. 20</t>
  </si>
  <si>
    <t>Продукція, призначена для відзначення, нагородження, а саме: подяки та почесні грамоти</t>
  </si>
  <si>
    <t>Пропозиція потенційного переможця (з найменшою ціною) грн</t>
  </si>
  <si>
    <t>Пропозиція потенційного переможця (з найменшою ціною) за одиницю грн</t>
  </si>
  <si>
    <t>Під час внесення до електронної системи оголошення про проведення закупівлі в графі «Тип процедури» було помилково зазначено «Спрощена», тоді як згідно Наказу ДП "Прозорро" №10 від 19.03.2019 «Про затвердження Інструкції про порядок використання електронної системи закупівель у разі здійснення закупівель, вартість яких є меншою за вартість, що встановлена в частині 3 статті 3 Закону України "Про публічні закупівлі" вищезазначена закупівля підпадає під визначення «Допорогова закупівля»</t>
  </si>
  <si>
    <t>Пісок для дитячих пісочниць</t>
  </si>
  <si>
    <t>Розміщення рекламної та інформаційної продукції; Інформаційно-роз'яснювальне оповіщування  населення у громадських місцях</t>
  </si>
  <si>
    <t>Річний план на</t>
  </si>
  <si>
    <t>САДОВА ЛЮДМИЛА МИХАЙЛІВНА</t>
  </si>
  <si>
    <t>САМАРДАК ВАСИЛИНА ОЛЕГІВНА</t>
  </si>
  <si>
    <t>САФОНОВА ІННА ВОЛОДИМИРІВНА</t>
  </si>
  <si>
    <t>СОЛОВЕЙ ОЛЕКСАНДР ІВАНОВИЧ</t>
  </si>
  <si>
    <t xml:space="preserve">Санітарно - гігієнічні товари </t>
  </si>
  <si>
    <t>Спеціалізовані хімічні речовини</t>
  </si>
  <si>
    <t>Список державних закупівель</t>
  </si>
  <si>
    <t>Спрощена закупівля</t>
  </si>
  <si>
    <t xml:space="preserve">Стакан одноразовий пластиковий 180 мл. 100 шт./уп.; Ложка чайна одноразова пластикова 100 шт./ уп.
</t>
  </si>
  <si>
    <t>Статус</t>
  </si>
  <si>
    <t>Статус договору</t>
  </si>
  <si>
    <t>Стенд пожежний закритого типу зі стаціонарним ящиком для піску 0.2 мЗ; Лопата пожежна штикова; Сокира пожежна; Багор пожежний; Відро пожежне конусне; Лом пожежний; Екран захисний (кошма); Вогнегасник ВВК-3,5; План евакуації на люмін. основі А4 в рамці</t>
  </si>
  <si>
    <t>Страхування нерухомого майна та страхування цивільно-правової відповідальності власних наземних транспортних засобів</t>
  </si>
  <si>
    <t>Строк поставки до:</t>
  </si>
  <si>
    <t>Строк поставки з:</t>
  </si>
  <si>
    <t>Сума гарантії</t>
  </si>
  <si>
    <t>Сума зниження, грн</t>
  </si>
  <si>
    <t>Сума укладеного договору</t>
  </si>
  <si>
    <t>ТАРАСЕНКО СЕРГІЙ СЕРГІЙОВИЧ</t>
  </si>
  <si>
    <t>ТОВ "ІНСТРАД БУД"</t>
  </si>
  <si>
    <t>ТОВ "ІНТЕРНА."</t>
  </si>
  <si>
    <t>ТОВ "АБРИС-БУД"</t>
  </si>
  <si>
    <t>ТОВ "АВЕРС КАНЦЕЛЯРІЯ"</t>
  </si>
  <si>
    <t>ТОВ "АП"Агроекспо"</t>
  </si>
  <si>
    <t>ТОВ "АСТРУМСТРОЙ-ЕКО"</t>
  </si>
  <si>
    <t>ТОВ "БРАНС"</t>
  </si>
  <si>
    <t>ТОВ "БРИТБУД"</t>
  </si>
  <si>
    <t>ТОВ "БУДІВЕЛЬНА ГРУПА "ТАТРИМ"</t>
  </si>
  <si>
    <t>ТОВ "ВАУ ІВЕНТС"</t>
  </si>
  <si>
    <t>ТОВ "Виробничо-комерційна фірма "РАДІУС" ЛТД"</t>
  </si>
  <si>
    <t>ТОВ "ДНІПРОВСЬКІ ЕНЕРГЕТИЧНІ ПОСЛУГИ"</t>
  </si>
  <si>
    <t>ТОВ "ЗМПО ПРОГРЕС"</t>
  </si>
  <si>
    <t>ТОВ "ЛАНДШАФТ"</t>
  </si>
  <si>
    <t>ТОВ "ЛОККАРД"</t>
  </si>
  <si>
    <t>ТОВ "НЕЙМУС"</t>
  </si>
  <si>
    <t>ТОВ "НОВОДНІПРО"</t>
  </si>
  <si>
    <t>ТОВ "РЕМРЕФДНІПРО"</t>
  </si>
  <si>
    <t>ТОВ "САНЛАЙФ ХОЛД"</t>
  </si>
  <si>
    <t>ТОВ "СЕВЕРНИЙ РИНОК"</t>
  </si>
  <si>
    <t>ТОВ "СИГМА"</t>
  </si>
  <si>
    <t>ТОВ "СП Техноліфт"</t>
  </si>
  <si>
    <t>ТОВ "ТК ГЕРМЕС ТРЕЙД"</t>
  </si>
  <si>
    <t>ТОВ "ТУТУБІКО"</t>
  </si>
  <si>
    <t>ТОВ "УКРСТРОЙДНІПРО"</t>
  </si>
  <si>
    <t>ТОВ "ЮНІР ІНЖИНІРИНГ"</t>
  </si>
  <si>
    <t>ТОВАРИСТВО З ОБМЕЖЕНОЮ ВІДПОВІДАЛЬНІСТЮ " ТОРГОВЕЛЬНО-БУДІВЕЛЬНИЙ ДІМ " ОЛДІ"</t>
  </si>
  <si>
    <t>ТОВАРИСТВО З ОБМЕЖЕНОЮ ВІДПОВІДАЛЬНІСТЮ "ІНКАМ ФІНАНС"</t>
  </si>
  <si>
    <t>ТОВАРИСТВО З ОБМЕЖЕНОЮ ВІДПОВІДАЛЬНІСТЮ "ІНСТАРС-ГРУП"</t>
  </si>
  <si>
    <t>ТОВАРИСТВО З ОБМЕЖЕНОЮ ВІДПОВІДАЛЬНІСТЮ "ІНТЕКС ІНВЕСТ"</t>
  </si>
  <si>
    <t>ТОВАРИСТВО З ОБМЕЖЕНОЮ ВІДПОВІДАЛЬНІСТЮ "ІНТЕРСОФТСЕРВІС"</t>
  </si>
  <si>
    <t>ТОВАРИСТВО З ОБМЕЖЕНОЮ ВІДПОВІДАЛЬНІСТЮ "АБРИС-БУД"</t>
  </si>
  <si>
    <t>ТОВАРИСТВО З ОБМЕЖЕНОЮ ВІДПОВІДАЛЬНІСТЮ "АВЕРС КАНЦЕЛЯРІЯ"</t>
  </si>
  <si>
    <t>ТОВАРИСТВО З ОБМЕЖЕНОЮ ВІДПОВІДАЛЬНІСТЮ "АГРОПРОМИСЛОВЕ ПІДПРИЄМСТВО "АГРОЕКСПО"</t>
  </si>
  <si>
    <t>ТОВАРИСТВО З ОБМЕЖЕНОЮ ВІДПОВІДАЛЬНІСТЮ "АКВАПЛАСТ"</t>
  </si>
  <si>
    <t>ТОВАРИСТВО З ОБМЕЖЕНОЮ ВІДПОВІДАЛЬНІСТЮ "АПС ПАУЕР ТЕХНОЛОДЖИ"</t>
  </si>
  <si>
    <t>ТОВАРИСТВО З ОБМЕЖЕНОЮ ВІДПОВІДАЛЬНІСТЮ "АТЛАС АКТИВ"</t>
  </si>
  <si>
    <t>ТОВАРИСТВО З ОБМЕЖЕНОЮ ВІДПОВІДАЛЬНІСТЮ "Б.К. ЛАНДШАФТ"</t>
  </si>
  <si>
    <t>ТОВАРИСТВО З ОБМЕЖЕНОЮ ВІДПОВІДАЛЬНІСТЮ "БУДІВЕЛЬНА КОМПАНІЯ "СТРОЙТЕХГАРАНТ"</t>
  </si>
  <si>
    <t>ТОВАРИСТВО З ОБМЕЖЕНОЮ ВІДПОВІДАЛЬНІСТЮ "БУДІВЕЛЬНА ФІРМА "ПРОГРЕС ЛТД"</t>
  </si>
  <si>
    <t>ТОВАРИСТВО З ОБМЕЖЕНОЮ ВІДПОВІДАЛЬНІСТЮ "ВАУ ІВЕНТС"</t>
  </si>
  <si>
    <t>ТОВАРИСТВО З ОБМЕЖЕНОЮ ВІДПОВІДАЛЬНІСТЮ "ДНІПРОВСЬКІ ЕНЕРГЕТИЧНІ ПОСЛУГИ"</t>
  </si>
  <si>
    <t>ТОВАРИСТВО З ОБМЕЖЕНОЮ ВІДПОВІДАЛЬНІСТЮ "ДНІПРОПЕТРОВСЬКГАЗ ЗБУТ"</t>
  </si>
  <si>
    <t>ТОВАРИСТВО З ОБМЕЖЕНОЮ ВІДПОВІДАЛЬНІСТЮ "ДНІПРОСПЕЦНАГЛЯД"</t>
  </si>
  <si>
    <t>ТОВАРИСТВО З ОБМЕЖЕНОЮ ВІДПОВІДАЛЬНІСТЮ "ЕКО РЕЦИКЛІНГ ГРУП"</t>
  </si>
  <si>
    <t>ТОВАРИСТВО З ОБМЕЖЕНОЮ ВІДПОВІДАЛЬНІСТЮ "ЕКОВІЖЕН"</t>
  </si>
  <si>
    <t>ТОВАРИСТВО З ОБМЕЖЕНОЮ ВІДПОВІДАЛЬНІСТЮ "ЕКОЛОГІЯ-Д"</t>
  </si>
  <si>
    <t>ТОВАРИСТВО З ОБМЕЖЕНОЮ ВІДПОВІДАЛЬНІСТЮ "ЗЕЛЕНА САДИБА РІВНЕ"</t>
  </si>
  <si>
    <t>ТОВАРИСТВО З ОБМЕЖЕНОЮ ВІДПОВІДАЛЬНІСТЮ "КАЙРОС ГРУП УКРАЇНА"</t>
  </si>
  <si>
    <t>ТОВАРИСТВО З ОБМЕЖЕНОЮ ВІДПОВІДАЛЬНІСТЮ "КДМ-СТРОЙ"</t>
  </si>
  <si>
    <t>ТОВАРИСТВО З ОБМЕЖЕНОЮ ВІДПОВІДАЛЬНІСТЮ "ЛІБРА ЗЕТ"</t>
  </si>
  <si>
    <t>ТОВАРИСТВО З ОБМЕЖЕНОЮ ВІДПОВІДАЛЬНІСТЮ "ЛІВАЙН ТОРГ"</t>
  </si>
  <si>
    <t>ТОВАРИСТВО З ОБМЕЖЕНОЮ ВІДПОВІДАЛЬНІСТЮ "МЕГАПЛАНТ "</t>
  </si>
  <si>
    <t>ТОВАРИСТВО З ОБМЕЖЕНОЮ ВІДПОВІДАЛЬНІСТЮ "МУЛЬТІСТРОЙ"</t>
  </si>
  <si>
    <t>ТОВАРИСТВО З ОБМЕЖЕНОЮ ВІДПОВІДАЛЬНІСТЮ "НАДІЯ СТРОЙ"</t>
  </si>
  <si>
    <t>ТОВАРИСТВО З ОБМЕЖЕНОЮ ВІДПОВІДАЛЬНІСТЮ "ОБЛАДНАННЯ БЕЗПЕКИ"</t>
  </si>
  <si>
    <t>ТОВАРИСТВО З ОБМЕЖЕНОЮ ВІДПОВІДАЛЬНІСТЮ "ОМЕГА ТЕРМ"</t>
  </si>
  <si>
    <t>ТОВАРИСТВО З ОБМЕЖЕНОЮ ВІДПОВІДАЛЬНІСТЮ "РЕМРЕФДНІПРО"</t>
  </si>
  <si>
    <t>ТОВАРИСТВО З ОБМЕЖЕНОЮ ВІДПОВІДАЛЬНІСТЮ "СИГМА"</t>
  </si>
  <si>
    <t>ТОВАРИСТВО З ОБМЕЖЕНОЮ ВІДПОВІДАЛЬНІСТЮ "СПАСЬКИЙ ПИТОМНИК"</t>
  </si>
  <si>
    <t>ТОВАРИСТВО З ОБМЕЖЕНОЮ ВІДПОВІДАЛЬНІСТЮ "СПЕЦІАЛІЗОВАНЕ ПІДПРИЄМСТВО ТЕХНОЛІФТ"</t>
  </si>
  <si>
    <t>ТОВАРИСТВО З ОБМЕЖЕНОЮ ВІДПОВІДАЛЬНІСТЮ "СТС-ІНЖИНІРИНГ"</t>
  </si>
  <si>
    <t>ТОВАРИСТВО З ОБМЕЖЕНОЮ ВІДПОВІДАЛЬНІСТЮ "ЦЕНТР ІНФОРМАЦІЙНИХ І АНАЛІТИЧНИХ ТЕХНОЛОГІЙ"</t>
  </si>
  <si>
    <t>ТОВАРИСТВО З ОБМЕЖЕНОЮ ВІДПОВІДАЛЬНІСТЮ "ЮНІК ТРЕЙДІНГ КОМПАНІ"</t>
  </si>
  <si>
    <t>ТОВАРИСТВО З ОБМЕЖЕНОЮ ВІДПОВІДАЛЬНІСТЮ "ЮНІР ІНЖИНІРИНГ"</t>
  </si>
  <si>
    <t>ТОВАРИСТВО З ОБМЕЖЕНОЮ ВІДПОВІДАЛЬНІСТЮ ВИРОБНИЧО-КОМЕРЦІЙНА ФІРМА "РАДІУС" ЛТД</t>
  </si>
  <si>
    <t>ТРЕГУБ ЮЛІЯ ЮРІЇВНА</t>
  </si>
  <si>
    <t>Так</t>
  </si>
  <si>
    <t>Теплова енергія</t>
  </si>
  <si>
    <t>Технічне обслуговування кондиціонеру ARVIN AF-MS7HCL ; Технічне обслуговування кондиціонеру ARVIN AF-MS9HCL; Технічне обслуговування кондиціонеру AKIRA AC -S7HUNP; Технічне обслуговування кондиціонеру AKIRA AC- S10 HUNP; Технічне обслуговування кондиціонеру LG LS-L1261HL; Технічне обслуговування кондиціонеру EWT G 07HR; Технічне обслуговування кондиціонеру EWT G 09HR; Технічне обслуговування кондиціонеру LG S12LH; Технічне обслуговування кондиціонеру TK5-KC-7-GVS; Технічне обслуговування кондиціонеру LG LS-H0561AL; Технічне обслуговування кондиціонеру Panasonic CS-PA12GKD; Технічне обслуговування кондиціонеру Mitsubishi SRK388HENF-W; Технічне обслуговування кондиціонеру NeoClima NS 18 LHG; Технічне обслуговування кондиціонеру LG G07LHK; Технічне обслуговування кондиціонеру KORO KRS12-HRCW/2D; Технічне обслуговування кондиціонеру Midea MSC07HR; Технічне обслуговування кондиціонеру TK5-KC-7-GVC (TKC); Технічне обслуговування кондиціонеру Samsung SH12ZAB</t>
  </si>
  <si>
    <t>Технічне обслуговування кондиціонерів (спліт-систем)</t>
  </si>
  <si>
    <t>Технічне обслуговування; Заміна ролику захоплення; Заміна бушингів гум валу; Заміна термоплівки; Ремонт осі родику захоплення</t>
  </si>
  <si>
    <t>Технічне обслуговування; Заміна ролику захоплення; Заміна підшипників гум валу; Відновлення картриджу</t>
  </si>
  <si>
    <t>Тип процедури</t>
  </si>
  <si>
    <t>Товари для облаштування споруд цивільного захисту (Двері металеві протипожежні з установкою для облаштування найпростішого укриття)</t>
  </si>
  <si>
    <t>Товари для облаштування споруд цивільного захисту (лавки та нари для облаштування найпростішого укриття)</t>
  </si>
  <si>
    <t>Товари для облаштування споруд цивільного захисту (укриття, бомбосховища, тощо), а саме - ганчірки  для прибирання</t>
  </si>
  <si>
    <t>Товари для облаштування споруд цивільного захисту (укриття, бомбосховища, тощо), а саме - одноразовий посуд</t>
  </si>
  <si>
    <t>Товари для облаштування споруд цивільного захисту (укриття, бомбосховища, тощо), а саме - подовжувачі</t>
  </si>
  <si>
    <t>Товариство з обмеженою відповідальністю "Дніпропетровськгаз збут"</t>
  </si>
  <si>
    <t>УПРАВЛІННЯ ПОЛІЦІЇ ОХОРОНИ В ДНІПРОПЕТРОВСЬКІЙ ОБЛАСТІ</t>
  </si>
  <si>
    <t>Узагальнена назва закупівлі</t>
  </si>
  <si>
    <t>Укладання договору до (кінцева дата для укладання договору):</t>
  </si>
  <si>
    <t>Укладання договору з (початкова дата для укладання договору):</t>
  </si>
  <si>
    <t>Укласти договір</t>
  </si>
  <si>
    <t>ФІЗИЧНА ОСОБА-ПІДПРИЄМЕЦЬ  РОГОЖА ЄВГЕНІЙ СЕРГІЙОВИЧ</t>
  </si>
  <si>
    <t>ФОП "ІВАНІН АРТЕМ ВОЛОДИМИРОВИЧ"</t>
  </si>
  <si>
    <t>ФОП "АНТОНОВА ВІРА ВОЛОДИМИРІВНА"</t>
  </si>
  <si>
    <t>ФОП "Боярко Богдан Валерійович"</t>
  </si>
  <si>
    <t>ФОП "ГІРКО СЕРГІЙ ОЛЕКСАНДРОВИЧ"</t>
  </si>
  <si>
    <t>ФОП "ГАЙДАЙ ЯРОСЛАВ ВАДИМОВИЧ"</t>
  </si>
  <si>
    <t>ФОП "ДОМАНОВ АРТУР ОЛЕГОВИЧ"</t>
  </si>
  <si>
    <t>ФОП "ЗАКАСОВСЬКИЙ ВІТАЛІЙ ВОЛОДИМИРОВИЧ"</t>
  </si>
  <si>
    <t>ФОП "МЕДОЛИЗ РОМАН ВОЛОДИМИРОВИЧ"</t>
  </si>
  <si>
    <t>ФОП "ОГУРЦОВ ДМИТРО  СЕРГІЙОВИЧ"</t>
  </si>
  <si>
    <t>ФОП "ТКАЧОВА ОЛЕКСАНДРА ГРИГОРІВНА"</t>
  </si>
  <si>
    <t>ФОП "ФЕНІН ЮРІЙ МИКОЛАЙОВИЧ"</t>
  </si>
  <si>
    <t>ФОП Бойченко Світлана Вікторівна</t>
  </si>
  <si>
    <t>ФОП ГРИГОРЕНКО КОСТЯНТИН ІВАНОВИЧ</t>
  </si>
  <si>
    <t>ФОП Кутенкова О.О.</t>
  </si>
  <si>
    <t>ФОП Онищенко О.В.</t>
  </si>
  <si>
    <t>ФОП ПОЛЯКОВА ОЛЕНА ОЛЕКСАНДРІВНА</t>
  </si>
  <si>
    <t>ФОП Половенко Олександр Володимирович</t>
  </si>
  <si>
    <t>ФОП САФОНОВА ІННА ВОЛОДИМИРІВНА</t>
  </si>
  <si>
    <t>ФОП Чипчєв О. І.</t>
  </si>
  <si>
    <t>ФОП Чипчєв Олександр Іванович</t>
  </si>
  <si>
    <t>Файл А4+ 40мкм глянцевий 100шт Fresh Up 20-40 /20уп в ящ/; Лінійка 30см пластикова чорна ВМ 5830-30 144шт/уп; Ножиці офісні 160мм ВМ 4507 12/144шт/уп; Ніж канцелярський 9мм пластиковий корпус BM 4635 60/1200шт/уп; Клей-карандаш 36г PVA Economix 41205 12/384шт/уп; Клей ПВА 200мл з ковпачком Еталон-С 60шт/ящ; Коректор з пензликом 20мл Delta 7016 12/576шт/уп; Чинка без контейнера Delta 9701 Standart 24шт/уп; Ластик для олівця Axent 1193 Mellow mini 36шт/уп; Олівець графітний  НВ ВМ 8537 корпус жовтий 144шт/уп; Ручка масляна Economix Line E10196-02 синя 50/1000шт/уп; Маркер текстовий BM 8903-08 жовтий 12шт/уп; Маркер текстовий BM 8903-11 помаранчевий 12шт/уп; Діркопробивач 40 арк. металевий з лінійкою Axent 3940 Exakt-2 ассорти 1/36шт/уп; Діркопробивач 10арк металевий BM 4039-02 синій 12/120шт/уп; Сегрегатор А4 70/75мм односторонній синій ETALON ВМ 3015-02 10/24шт/уп; Степлер №24/6 26/6 20 арк. 55мм Economix 40288 чорний 12/144шт/уп; Скоби №24/6 25 арк. 1000шт E40302 Economix 10/1000шт/уп; Скоби №23/15 120 арк. 1000шт Axent 4307 10/200шт/уп; Скріпки 28мм 100шт нікельовані заокруглі Economix 41013 10/500шт/уп; Скріпки 50мм 100шт нікельовані заокруглі ВМ 5001 10/500шт/уп; Скотч 24мм х20м прозорий BM 7173-01 6/360шт/ящ; Папір з липким шаром 51х12 4х100 арк. пастельний ВМ 2306-99 24/288шт/уп; Папір з липким шаром 75х75 100 арк. жовтий Delta 3314-01 12/120шт/уп; Конверт з кнопкою А4 Economix 31301 прозорий асорті 12/120шт/уп; Книга А4 офсетна 96 арк. клітинка тверда ламінована обкладинка City note; Швидкосшивач картонний А4+ 0,35мм 50шт/уп; Папка для  паперів із зав'язками картон А4+ 0,35мм 50шт/уп; Затиск для паперу 19мм ВМ 5305 12/300шт/уп; Затиск для паперу 25мм ВМ 5304 12/240шт/уп; Затиск для паперу 32мм ВМ 5303 12/120шт/уп; Затиск для паперу 51мм ВМ 5301 12/60шт/уп; Папка-бокс архівна із зав'язками А4 картон 0,40мм 25шт/уп</t>
  </si>
  <si>
    <t>Фактичний переможець</t>
  </si>
  <si>
    <t>Фізична особа-підприємець Смола Дмитро Вікторович</t>
  </si>
  <si>
    <t>Фізична особа-підприємець Цимбалюк Юрій Вячеславович</t>
  </si>
  <si>
    <t>Фільтр масляний 2108 MANN; Фільтр масляний LANOS MANN; Елемент фільтр повітряний LANOS; Фільтр пальний інж. 1,6 та Lanos (WIN) на кліпсах</t>
  </si>
  <si>
    <t>Фільтр масляний LANOS MANN; Елемент фільтр повітряний LANOS WIX; Фільтр пальний інж. 1,6 та Lanos (WIX) на кліпсах ; Щітка склоочищувача безкаркасна LANOS DENSO 48 см.</t>
  </si>
  <si>
    <t>Фільтр масляний Mahle; Фільтр повітряний Rider; Фільтр паливний Rider; Фільтр салону Alfa; Лампа H4 Philips; Глушник задній ТНК</t>
  </si>
  <si>
    <t>ЧЕРТОК ЄВГЕН АНАТОЛІЙОВИЧ</t>
  </si>
  <si>
    <t>ЧИПЧЄВ ОЛЕКСАНДР ІВАНОВИЧ</t>
  </si>
  <si>
    <t>Чистящі засоби</t>
  </si>
  <si>
    <t>Шлейф під кермом Cheri Elara; Датчик ABS задній L Cheri Elara; Стійка стабілізатору передня Cheri Elara / E5 UNI; Сайленгблок важеля заднього поздовжнього Cheri Elara / E5 EEP; Важіль задній поперечний (довгий) L/R Cheri Elara / E5 KIMIKO; Важіль задньої підвіски поперечний (короткий) LR FITSHI; Важіль задній поперечний (вигнутий) L/R Cheri Elara E5 KIMIKO; Болт розвалу в зборі Cheri Elara KLM; Болт М 12х1,25 титан</t>
  </si>
  <si>
    <t>Якщо ви маєте пропозицію чи побажання щодо покращення цього звіту, напишіть нам, будь ласка:</t>
  </si>
  <si>
    <t>активна</t>
  </si>
  <si>
    <t>аукціон не передбачено</t>
  </si>
  <si>
    <t>аукціон не проводився</t>
  </si>
  <si>
    <t>буде відома у момент початку прийому пропозицій</t>
  </si>
  <si>
    <t>година</t>
  </si>
  <si>
    <t>гігакалорія</t>
  </si>
  <si>
    <t>завершений</t>
  </si>
  <si>
    <t>завершено</t>
  </si>
  <si>
    <t>закупівля не відбулась</t>
  </si>
  <si>
    <t>кіловар</t>
  </si>
  <si>
    <t>кіловар-година</t>
  </si>
  <si>
    <t>кіловат-година</t>
  </si>
  <si>
    <t>кілька позицій</t>
  </si>
  <si>
    <t>літр</t>
  </si>
  <si>
    <t>метр квадратний</t>
  </si>
  <si>
    <t>метри квадратні</t>
  </si>
  <si>
    <t>метри кубічні</t>
  </si>
  <si>
    <t>не указано</t>
  </si>
  <si>
    <t>одиниця</t>
  </si>
  <si>
    <t>очікує підпису</t>
  </si>
  <si>
    <t>пара</t>
  </si>
  <si>
    <t>пачок</t>
  </si>
  <si>
    <t>послуга</t>
  </si>
  <si>
    <t>прийом пропозицій</t>
  </si>
  <si>
    <t>пропозиції розглянуті</t>
  </si>
  <si>
    <t>підписано</t>
  </si>
  <si>
    <t>скасована</t>
  </si>
  <si>
    <t>скасований</t>
  </si>
  <si>
    <t>тонни</t>
  </si>
  <si>
    <t>штука</t>
  </si>
  <si>
    <t>штуки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</si>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</sst>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dd\.mm\.yyyy"/>
    <numFmt numFmtId="166" formatCode="dd\.mm\.yyyy\ hh:mm"/>
  </numFmts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</patternFill>
    </fill>
  </fills>
  <borders count="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1" fontId="1" fillId="0" borderId="0" xfId="0" applyNumberFormat="1" applyFont="1"/>
    <xf numFmtId="165" fontId="1" fillId="0" borderId="0" xfId="0" applyNumberFormat="1" applyFont="1"/>
    <xf numFmtId="4" fontId="1" fillId="0" borderId="0" xfId="0" applyNumberFormat="1" applyFont="1"/>
    <xf numFmtId="166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my.zakupivli.pro/remote/dispatcher/state_purchase_view/51319668" TargetMode="External"/><Relationship Id="rId671" Type="http://schemas.openxmlformats.org/officeDocument/2006/relationships/hyperlink" Target="https://my.zakupivli.pro/remote/dispatcher/state_purchase_view/34711288" TargetMode="External"/><Relationship Id="rId769" Type="http://schemas.openxmlformats.org/officeDocument/2006/relationships/hyperlink" Target="https://my.zakupivli.pro/remote/dispatcher/state_purchase_view/31598755" TargetMode="External"/><Relationship Id="rId21" Type="http://schemas.openxmlformats.org/officeDocument/2006/relationships/hyperlink" Target="https://my.zakupivli.pro/remote/dispatcher/state_purchase_view/52388273" TargetMode="External"/><Relationship Id="rId324" Type="http://schemas.openxmlformats.org/officeDocument/2006/relationships/hyperlink" Target="https://my.zakupivli.pro/remote/dispatcher/state_purchase_view/45090556" TargetMode="External"/><Relationship Id="rId531" Type="http://schemas.openxmlformats.org/officeDocument/2006/relationships/hyperlink" Target="https://my.zakupivli.pro/remote/dispatcher/state_purchase_view/40719941" TargetMode="External"/><Relationship Id="rId629" Type="http://schemas.openxmlformats.org/officeDocument/2006/relationships/hyperlink" Target="https://my.zakupivli.pro/remote/dispatcher/state_purchase_view/37514942" TargetMode="External"/><Relationship Id="rId170" Type="http://schemas.openxmlformats.org/officeDocument/2006/relationships/hyperlink" Target="https://my.zakupivli.pro/remote/dispatcher/state_purchase_view/49308272" TargetMode="External"/><Relationship Id="rId836" Type="http://schemas.openxmlformats.org/officeDocument/2006/relationships/hyperlink" Target="https://my.zakupivli.pro/remote/dispatcher/state_purchase_view/30554193" TargetMode="External"/><Relationship Id="rId268" Type="http://schemas.openxmlformats.org/officeDocument/2006/relationships/hyperlink" Target="https://my.zakupivli.pro/remote/dispatcher/state_purchase_view/46027624" TargetMode="External"/><Relationship Id="rId475" Type="http://schemas.openxmlformats.org/officeDocument/2006/relationships/hyperlink" Target="https://my.zakupivli.pro/remote/dispatcher/state_purchase_view/42402828" TargetMode="External"/><Relationship Id="rId682" Type="http://schemas.openxmlformats.org/officeDocument/2006/relationships/hyperlink" Target="https://my.zakupivli.pro/remote/dispatcher/state_purchase_view/34244824" TargetMode="External"/><Relationship Id="rId903" Type="http://schemas.openxmlformats.org/officeDocument/2006/relationships/hyperlink" Target="https://my.zakupivli.pro/remote/dispatcher/state_purchase_view/29208945" TargetMode="External"/><Relationship Id="rId32" Type="http://schemas.openxmlformats.org/officeDocument/2006/relationships/hyperlink" Target="https://my.zakupivli.pro/remote/dispatcher/state_purchase_lot_view/1336905" TargetMode="External"/><Relationship Id="rId128" Type="http://schemas.openxmlformats.org/officeDocument/2006/relationships/hyperlink" Target="https://my.zakupivli.pro/remote/dispatcher/state_purchase_lot_view/1288932" TargetMode="External"/><Relationship Id="rId335" Type="http://schemas.openxmlformats.org/officeDocument/2006/relationships/hyperlink" Target="https://my.zakupivli.pro/remote/dispatcher/state_purchase_view/44927613" TargetMode="External"/><Relationship Id="rId542" Type="http://schemas.openxmlformats.org/officeDocument/2006/relationships/hyperlink" Target="https://my.zakupivli.pro/remote/dispatcher/state_purchase_view/40328335" TargetMode="External"/><Relationship Id="rId181" Type="http://schemas.openxmlformats.org/officeDocument/2006/relationships/hyperlink" Target="https://my.zakupivli.pro/remote/dispatcher/state_purchase_view/48891427" TargetMode="External"/><Relationship Id="rId402" Type="http://schemas.openxmlformats.org/officeDocument/2006/relationships/hyperlink" Target="https://my.zakupivli.pro/remote/dispatcher/state_purchase_lot_view/953018" TargetMode="External"/><Relationship Id="rId847" Type="http://schemas.openxmlformats.org/officeDocument/2006/relationships/hyperlink" Target="https://my.zakupivli.pro/remote/dispatcher/state_purchase_view/30423471" TargetMode="External"/><Relationship Id="rId279" Type="http://schemas.openxmlformats.org/officeDocument/2006/relationships/hyperlink" Target="https://my.zakupivli.pro/remote/dispatcher/state_purchase_view/46027190" TargetMode="External"/><Relationship Id="rId486" Type="http://schemas.openxmlformats.org/officeDocument/2006/relationships/hyperlink" Target="https://my.zakupivli.pro/remote/dispatcher/state_purchase_view/42350740" TargetMode="External"/><Relationship Id="rId693" Type="http://schemas.openxmlformats.org/officeDocument/2006/relationships/hyperlink" Target="https://my.zakupivli.pro/remote/dispatcher/state_purchase_view/33509509" TargetMode="External"/><Relationship Id="rId707" Type="http://schemas.openxmlformats.org/officeDocument/2006/relationships/hyperlink" Target="https://my.zakupivli.pro/remote/dispatcher/state_purchase_view/32763613" TargetMode="External"/><Relationship Id="rId914" Type="http://schemas.openxmlformats.org/officeDocument/2006/relationships/hyperlink" Target="https://my.zakupivli.pro/remote/dispatcher/state_purchase_lot_view/683877" TargetMode="External"/><Relationship Id="rId43" Type="http://schemas.openxmlformats.org/officeDocument/2006/relationships/hyperlink" Target="https://my.zakupivli.pro/remote/dispatcher/state_purchase_view/52135896" TargetMode="External"/><Relationship Id="rId139" Type="http://schemas.openxmlformats.org/officeDocument/2006/relationships/hyperlink" Target="https://my.zakupivli.pro/remote/dispatcher/state_purchase_view/50921730" TargetMode="External"/><Relationship Id="rId346" Type="http://schemas.openxmlformats.org/officeDocument/2006/relationships/hyperlink" Target="https://my.zakupivli.pro/remote/dispatcher/state_purchase_view/44590796" TargetMode="External"/><Relationship Id="rId553" Type="http://schemas.openxmlformats.org/officeDocument/2006/relationships/hyperlink" Target="https://my.zakupivli.pro/remote/dispatcher/state_purchase_view/39761092" TargetMode="External"/><Relationship Id="rId760" Type="http://schemas.openxmlformats.org/officeDocument/2006/relationships/hyperlink" Target="https://my.zakupivli.pro/remote/dispatcher/state_purchase_view/31801922" TargetMode="External"/><Relationship Id="rId192" Type="http://schemas.openxmlformats.org/officeDocument/2006/relationships/hyperlink" Target="https://my.zakupivli.pro/remote/dispatcher/state_purchase_view/48685988" TargetMode="External"/><Relationship Id="rId206" Type="http://schemas.openxmlformats.org/officeDocument/2006/relationships/hyperlink" Target="https://my.zakupivli.pro/remote/dispatcher/state_purchase_view/47913903" TargetMode="External"/><Relationship Id="rId413" Type="http://schemas.openxmlformats.org/officeDocument/2006/relationships/hyperlink" Target="https://my.zakupivli.pro/remote/dispatcher/state_purchase_view/42816405" TargetMode="External"/><Relationship Id="rId858" Type="http://schemas.openxmlformats.org/officeDocument/2006/relationships/hyperlink" Target="https://auctions.prozorro.gov.ua/tenders/cbfc5e6125e74a92a747436d59c67178_537cedff6f1148be95054c346f78be0a" TargetMode="External"/><Relationship Id="rId497" Type="http://schemas.openxmlformats.org/officeDocument/2006/relationships/hyperlink" Target="https://my.zakupivli.pro/remote/dispatcher/state_purchase_view/42109337" TargetMode="External"/><Relationship Id="rId620" Type="http://schemas.openxmlformats.org/officeDocument/2006/relationships/hyperlink" Target="https://my.zakupivli.pro/remote/dispatcher/state_purchase_view/37964434" TargetMode="External"/><Relationship Id="rId718" Type="http://schemas.openxmlformats.org/officeDocument/2006/relationships/hyperlink" Target="https://auctions.prozorro.gov.ua/tenders/2cc88e29d40c4ca48ad8ad9a5fbddfd6" TargetMode="External"/><Relationship Id="rId925" Type="http://schemas.openxmlformats.org/officeDocument/2006/relationships/hyperlink" Target="https://my.zakupivli.pro/remote/dispatcher/state_purchase_lot_view/683557" TargetMode="External"/><Relationship Id="rId357" Type="http://schemas.openxmlformats.org/officeDocument/2006/relationships/hyperlink" Target="https://my.zakupivli.pro/remote/dispatcher/state_purchase_view/43720685" TargetMode="External"/><Relationship Id="rId54" Type="http://schemas.openxmlformats.org/officeDocument/2006/relationships/hyperlink" Target="https://my.zakupivli.pro/remote/dispatcher/state_purchase_view/52106207" TargetMode="External"/><Relationship Id="rId217" Type="http://schemas.openxmlformats.org/officeDocument/2006/relationships/hyperlink" Target="https://my.zakupivli.pro/remote/dispatcher/state_purchase_view/47427602" TargetMode="External"/><Relationship Id="rId564" Type="http://schemas.openxmlformats.org/officeDocument/2006/relationships/hyperlink" Target="https://my.zakupivli.pro/remote/dispatcher/state_purchase_lot_view/825678" TargetMode="External"/><Relationship Id="rId771" Type="http://schemas.openxmlformats.org/officeDocument/2006/relationships/hyperlink" Target="https://my.zakupivli.pro/remote/dispatcher/state_purchase_view/31507768" TargetMode="External"/><Relationship Id="rId869" Type="http://schemas.openxmlformats.org/officeDocument/2006/relationships/hyperlink" Target="https://my.zakupivli.pro/remote/dispatcher/state_purchase_view/29628068" TargetMode="External"/><Relationship Id="rId424" Type="http://schemas.openxmlformats.org/officeDocument/2006/relationships/hyperlink" Target="https://my.zakupivli.pro/remote/dispatcher/state_purchase_view/42684633" TargetMode="External"/><Relationship Id="rId631" Type="http://schemas.openxmlformats.org/officeDocument/2006/relationships/hyperlink" Target="https://auctions.prozorro.gov.ua/tenders/1945e4718ab142e4bb150b66e4f68b81" TargetMode="External"/><Relationship Id="rId729" Type="http://schemas.openxmlformats.org/officeDocument/2006/relationships/hyperlink" Target="https://my.zakupivli.pro/remote/dispatcher/state_purchase_view/32584006" TargetMode="External"/><Relationship Id="rId270" Type="http://schemas.openxmlformats.org/officeDocument/2006/relationships/hyperlink" Target="https://my.zakupivli.pro/remote/dispatcher/state_purchase_view/46027833" TargetMode="External"/><Relationship Id="rId936" Type="http://schemas.openxmlformats.org/officeDocument/2006/relationships/hyperlink" Target="https://my.zakupivli.pro/remote/dispatcher/state_purchase_view/28827882" TargetMode="External"/><Relationship Id="rId65" Type="http://schemas.openxmlformats.org/officeDocument/2006/relationships/hyperlink" Target="https://my.zakupivli.pro/remote/dispatcher/state_purchase_view/51773753" TargetMode="External"/><Relationship Id="rId130" Type="http://schemas.openxmlformats.org/officeDocument/2006/relationships/hyperlink" Target="https://my.zakupivli.pro/remote/dispatcher/state_purchase_lot_view/1289007" TargetMode="External"/><Relationship Id="rId368" Type="http://schemas.openxmlformats.org/officeDocument/2006/relationships/hyperlink" Target="https://my.zakupivli.pro/remote/dispatcher/state_purchase_view/43377330" TargetMode="External"/><Relationship Id="rId575" Type="http://schemas.openxmlformats.org/officeDocument/2006/relationships/hyperlink" Target="https://my.zakupivli.pro/remote/dispatcher/state_purchase_lot_view/806992" TargetMode="External"/><Relationship Id="rId782" Type="http://schemas.openxmlformats.org/officeDocument/2006/relationships/hyperlink" Target="https://my.zakupivli.pro/remote/dispatcher/state_purchase_lot_view/702636" TargetMode="External"/><Relationship Id="rId228" Type="http://schemas.openxmlformats.org/officeDocument/2006/relationships/hyperlink" Target="https://my.zakupivli.pro/remote/dispatcher/state_purchase_view/47168969" TargetMode="External"/><Relationship Id="rId435" Type="http://schemas.openxmlformats.org/officeDocument/2006/relationships/hyperlink" Target="https://my.zakupivli.pro/remote/dispatcher/state_purchase_view/42610153" TargetMode="External"/><Relationship Id="rId642" Type="http://schemas.openxmlformats.org/officeDocument/2006/relationships/hyperlink" Target="https://auctions.prozorro.gov.ua/tenders/9528403559ef4ac9a9032bc460eb0ad1" TargetMode="External"/><Relationship Id="rId281" Type="http://schemas.openxmlformats.org/officeDocument/2006/relationships/hyperlink" Target="https://my.zakupivli.pro/remote/dispatcher/state_purchase_lot_view/1072941" TargetMode="External"/><Relationship Id="rId502" Type="http://schemas.openxmlformats.org/officeDocument/2006/relationships/hyperlink" Target="https://my.zakupivli.pro/remote/dispatcher/state_purchase_lot_view/921541" TargetMode="External"/><Relationship Id="rId947" Type="http://schemas.openxmlformats.org/officeDocument/2006/relationships/hyperlink" Target="https://my.zakupivli.pro/remote/dispatcher/state_purchase_lot_view/672644" TargetMode="External"/><Relationship Id="rId76" Type="http://schemas.openxmlformats.org/officeDocument/2006/relationships/hyperlink" Target="https://my.zakupivli.pro/remote/dispatcher/state_purchase_view/51752166" TargetMode="External"/><Relationship Id="rId141" Type="http://schemas.openxmlformats.org/officeDocument/2006/relationships/hyperlink" Target="https://my.zakupivli.pro/remote/dispatcher/state_purchase_view/50918113" TargetMode="External"/><Relationship Id="rId379" Type="http://schemas.openxmlformats.org/officeDocument/2006/relationships/hyperlink" Target="https://my.zakupivli.pro/remote/dispatcher/state_purchase_view/43228882" TargetMode="External"/><Relationship Id="rId586" Type="http://schemas.openxmlformats.org/officeDocument/2006/relationships/hyperlink" Target="https://my.zakupivli.pro/remote/dispatcher/state_purchase_view/38627447" TargetMode="External"/><Relationship Id="rId793" Type="http://schemas.openxmlformats.org/officeDocument/2006/relationships/hyperlink" Target="https://my.zakupivli.pro/remote/dispatcher/state_purchase_view/31189451" TargetMode="External"/><Relationship Id="rId807" Type="http://schemas.openxmlformats.org/officeDocument/2006/relationships/hyperlink" Target="https://auctions.prozorro.gov.ua/tenders/e2ebbefcf0074db5abd9d4ff5a92a5c6" TargetMode="External"/><Relationship Id="rId7" Type="http://schemas.openxmlformats.org/officeDocument/2006/relationships/hyperlink" Target="https://my.zakupivli.pro/remote/dispatcher/state_purchase_view/52550891" TargetMode="External"/><Relationship Id="rId239" Type="http://schemas.openxmlformats.org/officeDocument/2006/relationships/hyperlink" Target="https://my.zakupivli.pro/remote/dispatcher/state_purchase_view/46776841" TargetMode="External"/><Relationship Id="rId446" Type="http://schemas.openxmlformats.org/officeDocument/2006/relationships/hyperlink" Target="https://my.zakupivli.pro/remote/dispatcher/state_purchase_view/42621160" TargetMode="External"/><Relationship Id="rId653" Type="http://schemas.openxmlformats.org/officeDocument/2006/relationships/hyperlink" Target="https://auctions.prozorro.gov.ua/tenders/9c3f42e7e7cf43a9a8a236e735059a3d" TargetMode="External"/><Relationship Id="rId292" Type="http://schemas.openxmlformats.org/officeDocument/2006/relationships/hyperlink" Target="https://my.zakupivli.pro/remote/dispatcher/state_purchase_view/45604830" TargetMode="External"/><Relationship Id="rId306" Type="http://schemas.openxmlformats.org/officeDocument/2006/relationships/hyperlink" Target="https://my.zakupivli.pro/remote/dispatcher/state_purchase_view/45252192" TargetMode="External"/><Relationship Id="rId860" Type="http://schemas.openxmlformats.org/officeDocument/2006/relationships/hyperlink" Target="https://my.zakupivli.pro/remote/dispatcher/state_purchase_lot_view/688429" TargetMode="External"/><Relationship Id="rId958" Type="http://schemas.openxmlformats.org/officeDocument/2006/relationships/hyperlink" Target="https://my.zakupivli.pro/remote/dispatcher/state_purchase_lot_view/668018" TargetMode="External"/><Relationship Id="rId87" Type="http://schemas.openxmlformats.org/officeDocument/2006/relationships/hyperlink" Target="https://my.zakupivli.pro/remote/dispatcher/state_purchase_view/51621804" TargetMode="External"/><Relationship Id="rId513" Type="http://schemas.openxmlformats.org/officeDocument/2006/relationships/hyperlink" Target="https://my.zakupivli.pro/remote/dispatcher/state_purchase_view/41271854" TargetMode="External"/><Relationship Id="rId597" Type="http://schemas.openxmlformats.org/officeDocument/2006/relationships/hyperlink" Target="https://my.zakupivli.pro/remote/dispatcher/state_purchase_view/38627989" TargetMode="External"/><Relationship Id="rId720" Type="http://schemas.openxmlformats.org/officeDocument/2006/relationships/hyperlink" Target="https://auctions.prozorro.gov.ua/tenders/c468fa1b5c074e8ebd0ef75e97171f1d" TargetMode="External"/><Relationship Id="rId818" Type="http://schemas.openxmlformats.org/officeDocument/2006/relationships/hyperlink" Target="https://my.zakupivli.pro/remote/dispatcher/state_purchase_view/30885081" TargetMode="External"/><Relationship Id="rId152" Type="http://schemas.openxmlformats.org/officeDocument/2006/relationships/hyperlink" Target="https://my.zakupivli.pro/remote/dispatcher/state_purchase_lot_view/1264850" TargetMode="External"/><Relationship Id="rId457" Type="http://schemas.openxmlformats.org/officeDocument/2006/relationships/hyperlink" Target="https://my.zakupivli.pro/remote/dispatcher/state_purchase_view/42491892" TargetMode="External"/><Relationship Id="rId664" Type="http://schemas.openxmlformats.org/officeDocument/2006/relationships/hyperlink" Target="https://my.zakupivli.pro/remote/dispatcher/state_purchase_view/35489374" TargetMode="External"/><Relationship Id="rId871" Type="http://schemas.openxmlformats.org/officeDocument/2006/relationships/hyperlink" Target="https://my.zakupivli.pro/remote/dispatcher/state_purchase_view/29455081" TargetMode="External"/><Relationship Id="rId14" Type="http://schemas.openxmlformats.org/officeDocument/2006/relationships/hyperlink" Target="https://my.zakupivli.pro/remote/dispatcher/state_purchase_view/52393295" TargetMode="External"/><Relationship Id="rId317" Type="http://schemas.openxmlformats.org/officeDocument/2006/relationships/hyperlink" Target="https://my.zakupivli.pro/remote/dispatcher/state_purchase_view/45114255" TargetMode="External"/><Relationship Id="rId524" Type="http://schemas.openxmlformats.org/officeDocument/2006/relationships/hyperlink" Target="https://my.zakupivli.pro/remote/dispatcher/state_purchase_view/41050537" TargetMode="External"/><Relationship Id="rId731" Type="http://schemas.openxmlformats.org/officeDocument/2006/relationships/hyperlink" Target="https://my.zakupivli.pro/remote/dispatcher/state_purchase_view/32583838" TargetMode="External"/><Relationship Id="rId98" Type="http://schemas.openxmlformats.org/officeDocument/2006/relationships/hyperlink" Target="https://my.zakupivli.pro/remote/dispatcher/state_purchase_view/51582550" TargetMode="External"/><Relationship Id="rId163" Type="http://schemas.openxmlformats.org/officeDocument/2006/relationships/hyperlink" Target="https://my.zakupivli.pro/remote/dispatcher/state_purchase_view/49710974" TargetMode="External"/><Relationship Id="rId370" Type="http://schemas.openxmlformats.org/officeDocument/2006/relationships/hyperlink" Target="https://my.zakupivli.pro/remote/dispatcher/state_purchase_view/43231168" TargetMode="External"/><Relationship Id="rId829" Type="http://schemas.openxmlformats.org/officeDocument/2006/relationships/hyperlink" Target="https://my.zakupivli.pro/remote/dispatcher/state_purchase_view/30683006" TargetMode="External"/><Relationship Id="rId230" Type="http://schemas.openxmlformats.org/officeDocument/2006/relationships/hyperlink" Target="https://my.zakupivli.pro/remote/dispatcher/state_purchase_view/47094885" TargetMode="External"/><Relationship Id="rId468" Type="http://schemas.openxmlformats.org/officeDocument/2006/relationships/hyperlink" Target="https://my.zakupivli.pro/remote/dispatcher/state_purchase_view/42398222" TargetMode="External"/><Relationship Id="rId675" Type="http://schemas.openxmlformats.org/officeDocument/2006/relationships/hyperlink" Target="https://my.zakupivli.pro/remote/dispatcher/state_purchase_view/34589722" TargetMode="External"/><Relationship Id="rId882" Type="http://schemas.openxmlformats.org/officeDocument/2006/relationships/hyperlink" Target="https://my.zakupivli.pro/remote/dispatcher/state_purchase_view/29212113" TargetMode="External"/><Relationship Id="rId25" Type="http://schemas.openxmlformats.org/officeDocument/2006/relationships/hyperlink" Target="https://my.zakupivli.pro/remote/dispatcher/state_purchase_view/52362109" TargetMode="External"/><Relationship Id="rId328" Type="http://schemas.openxmlformats.org/officeDocument/2006/relationships/hyperlink" Target="https://my.zakupivli.pro/remote/dispatcher/state_purchase_view/45091496" TargetMode="External"/><Relationship Id="rId535" Type="http://schemas.openxmlformats.org/officeDocument/2006/relationships/hyperlink" Target="https://my.zakupivli.pro/remote/dispatcher/state_purchase_lot_view/864653" TargetMode="External"/><Relationship Id="rId742" Type="http://schemas.openxmlformats.org/officeDocument/2006/relationships/hyperlink" Target="https://my.zakupivli.pro/remote/dispatcher/state_purchase_view/32245489" TargetMode="External"/><Relationship Id="rId174" Type="http://schemas.openxmlformats.org/officeDocument/2006/relationships/hyperlink" Target="https://my.zakupivli.pro/remote/dispatcher/state_purchase_view/49238713" TargetMode="External"/><Relationship Id="rId381" Type="http://schemas.openxmlformats.org/officeDocument/2006/relationships/hyperlink" Target="https://my.zakupivli.pro/remote/dispatcher/state_purchase_view/43228051" TargetMode="External"/><Relationship Id="rId602" Type="http://schemas.openxmlformats.org/officeDocument/2006/relationships/hyperlink" Target="https://my.zakupivli.pro/remote/dispatcher/state_purchase_lot_view/788546" TargetMode="External"/><Relationship Id="rId241" Type="http://schemas.openxmlformats.org/officeDocument/2006/relationships/hyperlink" Target="https://my.zakupivli.pro/remote/dispatcher/state_purchase_view/46776571" TargetMode="External"/><Relationship Id="rId479" Type="http://schemas.openxmlformats.org/officeDocument/2006/relationships/hyperlink" Target="https://my.zakupivli.pro/remote/dispatcher/state_purchase_lot_view/935766" TargetMode="External"/><Relationship Id="rId686" Type="http://schemas.openxmlformats.org/officeDocument/2006/relationships/hyperlink" Target="https://my.zakupivli.pro/remote/dispatcher/state_purchase_view/33697530" TargetMode="External"/><Relationship Id="rId893" Type="http://schemas.openxmlformats.org/officeDocument/2006/relationships/hyperlink" Target="https://auctions.prozorro.gov.ua/tenders/75c2a57a0ecd4770985d0788f044c47b_6ef100036d2a4123ad1ff4cdb8904b76" TargetMode="External"/><Relationship Id="rId907" Type="http://schemas.openxmlformats.org/officeDocument/2006/relationships/hyperlink" Target="https://my.zakupivli.pro/remote/dispatcher/state_purchase_view/29212113" TargetMode="External"/><Relationship Id="rId36" Type="http://schemas.openxmlformats.org/officeDocument/2006/relationships/hyperlink" Target="https://my.zakupivli.pro/remote/dispatcher/state_purchase_lot_view/1337029" TargetMode="External"/><Relationship Id="rId339" Type="http://schemas.openxmlformats.org/officeDocument/2006/relationships/hyperlink" Target="https://my.zakupivli.pro/remote/dispatcher/state_purchase_lot_view/1021829" TargetMode="External"/><Relationship Id="rId546" Type="http://schemas.openxmlformats.org/officeDocument/2006/relationships/hyperlink" Target="https://my.zakupivli.pro/remote/dispatcher/state_purchase_view/39928546" TargetMode="External"/><Relationship Id="rId753" Type="http://schemas.openxmlformats.org/officeDocument/2006/relationships/hyperlink" Target="https://my.zakupivli.pro/remote/dispatcher/state_purchase_view/31841674" TargetMode="External"/><Relationship Id="rId101" Type="http://schemas.openxmlformats.org/officeDocument/2006/relationships/hyperlink" Target="https://my.zakupivli.pro/remote/dispatcher/state_purchase_view/51319388" TargetMode="External"/><Relationship Id="rId185" Type="http://schemas.openxmlformats.org/officeDocument/2006/relationships/hyperlink" Target="https://my.zakupivli.pro/remote/dispatcher/state_purchase_view/48887466" TargetMode="External"/><Relationship Id="rId406" Type="http://schemas.openxmlformats.org/officeDocument/2006/relationships/hyperlink" Target="https://my.zakupivli.pro/remote/dispatcher/state_purchase_lot_view/953000" TargetMode="External"/><Relationship Id="rId960" Type="http://schemas.openxmlformats.org/officeDocument/2006/relationships/hyperlink" Target="https://my.zakupivli.pro/remote/dispatcher/state_purchase_view/27603420" TargetMode="External"/><Relationship Id="rId392" Type="http://schemas.openxmlformats.org/officeDocument/2006/relationships/hyperlink" Target="https://my.zakupivli.pro/remote/dispatcher/state_purchase_lot_view/958845" TargetMode="External"/><Relationship Id="rId613" Type="http://schemas.openxmlformats.org/officeDocument/2006/relationships/hyperlink" Target="https://my.zakupivli.pro/remote/dispatcher/state_purchase_view/38425368" TargetMode="External"/><Relationship Id="rId697" Type="http://schemas.openxmlformats.org/officeDocument/2006/relationships/hyperlink" Target="https://my.zakupivli.pro/remote/dispatcher/state_purchase_view/33289915" TargetMode="External"/><Relationship Id="rId820" Type="http://schemas.openxmlformats.org/officeDocument/2006/relationships/hyperlink" Target="https://my.zakupivli.pro/remote/dispatcher/state_purchase_view/30885243" TargetMode="External"/><Relationship Id="rId918" Type="http://schemas.openxmlformats.org/officeDocument/2006/relationships/hyperlink" Target="https://auctions.prozorro.gov.ua/tenders/75c2a57a0ecd4770985d0788f044c47b_818ca922cec64914b5d285b4af1a1149" TargetMode="External"/><Relationship Id="rId252" Type="http://schemas.openxmlformats.org/officeDocument/2006/relationships/hyperlink" Target="https://my.zakupivli.pro/remote/dispatcher/state_purchase_lot_view/1098584" TargetMode="External"/><Relationship Id="rId47" Type="http://schemas.openxmlformats.org/officeDocument/2006/relationships/hyperlink" Target="https://my.zakupivli.pro/remote/dispatcher/state_purchase_view/52135459" TargetMode="External"/><Relationship Id="rId89" Type="http://schemas.openxmlformats.org/officeDocument/2006/relationships/hyperlink" Target="https://my.zakupivli.pro/remote/dispatcher/state_purchase_view/51594681" TargetMode="External"/><Relationship Id="rId112" Type="http://schemas.openxmlformats.org/officeDocument/2006/relationships/hyperlink" Target="https://my.zakupivli.pro/remote/dispatcher/state_purchase_lot_view/1297082" TargetMode="External"/><Relationship Id="rId154" Type="http://schemas.openxmlformats.org/officeDocument/2006/relationships/hyperlink" Target="https://my.zakupivli.pro/remote/dispatcher/state_purchase_view/50389145" TargetMode="External"/><Relationship Id="rId361" Type="http://schemas.openxmlformats.org/officeDocument/2006/relationships/hyperlink" Target="https://my.zakupivli.pro/remote/dispatcher/state_purchase_view/43718213" TargetMode="External"/><Relationship Id="rId557" Type="http://schemas.openxmlformats.org/officeDocument/2006/relationships/hyperlink" Target="https://my.zakupivli.pro/remote/dispatcher/state_purchase_view/39711261" TargetMode="External"/><Relationship Id="rId599" Type="http://schemas.openxmlformats.org/officeDocument/2006/relationships/hyperlink" Target="https://my.zakupivli.pro/remote/dispatcher/state_purchase_view/38609651" TargetMode="External"/><Relationship Id="rId764" Type="http://schemas.openxmlformats.org/officeDocument/2006/relationships/hyperlink" Target="https://my.zakupivli.pro/remote/dispatcher/state_purchase_view/31701150" TargetMode="External"/><Relationship Id="rId196" Type="http://schemas.openxmlformats.org/officeDocument/2006/relationships/hyperlink" Target="https://my.zakupivli.pro/remote/dispatcher/state_purchase_view/48202283" TargetMode="External"/><Relationship Id="rId417" Type="http://schemas.openxmlformats.org/officeDocument/2006/relationships/hyperlink" Target="https://my.zakupivli.pro/remote/dispatcher/state_purchase_view/42693731" TargetMode="External"/><Relationship Id="rId459" Type="http://schemas.openxmlformats.org/officeDocument/2006/relationships/hyperlink" Target="https://my.zakupivli.pro/remote/dispatcher/state_purchase_view/42492353" TargetMode="External"/><Relationship Id="rId624" Type="http://schemas.openxmlformats.org/officeDocument/2006/relationships/hyperlink" Target="https://my.zakupivli.pro/remote/dispatcher/state_purchase_view/37791693" TargetMode="External"/><Relationship Id="rId666" Type="http://schemas.openxmlformats.org/officeDocument/2006/relationships/hyperlink" Target="https://my.zakupivli.pro/remote/dispatcher/state_purchase_view/35016541" TargetMode="External"/><Relationship Id="rId831" Type="http://schemas.openxmlformats.org/officeDocument/2006/relationships/hyperlink" Target="https://my.zakupivli.pro/remote/dispatcher/state_purchase_view/30683006" TargetMode="External"/><Relationship Id="rId873" Type="http://schemas.openxmlformats.org/officeDocument/2006/relationships/hyperlink" Target="https://my.zakupivli.pro/remote/dispatcher/state_purchase_view/29440730" TargetMode="External"/><Relationship Id="rId16" Type="http://schemas.openxmlformats.org/officeDocument/2006/relationships/hyperlink" Target="https://my.zakupivli.pro/remote/dispatcher/state_purchase_view/52396175" TargetMode="External"/><Relationship Id="rId221" Type="http://schemas.openxmlformats.org/officeDocument/2006/relationships/hyperlink" Target="https://my.zakupivli.pro/remote/dispatcher/state_purchase_view/47319195" TargetMode="External"/><Relationship Id="rId263" Type="http://schemas.openxmlformats.org/officeDocument/2006/relationships/hyperlink" Target="https://my.zakupivli.pro/remote/dispatcher/state_purchase_view/46029962" TargetMode="External"/><Relationship Id="rId319" Type="http://schemas.openxmlformats.org/officeDocument/2006/relationships/hyperlink" Target="https://my.zakupivli.pro/remote/dispatcher/state_purchase_view/45116356" TargetMode="External"/><Relationship Id="rId470" Type="http://schemas.openxmlformats.org/officeDocument/2006/relationships/hyperlink" Target="https://my.zakupivli.pro/remote/dispatcher/state_purchase_view/42404606" TargetMode="External"/><Relationship Id="rId526" Type="http://schemas.openxmlformats.org/officeDocument/2006/relationships/hyperlink" Target="https://my.zakupivli.pro/remote/dispatcher/state_purchase_view/40936250" TargetMode="External"/><Relationship Id="rId929" Type="http://schemas.openxmlformats.org/officeDocument/2006/relationships/hyperlink" Target="https://my.zakupivli.pro/remote/dispatcher/state_purchase_view/29163275" TargetMode="External"/><Relationship Id="rId58" Type="http://schemas.openxmlformats.org/officeDocument/2006/relationships/hyperlink" Target="https://my.zakupivli.pro/remote/dispatcher/state_purchase_view/52082793" TargetMode="External"/><Relationship Id="rId123" Type="http://schemas.openxmlformats.org/officeDocument/2006/relationships/hyperlink" Target="https://my.zakupivli.pro/remote/dispatcher/state_purchase_view/51138321" TargetMode="External"/><Relationship Id="rId330" Type="http://schemas.openxmlformats.org/officeDocument/2006/relationships/hyperlink" Target="https://my.zakupivli.pro/remote/dispatcher/state_purchase_view/45091892" TargetMode="External"/><Relationship Id="rId568" Type="http://schemas.openxmlformats.org/officeDocument/2006/relationships/hyperlink" Target="https://my.zakupivli.pro/remote/dispatcher/state_purchase_view/39512253" TargetMode="External"/><Relationship Id="rId733" Type="http://schemas.openxmlformats.org/officeDocument/2006/relationships/hyperlink" Target="https://my.zakupivli.pro/remote/dispatcher/state_purchase_view/32583618" TargetMode="External"/><Relationship Id="rId775" Type="http://schemas.openxmlformats.org/officeDocument/2006/relationships/hyperlink" Target="https://my.zakupivli.pro/remote/dispatcher/state_purchase_view/31405604" TargetMode="External"/><Relationship Id="rId940" Type="http://schemas.openxmlformats.org/officeDocument/2006/relationships/hyperlink" Target="https://my.zakupivli.pro/remote/dispatcher/state_purchase_view/28122680" TargetMode="External"/><Relationship Id="rId165" Type="http://schemas.openxmlformats.org/officeDocument/2006/relationships/hyperlink" Target="https://my.zakupivli.pro/remote/dispatcher/state_purchase_view/49482798" TargetMode="External"/><Relationship Id="rId372" Type="http://schemas.openxmlformats.org/officeDocument/2006/relationships/hyperlink" Target="https://my.zakupivli.pro/remote/dispatcher/state_purchase_view/43230890" TargetMode="External"/><Relationship Id="rId428" Type="http://schemas.openxmlformats.org/officeDocument/2006/relationships/hyperlink" Target="https://my.zakupivli.pro/remote/dispatcher/state_purchase_view/42682456" TargetMode="External"/><Relationship Id="rId635" Type="http://schemas.openxmlformats.org/officeDocument/2006/relationships/hyperlink" Target="https://auctions.prozorro.gov.ua/tenders/df4d6d15d30148f1bab6902ea71a147c" TargetMode="External"/><Relationship Id="rId677" Type="http://schemas.openxmlformats.org/officeDocument/2006/relationships/hyperlink" Target="https://auctions.prozorro.gov.ua/tenders/e5c86e712ffb4ef2aeccb60f73ba7023" TargetMode="External"/><Relationship Id="rId800" Type="http://schemas.openxmlformats.org/officeDocument/2006/relationships/hyperlink" Target="https://auctions.prozorro.gov.ua/tenders/ff815f2f53154d3bacccf0066c15b8db" TargetMode="External"/><Relationship Id="rId842" Type="http://schemas.openxmlformats.org/officeDocument/2006/relationships/hyperlink" Target="https://my.zakupivli.pro/remote/dispatcher/state_purchase_view/30553398" TargetMode="External"/><Relationship Id="rId232" Type="http://schemas.openxmlformats.org/officeDocument/2006/relationships/hyperlink" Target="https://my.zakupivli.pro/remote/dispatcher/state_purchase_view/46931344" TargetMode="External"/><Relationship Id="rId274" Type="http://schemas.openxmlformats.org/officeDocument/2006/relationships/hyperlink" Target="https://my.zakupivli.pro/remote/dispatcher/state_purchase_view/46027487" TargetMode="External"/><Relationship Id="rId481" Type="http://schemas.openxmlformats.org/officeDocument/2006/relationships/hyperlink" Target="https://my.zakupivli.pro/remote/dispatcher/state_purchase_lot_view/935729" TargetMode="External"/><Relationship Id="rId702" Type="http://schemas.openxmlformats.org/officeDocument/2006/relationships/hyperlink" Target="https://my.zakupivli.pro/remote/dispatcher/state_purchase_view/32984431" TargetMode="External"/><Relationship Id="rId884" Type="http://schemas.openxmlformats.org/officeDocument/2006/relationships/hyperlink" Target="https://auctions.prozorro.gov.ua/tenders/75c2a57a0ecd4770985d0788f044c47b_a0335c2b271b4387b9b30cb72d6a5a21" TargetMode="External"/><Relationship Id="rId27" Type="http://schemas.openxmlformats.org/officeDocument/2006/relationships/hyperlink" Target="https://my.zakupivli.pro/remote/dispatcher/state_purchase_view/52357689" TargetMode="External"/><Relationship Id="rId69" Type="http://schemas.openxmlformats.org/officeDocument/2006/relationships/hyperlink" Target="https://my.zakupivli.pro/remote/dispatcher/state_purchase_view/51767811" TargetMode="External"/><Relationship Id="rId134" Type="http://schemas.openxmlformats.org/officeDocument/2006/relationships/hyperlink" Target="https://my.zakupivli.pro/remote/dispatcher/state_purchase_lot_view/1289077" TargetMode="External"/><Relationship Id="rId537" Type="http://schemas.openxmlformats.org/officeDocument/2006/relationships/hyperlink" Target="https://my.zakupivli.pro/remote/dispatcher/state_purchase_lot_view/864662" TargetMode="External"/><Relationship Id="rId579" Type="http://schemas.openxmlformats.org/officeDocument/2006/relationships/hyperlink" Target="https://my.zakupivli.pro/remote/dispatcher/state_purchase_lot_view/798736" TargetMode="External"/><Relationship Id="rId744" Type="http://schemas.openxmlformats.org/officeDocument/2006/relationships/hyperlink" Target="https://my.zakupivli.pro/remote/dispatcher/state_purchase_view/32249397" TargetMode="External"/><Relationship Id="rId786" Type="http://schemas.openxmlformats.org/officeDocument/2006/relationships/hyperlink" Target="https://my.zakupivli.pro/remote/dispatcher/state_purchase_view/31254683" TargetMode="External"/><Relationship Id="rId951" Type="http://schemas.openxmlformats.org/officeDocument/2006/relationships/hyperlink" Target="https://my.zakupivli.pro/remote/dispatcher/state_purchase_view/27635809" TargetMode="External"/><Relationship Id="rId80" Type="http://schemas.openxmlformats.org/officeDocument/2006/relationships/hyperlink" Target="https://my.zakupivli.pro/remote/dispatcher/state_purchase_lot_view/1310987" TargetMode="External"/><Relationship Id="rId176" Type="http://schemas.openxmlformats.org/officeDocument/2006/relationships/hyperlink" Target="https://my.zakupivli.pro/remote/dispatcher/state_purchase_lot_view/1204900" TargetMode="External"/><Relationship Id="rId341" Type="http://schemas.openxmlformats.org/officeDocument/2006/relationships/hyperlink" Target="https://my.zakupivli.pro/remote/dispatcher/state_purchase_lot_view/1020573" TargetMode="External"/><Relationship Id="rId383" Type="http://schemas.openxmlformats.org/officeDocument/2006/relationships/hyperlink" Target="https://my.zakupivli.pro/remote/dispatcher/state_purchase_view/43147255" TargetMode="External"/><Relationship Id="rId439" Type="http://schemas.openxmlformats.org/officeDocument/2006/relationships/hyperlink" Target="https://my.zakupivli.pro/remote/dispatcher/state_purchase_lot_view/946314" TargetMode="External"/><Relationship Id="rId590" Type="http://schemas.openxmlformats.org/officeDocument/2006/relationships/hyperlink" Target="https://my.zakupivli.pro/remote/dispatcher/state_purchase_lot_view/789897" TargetMode="External"/><Relationship Id="rId604" Type="http://schemas.openxmlformats.org/officeDocument/2006/relationships/hyperlink" Target="https://my.zakupivli.pro/remote/dispatcher/state_purchase_lot_view/782009" TargetMode="External"/><Relationship Id="rId646" Type="http://schemas.openxmlformats.org/officeDocument/2006/relationships/hyperlink" Target="https://auctions.prozorro.gov.ua/tenders/e770ebd576e548e9b7e3b5dd34a0a3e4" TargetMode="External"/><Relationship Id="rId811" Type="http://schemas.openxmlformats.org/officeDocument/2006/relationships/hyperlink" Target="https://auctions.prozorro.gov.ua/tenders/c8b20d26e0904e04bdf18fac98b6bb9c" TargetMode="External"/><Relationship Id="rId201" Type="http://schemas.openxmlformats.org/officeDocument/2006/relationships/hyperlink" Target="https://my.zakupivli.pro/remote/dispatcher/state_purchase_view/47957616" TargetMode="External"/><Relationship Id="rId243" Type="http://schemas.openxmlformats.org/officeDocument/2006/relationships/hyperlink" Target="https://my.zakupivli.pro/remote/dispatcher/state_purchase_view/46775870" TargetMode="External"/><Relationship Id="rId285" Type="http://schemas.openxmlformats.org/officeDocument/2006/relationships/hyperlink" Target="https://my.zakupivli.pro/remote/dispatcher/state_purchase_view/45760381" TargetMode="External"/><Relationship Id="rId450" Type="http://schemas.openxmlformats.org/officeDocument/2006/relationships/hyperlink" Target="https://my.zakupivli.pro/remote/dispatcher/state_purchase_view/42579474" TargetMode="External"/><Relationship Id="rId506" Type="http://schemas.openxmlformats.org/officeDocument/2006/relationships/hyperlink" Target="https://my.zakupivli.pro/remote/dispatcher/state_purchase_view/41826992" TargetMode="External"/><Relationship Id="rId688" Type="http://schemas.openxmlformats.org/officeDocument/2006/relationships/hyperlink" Target="https://my.zakupivli.pro/remote/dispatcher/state_purchase_view/33560857" TargetMode="External"/><Relationship Id="rId853" Type="http://schemas.openxmlformats.org/officeDocument/2006/relationships/hyperlink" Target="https://auctions.prozorro.gov.ua/tenders/cf38578048134f63a6a4b75edfc9734b" TargetMode="External"/><Relationship Id="rId895" Type="http://schemas.openxmlformats.org/officeDocument/2006/relationships/hyperlink" Target="https://my.zakupivli.pro/remote/dispatcher/state_purchase_lot_view/683875" TargetMode="External"/><Relationship Id="rId909" Type="http://schemas.openxmlformats.org/officeDocument/2006/relationships/hyperlink" Target="https://auctions.prozorro.gov.ua/tenders/75c2a57a0ecd4770985d0788f044c47b_b88eb72154ad46a4a171095b4c670b0e" TargetMode="External"/><Relationship Id="rId38" Type="http://schemas.openxmlformats.org/officeDocument/2006/relationships/hyperlink" Target="https://my.zakupivli.pro/remote/dispatcher/state_purchase_lot_view/1337010" TargetMode="External"/><Relationship Id="rId103" Type="http://schemas.openxmlformats.org/officeDocument/2006/relationships/hyperlink" Target="https://my.zakupivli.pro/remote/dispatcher/state_purchase_view/51314394" TargetMode="External"/><Relationship Id="rId310" Type="http://schemas.openxmlformats.org/officeDocument/2006/relationships/hyperlink" Target="https://my.zakupivli.pro/remote/dispatcher/state_purchase_view/45221780" TargetMode="External"/><Relationship Id="rId492" Type="http://schemas.openxmlformats.org/officeDocument/2006/relationships/hyperlink" Target="https://my.zakupivli.pro/remote/dispatcher/state_purchase_view/42109000" TargetMode="External"/><Relationship Id="rId548" Type="http://schemas.openxmlformats.org/officeDocument/2006/relationships/hyperlink" Target="https://my.zakupivli.pro/remote/dispatcher/state_purchase_view/39911736" TargetMode="External"/><Relationship Id="rId713" Type="http://schemas.openxmlformats.org/officeDocument/2006/relationships/hyperlink" Target="https://my.zakupivli.pro/remote/dispatcher/state_purchase_view/32616407" TargetMode="External"/><Relationship Id="rId755" Type="http://schemas.openxmlformats.org/officeDocument/2006/relationships/hyperlink" Target="https://my.zakupivli.pro/remote/dispatcher/state_purchase_view/31836209" TargetMode="External"/><Relationship Id="rId797" Type="http://schemas.openxmlformats.org/officeDocument/2006/relationships/hyperlink" Target="https://my.zakupivli.pro/remote/dispatcher/state_purchase_view/31187020" TargetMode="External"/><Relationship Id="rId920" Type="http://schemas.openxmlformats.org/officeDocument/2006/relationships/hyperlink" Target="https://my.zakupivli.pro/remote/dispatcher/state_purchase_view/29187047" TargetMode="External"/><Relationship Id="rId962" Type="http://schemas.openxmlformats.org/officeDocument/2006/relationships/hyperlink" Target="https://my.zakupivli.pro/remote/dispatcher/state_purchase_view/27333539" TargetMode="External"/><Relationship Id="rId91" Type="http://schemas.openxmlformats.org/officeDocument/2006/relationships/hyperlink" Target="https://auctions.prozorro.gov.ua/tenders/8b89d69be4b443ee9645cacc500bbf40_b76a294590c34180a96457621af3bc36" TargetMode="External"/><Relationship Id="rId145" Type="http://schemas.openxmlformats.org/officeDocument/2006/relationships/hyperlink" Target="https://my.zakupivli.pro/remote/dispatcher/state_purchase_view/50892354" TargetMode="External"/><Relationship Id="rId187" Type="http://schemas.openxmlformats.org/officeDocument/2006/relationships/hyperlink" Target="https://my.zakupivli.pro/remote/dispatcher/state_purchase_view/48874515" TargetMode="External"/><Relationship Id="rId352" Type="http://schemas.openxmlformats.org/officeDocument/2006/relationships/hyperlink" Target="https://my.zakupivli.pro/remote/dispatcher/state_purchase_view/44049051" TargetMode="External"/><Relationship Id="rId394" Type="http://schemas.openxmlformats.org/officeDocument/2006/relationships/hyperlink" Target="https://my.zakupivli.pro/remote/dispatcher/state_purchase_lot_view/958864" TargetMode="External"/><Relationship Id="rId408" Type="http://schemas.openxmlformats.org/officeDocument/2006/relationships/hyperlink" Target="https://my.zakupivli.pro/remote/dispatcher/state_purchase_lot_view/952991" TargetMode="External"/><Relationship Id="rId615" Type="http://schemas.openxmlformats.org/officeDocument/2006/relationships/hyperlink" Target="https://my.zakupivli.pro/remote/dispatcher/state_purchase_view/38282075" TargetMode="External"/><Relationship Id="rId822" Type="http://schemas.openxmlformats.org/officeDocument/2006/relationships/hyperlink" Target="https://my.zakupivli.pro/remote/dispatcher/state_purchase_view/30847490" TargetMode="External"/><Relationship Id="rId212" Type="http://schemas.openxmlformats.org/officeDocument/2006/relationships/hyperlink" Target="https://my.zakupivli.pro/remote/dispatcher/state_purchase_view/47691872" TargetMode="External"/><Relationship Id="rId254" Type="http://schemas.openxmlformats.org/officeDocument/2006/relationships/hyperlink" Target="https://my.zakupivli.pro/remote/dispatcher/state_purchase_lot_view/1098634" TargetMode="External"/><Relationship Id="rId657" Type="http://schemas.openxmlformats.org/officeDocument/2006/relationships/hyperlink" Target="https://my.zakupivli.pro/remote/dispatcher/state_purchase_view/36270751" TargetMode="External"/><Relationship Id="rId699" Type="http://schemas.openxmlformats.org/officeDocument/2006/relationships/hyperlink" Target="https://my.zakupivli.pro/remote/dispatcher/state_purchase_view/33258175" TargetMode="External"/><Relationship Id="rId864" Type="http://schemas.openxmlformats.org/officeDocument/2006/relationships/hyperlink" Target="https://my.zakupivli.pro/remote/dispatcher/state_purchase_view/29627198" TargetMode="External"/><Relationship Id="rId49" Type="http://schemas.openxmlformats.org/officeDocument/2006/relationships/hyperlink" Target="https://my.zakupivli.pro/remote/dispatcher/state_purchase_view/52143626" TargetMode="External"/><Relationship Id="rId114" Type="http://schemas.openxmlformats.org/officeDocument/2006/relationships/hyperlink" Target="https://my.zakupivli.pro/remote/dispatcher/state_purchase_lot_view/1297089" TargetMode="External"/><Relationship Id="rId296" Type="http://schemas.openxmlformats.org/officeDocument/2006/relationships/hyperlink" Target="https://my.zakupivli.pro/remote/dispatcher/state_purchase_view/45317146" TargetMode="External"/><Relationship Id="rId461" Type="http://schemas.openxmlformats.org/officeDocument/2006/relationships/hyperlink" Target="https://my.zakupivli.pro/remote/dispatcher/state_purchase_view/42405535" TargetMode="External"/><Relationship Id="rId517" Type="http://schemas.openxmlformats.org/officeDocument/2006/relationships/hyperlink" Target="https://my.zakupivli.pro/remote/dispatcher/state_purchase_lot_view/887556" TargetMode="External"/><Relationship Id="rId559" Type="http://schemas.openxmlformats.org/officeDocument/2006/relationships/hyperlink" Target="https://my.zakupivli.pro/remote/dispatcher/state_purchase_view/39703070" TargetMode="External"/><Relationship Id="rId724" Type="http://schemas.openxmlformats.org/officeDocument/2006/relationships/hyperlink" Target="https://auctions.prozorro.gov.ua/tenders/007f3632fe4947a3b2ae9a4ff6d3166b" TargetMode="External"/><Relationship Id="rId766" Type="http://schemas.openxmlformats.org/officeDocument/2006/relationships/hyperlink" Target="https://my.zakupivli.pro/remote/dispatcher/state_purchase_view/31702252" TargetMode="External"/><Relationship Id="rId931" Type="http://schemas.openxmlformats.org/officeDocument/2006/relationships/hyperlink" Target="https://my.zakupivli.pro/remote/dispatcher/state_purchase_view/29156287" TargetMode="External"/><Relationship Id="rId60" Type="http://schemas.openxmlformats.org/officeDocument/2006/relationships/hyperlink" Target="https://my.zakupivli.pro/remote/dispatcher/state_purchase_view/52070282" TargetMode="External"/><Relationship Id="rId156" Type="http://schemas.openxmlformats.org/officeDocument/2006/relationships/hyperlink" Target="https://my.zakupivli.pro/remote/dispatcher/state_purchase_lot_view/1255071" TargetMode="External"/><Relationship Id="rId198" Type="http://schemas.openxmlformats.org/officeDocument/2006/relationships/hyperlink" Target="https://my.zakupivli.pro/remote/dispatcher/state_purchase_view/48184347" TargetMode="External"/><Relationship Id="rId321" Type="http://schemas.openxmlformats.org/officeDocument/2006/relationships/hyperlink" Target="https://my.zakupivli.pro/remote/dispatcher/state_purchase_view/45113732" TargetMode="External"/><Relationship Id="rId363" Type="http://schemas.openxmlformats.org/officeDocument/2006/relationships/hyperlink" Target="https://my.zakupivli.pro/remote/dispatcher/state_purchase_lot_view/974078" TargetMode="External"/><Relationship Id="rId419" Type="http://schemas.openxmlformats.org/officeDocument/2006/relationships/hyperlink" Target="https://my.zakupivli.pro/remote/dispatcher/state_purchase_view/42692239" TargetMode="External"/><Relationship Id="rId570" Type="http://schemas.openxmlformats.org/officeDocument/2006/relationships/hyperlink" Target="https://my.zakupivli.pro/remote/dispatcher/state_purchase_view/39195364" TargetMode="External"/><Relationship Id="rId626" Type="http://schemas.openxmlformats.org/officeDocument/2006/relationships/hyperlink" Target="https://my.zakupivli.pro/remote/dispatcher/state_purchase_view/37536859" TargetMode="External"/><Relationship Id="rId223" Type="http://schemas.openxmlformats.org/officeDocument/2006/relationships/hyperlink" Target="https://my.zakupivli.pro/remote/dispatcher/state_purchase_view/47318550" TargetMode="External"/><Relationship Id="rId430" Type="http://schemas.openxmlformats.org/officeDocument/2006/relationships/hyperlink" Target="https://my.zakupivli.pro/remote/dispatcher/state_purchase_view/42663600" TargetMode="External"/><Relationship Id="rId668" Type="http://schemas.openxmlformats.org/officeDocument/2006/relationships/hyperlink" Target="https://my.zakupivli.pro/remote/dispatcher/state_purchase_view/34782092" TargetMode="External"/><Relationship Id="rId833" Type="http://schemas.openxmlformats.org/officeDocument/2006/relationships/hyperlink" Target="https://auctions.prozorro.gov.ua/tenders/2d4fa2d01995455091d65aa7b2af794d_537cedff6f1148be95054c346f78be0a" TargetMode="External"/><Relationship Id="rId875" Type="http://schemas.openxmlformats.org/officeDocument/2006/relationships/hyperlink" Target="https://my.zakupivli.pro/remote/dispatcher/state_purchase_view/29306319" TargetMode="External"/><Relationship Id="rId18" Type="http://schemas.openxmlformats.org/officeDocument/2006/relationships/hyperlink" Target="https://my.zakupivli.pro/remote/dispatcher/state_purchase_view/52394615" TargetMode="External"/><Relationship Id="rId265" Type="http://schemas.openxmlformats.org/officeDocument/2006/relationships/hyperlink" Target="https://my.zakupivli.pro/remote/dispatcher/state_purchase_lot_view/1081449" TargetMode="External"/><Relationship Id="rId472" Type="http://schemas.openxmlformats.org/officeDocument/2006/relationships/hyperlink" Target="https://my.zakupivli.pro/remote/dispatcher/state_purchase_view/42404279" TargetMode="External"/><Relationship Id="rId528" Type="http://schemas.openxmlformats.org/officeDocument/2006/relationships/hyperlink" Target="https://my.zakupivli.pro/remote/dispatcher/state_purchase_view/40870817" TargetMode="External"/><Relationship Id="rId735" Type="http://schemas.openxmlformats.org/officeDocument/2006/relationships/hyperlink" Target="https://my.zakupivli.pro/remote/dispatcher/state_purchase_view/32453209" TargetMode="External"/><Relationship Id="rId900" Type="http://schemas.openxmlformats.org/officeDocument/2006/relationships/hyperlink" Target="https://my.zakupivli.pro/remote/dispatcher/state_purchase_view/29212113" TargetMode="External"/><Relationship Id="rId942" Type="http://schemas.openxmlformats.org/officeDocument/2006/relationships/hyperlink" Target="https://auction.openprocurement.org/tenders/5c652a4cf43d497aa070b81bddfa0469_6e8b515486b0402b9b9326499a0dcf33" TargetMode="External"/><Relationship Id="rId125" Type="http://schemas.openxmlformats.org/officeDocument/2006/relationships/hyperlink" Target="https://my.zakupivli.pro/remote/dispatcher/state_purchase_view/51117823" TargetMode="External"/><Relationship Id="rId167" Type="http://schemas.openxmlformats.org/officeDocument/2006/relationships/hyperlink" Target="https://my.zakupivli.pro/remote/dispatcher/state_purchase_view/49458811" TargetMode="External"/><Relationship Id="rId332" Type="http://schemas.openxmlformats.org/officeDocument/2006/relationships/hyperlink" Target="https://my.zakupivli.pro/remote/dispatcher/state_purchase_view/45092531" TargetMode="External"/><Relationship Id="rId374" Type="http://schemas.openxmlformats.org/officeDocument/2006/relationships/hyperlink" Target="https://my.zakupivli.pro/remote/dispatcher/state_purchase_view/43230577" TargetMode="External"/><Relationship Id="rId581" Type="http://schemas.openxmlformats.org/officeDocument/2006/relationships/hyperlink" Target="https://my.zakupivli.pro/remote/dispatcher/state_purchase_view/38764282" TargetMode="External"/><Relationship Id="rId777" Type="http://schemas.openxmlformats.org/officeDocument/2006/relationships/hyperlink" Target="https://my.zakupivli.pro/remote/dispatcher/state_purchase_lot_view/702637" TargetMode="External"/><Relationship Id="rId71" Type="http://schemas.openxmlformats.org/officeDocument/2006/relationships/hyperlink" Target="https://my.zakupivli.pro/remote/dispatcher/state_purchase_view/51751903" TargetMode="External"/><Relationship Id="rId234" Type="http://schemas.openxmlformats.org/officeDocument/2006/relationships/hyperlink" Target="https://my.zakupivli.pro/remote/dispatcher/state_purchase_lot_view/1115754" TargetMode="External"/><Relationship Id="rId637" Type="http://schemas.openxmlformats.org/officeDocument/2006/relationships/hyperlink" Target="https://my.zakupivli.pro/remote/dispatcher/state_purchase_view/37358505" TargetMode="External"/><Relationship Id="rId679" Type="http://schemas.openxmlformats.org/officeDocument/2006/relationships/hyperlink" Target="https://auctions.prozorro.gov.ua/tenders/fe5e36f5b3534d93bd599c77e85e32e3" TargetMode="External"/><Relationship Id="rId802" Type="http://schemas.openxmlformats.org/officeDocument/2006/relationships/hyperlink" Target="https://auctions.prozorro.gov.ua/tenders/059c57eb6ce64e489dfbb53b54d7e6b0" TargetMode="External"/><Relationship Id="rId844" Type="http://schemas.openxmlformats.org/officeDocument/2006/relationships/hyperlink" Target="https://my.zakupivli.pro/remote/dispatcher/state_purchase_view/30466065" TargetMode="External"/><Relationship Id="rId886" Type="http://schemas.openxmlformats.org/officeDocument/2006/relationships/hyperlink" Target="https://my.zakupivli.pro/remote/dispatcher/state_purchase_lot_view/683873" TargetMode="External"/><Relationship Id="rId2" Type="http://schemas.openxmlformats.org/officeDocument/2006/relationships/hyperlink" Target="https://my.zakupivli.pro/remote/dispatcher/state_purchase_view/52761676" TargetMode="External"/><Relationship Id="rId29" Type="http://schemas.openxmlformats.org/officeDocument/2006/relationships/hyperlink" Target="https://my.zakupivli.pro/remote/dispatcher/state_purchase_view/52329500" TargetMode="External"/><Relationship Id="rId276" Type="http://schemas.openxmlformats.org/officeDocument/2006/relationships/hyperlink" Target="https://my.zakupivli.pro/remote/dispatcher/state_purchase_view/46027351" TargetMode="External"/><Relationship Id="rId441" Type="http://schemas.openxmlformats.org/officeDocument/2006/relationships/hyperlink" Target="https://my.zakupivli.pro/remote/dispatcher/state_purchase_lot_view/946267" TargetMode="External"/><Relationship Id="rId483" Type="http://schemas.openxmlformats.org/officeDocument/2006/relationships/hyperlink" Target="https://my.zakupivli.pro/remote/dispatcher/state_purchase_lot_view/935571" TargetMode="External"/><Relationship Id="rId539" Type="http://schemas.openxmlformats.org/officeDocument/2006/relationships/hyperlink" Target="https://my.zakupivli.pro/remote/dispatcher/state_purchase_lot_view/864643" TargetMode="External"/><Relationship Id="rId690" Type="http://schemas.openxmlformats.org/officeDocument/2006/relationships/hyperlink" Target="https://my.zakupivli.pro/remote/dispatcher/state_purchase_view/33587093" TargetMode="External"/><Relationship Id="rId704" Type="http://schemas.openxmlformats.org/officeDocument/2006/relationships/hyperlink" Target="https://my.zakupivli.pro/remote/dispatcher/state_purchase_view/32870665" TargetMode="External"/><Relationship Id="rId746" Type="http://schemas.openxmlformats.org/officeDocument/2006/relationships/hyperlink" Target="https://my.zakupivli.pro/remote/dispatcher/state_purchase_view/32114791" TargetMode="External"/><Relationship Id="rId911" Type="http://schemas.openxmlformats.org/officeDocument/2006/relationships/hyperlink" Target="https://my.zakupivli.pro/remote/dispatcher/state_purchase_lot_view/683874" TargetMode="External"/><Relationship Id="rId40" Type="http://schemas.openxmlformats.org/officeDocument/2006/relationships/hyperlink" Target="https://my.zakupivli.pro/remote/dispatcher/state_purchase_lot_view/1336448" TargetMode="External"/><Relationship Id="rId136" Type="http://schemas.openxmlformats.org/officeDocument/2006/relationships/hyperlink" Target="https://my.zakupivli.pro/remote/dispatcher/state_purchase_lot_view/1289123" TargetMode="External"/><Relationship Id="rId178" Type="http://schemas.openxmlformats.org/officeDocument/2006/relationships/hyperlink" Target="https://my.zakupivli.pro/remote/dispatcher/state_purchase_lot_view/1199912" TargetMode="External"/><Relationship Id="rId301" Type="http://schemas.openxmlformats.org/officeDocument/2006/relationships/hyperlink" Target="https://my.zakupivli.pro/remote/dispatcher/state_purchase_lot_view/1049036" TargetMode="External"/><Relationship Id="rId343" Type="http://schemas.openxmlformats.org/officeDocument/2006/relationships/hyperlink" Target="https://my.zakupivli.pro/remote/dispatcher/state_purchase_lot_view/1020684" TargetMode="External"/><Relationship Id="rId550" Type="http://schemas.openxmlformats.org/officeDocument/2006/relationships/hyperlink" Target="https://my.zakupivli.pro/remote/dispatcher/state_purchase_view/39759825" TargetMode="External"/><Relationship Id="rId788" Type="http://schemas.openxmlformats.org/officeDocument/2006/relationships/hyperlink" Target="https://auctions.prozorro.gov.ua/tenders/28f89dee37c340e7a81803cff225586f" TargetMode="External"/><Relationship Id="rId953" Type="http://schemas.openxmlformats.org/officeDocument/2006/relationships/hyperlink" Target="https://auction.openprocurement.org/tenders/ef1c75704f63404abb5e737347c4e43c_dfc98f2471044b0586ee5bdc929cec3c" TargetMode="External"/><Relationship Id="rId82" Type="http://schemas.openxmlformats.org/officeDocument/2006/relationships/hyperlink" Target="https://my.zakupivli.pro/remote/dispatcher/state_purchase_lot_view/1310803" TargetMode="External"/><Relationship Id="rId203" Type="http://schemas.openxmlformats.org/officeDocument/2006/relationships/hyperlink" Target="https://my.zakupivli.pro/remote/dispatcher/state_purchase_view/47955223" TargetMode="External"/><Relationship Id="rId385" Type="http://schemas.openxmlformats.org/officeDocument/2006/relationships/hyperlink" Target="https://my.zakupivli.pro/remote/dispatcher/state_purchase_view/43157773" TargetMode="External"/><Relationship Id="rId592" Type="http://schemas.openxmlformats.org/officeDocument/2006/relationships/hyperlink" Target="https://my.zakupivli.pro/remote/dispatcher/state_purchase_lot_view/789894" TargetMode="External"/><Relationship Id="rId606" Type="http://schemas.openxmlformats.org/officeDocument/2006/relationships/hyperlink" Target="https://my.zakupivli.pro/remote/dispatcher/state_purchase_lot_view/782498" TargetMode="External"/><Relationship Id="rId648" Type="http://schemas.openxmlformats.org/officeDocument/2006/relationships/hyperlink" Target="https://my.zakupivli.pro/remote/dispatcher/state_purchase_view/37087834" TargetMode="External"/><Relationship Id="rId813" Type="http://schemas.openxmlformats.org/officeDocument/2006/relationships/hyperlink" Target="https://my.zakupivli.pro/remote/dispatcher/state_purchase_view/31024339" TargetMode="External"/><Relationship Id="rId855" Type="http://schemas.openxmlformats.org/officeDocument/2006/relationships/hyperlink" Target="https://auctions.prozorro.gov.ua/tenders/d086a06534314096afb80ca1a967b8a9" TargetMode="External"/><Relationship Id="rId245" Type="http://schemas.openxmlformats.org/officeDocument/2006/relationships/hyperlink" Target="https://my.zakupivli.pro/remote/dispatcher/state_purchase_view/46680434" TargetMode="External"/><Relationship Id="rId287" Type="http://schemas.openxmlformats.org/officeDocument/2006/relationships/hyperlink" Target="https://my.zakupivli.pro/remote/dispatcher/state_purchase_view/45727792" TargetMode="External"/><Relationship Id="rId410" Type="http://schemas.openxmlformats.org/officeDocument/2006/relationships/hyperlink" Target="https://my.zakupivli.pro/remote/dispatcher/state_purchase_lot_view/952962" TargetMode="External"/><Relationship Id="rId452" Type="http://schemas.openxmlformats.org/officeDocument/2006/relationships/hyperlink" Target="https://my.zakupivli.pro/remote/dispatcher/state_purchase_lot_view/943569" TargetMode="External"/><Relationship Id="rId494" Type="http://schemas.openxmlformats.org/officeDocument/2006/relationships/hyperlink" Target="https://my.zakupivli.pro/remote/dispatcher/state_purchase_view/42109803" TargetMode="External"/><Relationship Id="rId508" Type="http://schemas.openxmlformats.org/officeDocument/2006/relationships/hyperlink" Target="https://my.zakupivli.pro/remote/dispatcher/state_purchase_view/41726815" TargetMode="External"/><Relationship Id="rId715" Type="http://schemas.openxmlformats.org/officeDocument/2006/relationships/hyperlink" Target="https://my.zakupivli.pro/remote/dispatcher/state_purchase_view/32601356" TargetMode="External"/><Relationship Id="rId897" Type="http://schemas.openxmlformats.org/officeDocument/2006/relationships/hyperlink" Target="https://my.zakupivli.pro/remote/dispatcher/state_purchase_view/29212113" TargetMode="External"/><Relationship Id="rId922" Type="http://schemas.openxmlformats.org/officeDocument/2006/relationships/hyperlink" Target="https://my.zakupivli.pro/remote/dispatcher/state_purchase_view/29187047" TargetMode="External"/><Relationship Id="rId105" Type="http://schemas.openxmlformats.org/officeDocument/2006/relationships/hyperlink" Target="https://my.zakupivli.pro/remote/dispatcher/state_purchase_view/51314002" TargetMode="External"/><Relationship Id="rId147" Type="http://schemas.openxmlformats.org/officeDocument/2006/relationships/hyperlink" Target="https://my.zakupivli.pro/remote/dispatcher/state_purchase_view/50890871" TargetMode="External"/><Relationship Id="rId312" Type="http://schemas.openxmlformats.org/officeDocument/2006/relationships/hyperlink" Target="https://my.zakupivli.pro/remote/dispatcher/state_purchase_view/45221597" TargetMode="External"/><Relationship Id="rId354" Type="http://schemas.openxmlformats.org/officeDocument/2006/relationships/hyperlink" Target="https://my.zakupivli.pro/remote/dispatcher/state_purchase_view/43774145" TargetMode="External"/><Relationship Id="rId757" Type="http://schemas.openxmlformats.org/officeDocument/2006/relationships/hyperlink" Target="https://my.zakupivli.pro/remote/dispatcher/state_purchase_view/31828298" TargetMode="External"/><Relationship Id="rId799" Type="http://schemas.openxmlformats.org/officeDocument/2006/relationships/hyperlink" Target="https://my.zakupivli.pro/remote/dispatcher/state_purchase_view/31184632" TargetMode="External"/><Relationship Id="rId964" Type="http://schemas.openxmlformats.org/officeDocument/2006/relationships/hyperlink" Target="https://my.zakupivli.pro/remote/dispatcher/state_purchase_view/26603087" TargetMode="External"/><Relationship Id="rId51" Type="http://schemas.openxmlformats.org/officeDocument/2006/relationships/hyperlink" Target="https://my.zakupivli.pro/remote/dispatcher/state_purchase_view/52121231" TargetMode="External"/><Relationship Id="rId93" Type="http://schemas.openxmlformats.org/officeDocument/2006/relationships/hyperlink" Target="https://my.zakupivli.pro/remote/dispatcher/state_purchase_lot_view/1309611" TargetMode="External"/><Relationship Id="rId189" Type="http://schemas.openxmlformats.org/officeDocument/2006/relationships/hyperlink" Target="https://my.zakupivli.pro/remote/dispatcher/state_purchase_view/48763652" TargetMode="External"/><Relationship Id="rId396" Type="http://schemas.openxmlformats.org/officeDocument/2006/relationships/hyperlink" Target="https://my.zakupivli.pro/remote/dispatcher/state_purchase_lot_view/958900" TargetMode="External"/><Relationship Id="rId561" Type="http://schemas.openxmlformats.org/officeDocument/2006/relationships/hyperlink" Target="https://my.zakupivli.pro/remote/dispatcher/state_purchase_view/39614264" TargetMode="External"/><Relationship Id="rId617" Type="http://schemas.openxmlformats.org/officeDocument/2006/relationships/hyperlink" Target="https://my.zakupivli.pro/remote/dispatcher/state_purchase_view/38283018" TargetMode="External"/><Relationship Id="rId659" Type="http://schemas.openxmlformats.org/officeDocument/2006/relationships/hyperlink" Target="https://my.zakupivli.pro/remote/dispatcher/state_purchase_view/36134618" TargetMode="External"/><Relationship Id="rId824" Type="http://schemas.openxmlformats.org/officeDocument/2006/relationships/hyperlink" Target="https://my.zakupivli.pro/remote/dispatcher/state_purchase_view/30830240" TargetMode="External"/><Relationship Id="rId866" Type="http://schemas.openxmlformats.org/officeDocument/2006/relationships/hyperlink" Target="https://my.zakupivli.pro/remote/dispatcher/state_purchase_view/29627198" TargetMode="External"/><Relationship Id="rId214" Type="http://schemas.openxmlformats.org/officeDocument/2006/relationships/hyperlink" Target="https://my.zakupivli.pro/remote/dispatcher/state_purchase_view/47458358" TargetMode="External"/><Relationship Id="rId256" Type="http://schemas.openxmlformats.org/officeDocument/2006/relationships/hyperlink" Target="https://my.zakupivli.pro/remote/dispatcher/state_purchase_lot_view/1098776" TargetMode="External"/><Relationship Id="rId298" Type="http://schemas.openxmlformats.org/officeDocument/2006/relationships/hyperlink" Target="https://my.zakupivli.pro/remote/dispatcher/state_purchase_view/45270314" TargetMode="External"/><Relationship Id="rId421" Type="http://schemas.openxmlformats.org/officeDocument/2006/relationships/hyperlink" Target="https://my.zakupivli.pro/remote/dispatcher/state_purchase_view/42686730" TargetMode="External"/><Relationship Id="rId463" Type="http://schemas.openxmlformats.org/officeDocument/2006/relationships/hyperlink" Target="https://my.zakupivli.pro/remote/dispatcher/state_purchase_view/42401381" TargetMode="External"/><Relationship Id="rId519" Type="http://schemas.openxmlformats.org/officeDocument/2006/relationships/hyperlink" Target="https://my.zakupivli.pro/remote/dispatcher/state_purchase_lot_view/887541" TargetMode="External"/><Relationship Id="rId670" Type="http://schemas.openxmlformats.org/officeDocument/2006/relationships/hyperlink" Target="https://my.zakupivli.pro/remote/dispatcher/state_purchase_view/34780583" TargetMode="External"/><Relationship Id="rId116" Type="http://schemas.openxmlformats.org/officeDocument/2006/relationships/hyperlink" Target="https://my.zakupivli.pro/remote/dispatcher/state_purchase_lot_view/1297098" TargetMode="External"/><Relationship Id="rId158" Type="http://schemas.openxmlformats.org/officeDocument/2006/relationships/hyperlink" Target="https://my.zakupivli.pro/remote/dispatcher/state_purchase_view/50170791" TargetMode="External"/><Relationship Id="rId323" Type="http://schemas.openxmlformats.org/officeDocument/2006/relationships/hyperlink" Target="https://my.zakupivli.pro/remote/dispatcher/state_purchase_lot_view/1042254" TargetMode="External"/><Relationship Id="rId530" Type="http://schemas.openxmlformats.org/officeDocument/2006/relationships/hyperlink" Target="https://my.zakupivli.pro/remote/dispatcher/state_purchase_view/40701918" TargetMode="External"/><Relationship Id="rId726" Type="http://schemas.openxmlformats.org/officeDocument/2006/relationships/hyperlink" Target="https://my.zakupivli.pro/remote/dispatcher/state_purchase_view/32560867" TargetMode="External"/><Relationship Id="rId768" Type="http://schemas.openxmlformats.org/officeDocument/2006/relationships/hyperlink" Target="https://my.zakupivli.pro/remote/dispatcher/state_purchase_view/31647892" TargetMode="External"/><Relationship Id="rId933" Type="http://schemas.openxmlformats.org/officeDocument/2006/relationships/hyperlink" Target="https://auctions.prozorro.gov.ua/tenders/9b4d3894f2cc44b2b59100ad858794c0" TargetMode="External"/><Relationship Id="rId20" Type="http://schemas.openxmlformats.org/officeDocument/2006/relationships/hyperlink" Target="https://my.zakupivli.pro/remote/dispatcher/state_purchase_view/52389753" TargetMode="External"/><Relationship Id="rId62" Type="http://schemas.openxmlformats.org/officeDocument/2006/relationships/hyperlink" Target="https://my.zakupivli.pro/remote/dispatcher/state_purchase_lot_view/1329625" TargetMode="External"/><Relationship Id="rId365" Type="http://schemas.openxmlformats.org/officeDocument/2006/relationships/hyperlink" Target="https://my.zakupivli.pro/remote/dispatcher/state_purchase_lot_view/974125" TargetMode="External"/><Relationship Id="rId572" Type="http://schemas.openxmlformats.org/officeDocument/2006/relationships/hyperlink" Target="https://my.zakupivli.pro/remote/dispatcher/state_purchase_view/39164148" TargetMode="External"/><Relationship Id="rId628" Type="http://schemas.openxmlformats.org/officeDocument/2006/relationships/hyperlink" Target="https://my.zakupivli.pro/remote/dispatcher/state_purchase_view/37515033" TargetMode="External"/><Relationship Id="rId835" Type="http://schemas.openxmlformats.org/officeDocument/2006/relationships/hyperlink" Target="https://auctions.prozorro.gov.ua/tenders/3fadd2becf914676a87372d57e20557a" TargetMode="External"/><Relationship Id="rId225" Type="http://schemas.openxmlformats.org/officeDocument/2006/relationships/hyperlink" Target="https://my.zakupivli.pro/remote/dispatcher/state_purchase_view/47167856" TargetMode="External"/><Relationship Id="rId267" Type="http://schemas.openxmlformats.org/officeDocument/2006/relationships/hyperlink" Target="https://my.zakupivli.pro/remote/dispatcher/state_purchase_lot_view/1081128" TargetMode="External"/><Relationship Id="rId432" Type="http://schemas.openxmlformats.org/officeDocument/2006/relationships/hyperlink" Target="https://my.zakupivli.pro/remote/dispatcher/state_purchase_view/42665049" TargetMode="External"/><Relationship Id="rId474" Type="http://schemas.openxmlformats.org/officeDocument/2006/relationships/hyperlink" Target="https://my.zakupivli.pro/remote/dispatcher/state_purchase_view/42403164" TargetMode="External"/><Relationship Id="rId877" Type="http://schemas.openxmlformats.org/officeDocument/2006/relationships/hyperlink" Target="https://my.zakupivli.pro/remote/dispatcher/state_purchase_lot_view/683867" TargetMode="External"/><Relationship Id="rId127" Type="http://schemas.openxmlformats.org/officeDocument/2006/relationships/hyperlink" Target="https://my.zakupivli.pro/remote/dispatcher/state_purchase_view/51113763" TargetMode="External"/><Relationship Id="rId681" Type="http://schemas.openxmlformats.org/officeDocument/2006/relationships/hyperlink" Target="https://my.zakupivli.pro/remote/dispatcher/state_purchase_view/34263252" TargetMode="External"/><Relationship Id="rId737" Type="http://schemas.openxmlformats.org/officeDocument/2006/relationships/hyperlink" Target="https://my.zakupivli.pro/remote/dispatcher/state_purchase_view/32302995" TargetMode="External"/><Relationship Id="rId779" Type="http://schemas.openxmlformats.org/officeDocument/2006/relationships/hyperlink" Target="https://my.zakupivli.pro/remote/dispatcher/state_purchase_view/31356746" TargetMode="External"/><Relationship Id="rId902" Type="http://schemas.openxmlformats.org/officeDocument/2006/relationships/hyperlink" Target="https://auctions.prozorro.gov.ua/tenders/75c2a57a0ecd4770985d0788f044c47b_d96402f2ec464f0294c2f2fe6d2a574c" TargetMode="External"/><Relationship Id="rId944" Type="http://schemas.openxmlformats.org/officeDocument/2006/relationships/hyperlink" Target="https://my.zakupivli.pro/remote/dispatcher/state_purchase_lot_view/672645" TargetMode="External"/><Relationship Id="rId31" Type="http://schemas.openxmlformats.org/officeDocument/2006/relationships/hyperlink" Target="https://my.zakupivli.pro/remote/dispatcher/state_purchase_view/52175052" TargetMode="External"/><Relationship Id="rId73" Type="http://schemas.openxmlformats.org/officeDocument/2006/relationships/hyperlink" Target="https://my.zakupivli.pro/remote/dispatcher/state_purchase_view/51760874" TargetMode="External"/><Relationship Id="rId169" Type="http://schemas.openxmlformats.org/officeDocument/2006/relationships/hyperlink" Target="https://my.zakupivli.pro/remote/dispatcher/state_purchase_view/49394023" TargetMode="External"/><Relationship Id="rId334" Type="http://schemas.openxmlformats.org/officeDocument/2006/relationships/hyperlink" Target="https://my.zakupivli.pro/remote/dispatcher/state_purchase_view/45025825" TargetMode="External"/><Relationship Id="rId376" Type="http://schemas.openxmlformats.org/officeDocument/2006/relationships/hyperlink" Target="https://my.zakupivli.pro/remote/dispatcher/state_purchase_view/43230193" TargetMode="External"/><Relationship Id="rId541" Type="http://schemas.openxmlformats.org/officeDocument/2006/relationships/hyperlink" Target="https://my.zakupivli.pro/remote/dispatcher/state_purchase_view/40462944" TargetMode="External"/><Relationship Id="rId583" Type="http://schemas.openxmlformats.org/officeDocument/2006/relationships/hyperlink" Target="https://my.zakupivli.pro/remote/dispatcher/state_purchase_view/38720540" TargetMode="External"/><Relationship Id="rId639" Type="http://schemas.openxmlformats.org/officeDocument/2006/relationships/hyperlink" Target="https://my.zakupivli.pro/remote/dispatcher/state_purchase_view/37358179" TargetMode="External"/><Relationship Id="rId790" Type="http://schemas.openxmlformats.org/officeDocument/2006/relationships/hyperlink" Target="https://auctions.prozorro.gov.ua/tenders/1d5adff2c4ad45279b7db7372767cc24" TargetMode="External"/><Relationship Id="rId804" Type="http://schemas.openxmlformats.org/officeDocument/2006/relationships/hyperlink" Target="https://my.zakupivli.pro/remote/dispatcher/state_purchase_view/31180425" TargetMode="External"/><Relationship Id="rId4" Type="http://schemas.openxmlformats.org/officeDocument/2006/relationships/hyperlink" Target="https://my.zakupivli.pro/remote/dispatcher/state_purchase_view/52650988" TargetMode="External"/><Relationship Id="rId180" Type="http://schemas.openxmlformats.org/officeDocument/2006/relationships/hyperlink" Target="https://my.zakupivli.pro/remote/dispatcher/state_purchase_lot_view/1199681" TargetMode="External"/><Relationship Id="rId236" Type="http://schemas.openxmlformats.org/officeDocument/2006/relationships/hyperlink" Target="https://my.zakupivli.pro/remote/dispatcher/state_purchase_lot_view/1115464" TargetMode="External"/><Relationship Id="rId278" Type="http://schemas.openxmlformats.org/officeDocument/2006/relationships/hyperlink" Target="https://my.zakupivli.pro/remote/dispatcher/state_purchase_view/46027252" TargetMode="External"/><Relationship Id="rId401" Type="http://schemas.openxmlformats.org/officeDocument/2006/relationships/hyperlink" Target="https://my.zakupivli.pro/remote/dispatcher/state_purchase_view/42823242" TargetMode="External"/><Relationship Id="rId443" Type="http://schemas.openxmlformats.org/officeDocument/2006/relationships/hyperlink" Target="https://my.zakupivli.pro/remote/dispatcher/state_purchase_lot_view/946173" TargetMode="External"/><Relationship Id="rId650" Type="http://schemas.openxmlformats.org/officeDocument/2006/relationships/hyperlink" Target="https://my.zakupivli.pro/remote/dispatcher/state_purchase_view/36983596" TargetMode="External"/><Relationship Id="rId846" Type="http://schemas.openxmlformats.org/officeDocument/2006/relationships/hyperlink" Target="https://my.zakupivli.pro/remote/dispatcher/state_purchase_view/30465883" TargetMode="External"/><Relationship Id="rId888" Type="http://schemas.openxmlformats.org/officeDocument/2006/relationships/hyperlink" Target="https://my.zakupivli.pro/remote/dispatcher/state_purchase_view/29212113" TargetMode="External"/><Relationship Id="rId303" Type="http://schemas.openxmlformats.org/officeDocument/2006/relationships/hyperlink" Target="https://my.zakupivli.pro/remote/dispatcher/state_purchase_lot_view/1049087" TargetMode="External"/><Relationship Id="rId485" Type="http://schemas.openxmlformats.org/officeDocument/2006/relationships/hyperlink" Target="https://my.zakupivli.pro/remote/dispatcher/state_purchase_lot_view/935931" TargetMode="External"/><Relationship Id="rId692" Type="http://schemas.openxmlformats.org/officeDocument/2006/relationships/hyperlink" Target="https://my.zakupivli.pro/remote/dispatcher/state_purchase_view/33507896" TargetMode="External"/><Relationship Id="rId706" Type="http://schemas.openxmlformats.org/officeDocument/2006/relationships/hyperlink" Target="https://auctions.prozorro.gov.ua/tenders/c02b54f1f2b84a448fe36737c11c8979" TargetMode="External"/><Relationship Id="rId748" Type="http://schemas.openxmlformats.org/officeDocument/2006/relationships/hyperlink" Target="https://my.zakupivli.pro/remote/dispatcher/state_purchase_view/32048128" TargetMode="External"/><Relationship Id="rId913" Type="http://schemas.openxmlformats.org/officeDocument/2006/relationships/hyperlink" Target="https://my.zakupivli.pro/remote/dispatcher/state_purchase_view/29212113" TargetMode="External"/><Relationship Id="rId955" Type="http://schemas.openxmlformats.org/officeDocument/2006/relationships/hyperlink" Target="https://my.zakupivli.pro/remote/dispatcher/state_purchase_lot_view/668017" TargetMode="External"/><Relationship Id="rId42" Type="http://schemas.openxmlformats.org/officeDocument/2006/relationships/hyperlink" Target="https://my.zakupivli.pro/remote/dispatcher/state_purchase_lot_view/1336541" TargetMode="External"/><Relationship Id="rId84" Type="http://schemas.openxmlformats.org/officeDocument/2006/relationships/hyperlink" Target="https://my.zakupivli.pro/remote/dispatcher/state_purchase_lot_view/1310892" TargetMode="External"/><Relationship Id="rId138" Type="http://schemas.openxmlformats.org/officeDocument/2006/relationships/hyperlink" Target="https://my.zakupivli.pro/remote/dispatcher/state_purchase_lot_view/1289159" TargetMode="External"/><Relationship Id="rId345" Type="http://schemas.openxmlformats.org/officeDocument/2006/relationships/hyperlink" Target="https://my.zakupivli.pro/remote/dispatcher/state_purchase_lot_view/1020655" TargetMode="External"/><Relationship Id="rId387" Type="http://schemas.openxmlformats.org/officeDocument/2006/relationships/hyperlink" Target="https://my.zakupivli.pro/remote/dispatcher/state_purchase_view/43146795" TargetMode="External"/><Relationship Id="rId510" Type="http://schemas.openxmlformats.org/officeDocument/2006/relationships/hyperlink" Target="https://my.zakupivli.pro/remote/dispatcher/state_purchase_view/41487666" TargetMode="External"/><Relationship Id="rId552" Type="http://schemas.openxmlformats.org/officeDocument/2006/relationships/hyperlink" Target="https://my.zakupivli.pro/remote/dispatcher/state_purchase_view/39761363" TargetMode="External"/><Relationship Id="rId594" Type="http://schemas.openxmlformats.org/officeDocument/2006/relationships/hyperlink" Target="https://my.zakupivli.pro/remote/dispatcher/state_purchase_view/38637078" TargetMode="External"/><Relationship Id="rId608" Type="http://schemas.openxmlformats.org/officeDocument/2006/relationships/hyperlink" Target="https://my.zakupivli.pro/remote/dispatcher/state_purchase_lot_view/782452" TargetMode="External"/><Relationship Id="rId815" Type="http://schemas.openxmlformats.org/officeDocument/2006/relationships/hyperlink" Target="https://my.zakupivli.pro/remote/dispatcher/state_purchase_view/31023188" TargetMode="External"/><Relationship Id="rId191" Type="http://schemas.openxmlformats.org/officeDocument/2006/relationships/hyperlink" Target="https://my.zakupivli.pro/remote/dispatcher/state_purchase_view/48756590" TargetMode="External"/><Relationship Id="rId205" Type="http://schemas.openxmlformats.org/officeDocument/2006/relationships/hyperlink" Target="https://my.zakupivli.pro/remote/dispatcher/state_purchase_view/47922268" TargetMode="External"/><Relationship Id="rId247" Type="http://schemas.openxmlformats.org/officeDocument/2006/relationships/hyperlink" Target="https://my.zakupivli.pro/remote/dispatcher/state_purchase_lot_view/1107100" TargetMode="External"/><Relationship Id="rId412" Type="http://schemas.openxmlformats.org/officeDocument/2006/relationships/hyperlink" Target="https://my.zakupivli.pro/remote/dispatcher/state_purchase_view/42812823" TargetMode="External"/><Relationship Id="rId857" Type="http://schemas.openxmlformats.org/officeDocument/2006/relationships/hyperlink" Target="https://my.zakupivli.pro/remote/dispatcher/state_purchase_lot_view/688430" TargetMode="External"/><Relationship Id="rId899" Type="http://schemas.openxmlformats.org/officeDocument/2006/relationships/hyperlink" Target="https://auctions.prozorro.gov.ua/tenders/75c2a57a0ecd4770985d0788f044c47b_bf0d400291134f94aa43671936d639c6" TargetMode="External"/><Relationship Id="rId107" Type="http://schemas.openxmlformats.org/officeDocument/2006/relationships/hyperlink" Target="https://my.zakupivli.pro/remote/dispatcher/state_purchase_view/51313832" TargetMode="External"/><Relationship Id="rId289" Type="http://schemas.openxmlformats.org/officeDocument/2006/relationships/hyperlink" Target="https://my.zakupivli.pro/remote/dispatcher/state_purchase_view/45727271" TargetMode="External"/><Relationship Id="rId454" Type="http://schemas.openxmlformats.org/officeDocument/2006/relationships/hyperlink" Target="https://my.zakupivli.pro/remote/dispatcher/state_purchase_lot_view/943599" TargetMode="External"/><Relationship Id="rId496" Type="http://schemas.openxmlformats.org/officeDocument/2006/relationships/hyperlink" Target="https://my.zakupivli.pro/remote/dispatcher/state_purchase_view/42109573" TargetMode="External"/><Relationship Id="rId661" Type="http://schemas.openxmlformats.org/officeDocument/2006/relationships/hyperlink" Target="https://my.zakupivli.pro/remote/dispatcher/state_purchase_view/35984437" TargetMode="External"/><Relationship Id="rId717" Type="http://schemas.openxmlformats.org/officeDocument/2006/relationships/hyperlink" Target="https://my.zakupivli.pro/remote/dispatcher/state_purchase_view/32583352" TargetMode="External"/><Relationship Id="rId759" Type="http://schemas.openxmlformats.org/officeDocument/2006/relationships/hyperlink" Target="https://my.zakupivli.pro/remote/dispatcher/state_purchase_view/31806497" TargetMode="External"/><Relationship Id="rId924" Type="http://schemas.openxmlformats.org/officeDocument/2006/relationships/hyperlink" Target="https://my.zakupivli.pro/remote/dispatcher/state_purchase_view/29186915" TargetMode="External"/><Relationship Id="rId966" Type="http://schemas.openxmlformats.org/officeDocument/2006/relationships/hyperlink" Target="https://my.zakupivli.pro/remote/dispatcher/state_purchase_view/26514713" TargetMode="External"/><Relationship Id="rId11" Type="http://schemas.openxmlformats.org/officeDocument/2006/relationships/hyperlink" Target="https://my.zakupivli.pro/remote/dispatcher/state_purchase_view/52417153" TargetMode="External"/><Relationship Id="rId53" Type="http://schemas.openxmlformats.org/officeDocument/2006/relationships/hyperlink" Target="https://my.zakupivli.pro/remote/dispatcher/state_purchase_view/52106649" TargetMode="External"/><Relationship Id="rId149" Type="http://schemas.openxmlformats.org/officeDocument/2006/relationships/hyperlink" Target="https://my.zakupivli.pro/remote/dispatcher/state_purchase_view/50641015" TargetMode="External"/><Relationship Id="rId314" Type="http://schemas.openxmlformats.org/officeDocument/2006/relationships/hyperlink" Target="https://my.zakupivli.pro/remote/dispatcher/state_purchase_view/45220516" TargetMode="External"/><Relationship Id="rId356" Type="http://schemas.openxmlformats.org/officeDocument/2006/relationships/hyperlink" Target="https://my.zakupivli.pro/remote/dispatcher/state_purchase_view/43719149" TargetMode="External"/><Relationship Id="rId398" Type="http://schemas.openxmlformats.org/officeDocument/2006/relationships/hyperlink" Target="https://my.zakupivli.pro/remote/dispatcher/state_purchase_lot_view/958930" TargetMode="External"/><Relationship Id="rId521" Type="http://schemas.openxmlformats.org/officeDocument/2006/relationships/hyperlink" Target="https://my.zakupivli.pro/remote/dispatcher/state_purchase_lot_view/887504" TargetMode="External"/><Relationship Id="rId563" Type="http://schemas.openxmlformats.org/officeDocument/2006/relationships/hyperlink" Target="https://my.zakupivli.pro/remote/dispatcher/state_purchase_view/39567168" TargetMode="External"/><Relationship Id="rId619" Type="http://schemas.openxmlformats.org/officeDocument/2006/relationships/hyperlink" Target="https://my.zakupivli.pro/remote/dispatcher/state_purchase_view/38274652" TargetMode="External"/><Relationship Id="rId770" Type="http://schemas.openxmlformats.org/officeDocument/2006/relationships/hyperlink" Target="https://my.zakupivli.pro/remote/dispatcher/state_purchase_view/31597874" TargetMode="External"/><Relationship Id="rId95" Type="http://schemas.openxmlformats.org/officeDocument/2006/relationships/hyperlink" Target="https://my.zakupivli.pro/remote/dispatcher/state_purchase_lot_view/1309520" TargetMode="External"/><Relationship Id="rId160" Type="http://schemas.openxmlformats.org/officeDocument/2006/relationships/hyperlink" Target="https://my.zakupivli.pro/remote/dispatcher/state_purchase_view/50142660" TargetMode="External"/><Relationship Id="rId216" Type="http://schemas.openxmlformats.org/officeDocument/2006/relationships/hyperlink" Target="https://my.zakupivli.pro/remote/dispatcher/state_purchase_view/47418811" TargetMode="External"/><Relationship Id="rId423" Type="http://schemas.openxmlformats.org/officeDocument/2006/relationships/hyperlink" Target="https://my.zakupivli.pro/remote/dispatcher/state_purchase_view/42685670" TargetMode="External"/><Relationship Id="rId826" Type="http://schemas.openxmlformats.org/officeDocument/2006/relationships/hyperlink" Target="https://my.zakupivli.pro/remote/dispatcher/state_purchase_view/30781874" TargetMode="External"/><Relationship Id="rId868" Type="http://schemas.openxmlformats.org/officeDocument/2006/relationships/hyperlink" Target="https://my.zakupivli.pro/remote/dispatcher/state_purchase_view/29627233" TargetMode="External"/><Relationship Id="rId258" Type="http://schemas.openxmlformats.org/officeDocument/2006/relationships/hyperlink" Target="https://my.zakupivli.pro/remote/dispatcher/state_purchase_lot_view/1098865" TargetMode="External"/><Relationship Id="rId465" Type="http://schemas.openxmlformats.org/officeDocument/2006/relationships/hyperlink" Target="https://my.zakupivli.pro/remote/dispatcher/state_purchase_view/42400827" TargetMode="External"/><Relationship Id="rId630" Type="http://schemas.openxmlformats.org/officeDocument/2006/relationships/hyperlink" Target="https://my.zakupivli.pro/remote/dispatcher/state_purchase_view/37479770" TargetMode="External"/><Relationship Id="rId672" Type="http://schemas.openxmlformats.org/officeDocument/2006/relationships/hyperlink" Target="https://my.zakupivli.pro/remote/dispatcher/state_purchase_view/34712029" TargetMode="External"/><Relationship Id="rId728" Type="http://schemas.openxmlformats.org/officeDocument/2006/relationships/hyperlink" Target="https://my.zakupivli.pro/remote/dispatcher/state_purchase_view/32584557" TargetMode="External"/><Relationship Id="rId935" Type="http://schemas.openxmlformats.org/officeDocument/2006/relationships/hyperlink" Target="https://my.zakupivli.pro/remote/dispatcher/state_purchase_view/29145450" TargetMode="External"/><Relationship Id="rId22" Type="http://schemas.openxmlformats.org/officeDocument/2006/relationships/hyperlink" Target="https://my.zakupivli.pro/remote/dispatcher/state_purchase_view/52377901" TargetMode="External"/><Relationship Id="rId64" Type="http://schemas.openxmlformats.org/officeDocument/2006/relationships/hyperlink" Target="https://my.zakupivli.pro/remote/dispatcher/state_purchase_lot_view/1317843" TargetMode="External"/><Relationship Id="rId118" Type="http://schemas.openxmlformats.org/officeDocument/2006/relationships/hyperlink" Target="https://my.zakupivli.pro/remote/dispatcher/state_purchase_lot_view/1297407" TargetMode="External"/><Relationship Id="rId325" Type="http://schemas.openxmlformats.org/officeDocument/2006/relationships/hyperlink" Target="https://my.zakupivli.pro/remote/dispatcher/state_purchase_lot_view/1042130" TargetMode="External"/><Relationship Id="rId367" Type="http://schemas.openxmlformats.org/officeDocument/2006/relationships/hyperlink" Target="https://my.zakupivli.pro/remote/dispatcher/state_purchase_lot_view/974101" TargetMode="External"/><Relationship Id="rId532" Type="http://schemas.openxmlformats.org/officeDocument/2006/relationships/hyperlink" Target="https://my.zakupivli.pro/remote/dispatcher/state_purchase_lot_view/867179" TargetMode="External"/><Relationship Id="rId574" Type="http://schemas.openxmlformats.org/officeDocument/2006/relationships/hyperlink" Target="https://my.zakupivli.pro/remote/dispatcher/state_purchase_view/39035278" TargetMode="External"/><Relationship Id="rId171" Type="http://schemas.openxmlformats.org/officeDocument/2006/relationships/hyperlink" Target="https://my.zakupivli.pro/remote/dispatcher/state_purchase_view/49265583" TargetMode="External"/><Relationship Id="rId227" Type="http://schemas.openxmlformats.org/officeDocument/2006/relationships/hyperlink" Target="https://my.zakupivli.pro/remote/dispatcher/state_purchase_view/47177834" TargetMode="External"/><Relationship Id="rId781" Type="http://schemas.openxmlformats.org/officeDocument/2006/relationships/hyperlink" Target="https://my.zakupivli.pro/remote/dispatcher/state_purchase_view/31356484" TargetMode="External"/><Relationship Id="rId837" Type="http://schemas.openxmlformats.org/officeDocument/2006/relationships/hyperlink" Target="https://my.zakupivli.pro/remote/dispatcher/state_purchase_lot_view/696415" TargetMode="External"/><Relationship Id="rId879" Type="http://schemas.openxmlformats.org/officeDocument/2006/relationships/hyperlink" Target="https://my.zakupivli.pro/remote/dispatcher/state_purchase_view/29212113" TargetMode="External"/><Relationship Id="rId269" Type="http://schemas.openxmlformats.org/officeDocument/2006/relationships/hyperlink" Target="https://my.zakupivli.pro/remote/dispatcher/state_purchase_view/46027849" TargetMode="External"/><Relationship Id="rId434" Type="http://schemas.openxmlformats.org/officeDocument/2006/relationships/hyperlink" Target="https://my.zakupivli.pro/remote/dispatcher/state_purchase_view/42664749" TargetMode="External"/><Relationship Id="rId476" Type="http://schemas.openxmlformats.org/officeDocument/2006/relationships/hyperlink" Target="https://my.zakupivli.pro/remote/dispatcher/state_purchase_view/42351262" TargetMode="External"/><Relationship Id="rId641" Type="http://schemas.openxmlformats.org/officeDocument/2006/relationships/hyperlink" Target="https://my.zakupivli.pro/remote/dispatcher/state_purchase_view/37358019" TargetMode="External"/><Relationship Id="rId683" Type="http://schemas.openxmlformats.org/officeDocument/2006/relationships/hyperlink" Target="https://my.zakupivli.pro/remote/dispatcher/state_purchase_view/33690866" TargetMode="External"/><Relationship Id="rId739" Type="http://schemas.openxmlformats.org/officeDocument/2006/relationships/hyperlink" Target="https://my.zakupivli.pro/remote/dispatcher/state_purchase_view/32288477" TargetMode="External"/><Relationship Id="rId890" Type="http://schemas.openxmlformats.org/officeDocument/2006/relationships/hyperlink" Target="https://auctions.prozorro.gov.ua/tenders/75c2a57a0ecd4770985d0788f044c47b_3c96bf6946c7447f8247d838a03eccbf" TargetMode="External"/><Relationship Id="rId904" Type="http://schemas.openxmlformats.org/officeDocument/2006/relationships/hyperlink" Target="https://my.zakupivli.pro/remote/dispatcher/state_purchase_lot_view/683822" TargetMode="External"/><Relationship Id="rId33" Type="http://schemas.openxmlformats.org/officeDocument/2006/relationships/hyperlink" Target="https://my.zakupivli.pro/remote/dispatcher/state_purchase_view/52185654" TargetMode="External"/><Relationship Id="rId129" Type="http://schemas.openxmlformats.org/officeDocument/2006/relationships/hyperlink" Target="https://my.zakupivli.pro/remote/dispatcher/state_purchase_view/51115562" TargetMode="External"/><Relationship Id="rId280" Type="http://schemas.openxmlformats.org/officeDocument/2006/relationships/hyperlink" Target="https://my.zakupivli.pro/remote/dispatcher/state_purchase_view/45847540" TargetMode="External"/><Relationship Id="rId336" Type="http://schemas.openxmlformats.org/officeDocument/2006/relationships/hyperlink" Target="https://my.zakupivli.pro/remote/dispatcher/state_purchase_lot_view/1035795" TargetMode="External"/><Relationship Id="rId501" Type="http://schemas.openxmlformats.org/officeDocument/2006/relationships/hyperlink" Target="https://my.zakupivli.pro/remote/dispatcher/state_purchase_view/42009559" TargetMode="External"/><Relationship Id="rId543" Type="http://schemas.openxmlformats.org/officeDocument/2006/relationships/hyperlink" Target="https://my.zakupivli.pro/remote/dispatcher/state_purchase_view/40115935" TargetMode="External"/><Relationship Id="rId946" Type="http://schemas.openxmlformats.org/officeDocument/2006/relationships/hyperlink" Target="https://my.zakupivli.pro/remote/dispatcher/state_purchase_view/28122680" TargetMode="External"/><Relationship Id="rId75" Type="http://schemas.openxmlformats.org/officeDocument/2006/relationships/hyperlink" Target="https://my.zakupivli.pro/remote/dispatcher/state_purchase_view/51759370" TargetMode="External"/><Relationship Id="rId140" Type="http://schemas.openxmlformats.org/officeDocument/2006/relationships/hyperlink" Target="https://my.zakupivli.pro/remote/dispatcher/state_purchase_lot_view/1280683" TargetMode="External"/><Relationship Id="rId182" Type="http://schemas.openxmlformats.org/officeDocument/2006/relationships/hyperlink" Target="https://my.zakupivli.pro/remote/dispatcher/state_purchase_view/48905864" TargetMode="External"/><Relationship Id="rId378" Type="http://schemas.openxmlformats.org/officeDocument/2006/relationships/hyperlink" Target="https://my.zakupivli.pro/remote/dispatcher/state_purchase_view/43229212" TargetMode="External"/><Relationship Id="rId403" Type="http://schemas.openxmlformats.org/officeDocument/2006/relationships/hyperlink" Target="https://my.zakupivli.pro/remote/dispatcher/state_purchase_view/42823000" TargetMode="External"/><Relationship Id="rId585" Type="http://schemas.openxmlformats.org/officeDocument/2006/relationships/hyperlink" Target="https://my.zakupivli.pro/remote/dispatcher/state_purchase_view/38707475" TargetMode="External"/><Relationship Id="rId750" Type="http://schemas.openxmlformats.org/officeDocument/2006/relationships/hyperlink" Target="https://my.zakupivli.pro/remote/dispatcher/state_purchase_view/31966856" TargetMode="External"/><Relationship Id="rId792" Type="http://schemas.openxmlformats.org/officeDocument/2006/relationships/hyperlink" Target="https://my.zakupivli.pro/remote/dispatcher/state_purchase_view/31189601" TargetMode="External"/><Relationship Id="rId806" Type="http://schemas.openxmlformats.org/officeDocument/2006/relationships/hyperlink" Target="https://my.zakupivli.pro/remote/dispatcher/state_purchase_view/31181596" TargetMode="External"/><Relationship Id="rId848" Type="http://schemas.openxmlformats.org/officeDocument/2006/relationships/hyperlink" Target="https://my.zakupivli.pro/remote/dispatcher/state_purchase_view/30423276" TargetMode="External"/><Relationship Id="rId6" Type="http://schemas.openxmlformats.org/officeDocument/2006/relationships/hyperlink" Target="https://my.zakupivli.pro/remote/dispatcher/state_purchase_view/52559203" TargetMode="External"/><Relationship Id="rId238" Type="http://schemas.openxmlformats.org/officeDocument/2006/relationships/hyperlink" Target="https://my.zakupivli.pro/remote/dispatcher/state_purchase_lot_view/1110480" TargetMode="External"/><Relationship Id="rId445" Type="http://schemas.openxmlformats.org/officeDocument/2006/relationships/hyperlink" Target="https://my.zakupivli.pro/remote/dispatcher/state_purchase_lot_view/945917" TargetMode="External"/><Relationship Id="rId487" Type="http://schemas.openxmlformats.org/officeDocument/2006/relationships/hyperlink" Target="https://my.zakupivli.pro/remote/dispatcher/state_purchase_lot_view/935793" TargetMode="External"/><Relationship Id="rId610" Type="http://schemas.openxmlformats.org/officeDocument/2006/relationships/hyperlink" Target="https://my.zakupivli.pro/remote/dispatcher/state_purchase_lot_view/782424" TargetMode="External"/><Relationship Id="rId652" Type="http://schemas.openxmlformats.org/officeDocument/2006/relationships/hyperlink" Target="https://my.zakupivli.pro/remote/dispatcher/state_purchase_view/36841254" TargetMode="External"/><Relationship Id="rId694" Type="http://schemas.openxmlformats.org/officeDocument/2006/relationships/hyperlink" Target="https://my.zakupivli.pro/remote/dispatcher/state_purchase_view/33509077" TargetMode="External"/><Relationship Id="rId708" Type="http://schemas.openxmlformats.org/officeDocument/2006/relationships/hyperlink" Target="https://my.zakupivli.pro/remote/dispatcher/state_purchase_view/32712043" TargetMode="External"/><Relationship Id="rId915" Type="http://schemas.openxmlformats.org/officeDocument/2006/relationships/hyperlink" Target="https://auctions.prozorro.gov.ua/tenders/75c2a57a0ecd4770985d0788f044c47b_6338741b8d934835aafb8d2f52c4441a" TargetMode="External"/><Relationship Id="rId291" Type="http://schemas.openxmlformats.org/officeDocument/2006/relationships/hyperlink" Target="https://my.zakupivli.pro/remote/dispatcher/state_purchase_lot_view/1063278" TargetMode="External"/><Relationship Id="rId305" Type="http://schemas.openxmlformats.org/officeDocument/2006/relationships/hyperlink" Target="https://my.zakupivli.pro/remote/dispatcher/state_purchase_lot_view/1049066" TargetMode="External"/><Relationship Id="rId347" Type="http://schemas.openxmlformats.org/officeDocument/2006/relationships/hyperlink" Target="https://my.zakupivli.pro/remote/dispatcher/state_purchase_lot_view/1020513" TargetMode="External"/><Relationship Id="rId512" Type="http://schemas.openxmlformats.org/officeDocument/2006/relationships/hyperlink" Target="https://my.zakupivli.pro/remote/dispatcher/state_purchase_lot_view/887514" TargetMode="External"/><Relationship Id="rId957" Type="http://schemas.openxmlformats.org/officeDocument/2006/relationships/hyperlink" Target="https://my.zakupivli.pro/remote/dispatcher/state_purchase_view/27635809" TargetMode="External"/><Relationship Id="rId44" Type="http://schemas.openxmlformats.org/officeDocument/2006/relationships/hyperlink" Target="https://my.zakupivli.pro/remote/dispatcher/state_purchase_lot_view/1334881" TargetMode="External"/><Relationship Id="rId86" Type="http://schemas.openxmlformats.org/officeDocument/2006/relationships/hyperlink" Target="https://my.zakupivli.pro/remote/dispatcher/state_purchase_lot_view/1310952" TargetMode="External"/><Relationship Id="rId151" Type="http://schemas.openxmlformats.org/officeDocument/2006/relationships/hyperlink" Target="https://my.zakupivli.pro/remote/dispatcher/state_purchase_view/50575600" TargetMode="External"/><Relationship Id="rId389" Type="http://schemas.openxmlformats.org/officeDocument/2006/relationships/hyperlink" Target="https://my.zakupivli.pro/remote/dispatcher/state_purchase_view/42991780" TargetMode="External"/><Relationship Id="rId554" Type="http://schemas.openxmlformats.org/officeDocument/2006/relationships/hyperlink" Target="https://my.zakupivli.pro/remote/dispatcher/state_purchase_view/39760400" TargetMode="External"/><Relationship Id="rId596" Type="http://schemas.openxmlformats.org/officeDocument/2006/relationships/hyperlink" Target="https://my.zakupivli.pro/remote/dispatcher/state_purchase_view/38628278" TargetMode="External"/><Relationship Id="rId761" Type="http://schemas.openxmlformats.org/officeDocument/2006/relationships/hyperlink" Target="https://my.zakupivli.pro/remote/dispatcher/state_purchase_view/31726652" TargetMode="External"/><Relationship Id="rId817" Type="http://schemas.openxmlformats.org/officeDocument/2006/relationships/hyperlink" Target="https://my.zakupivli.pro/remote/dispatcher/state_purchase_view/30951653" TargetMode="External"/><Relationship Id="rId859" Type="http://schemas.openxmlformats.org/officeDocument/2006/relationships/hyperlink" Target="https://my.zakupivli.pro/remote/dispatcher/state_purchase_view/29626884" TargetMode="External"/><Relationship Id="rId193" Type="http://schemas.openxmlformats.org/officeDocument/2006/relationships/hyperlink" Target="https://my.zakupivli.pro/remote/dispatcher/state_purchase_view/48580410" TargetMode="External"/><Relationship Id="rId207" Type="http://schemas.openxmlformats.org/officeDocument/2006/relationships/hyperlink" Target="https://my.zakupivli.pro/remote/dispatcher/state_purchase_view/47905785" TargetMode="External"/><Relationship Id="rId249" Type="http://schemas.openxmlformats.org/officeDocument/2006/relationships/hyperlink" Target="https://my.zakupivli.pro/remote/dispatcher/state_purchase_view/46489590" TargetMode="External"/><Relationship Id="rId414" Type="http://schemas.openxmlformats.org/officeDocument/2006/relationships/hyperlink" Target="https://my.zakupivli.pro/remote/dispatcher/state_purchase_view/42823334" TargetMode="External"/><Relationship Id="rId456" Type="http://schemas.openxmlformats.org/officeDocument/2006/relationships/hyperlink" Target="https://my.zakupivli.pro/remote/dispatcher/state_purchase_lot_view/943531" TargetMode="External"/><Relationship Id="rId498" Type="http://schemas.openxmlformats.org/officeDocument/2006/relationships/hyperlink" Target="https://my.zakupivli.pro/remote/dispatcher/state_purchase_view/42098962" TargetMode="External"/><Relationship Id="rId621" Type="http://schemas.openxmlformats.org/officeDocument/2006/relationships/hyperlink" Target="https://my.zakupivli.pro/remote/dispatcher/state_purchase_view/37883170" TargetMode="External"/><Relationship Id="rId663" Type="http://schemas.openxmlformats.org/officeDocument/2006/relationships/hyperlink" Target="https://my.zakupivli.pro/remote/dispatcher/state_purchase_view/35516384" TargetMode="External"/><Relationship Id="rId870" Type="http://schemas.openxmlformats.org/officeDocument/2006/relationships/hyperlink" Target="https://auctions.prozorro.gov.ua/tenders/92d4a9c6f7594bceb04eb4571f7d4e3f" TargetMode="External"/><Relationship Id="rId13" Type="http://schemas.openxmlformats.org/officeDocument/2006/relationships/hyperlink" Target="https://my.zakupivli.pro/remote/dispatcher/state_purchase_view/52416394" TargetMode="External"/><Relationship Id="rId109" Type="http://schemas.openxmlformats.org/officeDocument/2006/relationships/hyperlink" Target="https://my.zakupivli.pro/remote/dispatcher/state_purchase_view/51313644" TargetMode="External"/><Relationship Id="rId260" Type="http://schemas.openxmlformats.org/officeDocument/2006/relationships/hyperlink" Target="https://my.zakupivli.pro/remote/dispatcher/state_purchase_view/46464598" TargetMode="External"/><Relationship Id="rId316" Type="http://schemas.openxmlformats.org/officeDocument/2006/relationships/hyperlink" Target="https://my.zakupivli.pro/remote/dispatcher/state_purchase_view/45114879" TargetMode="External"/><Relationship Id="rId523" Type="http://schemas.openxmlformats.org/officeDocument/2006/relationships/hyperlink" Target="https://my.zakupivli.pro/remote/dispatcher/state_purchase_view/41107887" TargetMode="External"/><Relationship Id="rId719" Type="http://schemas.openxmlformats.org/officeDocument/2006/relationships/hyperlink" Target="https://my.zakupivli.pro/remote/dispatcher/state_purchase_view/32583169" TargetMode="External"/><Relationship Id="rId926" Type="http://schemas.openxmlformats.org/officeDocument/2006/relationships/hyperlink" Target="https://my.zakupivli.pro/remote/dispatcher/state_purchase_view/29186915" TargetMode="External"/><Relationship Id="rId55" Type="http://schemas.openxmlformats.org/officeDocument/2006/relationships/hyperlink" Target="https://my.zakupivli.pro/remote/dispatcher/state_purchase_view/52105816" TargetMode="External"/><Relationship Id="rId97" Type="http://schemas.openxmlformats.org/officeDocument/2006/relationships/hyperlink" Target="https://my.zakupivli.pro/remote/dispatcher/state_purchase_lot_view/1309421" TargetMode="External"/><Relationship Id="rId120" Type="http://schemas.openxmlformats.org/officeDocument/2006/relationships/hyperlink" Target="https://my.zakupivli.pro/remote/dispatcher/state_purchase_lot_view/1294990" TargetMode="External"/><Relationship Id="rId358" Type="http://schemas.openxmlformats.org/officeDocument/2006/relationships/hyperlink" Target="https://my.zakupivli.pro/remote/dispatcher/state_purchase_view/43720195" TargetMode="External"/><Relationship Id="rId565" Type="http://schemas.openxmlformats.org/officeDocument/2006/relationships/hyperlink" Target="https://my.zakupivli.pro/remote/dispatcher/state_purchase_view/39563925" TargetMode="External"/><Relationship Id="rId730" Type="http://schemas.openxmlformats.org/officeDocument/2006/relationships/hyperlink" Target="https://my.zakupivli.pro/remote/dispatcher/state_purchase_view/32583922" TargetMode="External"/><Relationship Id="rId772" Type="http://schemas.openxmlformats.org/officeDocument/2006/relationships/hyperlink" Target="https://my.zakupivli.pro/remote/dispatcher/state_purchase_view/31495159" TargetMode="External"/><Relationship Id="rId828" Type="http://schemas.openxmlformats.org/officeDocument/2006/relationships/hyperlink" Target="https://my.zakupivli.pro/remote/dispatcher/state_purchase_view/30737197" TargetMode="External"/><Relationship Id="rId162" Type="http://schemas.openxmlformats.org/officeDocument/2006/relationships/hyperlink" Target="https://my.zakupivli.pro/remote/dispatcher/state_purchase_view/49704925" TargetMode="External"/><Relationship Id="rId218" Type="http://schemas.openxmlformats.org/officeDocument/2006/relationships/hyperlink" Target="https://my.zakupivli.pro/remote/dispatcher/state_purchase_view/47425747" TargetMode="External"/><Relationship Id="rId425" Type="http://schemas.openxmlformats.org/officeDocument/2006/relationships/hyperlink" Target="https://my.zakupivli.pro/remote/dispatcher/state_purchase_view/42683353" TargetMode="External"/><Relationship Id="rId467" Type="http://schemas.openxmlformats.org/officeDocument/2006/relationships/hyperlink" Target="https://my.zakupivli.pro/remote/dispatcher/state_purchase_view/42399478" TargetMode="External"/><Relationship Id="rId632" Type="http://schemas.openxmlformats.org/officeDocument/2006/relationships/hyperlink" Target="https://my.zakupivli.pro/remote/dispatcher/state_purchase_view/37485882" TargetMode="External"/><Relationship Id="rId271" Type="http://schemas.openxmlformats.org/officeDocument/2006/relationships/hyperlink" Target="https://my.zakupivli.pro/remote/dispatcher/state_purchase_view/46027761" TargetMode="External"/><Relationship Id="rId674" Type="http://schemas.openxmlformats.org/officeDocument/2006/relationships/hyperlink" Target="https://my.zakupivli.pro/remote/dispatcher/state_purchase_view/34599404" TargetMode="External"/><Relationship Id="rId881" Type="http://schemas.openxmlformats.org/officeDocument/2006/relationships/hyperlink" Target="https://auctions.prozorro.gov.ua/tenders/75c2a57a0ecd4770985d0788f044c47b_d5afaaa2e66b4cac8d2b8c536ce2e741" TargetMode="External"/><Relationship Id="rId937" Type="http://schemas.openxmlformats.org/officeDocument/2006/relationships/hyperlink" Target="https://my.zakupivli.pro/remote/dispatcher/state_purchase_view/28729216" TargetMode="External"/><Relationship Id="rId24" Type="http://schemas.openxmlformats.org/officeDocument/2006/relationships/hyperlink" Target="https://my.zakupivli.pro/remote/dispatcher/state_purchase_lot_view/1346302" TargetMode="External"/><Relationship Id="rId66" Type="http://schemas.openxmlformats.org/officeDocument/2006/relationships/hyperlink" Target="https://my.zakupivli.pro/remote/dispatcher/state_purchase_lot_view/1317918" TargetMode="External"/><Relationship Id="rId131" Type="http://schemas.openxmlformats.org/officeDocument/2006/relationships/hyperlink" Target="https://my.zakupivli.pro/remote/dispatcher/state_purchase_view/51115871" TargetMode="External"/><Relationship Id="rId327" Type="http://schemas.openxmlformats.org/officeDocument/2006/relationships/hyperlink" Target="https://my.zakupivli.pro/remote/dispatcher/state_purchase_lot_view/1042166" TargetMode="External"/><Relationship Id="rId369" Type="http://schemas.openxmlformats.org/officeDocument/2006/relationships/hyperlink" Target="https://my.zakupivli.pro/remote/dispatcher/state_purchase_view/43231268" TargetMode="External"/><Relationship Id="rId534" Type="http://schemas.openxmlformats.org/officeDocument/2006/relationships/hyperlink" Target="https://my.zakupivli.pro/remote/dispatcher/state_purchase_view/40648522" TargetMode="External"/><Relationship Id="rId576" Type="http://schemas.openxmlformats.org/officeDocument/2006/relationships/hyperlink" Target="https://my.zakupivli.pro/remote/dispatcher/state_purchase_view/38920836" TargetMode="External"/><Relationship Id="rId741" Type="http://schemas.openxmlformats.org/officeDocument/2006/relationships/hyperlink" Target="https://my.zakupivli.pro/remote/dispatcher/state_purchase_view/32246655" TargetMode="External"/><Relationship Id="rId783" Type="http://schemas.openxmlformats.org/officeDocument/2006/relationships/hyperlink" Target="https://auctions.prozorro.gov.ua/tenders/5420252f3d4248fa8e0af41814ceb84a_b88eb72154ad46a4a171095b4c670b0e" TargetMode="External"/><Relationship Id="rId839" Type="http://schemas.openxmlformats.org/officeDocument/2006/relationships/hyperlink" Target="https://my.zakupivli.pro/remote/dispatcher/state_purchase_view/30554193" TargetMode="External"/><Relationship Id="rId173" Type="http://schemas.openxmlformats.org/officeDocument/2006/relationships/hyperlink" Target="https://my.zakupivli.pro/remote/dispatcher/state_purchase_lot_view/1210057" TargetMode="External"/><Relationship Id="rId229" Type="http://schemas.openxmlformats.org/officeDocument/2006/relationships/hyperlink" Target="https://my.zakupivli.pro/remote/dispatcher/state_purchase_view/47100846" TargetMode="External"/><Relationship Id="rId380" Type="http://schemas.openxmlformats.org/officeDocument/2006/relationships/hyperlink" Target="https://my.zakupivli.pro/remote/dispatcher/state_purchase_view/43219724" TargetMode="External"/><Relationship Id="rId436" Type="http://schemas.openxmlformats.org/officeDocument/2006/relationships/hyperlink" Target="https://my.zakupivli.pro/remote/dispatcher/state_purchase_view/42631367" TargetMode="External"/><Relationship Id="rId601" Type="http://schemas.openxmlformats.org/officeDocument/2006/relationships/hyperlink" Target="https://my.zakupivli.pro/remote/dispatcher/state_purchase_view/38608200" TargetMode="External"/><Relationship Id="rId643" Type="http://schemas.openxmlformats.org/officeDocument/2006/relationships/hyperlink" Target="https://my.zakupivli.pro/remote/dispatcher/state_purchase_view/37357896" TargetMode="External"/><Relationship Id="rId240" Type="http://schemas.openxmlformats.org/officeDocument/2006/relationships/hyperlink" Target="https://my.zakupivli.pro/remote/dispatcher/state_purchase_lot_view/1110567" TargetMode="External"/><Relationship Id="rId478" Type="http://schemas.openxmlformats.org/officeDocument/2006/relationships/hyperlink" Target="https://my.zakupivli.pro/remote/dispatcher/state_purchase_view/42350335" TargetMode="External"/><Relationship Id="rId685" Type="http://schemas.openxmlformats.org/officeDocument/2006/relationships/hyperlink" Target="https://my.zakupivli.pro/remote/dispatcher/state_purchase_view/33699465" TargetMode="External"/><Relationship Id="rId850" Type="http://schemas.openxmlformats.org/officeDocument/2006/relationships/hyperlink" Target="https://my.zakupivli.pro/remote/dispatcher/state_purchase_view/30317206" TargetMode="External"/><Relationship Id="rId892" Type="http://schemas.openxmlformats.org/officeDocument/2006/relationships/hyperlink" Target="https://my.zakupivli.pro/remote/dispatcher/state_purchase_lot_view/683871" TargetMode="External"/><Relationship Id="rId906" Type="http://schemas.openxmlformats.org/officeDocument/2006/relationships/hyperlink" Target="https://my.zakupivli.pro/remote/dispatcher/state_purchase_lot_view/683823" TargetMode="External"/><Relationship Id="rId948" Type="http://schemas.openxmlformats.org/officeDocument/2006/relationships/hyperlink" Target="https://auction.openprocurement.org/tenders/5c652a4cf43d497aa070b81bddfa0469_dfc98f2471044b0586ee5bdc929cec3c" TargetMode="External"/><Relationship Id="rId35" Type="http://schemas.openxmlformats.org/officeDocument/2006/relationships/hyperlink" Target="https://my.zakupivli.pro/remote/dispatcher/state_purchase_view/52178717" TargetMode="External"/><Relationship Id="rId77" Type="http://schemas.openxmlformats.org/officeDocument/2006/relationships/hyperlink" Target="https://my.zakupivli.pro/remote/dispatcher/state_purchase_view/51646928" TargetMode="External"/><Relationship Id="rId100" Type="http://schemas.openxmlformats.org/officeDocument/2006/relationships/hyperlink" Target="https://my.zakupivli.pro/remote/dispatcher/state_purchase_view/51527527" TargetMode="External"/><Relationship Id="rId282" Type="http://schemas.openxmlformats.org/officeDocument/2006/relationships/hyperlink" Target="https://my.zakupivli.pro/remote/dispatcher/state_purchase_view/45797019" TargetMode="External"/><Relationship Id="rId338" Type="http://schemas.openxmlformats.org/officeDocument/2006/relationships/hyperlink" Target="https://my.zakupivli.pro/remote/dispatcher/state_purchase_view/44619953" TargetMode="External"/><Relationship Id="rId503" Type="http://schemas.openxmlformats.org/officeDocument/2006/relationships/hyperlink" Target="https://my.zakupivli.pro/remote/dispatcher/state_purchase_view/41914163" TargetMode="External"/><Relationship Id="rId545" Type="http://schemas.openxmlformats.org/officeDocument/2006/relationships/hyperlink" Target="https://my.zakupivli.pro/remote/dispatcher/state_purchase_view/39944271" TargetMode="External"/><Relationship Id="rId587" Type="http://schemas.openxmlformats.org/officeDocument/2006/relationships/hyperlink" Target="https://my.zakupivli.pro/remote/dispatcher/state_purchase_view/38640502" TargetMode="External"/><Relationship Id="rId710" Type="http://schemas.openxmlformats.org/officeDocument/2006/relationships/hyperlink" Target="https://my.zakupivli.pro/remote/dispatcher/state_purchase_view/32704997" TargetMode="External"/><Relationship Id="rId752" Type="http://schemas.openxmlformats.org/officeDocument/2006/relationships/hyperlink" Target="https://my.zakupivli.pro/remote/dispatcher/state_purchase_view/31858345" TargetMode="External"/><Relationship Id="rId808" Type="http://schemas.openxmlformats.org/officeDocument/2006/relationships/hyperlink" Target="https://my.zakupivli.pro/remote/dispatcher/state_purchase_view/31182879" TargetMode="External"/><Relationship Id="rId8" Type="http://schemas.openxmlformats.org/officeDocument/2006/relationships/hyperlink" Target="https://my.zakupivli.pro/remote/dispatcher/state_purchase_lot_view/1355410" TargetMode="External"/><Relationship Id="rId142" Type="http://schemas.openxmlformats.org/officeDocument/2006/relationships/hyperlink" Target="https://my.zakupivli.pro/remote/dispatcher/state_purchase_lot_view/1280400" TargetMode="External"/><Relationship Id="rId184" Type="http://schemas.openxmlformats.org/officeDocument/2006/relationships/hyperlink" Target="https://my.zakupivli.pro/remote/dispatcher/state_purchase_lot_view/1195719" TargetMode="External"/><Relationship Id="rId391" Type="http://schemas.openxmlformats.org/officeDocument/2006/relationships/hyperlink" Target="https://my.zakupivli.pro/remote/dispatcher/state_purchase_view/42989234" TargetMode="External"/><Relationship Id="rId405" Type="http://schemas.openxmlformats.org/officeDocument/2006/relationships/hyperlink" Target="https://my.zakupivli.pro/remote/dispatcher/state_purchase_view/42822846" TargetMode="External"/><Relationship Id="rId447" Type="http://schemas.openxmlformats.org/officeDocument/2006/relationships/hyperlink" Target="https://my.zakupivli.pro/remote/dispatcher/state_purchase_lot_view/945801" TargetMode="External"/><Relationship Id="rId612" Type="http://schemas.openxmlformats.org/officeDocument/2006/relationships/hyperlink" Target="https://my.zakupivli.pro/remote/dispatcher/state_purchase_lot_view/782000" TargetMode="External"/><Relationship Id="rId794" Type="http://schemas.openxmlformats.org/officeDocument/2006/relationships/hyperlink" Target="https://my.zakupivli.pro/remote/dispatcher/state_purchase_view/31189249" TargetMode="External"/><Relationship Id="rId251" Type="http://schemas.openxmlformats.org/officeDocument/2006/relationships/hyperlink" Target="https://my.zakupivli.pro/remote/dispatcher/state_purchase_view/46493215" TargetMode="External"/><Relationship Id="rId489" Type="http://schemas.openxmlformats.org/officeDocument/2006/relationships/hyperlink" Target="https://my.zakupivli.pro/remote/dispatcher/state_purchase_view/42200373" TargetMode="External"/><Relationship Id="rId654" Type="http://schemas.openxmlformats.org/officeDocument/2006/relationships/hyperlink" Target="https://my.zakupivli.pro/remote/dispatcher/state_purchase_view/36763164" TargetMode="External"/><Relationship Id="rId696" Type="http://schemas.openxmlformats.org/officeDocument/2006/relationships/hyperlink" Target="https://my.zakupivli.pro/remote/dispatcher/state_purchase_view/33410132" TargetMode="External"/><Relationship Id="rId861" Type="http://schemas.openxmlformats.org/officeDocument/2006/relationships/hyperlink" Target="https://auctions.prozorro.gov.ua/tenders/cbfc5e6125e74a92a747436d59c67178_b88eb72154ad46a4a171095b4c670b0e" TargetMode="External"/><Relationship Id="rId917" Type="http://schemas.openxmlformats.org/officeDocument/2006/relationships/hyperlink" Target="https://my.zakupivli.pro/remote/dispatcher/state_purchase_lot_view/683870" TargetMode="External"/><Relationship Id="rId959" Type="http://schemas.openxmlformats.org/officeDocument/2006/relationships/hyperlink" Target="https://auction.openprocurement.org/tenders/ef1c75704f63404abb5e737347c4e43c_6e8b515486b0402b9b9326499a0dcf33" TargetMode="External"/><Relationship Id="rId46" Type="http://schemas.openxmlformats.org/officeDocument/2006/relationships/hyperlink" Target="https://my.zakupivli.pro/remote/dispatcher/state_purchase_lot_view/1334860" TargetMode="External"/><Relationship Id="rId293" Type="http://schemas.openxmlformats.org/officeDocument/2006/relationships/hyperlink" Target="https://my.zakupivli.pro/remote/dispatcher/state_purchase_lot_view/1063176" TargetMode="External"/><Relationship Id="rId307" Type="http://schemas.openxmlformats.org/officeDocument/2006/relationships/hyperlink" Target="https://my.zakupivli.pro/remote/dispatcher/state_purchase_lot_view/1049004" TargetMode="External"/><Relationship Id="rId349" Type="http://schemas.openxmlformats.org/officeDocument/2006/relationships/hyperlink" Target="https://my.zakupivli.pro/remote/dispatcher/state_purchase_view/44057396" TargetMode="External"/><Relationship Id="rId514" Type="http://schemas.openxmlformats.org/officeDocument/2006/relationships/hyperlink" Target="https://my.zakupivli.pro/remote/dispatcher/state_purchase_view/41268839" TargetMode="External"/><Relationship Id="rId556" Type="http://schemas.openxmlformats.org/officeDocument/2006/relationships/hyperlink" Target="https://my.zakupivli.pro/remote/dispatcher/state_purchase_view/39757964" TargetMode="External"/><Relationship Id="rId721" Type="http://schemas.openxmlformats.org/officeDocument/2006/relationships/hyperlink" Target="https://my.zakupivli.pro/remote/dispatcher/state_purchase_view/32583067" TargetMode="External"/><Relationship Id="rId763" Type="http://schemas.openxmlformats.org/officeDocument/2006/relationships/hyperlink" Target="https://my.zakupivli.pro/remote/dispatcher/state_purchase_view/31719390" TargetMode="External"/><Relationship Id="rId88" Type="http://schemas.openxmlformats.org/officeDocument/2006/relationships/hyperlink" Target="https://my.zakupivli.pro/remote/dispatcher/state_purchase_lot_view/1310972" TargetMode="External"/><Relationship Id="rId111" Type="http://schemas.openxmlformats.org/officeDocument/2006/relationships/hyperlink" Target="https://my.zakupivli.pro/remote/dispatcher/state_purchase_view/51312690" TargetMode="External"/><Relationship Id="rId153" Type="http://schemas.openxmlformats.org/officeDocument/2006/relationships/hyperlink" Target="https://my.zakupivli.pro/remote/dispatcher/state_purchase_view/50551858" TargetMode="External"/><Relationship Id="rId195" Type="http://schemas.openxmlformats.org/officeDocument/2006/relationships/hyperlink" Target="https://my.zakupivli.pro/remote/dispatcher/state_purchase_lot_view/1170375" TargetMode="External"/><Relationship Id="rId209" Type="http://schemas.openxmlformats.org/officeDocument/2006/relationships/hyperlink" Target="https://my.zakupivli.pro/remote/dispatcher/state_purchase_view/47864423" TargetMode="External"/><Relationship Id="rId360" Type="http://schemas.openxmlformats.org/officeDocument/2006/relationships/hyperlink" Target="https://my.zakupivli.pro/remote/dispatcher/state_purchase_view/43718786" TargetMode="External"/><Relationship Id="rId416" Type="http://schemas.openxmlformats.org/officeDocument/2006/relationships/hyperlink" Target="https://my.zakupivli.pro/remote/dispatcher/state_purchase_view/42683833" TargetMode="External"/><Relationship Id="rId598" Type="http://schemas.openxmlformats.org/officeDocument/2006/relationships/hyperlink" Target="https://my.zakupivli.pro/remote/dispatcher/state_purchase_view/38627780" TargetMode="External"/><Relationship Id="rId819" Type="http://schemas.openxmlformats.org/officeDocument/2006/relationships/hyperlink" Target="https://auctions.prozorro.gov.ua/tenders/0b77ad9b652b4f34a390fa9ce4ad0ffb" TargetMode="External"/><Relationship Id="rId220" Type="http://schemas.openxmlformats.org/officeDocument/2006/relationships/hyperlink" Target="https://my.zakupivli.pro/remote/dispatcher/state_purchase_view/47422090" TargetMode="External"/><Relationship Id="rId458" Type="http://schemas.openxmlformats.org/officeDocument/2006/relationships/hyperlink" Target="https://my.zakupivli.pro/remote/dispatcher/state_purchase_view/42492099" TargetMode="External"/><Relationship Id="rId623" Type="http://schemas.openxmlformats.org/officeDocument/2006/relationships/hyperlink" Target="https://my.zakupivli.pro/remote/dispatcher/state_purchase_view/37793247" TargetMode="External"/><Relationship Id="rId665" Type="http://schemas.openxmlformats.org/officeDocument/2006/relationships/hyperlink" Target="https://my.zakupivli.pro/remote/dispatcher/state_purchase_view/35243442" TargetMode="External"/><Relationship Id="rId830" Type="http://schemas.openxmlformats.org/officeDocument/2006/relationships/hyperlink" Target="https://my.zakupivli.pro/remote/dispatcher/state_purchase_lot_view/697422" TargetMode="External"/><Relationship Id="rId872" Type="http://schemas.openxmlformats.org/officeDocument/2006/relationships/hyperlink" Target="https://my.zakupivli.pro/remote/dispatcher/state_purchase_view/29454129" TargetMode="External"/><Relationship Id="rId928" Type="http://schemas.openxmlformats.org/officeDocument/2006/relationships/hyperlink" Target="https://my.zakupivli.pro/remote/dispatcher/state_purchase_view/29163513" TargetMode="External"/><Relationship Id="rId15" Type="http://schemas.openxmlformats.org/officeDocument/2006/relationships/hyperlink" Target="https://my.zakupivli.pro/remote/dispatcher/state_purchase_lot_view/1347902" TargetMode="External"/><Relationship Id="rId57" Type="http://schemas.openxmlformats.org/officeDocument/2006/relationships/hyperlink" Target="https://my.zakupivli.pro/remote/dispatcher/state_purchase_lot_view/1334377" TargetMode="External"/><Relationship Id="rId262" Type="http://schemas.openxmlformats.org/officeDocument/2006/relationships/hyperlink" Target="https://my.zakupivli.pro/remote/dispatcher/state_purchase_view/46460778" TargetMode="External"/><Relationship Id="rId318" Type="http://schemas.openxmlformats.org/officeDocument/2006/relationships/hyperlink" Target="https://my.zakupivli.pro/remote/dispatcher/state_purchase_view/45116943" TargetMode="External"/><Relationship Id="rId525" Type="http://schemas.openxmlformats.org/officeDocument/2006/relationships/hyperlink" Target="https://my.zakupivli.pro/remote/dispatcher/state_purchase_view/41034116" TargetMode="External"/><Relationship Id="rId567" Type="http://schemas.openxmlformats.org/officeDocument/2006/relationships/hyperlink" Target="https://my.zakupivli.pro/remote/dispatcher/state_purchase_view/39510841" TargetMode="External"/><Relationship Id="rId732" Type="http://schemas.openxmlformats.org/officeDocument/2006/relationships/hyperlink" Target="https://my.zakupivli.pro/remote/dispatcher/state_purchase_view/32583759" TargetMode="External"/><Relationship Id="rId99" Type="http://schemas.openxmlformats.org/officeDocument/2006/relationships/hyperlink" Target="https://my.zakupivli.pro/remote/dispatcher/state_purchase_view/51528528" TargetMode="External"/><Relationship Id="rId122" Type="http://schemas.openxmlformats.org/officeDocument/2006/relationships/hyperlink" Target="https://my.zakupivli.pro/remote/dispatcher/state_purchase_lot_view/1293621" TargetMode="External"/><Relationship Id="rId164" Type="http://schemas.openxmlformats.org/officeDocument/2006/relationships/hyperlink" Target="https://my.zakupivli.pro/remote/dispatcher/state_purchase_view/49698268" TargetMode="External"/><Relationship Id="rId371" Type="http://schemas.openxmlformats.org/officeDocument/2006/relationships/hyperlink" Target="https://my.zakupivli.pro/remote/dispatcher/state_purchase_view/43230960" TargetMode="External"/><Relationship Id="rId774" Type="http://schemas.openxmlformats.org/officeDocument/2006/relationships/hyperlink" Target="https://my.zakupivli.pro/remote/dispatcher/state_purchase_view/31437325" TargetMode="External"/><Relationship Id="rId427" Type="http://schemas.openxmlformats.org/officeDocument/2006/relationships/hyperlink" Target="https://my.zakupivli.pro/remote/dispatcher/state_purchase_view/42682772" TargetMode="External"/><Relationship Id="rId469" Type="http://schemas.openxmlformats.org/officeDocument/2006/relationships/hyperlink" Target="https://my.zakupivli.pro/remote/dispatcher/state_purchase_view/42397908" TargetMode="External"/><Relationship Id="rId634" Type="http://schemas.openxmlformats.org/officeDocument/2006/relationships/hyperlink" Target="https://my.zakupivli.pro/remote/dispatcher/state_purchase_view/37479535" TargetMode="External"/><Relationship Id="rId676" Type="http://schemas.openxmlformats.org/officeDocument/2006/relationships/hyperlink" Target="https://my.zakupivli.pro/remote/dispatcher/state_purchase_view/34430486" TargetMode="External"/><Relationship Id="rId841" Type="http://schemas.openxmlformats.org/officeDocument/2006/relationships/hyperlink" Target="https://auctions.prozorro.gov.ua/tenders/1eae87fb7ad6456b8e4ca71a80175635_537cedff6f1148be95054c346f78be0a" TargetMode="External"/><Relationship Id="rId883" Type="http://schemas.openxmlformats.org/officeDocument/2006/relationships/hyperlink" Target="https://my.zakupivli.pro/remote/dispatcher/state_purchase_lot_view/683868" TargetMode="External"/><Relationship Id="rId26" Type="http://schemas.openxmlformats.org/officeDocument/2006/relationships/hyperlink" Target="https://my.zakupivli.pro/remote/dispatcher/state_purchase_lot_view/1346246" TargetMode="External"/><Relationship Id="rId231" Type="http://schemas.openxmlformats.org/officeDocument/2006/relationships/hyperlink" Target="https://my.zakupivli.pro/remote/dispatcher/state_purchase_view/46968047" TargetMode="External"/><Relationship Id="rId273" Type="http://schemas.openxmlformats.org/officeDocument/2006/relationships/hyperlink" Target="https://my.zakupivli.pro/remote/dispatcher/state_purchase_view/46027652" TargetMode="External"/><Relationship Id="rId329" Type="http://schemas.openxmlformats.org/officeDocument/2006/relationships/hyperlink" Target="https://my.zakupivli.pro/remote/dispatcher/state_purchase_lot_view/1042185" TargetMode="External"/><Relationship Id="rId480" Type="http://schemas.openxmlformats.org/officeDocument/2006/relationships/hyperlink" Target="https://my.zakupivli.pro/remote/dispatcher/state_purchase_view/42349630" TargetMode="External"/><Relationship Id="rId536" Type="http://schemas.openxmlformats.org/officeDocument/2006/relationships/hyperlink" Target="https://my.zakupivli.pro/remote/dispatcher/state_purchase_view/40648708" TargetMode="External"/><Relationship Id="rId701" Type="http://schemas.openxmlformats.org/officeDocument/2006/relationships/hyperlink" Target="https://my.zakupivli.pro/remote/dispatcher/state_purchase_view/33020982" TargetMode="External"/><Relationship Id="rId939" Type="http://schemas.openxmlformats.org/officeDocument/2006/relationships/hyperlink" Target="https://my.zakupivli.pro/remote/dispatcher/state_purchase_view/28327184" TargetMode="External"/><Relationship Id="rId68" Type="http://schemas.openxmlformats.org/officeDocument/2006/relationships/hyperlink" Target="https://my.zakupivli.pro/remote/dispatcher/state_purchase_lot_view/1317856" TargetMode="External"/><Relationship Id="rId133" Type="http://schemas.openxmlformats.org/officeDocument/2006/relationships/hyperlink" Target="https://my.zakupivli.pro/remote/dispatcher/state_purchase_view/51116858" TargetMode="External"/><Relationship Id="rId175" Type="http://schemas.openxmlformats.org/officeDocument/2006/relationships/hyperlink" Target="https://my.zakupivli.pro/remote/dispatcher/state_purchase_view/49151604" TargetMode="External"/><Relationship Id="rId340" Type="http://schemas.openxmlformats.org/officeDocument/2006/relationships/hyperlink" Target="https://my.zakupivli.pro/remote/dispatcher/state_purchase_view/44592370" TargetMode="External"/><Relationship Id="rId578" Type="http://schemas.openxmlformats.org/officeDocument/2006/relationships/hyperlink" Target="https://my.zakupivli.pro/remote/dispatcher/state_purchase_view/38856999" TargetMode="External"/><Relationship Id="rId743" Type="http://schemas.openxmlformats.org/officeDocument/2006/relationships/hyperlink" Target="https://my.zakupivli.pro/remote/dispatcher/state_purchase_view/32206544" TargetMode="External"/><Relationship Id="rId785" Type="http://schemas.openxmlformats.org/officeDocument/2006/relationships/hyperlink" Target="https://auctions.prozorro.gov.ua/tenders/8c181f5efb40438aa1cb7fe00a00851d" TargetMode="External"/><Relationship Id="rId950" Type="http://schemas.openxmlformats.org/officeDocument/2006/relationships/hyperlink" Target="https://auction.openprocurement.org/tenders/6b74a53b712d437d9ec0653b49694595" TargetMode="External"/><Relationship Id="rId200" Type="http://schemas.openxmlformats.org/officeDocument/2006/relationships/hyperlink" Target="https://my.zakupivli.pro/remote/dispatcher/state_purchase_view/47960175" TargetMode="External"/><Relationship Id="rId382" Type="http://schemas.openxmlformats.org/officeDocument/2006/relationships/hyperlink" Target="https://my.zakupivli.pro/remote/dispatcher/state_purchase_lot_view/967308" TargetMode="External"/><Relationship Id="rId438" Type="http://schemas.openxmlformats.org/officeDocument/2006/relationships/hyperlink" Target="https://my.zakupivli.pro/remote/dispatcher/state_purchase_view/42630828" TargetMode="External"/><Relationship Id="rId603" Type="http://schemas.openxmlformats.org/officeDocument/2006/relationships/hyperlink" Target="https://my.zakupivli.pro/remote/dispatcher/state_purchase_view/38444399" TargetMode="External"/><Relationship Id="rId645" Type="http://schemas.openxmlformats.org/officeDocument/2006/relationships/hyperlink" Target="https://my.zakupivli.pro/remote/dispatcher/state_purchase_view/37357560" TargetMode="External"/><Relationship Id="rId687" Type="http://schemas.openxmlformats.org/officeDocument/2006/relationships/hyperlink" Target="https://my.zakupivli.pro/remote/dispatcher/state_purchase_view/33694507" TargetMode="External"/><Relationship Id="rId810" Type="http://schemas.openxmlformats.org/officeDocument/2006/relationships/hyperlink" Target="https://my.zakupivli.pro/remote/dispatcher/state_purchase_view/31065626" TargetMode="External"/><Relationship Id="rId852" Type="http://schemas.openxmlformats.org/officeDocument/2006/relationships/hyperlink" Target="https://my.zakupivli.pro/remote/dispatcher/state_purchase_view/29648240" TargetMode="External"/><Relationship Id="rId908" Type="http://schemas.openxmlformats.org/officeDocument/2006/relationships/hyperlink" Target="https://my.zakupivli.pro/remote/dispatcher/state_purchase_lot_view/683866" TargetMode="External"/><Relationship Id="rId242" Type="http://schemas.openxmlformats.org/officeDocument/2006/relationships/hyperlink" Target="https://my.zakupivli.pro/remote/dispatcher/state_purchase_lot_view/1110501" TargetMode="External"/><Relationship Id="rId284" Type="http://schemas.openxmlformats.org/officeDocument/2006/relationships/hyperlink" Target="https://my.zakupivli.pro/remote/dispatcher/state_purchase_view/45765036" TargetMode="External"/><Relationship Id="rId491" Type="http://schemas.openxmlformats.org/officeDocument/2006/relationships/hyperlink" Target="https://my.zakupivli.pro/remote/dispatcher/state_purchase_view/42110224" TargetMode="External"/><Relationship Id="rId505" Type="http://schemas.openxmlformats.org/officeDocument/2006/relationships/hyperlink" Target="https://my.zakupivli.pro/remote/dispatcher/state_purchase_view/41826578" TargetMode="External"/><Relationship Id="rId712" Type="http://schemas.openxmlformats.org/officeDocument/2006/relationships/hyperlink" Target="https://my.zakupivli.pro/remote/dispatcher/state_purchase_view/32648160" TargetMode="External"/><Relationship Id="rId894" Type="http://schemas.openxmlformats.org/officeDocument/2006/relationships/hyperlink" Target="https://my.zakupivli.pro/remote/dispatcher/state_purchase_view/29212113" TargetMode="External"/><Relationship Id="rId37" Type="http://schemas.openxmlformats.org/officeDocument/2006/relationships/hyperlink" Target="https://my.zakupivli.pro/remote/dispatcher/state_purchase_view/52178260" TargetMode="External"/><Relationship Id="rId79" Type="http://schemas.openxmlformats.org/officeDocument/2006/relationships/hyperlink" Target="https://my.zakupivli.pro/remote/dispatcher/state_purchase_view/51621953" TargetMode="External"/><Relationship Id="rId102" Type="http://schemas.openxmlformats.org/officeDocument/2006/relationships/hyperlink" Target="https://my.zakupivli.pro/remote/dispatcher/state_purchase_lot_view/1297389" TargetMode="External"/><Relationship Id="rId144" Type="http://schemas.openxmlformats.org/officeDocument/2006/relationships/hyperlink" Target="https://my.zakupivli.pro/remote/dispatcher/state_purchase_lot_view/1279157" TargetMode="External"/><Relationship Id="rId547" Type="http://schemas.openxmlformats.org/officeDocument/2006/relationships/hyperlink" Target="https://my.zakupivli.pro/remote/dispatcher/state_purchase_lot_view/837022" TargetMode="External"/><Relationship Id="rId589" Type="http://schemas.openxmlformats.org/officeDocument/2006/relationships/hyperlink" Target="https://my.zakupivli.pro/remote/dispatcher/state_purchase_view/38640404" TargetMode="External"/><Relationship Id="rId754" Type="http://schemas.openxmlformats.org/officeDocument/2006/relationships/hyperlink" Target="https://my.zakupivli.pro/remote/dispatcher/state_purchase_view/31839163" TargetMode="External"/><Relationship Id="rId796" Type="http://schemas.openxmlformats.org/officeDocument/2006/relationships/hyperlink" Target="https://my.zakupivli.pro/remote/dispatcher/state_purchase_view/31188740" TargetMode="External"/><Relationship Id="rId961" Type="http://schemas.openxmlformats.org/officeDocument/2006/relationships/hyperlink" Target="https://my.zakupivli.pro/remote/dispatcher/state_purchase_view/27326369" TargetMode="External"/><Relationship Id="rId90" Type="http://schemas.openxmlformats.org/officeDocument/2006/relationships/hyperlink" Target="https://my.zakupivli.pro/remote/dispatcher/state_purchase_lot_view/1309792" TargetMode="External"/><Relationship Id="rId186" Type="http://schemas.openxmlformats.org/officeDocument/2006/relationships/hyperlink" Target="https://my.zakupivli.pro/remote/dispatcher/state_purchase_view/48875107" TargetMode="External"/><Relationship Id="rId351" Type="http://schemas.openxmlformats.org/officeDocument/2006/relationships/hyperlink" Target="https://my.zakupivli.pro/remote/dispatcher/state_purchase_view/44049448" TargetMode="External"/><Relationship Id="rId393" Type="http://schemas.openxmlformats.org/officeDocument/2006/relationships/hyperlink" Target="https://my.zakupivli.pro/remote/dispatcher/state_purchase_view/42989651" TargetMode="External"/><Relationship Id="rId407" Type="http://schemas.openxmlformats.org/officeDocument/2006/relationships/hyperlink" Target="https://my.zakupivli.pro/remote/dispatcher/state_purchase_view/42822723" TargetMode="External"/><Relationship Id="rId449" Type="http://schemas.openxmlformats.org/officeDocument/2006/relationships/hyperlink" Target="https://my.zakupivli.pro/remote/dispatcher/state_purchase_lot_view/945770" TargetMode="External"/><Relationship Id="rId614" Type="http://schemas.openxmlformats.org/officeDocument/2006/relationships/hyperlink" Target="https://my.zakupivli.pro/remote/dispatcher/state_purchase_view/38363288" TargetMode="External"/><Relationship Id="rId656" Type="http://schemas.openxmlformats.org/officeDocument/2006/relationships/hyperlink" Target="https://my.zakupivli.pro/remote/dispatcher/state_purchase_view/36342908" TargetMode="External"/><Relationship Id="rId821" Type="http://schemas.openxmlformats.org/officeDocument/2006/relationships/hyperlink" Target="https://auctions.prozorro.gov.ua/tenders/1ac826c2f7274de69f047ab5b93846f1" TargetMode="External"/><Relationship Id="rId863" Type="http://schemas.openxmlformats.org/officeDocument/2006/relationships/hyperlink" Target="https://auctions.prozorro.gov.ua/tenders/60a2722523694db59c0ce6759cdd6e54" TargetMode="External"/><Relationship Id="rId211" Type="http://schemas.openxmlformats.org/officeDocument/2006/relationships/hyperlink" Target="https://my.zakupivli.pro/remote/dispatcher/state_purchase_view/47788476" TargetMode="External"/><Relationship Id="rId253" Type="http://schemas.openxmlformats.org/officeDocument/2006/relationships/hyperlink" Target="https://my.zakupivli.pro/remote/dispatcher/state_purchase_view/46494601" TargetMode="External"/><Relationship Id="rId295" Type="http://schemas.openxmlformats.org/officeDocument/2006/relationships/hyperlink" Target="https://my.zakupivli.pro/remote/dispatcher/state_purchase_lot_view/1054057" TargetMode="External"/><Relationship Id="rId309" Type="http://schemas.openxmlformats.org/officeDocument/2006/relationships/hyperlink" Target="https://my.zakupivli.pro/remote/dispatcher/state_purchase_lot_view/1047786" TargetMode="External"/><Relationship Id="rId460" Type="http://schemas.openxmlformats.org/officeDocument/2006/relationships/hyperlink" Target="https://my.zakupivli.pro/remote/dispatcher/state_purchase_view/42492582" TargetMode="External"/><Relationship Id="rId516" Type="http://schemas.openxmlformats.org/officeDocument/2006/relationships/hyperlink" Target="https://my.zakupivli.pro/remote/dispatcher/state_purchase_view/41268543" TargetMode="External"/><Relationship Id="rId698" Type="http://schemas.openxmlformats.org/officeDocument/2006/relationships/hyperlink" Target="https://my.zakupivli.pro/remote/dispatcher/state_purchase_view/33293514" TargetMode="External"/><Relationship Id="rId919" Type="http://schemas.openxmlformats.org/officeDocument/2006/relationships/hyperlink" Target="https://my.zakupivli.pro/remote/dispatcher/state_purchase_view/29162966" TargetMode="External"/><Relationship Id="rId48" Type="http://schemas.openxmlformats.org/officeDocument/2006/relationships/hyperlink" Target="https://my.zakupivli.pro/remote/dispatcher/state_purchase_lot_view/1334864" TargetMode="External"/><Relationship Id="rId113" Type="http://schemas.openxmlformats.org/officeDocument/2006/relationships/hyperlink" Target="https://my.zakupivli.pro/remote/dispatcher/state_purchase_view/51313126" TargetMode="External"/><Relationship Id="rId320" Type="http://schemas.openxmlformats.org/officeDocument/2006/relationships/hyperlink" Target="https://my.zakupivli.pro/remote/dispatcher/state_purchase_view/45115637" TargetMode="External"/><Relationship Id="rId558" Type="http://schemas.openxmlformats.org/officeDocument/2006/relationships/hyperlink" Target="https://my.zakupivli.pro/remote/dispatcher/state_purchase_view/39705920" TargetMode="External"/><Relationship Id="rId723" Type="http://schemas.openxmlformats.org/officeDocument/2006/relationships/hyperlink" Target="https://my.zakupivli.pro/remote/dispatcher/state_purchase_view/32582893" TargetMode="External"/><Relationship Id="rId765" Type="http://schemas.openxmlformats.org/officeDocument/2006/relationships/hyperlink" Target="https://my.zakupivli.pro/remote/dispatcher/state_purchase_view/31689400" TargetMode="External"/><Relationship Id="rId930" Type="http://schemas.openxmlformats.org/officeDocument/2006/relationships/hyperlink" Target="https://my.zakupivli.pro/remote/dispatcher/state_purchase_view/29156661" TargetMode="External"/><Relationship Id="rId155" Type="http://schemas.openxmlformats.org/officeDocument/2006/relationships/hyperlink" Target="https://my.zakupivli.pro/remote/dispatcher/state_purchase_view/50345062" TargetMode="External"/><Relationship Id="rId197" Type="http://schemas.openxmlformats.org/officeDocument/2006/relationships/hyperlink" Target="https://my.zakupivli.pro/remote/dispatcher/state_purchase_lot_view/1171064" TargetMode="External"/><Relationship Id="rId362" Type="http://schemas.openxmlformats.org/officeDocument/2006/relationships/hyperlink" Target="https://my.zakupivli.pro/remote/dispatcher/state_purchase_view/43426081" TargetMode="External"/><Relationship Id="rId418" Type="http://schemas.openxmlformats.org/officeDocument/2006/relationships/hyperlink" Target="https://my.zakupivli.pro/remote/dispatcher/state_purchase_view/42693204" TargetMode="External"/><Relationship Id="rId625" Type="http://schemas.openxmlformats.org/officeDocument/2006/relationships/hyperlink" Target="https://my.zakupivli.pro/remote/dispatcher/state_purchase_view/37738901" TargetMode="External"/><Relationship Id="rId832" Type="http://schemas.openxmlformats.org/officeDocument/2006/relationships/hyperlink" Target="https://my.zakupivli.pro/remote/dispatcher/state_purchase_lot_view/697423" TargetMode="External"/><Relationship Id="rId222" Type="http://schemas.openxmlformats.org/officeDocument/2006/relationships/hyperlink" Target="https://my.zakupivli.pro/remote/dispatcher/state_purchase_view/47318777" TargetMode="External"/><Relationship Id="rId264" Type="http://schemas.openxmlformats.org/officeDocument/2006/relationships/hyperlink" Target="https://my.zakupivli.pro/remote/dispatcher/state_purchase_view/46060839" TargetMode="External"/><Relationship Id="rId471" Type="http://schemas.openxmlformats.org/officeDocument/2006/relationships/hyperlink" Target="https://my.zakupivli.pro/remote/dispatcher/state_purchase_view/42405120" TargetMode="External"/><Relationship Id="rId667" Type="http://schemas.openxmlformats.org/officeDocument/2006/relationships/hyperlink" Target="https://my.zakupivli.pro/remote/dispatcher/state_purchase_view/34985478" TargetMode="External"/><Relationship Id="rId874" Type="http://schemas.openxmlformats.org/officeDocument/2006/relationships/hyperlink" Target="https://my.zakupivli.pro/remote/dispatcher/state_purchase_view/29387139" TargetMode="External"/><Relationship Id="rId17" Type="http://schemas.openxmlformats.org/officeDocument/2006/relationships/hyperlink" Target="https://my.zakupivli.pro/remote/dispatcher/state_purchase_lot_view/1348006" TargetMode="External"/><Relationship Id="rId59" Type="http://schemas.openxmlformats.org/officeDocument/2006/relationships/hyperlink" Target="https://my.zakupivli.pro/remote/dispatcher/state_purchase_view/52071498" TargetMode="External"/><Relationship Id="rId124" Type="http://schemas.openxmlformats.org/officeDocument/2006/relationships/hyperlink" Target="https://my.zakupivli.pro/remote/dispatcher/state_purchase_lot_view/1289927" TargetMode="External"/><Relationship Id="rId527" Type="http://schemas.openxmlformats.org/officeDocument/2006/relationships/hyperlink" Target="https://my.zakupivli.pro/remote/dispatcher/state_purchase_view/40932830" TargetMode="External"/><Relationship Id="rId569" Type="http://schemas.openxmlformats.org/officeDocument/2006/relationships/hyperlink" Target="https://my.zakupivli.pro/remote/dispatcher/state_purchase_view/39301710" TargetMode="External"/><Relationship Id="rId734" Type="http://schemas.openxmlformats.org/officeDocument/2006/relationships/hyperlink" Target="https://my.zakupivli.pro/remote/dispatcher/state_purchase_view/32583514" TargetMode="External"/><Relationship Id="rId776" Type="http://schemas.openxmlformats.org/officeDocument/2006/relationships/hyperlink" Target="https://my.zakupivli.pro/remote/dispatcher/state_purchase_view/31356484" TargetMode="External"/><Relationship Id="rId941" Type="http://schemas.openxmlformats.org/officeDocument/2006/relationships/hyperlink" Target="https://my.zakupivli.pro/remote/dispatcher/state_purchase_lot_view/672646" TargetMode="External"/><Relationship Id="rId70" Type="http://schemas.openxmlformats.org/officeDocument/2006/relationships/hyperlink" Target="https://my.zakupivli.pro/remote/dispatcher/state_purchase_lot_view/1317714" TargetMode="External"/><Relationship Id="rId166" Type="http://schemas.openxmlformats.org/officeDocument/2006/relationships/hyperlink" Target="https://my.zakupivli.pro/remote/dispatcher/state_purchase_lot_view/1218584" TargetMode="External"/><Relationship Id="rId331" Type="http://schemas.openxmlformats.org/officeDocument/2006/relationships/hyperlink" Target="https://my.zakupivli.pro/remote/dispatcher/state_purchase_lot_view/1042214" TargetMode="External"/><Relationship Id="rId373" Type="http://schemas.openxmlformats.org/officeDocument/2006/relationships/hyperlink" Target="https://my.zakupivli.pro/remote/dispatcher/state_purchase_view/43230712" TargetMode="External"/><Relationship Id="rId429" Type="http://schemas.openxmlformats.org/officeDocument/2006/relationships/hyperlink" Target="https://my.zakupivli.pro/remote/dispatcher/state_purchase_view/42682083" TargetMode="External"/><Relationship Id="rId580" Type="http://schemas.openxmlformats.org/officeDocument/2006/relationships/hyperlink" Target="https://my.zakupivli.pro/remote/dispatcher/state_purchase_view/38768636" TargetMode="External"/><Relationship Id="rId636" Type="http://schemas.openxmlformats.org/officeDocument/2006/relationships/hyperlink" Target="https://my.zakupivli.pro/remote/dispatcher/state_purchase_view/37358596" TargetMode="External"/><Relationship Id="rId801" Type="http://schemas.openxmlformats.org/officeDocument/2006/relationships/hyperlink" Target="https://my.zakupivli.pro/remote/dispatcher/state_purchase_view/31183652" TargetMode="External"/><Relationship Id="rId1" Type="http://schemas.openxmlformats.org/officeDocument/2006/relationships/hyperlink" Target="mailto:report-feedback@zakupivli.pro" TargetMode="External"/><Relationship Id="rId233" Type="http://schemas.openxmlformats.org/officeDocument/2006/relationships/hyperlink" Target="https://my.zakupivli.pro/remote/dispatcher/state_purchase_view/46902922" TargetMode="External"/><Relationship Id="rId440" Type="http://schemas.openxmlformats.org/officeDocument/2006/relationships/hyperlink" Target="https://my.zakupivli.pro/remote/dispatcher/state_purchase_view/42630203" TargetMode="External"/><Relationship Id="rId678" Type="http://schemas.openxmlformats.org/officeDocument/2006/relationships/hyperlink" Target="https://my.zakupivli.pro/remote/dispatcher/state_purchase_view/34430467" TargetMode="External"/><Relationship Id="rId843" Type="http://schemas.openxmlformats.org/officeDocument/2006/relationships/hyperlink" Target="https://auctions.prozorro.gov.ua/tenders/c94f7856afcf4dfcbb17a92f7f6f6adf" TargetMode="External"/><Relationship Id="rId885" Type="http://schemas.openxmlformats.org/officeDocument/2006/relationships/hyperlink" Target="https://my.zakupivli.pro/remote/dispatcher/state_purchase_view/29212113" TargetMode="External"/><Relationship Id="rId28" Type="http://schemas.openxmlformats.org/officeDocument/2006/relationships/hyperlink" Target="https://my.zakupivli.pro/remote/dispatcher/state_purchase_lot_view/1345946" TargetMode="External"/><Relationship Id="rId275" Type="http://schemas.openxmlformats.org/officeDocument/2006/relationships/hyperlink" Target="https://my.zakupivli.pro/remote/dispatcher/state_purchase_view/46027395" TargetMode="External"/><Relationship Id="rId300" Type="http://schemas.openxmlformats.org/officeDocument/2006/relationships/hyperlink" Target="https://my.zakupivli.pro/remote/dispatcher/state_purchase_view/45252951" TargetMode="External"/><Relationship Id="rId482" Type="http://schemas.openxmlformats.org/officeDocument/2006/relationships/hyperlink" Target="https://my.zakupivli.pro/remote/dispatcher/state_purchase_view/42345973" TargetMode="External"/><Relationship Id="rId538" Type="http://schemas.openxmlformats.org/officeDocument/2006/relationships/hyperlink" Target="https://my.zakupivli.pro/remote/dispatcher/state_purchase_view/40648342" TargetMode="External"/><Relationship Id="rId703" Type="http://schemas.openxmlformats.org/officeDocument/2006/relationships/hyperlink" Target="https://my.zakupivli.pro/remote/dispatcher/state_purchase_view/32868861" TargetMode="External"/><Relationship Id="rId745" Type="http://schemas.openxmlformats.org/officeDocument/2006/relationships/hyperlink" Target="https://my.zakupivli.pro/remote/dispatcher/state_purchase_view/32248038" TargetMode="External"/><Relationship Id="rId910" Type="http://schemas.openxmlformats.org/officeDocument/2006/relationships/hyperlink" Target="https://my.zakupivli.pro/remote/dispatcher/state_purchase_view/29212113" TargetMode="External"/><Relationship Id="rId952" Type="http://schemas.openxmlformats.org/officeDocument/2006/relationships/hyperlink" Target="https://my.zakupivli.pro/remote/dispatcher/state_purchase_lot_view/668016" TargetMode="External"/><Relationship Id="rId81" Type="http://schemas.openxmlformats.org/officeDocument/2006/relationships/hyperlink" Target="https://my.zakupivli.pro/remote/dispatcher/state_purchase_view/51618817" TargetMode="External"/><Relationship Id="rId135" Type="http://schemas.openxmlformats.org/officeDocument/2006/relationships/hyperlink" Target="https://my.zakupivli.pro/remote/dispatcher/state_purchase_view/51117353" TargetMode="External"/><Relationship Id="rId177" Type="http://schemas.openxmlformats.org/officeDocument/2006/relationships/hyperlink" Target="https://my.zakupivli.pro/remote/dispatcher/state_purchase_view/49015454" TargetMode="External"/><Relationship Id="rId342" Type="http://schemas.openxmlformats.org/officeDocument/2006/relationships/hyperlink" Target="https://my.zakupivli.pro/remote/dispatcher/state_purchase_view/44595387" TargetMode="External"/><Relationship Id="rId384" Type="http://schemas.openxmlformats.org/officeDocument/2006/relationships/hyperlink" Target="https://my.zakupivli.pro/remote/dispatcher/state_purchase_view/43158699" TargetMode="External"/><Relationship Id="rId591" Type="http://schemas.openxmlformats.org/officeDocument/2006/relationships/hyperlink" Target="https://my.zakupivli.pro/remote/dispatcher/state_purchase_view/38640375" TargetMode="External"/><Relationship Id="rId605" Type="http://schemas.openxmlformats.org/officeDocument/2006/relationships/hyperlink" Target="https://my.zakupivli.pro/remote/dispatcher/state_purchase_view/38457473" TargetMode="External"/><Relationship Id="rId787" Type="http://schemas.openxmlformats.org/officeDocument/2006/relationships/hyperlink" Target="https://my.zakupivli.pro/remote/dispatcher/state_purchase_view/31220418" TargetMode="External"/><Relationship Id="rId812" Type="http://schemas.openxmlformats.org/officeDocument/2006/relationships/hyperlink" Target="https://my.zakupivli.pro/remote/dispatcher/state_purchase_view/31042495" TargetMode="External"/><Relationship Id="rId202" Type="http://schemas.openxmlformats.org/officeDocument/2006/relationships/hyperlink" Target="https://my.zakupivli.pro/remote/dispatcher/state_purchase_view/47956201" TargetMode="External"/><Relationship Id="rId244" Type="http://schemas.openxmlformats.org/officeDocument/2006/relationships/hyperlink" Target="https://my.zakupivli.pro/remote/dispatcher/state_purchase_lot_view/1110443" TargetMode="External"/><Relationship Id="rId647" Type="http://schemas.openxmlformats.org/officeDocument/2006/relationships/hyperlink" Target="https://my.zakupivli.pro/remote/dispatcher/state_purchase_view/37235138" TargetMode="External"/><Relationship Id="rId689" Type="http://schemas.openxmlformats.org/officeDocument/2006/relationships/hyperlink" Target="https://my.zakupivli.pro/remote/dispatcher/state_purchase_view/33587473" TargetMode="External"/><Relationship Id="rId854" Type="http://schemas.openxmlformats.org/officeDocument/2006/relationships/hyperlink" Target="https://my.zakupivli.pro/remote/dispatcher/state_purchase_view/29627335" TargetMode="External"/><Relationship Id="rId896" Type="http://schemas.openxmlformats.org/officeDocument/2006/relationships/hyperlink" Target="https://auctions.prozorro.gov.ua/tenders/75c2a57a0ecd4770985d0788f044c47b_cf6c0e04cb8d4675a3f4dc64fc8bc15f" TargetMode="External"/><Relationship Id="rId39" Type="http://schemas.openxmlformats.org/officeDocument/2006/relationships/hyperlink" Target="https://my.zakupivli.pro/remote/dispatcher/state_purchase_view/52166985" TargetMode="External"/><Relationship Id="rId286" Type="http://schemas.openxmlformats.org/officeDocument/2006/relationships/hyperlink" Target="https://my.zakupivli.pro/remote/dispatcher/state_purchase_view/45730271" TargetMode="External"/><Relationship Id="rId451" Type="http://schemas.openxmlformats.org/officeDocument/2006/relationships/hyperlink" Target="https://my.zakupivli.pro/remote/dispatcher/state_purchase_view/42562164" TargetMode="External"/><Relationship Id="rId493" Type="http://schemas.openxmlformats.org/officeDocument/2006/relationships/hyperlink" Target="https://my.zakupivli.pro/remote/dispatcher/state_purchase_view/42110057" TargetMode="External"/><Relationship Id="rId507" Type="http://schemas.openxmlformats.org/officeDocument/2006/relationships/hyperlink" Target="https://my.zakupivli.pro/remote/dispatcher/state_purchase_view/41825889" TargetMode="External"/><Relationship Id="rId549" Type="http://schemas.openxmlformats.org/officeDocument/2006/relationships/hyperlink" Target="https://my.zakupivli.pro/remote/dispatcher/state_purchase_view/39789670" TargetMode="External"/><Relationship Id="rId714" Type="http://schemas.openxmlformats.org/officeDocument/2006/relationships/hyperlink" Target="https://auctions.prozorro.gov.ua/tenders/e640c33394244180b74be75a4389044d" TargetMode="External"/><Relationship Id="rId756" Type="http://schemas.openxmlformats.org/officeDocument/2006/relationships/hyperlink" Target="https://auctions.prozorro.gov.ua/tenders/6ab26371154947c09b380c973871c588" TargetMode="External"/><Relationship Id="rId921" Type="http://schemas.openxmlformats.org/officeDocument/2006/relationships/hyperlink" Target="https://my.zakupivli.pro/remote/dispatcher/state_purchase_lot_view/683562" TargetMode="External"/><Relationship Id="rId50" Type="http://schemas.openxmlformats.org/officeDocument/2006/relationships/hyperlink" Target="https://my.zakupivli.pro/remote/dispatcher/state_purchase_lot_view/1335251" TargetMode="External"/><Relationship Id="rId104" Type="http://schemas.openxmlformats.org/officeDocument/2006/relationships/hyperlink" Target="https://my.zakupivli.pro/remote/dispatcher/state_purchase_lot_view/1297138" TargetMode="External"/><Relationship Id="rId146" Type="http://schemas.openxmlformats.org/officeDocument/2006/relationships/hyperlink" Target="https://my.zakupivli.pro/remote/dispatcher/state_purchase_lot_view/1279339" TargetMode="External"/><Relationship Id="rId188" Type="http://schemas.openxmlformats.org/officeDocument/2006/relationships/hyperlink" Target="https://my.zakupivli.pro/remote/dispatcher/state_purchase_view/48778927" TargetMode="External"/><Relationship Id="rId311" Type="http://schemas.openxmlformats.org/officeDocument/2006/relationships/hyperlink" Target="https://my.zakupivli.pro/remote/dispatcher/state_purchase_lot_view/1047847" TargetMode="External"/><Relationship Id="rId353" Type="http://schemas.openxmlformats.org/officeDocument/2006/relationships/hyperlink" Target="https://my.zakupivli.pro/remote/dispatcher/state_purchase_view/43929492" TargetMode="External"/><Relationship Id="rId395" Type="http://schemas.openxmlformats.org/officeDocument/2006/relationships/hyperlink" Target="https://my.zakupivli.pro/remote/dispatcher/state_purchase_view/42990241" TargetMode="External"/><Relationship Id="rId409" Type="http://schemas.openxmlformats.org/officeDocument/2006/relationships/hyperlink" Target="https://my.zakupivli.pro/remote/dispatcher/state_purchase_view/42822083" TargetMode="External"/><Relationship Id="rId560" Type="http://schemas.openxmlformats.org/officeDocument/2006/relationships/hyperlink" Target="https://my.zakupivli.pro/remote/dispatcher/state_purchase_view/39697115" TargetMode="External"/><Relationship Id="rId798" Type="http://schemas.openxmlformats.org/officeDocument/2006/relationships/hyperlink" Target="https://auctions.prozorro.gov.ua/tenders/ecd56bd707784eb88bf3ad6484c896e8" TargetMode="External"/><Relationship Id="rId963" Type="http://schemas.openxmlformats.org/officeDocument/2006/relationships/hyperlink" Target="https://auctions.prozorro.gov.ua/tenders/5211143ae18d4bc4a83d208d61f3a3a8" TargetMode="External"/><Relationship Id="rId92" Type="http://schemas.openxmlformats.org/officeDocument/2006/relationships/hyperlink" Target="https://my.zakupivli.pro/remote/dispatcher/state_purchase_view/51591720" TargetMode="External"/><Relationship Id="rId213" Type="http://schemas.openxmlformats.org/officeDocument/2006/relationships/hyperlink" Target="https://my.zakupivli.pro/remote/dispatcher/state_purchase_view/47691330" TargetMode="External"/><Relationship Id="rId420" Type="http://schemas.openxmlformats.org/officeDocument/2006/relationships/hyperlink" Target="https://my.zakupivli.pro/remote/dispatcher/state_purchase_view/42688982" TargetMode="External"/><Relationship Id="rId616" Type="http://schemas.openxmlformats.org/officeDocument/2006/relationships/hyperlink" Target="https://my.zakupivli.pro/remote/dispatcher/state_purchase_lot_view/775689" TargetMode="External"/><Relationship Id="rId658" Type="http://schemas.openxmlformats.org/officeDocument/2006/relationships/hyperlink" Target="https://my.zakupivli.pro/remote/dispatcher/state_purchase_view/36246603" TargetMode="External"/><Relationship Id="rId823" Type="http://schemas.openxmlformats.org/officeDocument/2006/relationships/hyperlink" Target="https://my.zakupivli.pro/remote/dispatcher/state_purchase_view/30836929" TargetMode="External"/><Relationship Id="rId865" Type="http://schemas.openxmlformats.org/officeDocument/2006/relationships/hyperlink" Target="https://my.zakupivli.pro/remote/dispatcher/state_purchase_lot_view/688436" TargetMode="External"/><Relationship Id="rId255" Type="http://schemas.openxmlformats.org/officeDocument/2006/relationships/hyperlink" Target="https://my.zakupivli.pro/remote/dispatcher/state_purchase_view/46498252" TargetMode="External"/><Relationship Id="rId297" Type="http://schemas.openxmlformats.org/officeDocument/2006/relationships/hyperlink" Target="https://my.zakupivli.pro/remote/dispatcher/state_purchase_view/45264483" TargetMode="External"/><Relationship Id="rId462" Type="http://schemas.openxmlformats.org/officeDocument/2006/relationships/hyperlink" Target="https://my.zakupivli.pro/remote/dispatcher/state_purchase_view/42402489" TargetMode="External"/><Relationship Id="rId518" Type="http://schemas.openxmlformats.org/officeDocument/2006/relationships/hyperlink" Target="https://my.zakupivli.pro/remote/dispatcher/state_purchase_view/41268294" TargetMode="External"/><Relationship Id="rId725" Type="http://schemas.openxmlformats.org/officeDocument/2006/relationships/hyperlink" Target="https://my.zakupivli.pro/remote/dispatcher/state_purchase_view/32582659" TargetMode="External"/><Relationship Id="rId932" Type="http://schemas.openxmlformats.org/officeDocument/2006/relationships/hyperlink" Target="https://my.zakupivli.pro/remote/dispatcher/state_purchase_view/29154861" TargetMode="External"/><Relationship Id="rId115" Type="http://schemas.openxmlformats.org/officeDocument/2006/relationships/hyperlink" Target="https://my.zakupivli.pro/remote/dispatcher/state_purchase_view/51313295" TargetMode="External"/><Relationship Id="rId157" Type="http://schemas.openxmlformats.org/officeDocument/2006/relationships/hyperlink" Target="https://my.zakupivli.pro/remote/dispatcher/state_purchase_view/50312590" TargetMode="External"/><Relationship Id="rId322" Type="http://schemas.openxmlformats.org/officeDocument/2006/relationships/hyperlink" Target="https://my.zakupivli.pro/remote/dispatcher/state_purchase_view/45092356" TargetMode="External"/><Relationship Id="rId364" Type="http://schemas.openxmlformats.org/officeDocument/2006/relationships/hyperlink" Target="https://my.zakupivli.pro/remote/dispatcher/state_purchase_view/43427664" TargetMode="External"/><Relationship Id="rId767" Type="http://schemas.openxmlformats.org/officeDocument/2006/relationships/hyperlink" Target="https://my.zakupivli.pro/remote/dispatcher/state_purchase_view/31605047" TargetMode="External"/><Relationship Id="rId61" Type="http://schemas.openxmlformats.org/officeDocument/2006/relationships/hyperlink" Target="https://my.zakupivli.pro/remote/dispatcher/state_purchase_view/52012825" TargetMode="External"/><Relationship Id="rId199" Type="http://schemas.openxmlformats.org/officeDocument/2006/relationships/hyperlink" Target="https://my.zakupivli.pro/remote/dispatcher/state_purchase_view/47947834" TargetMode="External"/><Relationship Id="rId571" Type="http://schemas.openxmlformats.org/officeDocument/2006/relationships/hyperlink" Target="https://my.zakupivli.pro/remote/dispatcher/state_purchase_view/39165160" TargetMode="External"/><Relationship Id="rId627" Type="http://schemas.openxmlformats.org/officeDocument/2006/relationships/hyperlink" Target="https://my.zakupivli.pro/remote/dispatcher/state_purchase_view/37514958" TargetMode="External"/><Relationship Id="rId669" Type="http://schemas.openxmlformats.org/officeDocument/2006/relationships/hyperlink" Target="https://my.zakupivli.pro/remote/dispatcher/state_purchase_view/34790280" TargetMode="External"/><Relationship Id="rId834" Type="http://schemas.openxmlformats.org/officeDocument/2006/relationships/hyperlink" Target="https://my.zakupivli.pro/remote/dispatcher/state_purchase_view/30681852" TargetMode="External"/><Relationship Id="rId876" Type="http://schemas.openxmlformats.org/officeDocument/2006/relationships/hyperlink" Target="https://my.zakupivli.pro/remote/dispatcher/state_purchase_view/29212113" TargetMode="External"/><Relationship Id="rId19" Type="http://schemas.openxmlformats.org/officeDocument/2006/relationships/hyperlink" Target="https://my.zakupivli.pro/remote/dispatcher/state_purchase_lot_view/1347951" TargetMode="External"/><Relationship Id="rId224" Type="http://schemas.openxmlformats.org/officeDocument/2006/relationships/hyperlink" Target="https://my.zakupivli.pro/remote/dispatcher/state_purchase_view/47318318" TargetMode="External"/><Relationship Id="rId266" Type="http://schemas.openxmlformats.org/officeDocument/2006/relationships/hyperlink" Target="https://my.zakupivli.pro/remote/dispatcher/state_purchase_view/46054931" TargetMode="External"/><Relationship Id="rId431" Type="http://schemas.openxmlformats.org/officeDocument/2006/relationships/hyperlink" Target="https://my.zakupivli.pro/remote/dispatcher/state_purchase_view/42664261" TargetMode="External"/><Relationship Id="rId473" Type="http://schemas.openxmlformats.org/officeDocument/2006/relationships/hyperlink" Target="https://my.zakupivli.pro/remote/dispatcher/state_purchase_view/42404147" TargetMode="External"/><Relationship Id="rId529" Type="http://schemas.openxmlformats.org/officeDocument/2006/relationships/hyperlink" Target="https://my.zakupivli.pro/remote/dispatcher/state_purchase_view/40853405" TargetMode="External"/><Relationship Id="rId680" Type="http://schemas.openxmlformats.org/officeDocument/2006/relationships/hyperlink" Target="https://my.zakupivli.pro/remote/dispatcher/state_purchase_view/34362521" TargetMode="External"/><Relationship Id="rId736" Type="http://schemas.openxmlformats.org/officeDocument/2006/relationships/hyperlink" Target="https://my.zakupivli.pro/remote/dispatcher/state_purchase_view/32341872" TargetMode="External"/><Relationship Id="rId901" Type="http://schemas.openxmlformats.org/officeDocument/2006/relationships/hyperlink" Target="https://my.zakupivli.pro/remote/dispatcher/state_purchase_lot_view/683876" TargetMode="External"/><Relationship Id="rId30" Type="http://schemas.openxmlformats.org/officeDocument/2006/relationships/hyperlink" Target="https://my.zakupivli.pro/remote/dispatcher/state_purchase_lot_view/1344608" TargetMode="External"/><Relationship Id="rId126" Type="http://schemas.openxmlformats.org/officeDocument/2006/relationships/hyperlink" Target="https://my.zakupivli.pro/remote/dispatcher/state_purchase_lot_view/1289180" TargetMode="External"/><Relationship Id="rId168" Type="http://schemas.openxmlformats.org/officeDocument/2006/relationships/hyperlink" Target="https://my.zakupivli.pro/remote/dispatcher/state_purchase_view/49451305" TargetMode="External"/><Relationship Id="rId333" Type="http://schemas.openxmlformats.org/officeDocument/2006/relationships/hyperlink" Target="https://my.zakupivli.pro/remote/dispatcher/state_purchase_lot_view/1042270" TargetMode="External"/><Relationship Id="rId540" Type="http://schemas.openxmlformats.org/officeDocument/2006/relationships/hyperlink" Target="https://my.zakupivli.pro/remote/dispatcher/state_purchase_view/40512237" TargetMode="External"/><Relationship Id="rId778" Type="http://schemas.openxmlformats.org/officeDocument/2006/relationships/hyperlink" Target="https://auctions.prozorro.gov.ua/tenders/5420252f3d4248fa8e0af41814ceb84a_537cedff6f1148be95054c346f78be0a" TargetMode="External"/><Relationship Id="rId943" Type="http://schemas.openxmlformats.org/officeDocument/2006/relationships/hyperlink" Target="https://my.zakupivli.pro/remote/dispatcher/state_purchase_view/28122680" TargetMode="External"/><Relationship Id="rId72" Type="http://schemas.openxmlformats.org/officeDocument/2006/relationships/hyperlink" Target="https://my.zakupivli.pro/remote/dispatcher/state_purchase_view/51761295" TargetMode="External"/><Relationship Id="rId375" Type="http://schemas.openxmlformats.org/officeDocument/2006/relationships/hyperlink" Target="https://my.zakupivli.pro/remote/dispatcher/state_purchase_view/43230513" TargetMode="External"/><Relationship Id="rId582" Type="http://schemas.openxmlformats.org/officeDocument/2006/relationships/hyperlink" Target="https://my.zakupivli.pro/remote/dispatcher/state_purchase_view/38720854" TargetMode="External"/><Relationship Id="rId638" Type="http://schemas.openxmlformats.org/officeDocument/2006/relationships/hyperlink" Target="https://my.zakupivli.pro/remote/dispatcher/state_purchase_view/37358379" TargetMode="External"/><Relationship Id="rId803" Type="http://schemas.openxmlformats.org/officeDocument/2006/relationships/hyperlink" Target="https://my.zakupivli.pro/remote/dispatcher/state_purchase_view/31177635" TargetMode="External"/><Relationship Id="rId845" Type="http://schemas.openxmlformats.org/officeDocument/2006/relationships/hyperlink" Target="https://auctions.prozorro.gov.ua/tenders/1eb1bd008c634e399b70dfb6d1299631" TargetMode="External"/><Relationship Id="rId3" Type="http://schemas.openxmlformats.org/officeDocument/2006/relationships/hyperlink" Target="https://my.zakupivli.pro/remote/dispatcher/state_purchase_view/52699920" TargetMode="External"/><Relationship Id="rId235" Type="http://schemas.openxmlformats.org/officeDocument/2006/relationships/hyperlink" Target="https://my.zakupivli.pro/remote/dispatcher/state_purchase_view/46897644" TargetMode="External"/><Relationship Id="rId277" Type="http://schemas.openxmlformats.org/officeDocument/2006/relationships/hyperlink" Target="https://my.zakupivli.pro/remote/dispatcher/state_purchase_view/46027318" TargetMode="External"/><Relationship Id="rId400" Type="http://schemas.openxmlformats.org/officeDocument/2006/relationships/hyperlink" Target="https://my.zakupivli.pro/remote/dispatcher/state_purchase_view/42900763" TargetMode="External"/><Relationship Id="rId442" Type="http://schemas.openxmlformats.org/officeDocument/2006/relationships/hyperlink" Target="https://my.zakupivli.pro/remote/dispatcher/state_purchase_view/42628319" TargetMode="External"/><Relationship Id="rId484" Type="http://schemas.openxmlformats.org/officeDocument/2006/relationships/hyperlink" Target="https://my.zakupivli.pro/remote/dispatcher/state_purchase_view/42352720" TargetMode="External"/><Relationship Id="rId705" Type="http://schemas.openxmlformats.org/officeDocument/2006/relationships/hyperlink" Target="https://my.zakupivli.pro/remote/dispatcher/state_purchase_view/32861864" TargetMode="External"/><Relationship Id="rId887" Type="http://schemas.openxmlformats.org/officeDocument/2006/relationships/hyperlink" Target="https://auctions.prozorro.gov.ua/tenders/75c2a57a0ecd4770985d0788f044c47b_5c5cd693e6e0461bb426bb170159fa71" TargetMode="External"/><Relationship Id="rId137" Type="http://schemas.openxmlformats.org/officeDocument/2006/relationships/hyperlink" Target="https://my.zakupivli.pro/remote/dispatcher/state_purchase_view/51117614" TargetMode="External"/><Relationship Id="rId302" Type="http://schemas.openxmlformats.org/officeDocument/2006/relationships/hyperlink" Target="https://my.zakupivli.pro/remote/dispatcher/state_purchase_view/45253970" TargetMode="External"/><Relationship Id="rId344" Type="http://schemas.openxmlformats.org/officeDocument/2006/relationships/hyperlink" Target="https://my.zakupivli.pro/remote/dispatcher/state_purchase_view/44594819" TargetMode="External"/><Relationship Id="rId691" Type="http://schemas.openxmlformats.org/officeDocument/2006/relationships/hyperlink" Target="https://my.zakupivli.pro/remote/dispatcher/state_purchase_view/33550210" TargetMode="External"/><Relationship Id="rId747" Type="http://schemas.openxmlformats.org/officeDocument/2006/relationships/hyperlink" Target="https://my.zakupivli.pro/remote/dispatcher/state_purchase_view/32076733" TargetMode="External"/><Relationship Id="rId789" Type="http://schemas.openxmlformats.org/officeDocument/2006/relationships/hyperlink" Target="https://my.zakupivli.pro/remote/dispatcher/state_purchase_view/31186490" TargetMode="External"/><Relationship Id="rId912" Type="http://schemas.openxmlformats.org/officeDocument/2006/relationships/hyperlink" Target="https://auctions.prozorro.gov.ua/tenders/75c2a57a0ecd4770985d0788f044c47b_519f6208beff4829ac61d2b78fdd7a8a" TargetMode="External"/><Relationship Id="rId954" Type="http://schemas.openxmlformats.org/officeDocument/2006/relationships/hyperlink" Target="https://my.zakupivli.pro/remote/dispatcher/state_purchase_view/27635809" TargetMode="External"/><Relationship Id="rId41" Type="http://schemas.openxmlformats.org/officeDocument/2006/relationships/hyperlink" Target="https://my.zakupivli.pro/remote/dispatcher/state_purchase_view/52168431" TargetMode="External"/><Relationship Id="rId83" Type="http://schemas.openxmlformats.org/officeDocument/2006/relationships/hyperlink" Target="https://my.zakupivli.pro/remote/dispatcher/state_purchase_view/51620389" TargetMode="External"/><Relationship Id="rId179" Type="http://schemas.openxmlformats.org/officeDocument/2006/relationships/hyperlink" Target="https://my.zakupivli.pro/remote/dispatcher/state_purchase_view/49009480" TargetMode="External"/><Relationship Id="rId386" Type="http://schemas.openxmlformats.org/officeDocument/2006/relationships/hyperlink" Target="https://my.zakupivli.pro/remote/dispatcher/state_purchase_view/43156157" TargetMode="External"/><Relationship Id="rId551" Type="http://schemas.openxmlformats.org/officeDocument/2006/relationships/hyperlink" Target="https://my.zakupivli.pro/remote/dispatcher/state_purchase_view/39761460" TargetMode="External"/><Relationship Id="rId593" Type="http://schemas.openxmlformats.org/officeDocument/2006/relationships/hyperlink" Target="https://my.zakupivli.pro/remote/dispatcher/state_purchase_view/38637521" TargetMode="External"/><Relationship Id="rId607" Type="http://schemas.openxmlformats.org/officeDocument/2006/relationships/hyperlink" Target="https://my.zakupivli.pro/remote/dispatcher/state_purchase_view/38456797" TargetMode="External"/><Relationship Id="rId649" Type="http://schemas.openxmlformats.org/officeDocument/2006/relationships/hyperlink" Target="https://my.zakupivli.pro/remote/dispatcher/state_purchase_view/36992885" TargetMode="External"/><Relationship Id="rId814" Type="http://schemas.openxmlformats.org/officeDocument/2006/relationships/hyperlink" Target="https://my.zakupivli.pro/remote/dispatcher/state_purchase_view/31024146" TargetMode="External"/><Relationship Id="rId856" Type="http://schemas.openxmlformats.org/officeDocument/2006/relationships/hyperlink" Target="https://my.zakupivli.pro/remote/dispatcher/state_purchase_view/29626884" TargetMode="External"/><Relationship Id="rId190" Type="http://schemas.openxmlformats.org/officeDocument/2006/relationships/hyperlink" Target="https://my.zakupivli.pro/remote/dispatcher/state_purchase_view/48759409" TargetMode="External"/><Relationship Id="rId204" Type="http://schemas.openxmlformats.org/officeDocument/2006/relationships/hyperlink" Target="https://my.zakupivli.pro/remote/dispatcher/state_purchase_view/47911056" TargetMode="External"/><Relationship Id="rId246" Type="http://schemas.openxmlformats.org/officeDocument/2006/relationships/hyperlink" Target="https://my.zakupivli.pro/remote/dispatcher/state_purchase_view/46697342" TargetMode="External"/><Relationship Id="rId288" Type="http://schemas.openxmlformats.org/officeDocument/2006/relationships/hyperlink" Target="https://my.zakupivli.pro/remote/dispatcher/state_purchase_view/45727079" TargetMode="External"/><Relationship Id="rId411" Type="http://schemas.openxmlformats.org/officeDocument/2006/relationships/hyperlink" Target="https://my.zakupivli.pro/remote/dispatcher/state_purchase_view/42817344" TargetMode="External"/><Relationship Id="rId453" Type="http://schemas.openxmlformats.org/officeDocument/2006/relationships/hyperlink" Target="https://my.zakupivli.pro/remote/dispatcher/state_purchase_view/42562698" TargetMode="External"/><Relationship Id="rId509" Type="http://schemas.openxmlformats.org/officeDocument/2006/relationships/hyperlink" Target="https://my.zakupivli.pro/remote/dispatcher/state_purchase_lot_view/908969" TargetMode="External"/><Relationship Id="rId660" Type="http://schemas.openxmlformats.org/officeDocument/2006/relationships/hyperlink" Target="https://my.zakupivli.pro/remote/dispatcher/state_purchase_view/36009446" TargetMode="External"/><Relationship Id="rId898" Type="http://schemas.openxmlformats.org/officeDocument/2006/relationships/hyperlink" Target="https://my.zakupivli.pro/remote/dispatcher/state_purchase_lot_view/683878" TargetMode="External"/><Relationship Id="rId106" Type="http://schemas.openxmlformats.org/officeDocument/2006/relationships/hyperlink" Target="https://my.zakupivli.pro/remote/dispatcher/state_purchase_lot_view/1297128" TargetMode="External"/><Relationship Id="rId313" Type="http://schemas.openxmlformats.org/officeDocument/2006/relationships/hyperlink" Target="https://my.zakupivli.pro/remote/dispatcher/state_purchase_lot_view/1047825" TargetMode="External"/><Relationship Id="rId495" Type="http://schemas.openxmlformats.org/officeDocument/2006/relationships/hyperlink" Target="https://my.zakupivli.pro/remote/dispatcher/state_purchase_view/42109704" TargetMode="External"/><Relationship Id="rId716" Type="http://schemas.openxmlformats.org/officeDocument/2006/relationships/hyperlink" Target="https://my.zakupivli.pro/remote/dispatcher/state_purchase_view/32647416" TargetMode="External"/><Relationship Id="rId758" Type="http://schemas.openxmlformats.org/officeDocument/2006/relationships/hyperlink" Target="https://my.zakupivli.pro/remote/dispatcher/state_purchase_view/31805465" TargetMode="External"/><Relationship Id="rId923" Type="http://schemas.openxmlformats.org/officeDocument/2006/relationships/hyperlink" Target="https://my.zakupivli.pro/remote/dispatcher/state_purchase_lot_view/683561" TargetMode="External"/><Relationship Id="rId965" Type="http://schemas.openxmlformats.org/officeDocument/2006/relationships/hyperlink" Target="https://auctions.prozorro.gov.ua/tenders/ca762d8e14fd49ca923fe54eea93d98b" TargetMode="External"/><Relationship Id="rId10" Type="http://schemas.openxmlformats.org/officeDocument/2006/relationships/hyperlink" Target="https://my.zakupivli.pro/remote/dispatcher/state_purchase_lot_view/1355145" TargetMode="External"/><Relationship Id="rId52" Type="http://schemas.openxmlformats.org/officeDocument/2006/relationships/hyperlink" Target="https://my.zakupivli.pro/remote/dispatcher/state_purchase_lot_view/1334265" TargetMode="External"/><Relationship Id="rId94" Type="http://schemas.openxmlformats.org/officeDocument/2006/relationships/hyperlink" Target="https://my.zakupivli.pro/remote/dispatcher/state_purchase_view/51589219" TargetMode="External"/><Relationship Id="rId148" Type="http://schemas.openxmlformats.org/officeDocument/2006/relationships/hyperlink" Target="https://my.zakupivli.pro/remote/dispatcher/state_purchase_lot_view/1279249" TargetMode="External"/><Relationship Id="rId355" Type="http://schemas.openxmlformats.org/officeDocument/2006/relationships/hyperlink" Target="https://my.zakupivli.pro/remote/dispatcher/state_purchase_view/43767120" TargetMode="External"/><Relationship Id="rId397" Type="http://schemas.openxmlformats.org/officeDocument/2006/relationships/hyperlink" Target="https://my.zakupivli.pro/remote/dispatcher/state_purchase_view/42991003" TargetMode="External"/><Relationship Id="rId520" Type="http://schemas.openxmlformats.org/officeDocument/2006/relationships/hyperlink" Target="https://my.zakupivli.pro/remote/dispatcher/state_purchase_view/41267489" TargetMode="External"/><Relationship Id="rId562" Type="http://schemas.openxmlformats.org/officeDocument/2006/relationships/hyperlink" Target="https://my.zakupivli.pro/remote/dispatcher/state_purchase_view/39561927" TargetMode="External"/><Relationship Id="rId618" Type="http://schemas.openxmlformats.org/officeDocument/2006/relationships/hyperlink" Target="https://my.zakupivli.pro/remote/dispatcher/state_purchase_lot_view/775738" TargetMode="External"/><Relationship Id="rId825" Type="http://schemas.openxmlformats.org/officeDocument/2006/relationships/hyperlink" Target="https://auctions.prozorro.gov.ua/tenders/c89f5e08f7d14097a8b7710b7b45450e" TargetMode="External"/><Relationship Id="rId215" Type="http://schemas.openxmlformats.org/officeDocument/2006/relationships/hyperlink" Target="https://my.zakupivli.pro/remote/dispatcher/state_purchase_view/47412461" TargetMode="External"/><Relationship Id="rId257" Type="http://schemas.openxmlformats.org/officeDocument/2006/relationships/hyperlink" Target="https://my.zakupivli.pro/remote/dispatcher/state_purchase_view/46500567" TargetMode="External"/><Relationship Id="rId422" Type="http://schemas.openxmlformats.org/officeDocument/2006/relationships/hyperlink" Target="https://my.zakupivli.pro/remote/dispatcher/state_purchase_view/42686234" TargetMode="External"/><Relationship Id="rId464" Type="http://schemas.openxmlformats.org/officeDocument/2006/relationships/hyperlink" Target="https://my.zakupivli.pro/remote/dispatcher/state_purchase_view/42401022" TargetMode="External"/><Relationship Id="rId867" Type="http://schemas.openxmlformats.org/officeDocument/2006/relationships/hyperlink" Target="https://my.zakupivli.pro/remote/dispatcher/state_purchase_lot_view/688437" TargetMode="External"/><Relationship Id="rId299" Type="http://schemas.openxmlformats.org/officeDocument/2006/relationships/hyperlink" Target="https://my.zakupivli.pro/remote/dispatcher/state_purchase_view/45267720" TargetMode="External"/><Relationship Id="rId727" Type="http://schemas.openxmlformats.org/officeDocument/2006/relationships/hyperlink" Target="https://my.zakupivli.pro/remote/dispatcher/state_purchase_view/32558844" TargetMode="External"/><Relationship Id="rId934" Type="http://schemas.openxmlformats.org/officeDocument/2006/relationships/hyperlink" Target="https://my.zakupivli.pro/remote/dispatcher/state_purchase_view/29154221" TargetMode="External"/><Relationship Id="rId63" Type="http://schemas.openxmlformats.org/officeDocument/2006/relationships/hyperlink" Target="https://my.zakupivli.pro/remote/dispatcher/state_purchase_view/51771737" TargetMode="External"/><Relationship Id="rId159" Type="http://schemas.openxmlformats.org/officeDocument/2006/relationships/hyperlink" Target="https://my.zakupivli.pro/remote/dispatcher/state_purchase_view/50169401" TargetMode="External"/><Relationship Id="rId366" Type="http://schemas.openxmlformats.org/officeDocument/2006/relationships/hyperlink" Target="https://my.zakupivli.pro/remote/dispatcher/state_purchase_view/43427032" TargetMode="External"/><Relationship Id="rId573" Type="http://schemas.openxmlformats.org/officeDocument/2006/relationships/hyperlink" Target="https://my.zakupivli.pro/remote/dispatcher/state_purchase_view/39142933" TargetMode="External"/><Relationship Id="rId780" Type="http://schemas.openxmlformats.org/officeDocument/2006/relationships/hyperlink" Target="https://auctions.prozorro.gov.ua/tenders/3b310839c2c34b2a8e060bd81d8e829b" TargetMode="External"/><Relationship Id="rId226" Type="http://schemas.openxmlformats.org/officeDocument/2006/relationships/hyperlink" Target="https://my.zakupivli.pro/remote/dispatcher/state_purchase_view/47181063" TargetMode="External"/><Relationship Id="rId433" Type="http://schemas.openxmlformats.org/officeDocument/2006/relationships/hyperlink" Target="https://my.zakupivli.pro/remote/dispatcher/state_purchase_view/42664928" TargetMode="External"/><Relationship Id="rId878" Type="http://schemas.openxmlformats.org/officeDocument/2006/relationships/hyperlink" Target="https://auctions.prozorro.gov.ua/tenders/75c2a57a0ecd4770985d0788f044c47b_18a9014f62584594898c86b070ec5988" TargetMode="External"/><Relationship Id="rId640" Type="http://schemas.openxmlformats.org/officeDocument/2006/relationships/hyperlink" Target="https://auctions.prozorro.gov.ua/tenders/75ce6a0f19ae4d5193cb0ea6d4d658ce" TargetMode="External"/><Relationship Id="rId738" Type="http://schemas.openxmlformats.org/officeDocument/2006/relationships/hyperlink" Target="https://my.zakupivli.pro/remote/dispatcher/state_purchase_view/32291133" TargetMode="External"/><Relationship Id="rId945" Type="http://schemas.openxmlformats.org/officeDocument/2006/relationships/hyperlink" Target="https://auction.openprocurement.org/tenders/5c652a4cf43d497aa070b81bddfa0469_e8490503d45745f09b83cace153301b1" TargetMode="External"/><Relationship Id="rId74" Type="http://schemas.openxmlformats.org/officeDocument/2006/relationships/hyperlink" Target="https://my.zakupivli.pro/remote/dispatcher/state_purchase_view/51759874" TargetMode="External"/><Relationship Id="rId377" Type="http://schemas.openxmlformats.org/officeDocument/2006/relationships/hyperlink" Target="https://my.zakupivli.pro/remote/dispatcher/state_purchase_view/43229474" TargetMode="External"/><Relationship Id="rId500" Type="http://schemas.openxmlformats.org/officeDocument/2006/relationships/hyperlink" Target="https://my.zakupivli.pro/remote/dispatcher/state_purchase_view/42098234" TargetMode="External"/><Relationship Id="rId584" Type="http://schemas.openxmlformats.org/officeDocument/2006/relationships/hyperlink" Target="https://my.zakupivli.pro/remote/dispatcher/state_purchase_view/38707682" TargetMode="External"/><Relationship Id="rId805" Type="http://schemas.openxmlformats.org/officeDocument/2006/relationships/hyperlink" Target="https://auctions.prozorro.gov.ua/tenders/516170df6ffc4da2981959d408e302ed" TargetMode="External"/><Relationship Id="rId5" Type="http://schemas.openxmlformats.org/officeDocument/2006/relationships/hyperlink" Target="https://my.zakupivli.pro/remote/dispatcher/state_purchase_view/52646588" TargetMode="External"/><Relationship Id="rId237" Type="http://schemas.openxmlformats.org/officeDocument/2006/relationships/hyperlink" Target="https://my.zakupivli.pro/remote/dispatcher/state_purchase_view/46776304" TargetMode="External"/><Relationship Id="rId791" Type="http://schemas.openxmlformats.org/officeDocument/2006/relationships/hyperlink" Target="https://my.zakupivli.pro/remote/dispatcher/state_purchase_view/31190027" TargetMode="External"/><Relationship Id="rId889" Type="http://schemas.openxmlformats.org/officeDocument/2006/relationships/hyperlink" Target="https://my.zakupivli.pro/remote/dispatcher/state_purchase_lot_view/683869" TargetMode="External"/><Relationship Id="rId444" Type="http://schemas.openxmlformats.org/officeDocument/2006/relationships/hyperlink" Target="https://my.zakupivli.pro/remote/dispatcher/state_purchase_view/42623706" TargetMode="External"/><Relationship Id="rId651" Type="http://schemas.openxmlformats.org/officeDocument/2006/relationships/hyperlink" Target="https://my.zakupivli.pro/remote/dispatcher/state_purchase_view/36950850" TargetMode="External"/><Relationship Id="rId749" Type="http://schemas.openxmlformats.org/officeDocument/2006/relationships/hyperlink" Target="https://auctions.prozorro.gov.ua/tenders/5eb3d66bb8ee4a74afe8e3459299f242" TargetMode="External"/><Relationship Id="rId290" Type="http://schemas.openxmlformats.org/officeDocument/2006/relationships/hyperlink" Target="https://my.zakupivli.pro/remote/dispatcher/state_purchase_view/45607633" TargetMode="External"/><Relationship Id="rId304" Type="http://schemas.openxmlformats.org/officeDocument/2006/relationships/hyperlink" Target="https://my.zakupivli.pro/remote/dispatcher/state_purchase_view/45253334" TargetMode="External"/><Relationship Id="rId388" Type="http://schemas.openxmlformats.org/officeDocument/2006/relationships/hyperlink" Target="https://my.zakupivli.pro/remote/dispatcher/state_purchase_view/43155043" TargetMode="External"/><Relationship Id="rId511" Type="http://schemas.openxmlformats.org/officeDocument/2006/relationships/hyperlink" Target="https://my.zakupivli.pro/remote/dispatcher/state_purchase_view/41267883" TargetMode="External"/><Relationship Id="rId609" Type="http://schemas.openxmlformats.org/officeDocument/2006/relationships/hyperlink" Target="https://my.zakupivli.pro/remote/dispatcher/state_purchase_view/38456268" TargetMode="External"/><Relationship Id="rId956" Type="http://schemas.openxmlformats.org/officeDocument/2006/relationships/hyperlink" Target="https://auction.openprocurement.org/tenders/ef1c75704f63404abb5e737347c4e43c_e8490503d45745f09b83cace153301b1" TargetMode="External"/><Relationship Id="rId85" Type="http://schemas.openxmlformats.org/officeDocument/2006/relationships/hyperlink" Target="https://my.zakupivli.pro/remote/dispatcher/state_purchase_view/51621455" TargetMode="External"/><Relationship Id="rId150" Type="http://schemas.openxmlformats.org/officeDocument/2006/relationships/hyperlink" Target="https://my.zakupivli.pro/remote/dispatcher/state_purchase_view/50641819" TargetMode="External"/><Relationship Id="rId595" Type="http://schemas.openxmlformats.org/officeDocument/2006/relationships/hyperlink" Target="https://my.zakupivli.pro/remote/dispatcher/state_purchase_view/38628589" TargetMode="External"/><Relationship Id="rId816" Type="http://schemas.openxmlformats.org/officeDocument/2006/relationships/hyperlink" Target="https://my.zakupivli.pro/remote/dispatcher/state_purchase_view/31022721" TargetMode="External"/><Relationship Id="rId248" Type="http://schemas.openxmlformats.org/officeDocument/2006/relationships/hyperlink" Target="https://my.zakupivli.pro/remote/dispatcher/state_purchase_view/46565519" TargetMode="External"/><Relationship Id="rId455" Type="http://schemas.openxmlformats.org/officeDocument/2006/relationships/hyperlink" Target="https://my.zakupivli.pro/remote/dispatcher/state_purchase_view/42561310" TargetMode="External"/><Relationship Id="rId662" Type="http://schemas.openxmlformats.org/officeDocument/2006/relationships/hyperlink" Target="https://my.zakupivli.pro/remote/dispatcher/state_purchase_view/35896017" TargetMode="External"/><Relationship Id="rId12" Type="http://schemas.openxmlformats.org/officeDocument/2006/relationships/hyperlink" Target="https://my.zakupivli.pro/remote/dispatcher/state_purchase_view/52417717" TargetMode="External"/><Relationship Id="rId108" Type="http://schemas.openxmlformats.org/officeDocument/2006/relationships/hyperlink" Target="https://my.zakupivli.pro/remote/dispatcher/state_purchase_lot_view/1297118" TargetMode="External"/><Relationship Id="rId315" Type="http://schemas.openxmlformats.org/officeDocument/2006/relationships/hyperlink" Target="https://my.zakupivli.pro/remote/dispatcher/state_purchase_lot_view/1047762" TargetMode="External"/><Relationship Id="rId522" Type="http://schemas.openxmlformats.org/officeDocument/2006/relationships/hyperlink" Target="https://my.zakupivli.pro/remote/dispatcher/state_purchase_view/41150042" TargetMode="External"/><Relationship Id="rId96" Type="http://schemas.openxmlformats.org/officeDocument/2006/relationships/hyperlink" Target="https://my.zakupivli.pro/remote/dispatcher/state_purchase_view/51586227" TargetMode="External"/><Relationship Id="rId161" Type="http://schemas.openxmlformats.org/officeDocument/2006/relationships/hyperlink" Target="https://my.zakupivli.pro/remote/dispatcher/state_purchase_view/49973533" TargetMode="External"/><Relationship Id="rId399" Type="http://schemas.openxmlformats.org/officeDocument/2006/relationships/hyperlink" Target="https://my.zakupivli.pro/remote/dispatcher/state_purchase_view/42900920" TargetMode="External"/><Relationship Id="rId827" Type="http://schemas.openxmlformats.org/officeDocument/2006/relationships/hyperlink" Target="https://auctions.prozorro.gov.ua/tenders/67d48c0958224071948a194fcce4c401" TargetMode="External"/><Relationship Id="rId259" Type="http://schemas.openxmlformats.org/officeDocument/2006/relationships/hyperlink" Target="https://my.zakupivli.pro/remote/dispatcher/state_purchase_view/46502040" TargetMode="External"/><Relationship Id="rId466" Type="http://schemas.openxmlformats.org/officeDocument/2006/relationships/hyperlink" Target="https://my.zakupivli.pro/remote/dispatcher/state_purchase_view/42400575" TargetMode="External"/><Relationship Id="rId673" Type="http://schemas.openxmlformats.org/officeDocument/2006/relationships/hyperlink" Target="https://my.zakupivli.pro/remote/dispatcher/state_purchase_view/34708116" TargetMode="External"/><Relationship Id="rId880" Type="http://schemas.openxmlformats.org/officeDocument/2006/relationships/hyperlink" Target="https://my.zakupivli.pro/remote/dispatcher/state_purchase_lot_view/683872" TargetMode="External"/><Relationship Id="rId23" Type="http://schemas.openxmlformats.org/officeDocument/2006/relationships/hyperlink" Target="https://my.zakupivli.pro/remote/dispatcher/state_purchase_view/52363917" TargetMode="External"/><Relationship Id="rId119" Type="http://schemas.openxmlformats.org/officeDocument/2006/relationships/hyperlink" Target="https://my.zakupivli.pro/remote/dispatcher/state_purchase_view/51262986" TargetMode="External"/><Relationship Id="rId326" Type="http://schemas.openxmlformats.org/officeDocument/2006/relationships/hyperlink" Target="https://my.zakupivli.pro/remote/dispatcher/state_purchase_view/45091036" TargetMode="External"/><Relationship Id="rId533" Type="http://schemas.openxmlformats.org/officeDocument/2006/relationships/hyperlink" Target="https://my.zakupivli.pro/remote/dispatcher/state_purchase_view/40665058" TargetMode="External"/><Relationship Id="rId740" Type="http://schemas.openxmlformats.org/officeDocument/2006/relationships/hyperlink" Target="https://my.zakupivli.pro/remote/dispatcher/state_purchase_view/32301453" TargetMode="External"/><Relationship Id="rId838" Type="http://schemas.openxmlformats.org/officeDocument/2006/relationships/hyperlink" Target="https://auctions.prozorro.gov.ua/tenders/1eae87fb7ad6456b8e4ca71a80175635_b88eb72154ad46a4a171095b4c670b0e" TargetMode="External"/><Relationship Id="rId172" Type="http://schemas.openxmlformats.org/officeDocument/2006/relationships/hyperlink" Target="https://my.zakupivli.pro/remote/dispatcher/state_purchase_view/49276131" TargetMode="External"/><Relationship Id="rId477" Type="http://schemas.openxmlformats.org/officeDocument/2006/relationships/hyperlink" Target="https://my.zakupivli.pro/remote/dispatcher/state_purchase_lot_view/935833" TargetMode="External"/><Relationship Id="rId600" Type="http://schemas.openxmlformats.org/officeDocument/2006/relationships/hyperlink" Target="https://my.zakupivli.pro/remote/dispatcher/state_purchase_lot_view/788601" TargetMode="External"/><Relationship Id="rId684" Type="http://schemas.openxmlformats.org/officeDocument/2006/relationships/hyperlink" Target="https://my.zakupivli.pro/remote/dispatcher/state_purchase_view/33711715" TargetMode="External"/><Relationship Id="rId337" Type="http://schemas.openxmlformats.org/officeDocument/2006/relationships/hyperlink" Target="https://my.zakupivli.pro/remote/dispatcher/state_purchase_view/44677663" TargetMode="External"/><Relationship Id="rId891" Type="http://schemas.openxmlformats.org/officeDocument/2006/relationships/hyperlink" Target="https://my.zakupivli.pro/remote/dispatcher/state_purchase_view/29212113" TargetMode="External"/><Relationship Id="rId905" Type="http://schemas.openxmlformats.org/officeDocument/2006/relationships/hyperlink" Target="https://my.zakupivli.pro/remote/dispatcher/state_purchase_view/29208945" TargetMode="External"/><Relationship Id="rId34" Type="http://schemas.openxmlformats.org/officeDocument/2006/relationships/hyperlink" Target="https://my.zakupivli.pro/remote/dispatcher/state_purchase_lot_view/1337346" TargetMode="External"/><Relationship Id="rId544" Type="http://schemas.openxmlformats.org/officeDocument/2006/relationships/hyperlink" Target="https://my.zakupivli.pro/remote/dispatcher/state_purchase_lot_view/847559" TargetMode="External"/><Relationship Id="rId751" Type="http://schemas.openxmlformats.org/officeDocument/2006/relationships/hyperlink" Target="https://my.zakupivli.pro/remote/dispatcher/state_purchase_view/31821634" TargetMode="External"/><Relationship Id="rId849" Type="http://schemas.openxmlformats.org/officeDocument/2006/relationships/hyperlink" Target="https://my.zakupivli.pro/remote/dispatcher/state_purchase_view/30269219" TargetMode="External"/><Relationship Id="rId183" Type="http://schemas.openxmlformats.org/officeDocument/2006/relationships/hyperlink" Target="https://my.zakupivli.pro/remote/dispatcher/state_purchase_view/48897681" TargetMode="External"/><Relationship Id="rId390" Type="http://schemas.openxmlformats.org/officeDocument/2006/relationships/hyperlink" Target="https://my.zakupivli.pro/remote/dispatcher/state_purchase_lot_view/958978" TargetMode="External"/><Relationship Id="rId404" Type="http://schemas.openxmlformats.org/officeDocument/2006/relationships/hyperlink" Target="https://my.zakupivli.pro/remote/dispatcher/state_purchase_lot_view/953012" TargetMode="External"/><Relationship Id="rId611" Type="http://schemas.openxmlformats.org/officeDocument/2006/relationships/hyperlink" Target="https://my.zakupivli.pro/remote/dispatcher/state_purchase_view/38444043" TargetMode="External"/><Relationship Id="rId250" Type="http://schemas.openxmlformats.org/officeDocument/2006/relationships/hyperlink" Target="https://my.zakupivli.pro/remote/dispatcher/state_purchase_lot_view/1098458" TargetMode="External"/><Relationship Id="rId488" Type="http://schemas.openxmlformats.org/officeDocument/2006/relationships/hyperlink" Target="https://my.zakupivli.pro/remote/dispatcher/state_purchase_view/42199942" TargetMode="External"/><Relationship Id="rId695" Type="http://schemas.openxmlformats.org/officeDocument/2006/relationships/hyperlink" Target="https://my.zakupivli.pro/remote/dispatcher/state_purchase_view/33508569" TargetMode="External"/><Relationship Id="rId709" Type="http://schemas.openxmlformats.org/officeDocument/2006/relationships/hyperlink" Target="https://my.zakupivli.pro/remote/dispatcher/state_purchase_view/32708214" TargetMode="External"/><Relationship Id="rId916" Type="http://schemas.openxmlformats.org/officeDocument/2006/relationships/hyperlink" Target="https://my.zakupivli.pro/remote/dispatcher/state_purchase_view/29212113" TargetMode="External"/><Relationship Id="rId45" Type="http://schemas.openxmlformats.org/officeDocument/2006/relationships/hyperlink" Target="https://my.zakupivli.pro/remote/dispatcher/state_purchase_view/52134979" TargetMode="External"/><Relationship Id="rId110" Type="http://schemas.openxmlformats.org/officeDocument/2006/relationships/hyperlink" Target="https://my.zakupivli.pro/remote/dispatcher/state_purchase_lot_view/1297110" TargetMode="External"/><Relationship Id="rId348" Type="http://schemas.openxmlformats.org/officeDocument/2006/relationships/hyperlink" Target="https://my.zakupivli.pro/remote/dispatcher/state_purchase_view/44066290" TargetMode="External"/><Relationship Id="rId555" Type="http://schemas.openxmlformats.org/officeDocument/2006/relationships/hyperlink" Target="https://my.zakupivli.pro/remote/dispatcher/state_purchase_view/39759361" TargetMode="External"/><Relationship Id="rId762" Type="http://schemas.openxmlformats.org/officeDocument/2006/relationships/hyperlink" Target="https://my.zakupivli.pro/remote/dispatcher/state_purchase_view/31734205" TargetMode="External"/><Relationship Id="rId194" Type="http://schemas.openxmlformats.org/officeDocument/2006/relationships/hyperlink" Target="https://my.zakupivli.pro/remote/dispatcher/state_purchase_view/48194241" TargetMode="External"/><Relationship Id="rId208" Type="http://schemas.openxmlformats.org/officeDocument/2006/relationships/hyperlink" Target="https://my.zakupivli.pro/remote/dispatcher/state_purchase_view/47847514" TargetMode="External"/><Relationship Id="rId415" Type="http://schemas.openxmlformats.org/officeDocument/2006/relationships/hyperlink" Target="https://my.zakupivli.pro/remote/dispatcher/state_purchase_lot_view/953021" TargetMode="External"/><Relationship Id="rId622" Type="http://schemas.openxmlformats.org/officeDocument/2006/relationships/hyperlink" Target="https://my.zakupivli.pro/remote/dispatcher/state_purchase_view/37845039" TargetMode="External"/><Relationship Id="rId261" Type="http://schemas.openxmlformats.org/officeDocument/2006/relationships/hyperlink" Target="https://my.zakupivli.pro/remote/dispatcher/state_purchase_view/46463171" TargetMode="External"/><Relationship Id="rId499" Type="http://schemas.openxmlformats.org/officeDocument/2006/relationships/hyperlink" Target="https://my.zakupivli.pro/remote/dispatcher/state_purchase_view/42099537" TargetMode="External"/><Relationship Id="rId927" Type="http://schemas.openxmlformats.org/officeDocument/2006/relationships/hyperlink" Target="https://my.zakupivli.pro/remote/dispatcher/state_purchase_lot_view/683558" TargetMode="External"/><Relationship Id="rId56" Type="http://schemas.openxmlformats.org/officeDocument/2006/relationships/hyperlink" Target="https://my.zakupivli.pro/remote/dispatcher/state_purchase_view/52122598" TargetMode="External"/><Relationship Id="rId359" Type="http://schemas.openxmlformats.org/officeDocument/2006/relationships/hyperlink" Target="https://my.zakupivli.pro/remote/dispatcher/state_purchase_view/43719751" TargetMode="External"/><Relationship Id="rId566" Type="http://schemas.openxmlformats.org/officeDocument/2006/relationships/hyperlink" Target="https://my.zakupivli.pro/remote/dispatcher/state_purchase_view/39557045" TargetMode="External"/><Relationship Id="rId773" Type="http://schemas.openxmlformats.org/officeDocument/2006/relationships/hyperlink" Target="https://my.zakupivli.pro/remote/dispatcher/state_purchase_view/31488720" TargetMode="External"/><Relationship Id="rId121" Type="http://schemas.openxmlformats.org/officeDocument/2006/relationships/hyperlink" Target="https://my.zakupivli.pro/remote/dispatcher/state_purchase_view/51228078" TargetMode="External"/><Relationship Id="rId219" Type="http://schemas.openxmlformats.org/officeDocument/2006/relationships/hyperlink" Target="https://my.zakupivli.pro/remote/dispatcher/state_purchase_view/47423630" TargetMode="External"/><Relationship Id="rId426" Type="http://schemas.openxmlformats.org/officeDocument/2006/relationships/hyperlink" Target="https://my.zakupivli.pro/remote/dispatcher/state_purchase_view/42683014" TargetMode="External"/><Relationship Id="rId633" Type="http://schemas.openxmlformats.org/officeDocument/2006/relationships/hyperlink" Target="https://auctions.prozorro.gov.ua/tenders/353bfd6d67c44259bf28a745fcaac82a" TargetMode="External"/><Relationship Id="rId840" Type="http://schemas.openxmlformats.org/officeDocument/2006/relationships/hyperlink" Target="https://my.zakupivli.pro/remote/dispatcher/state_purchase_lot_view/696416" TargetMode="External"/><Relationship Id="rId938" Type="http://schemas.openxmlformats.org/officeDocument/2006/relationships/hyperlink" Target="https://my.zakupivli.pro/remote/dispatcher/state_purchase_view/28507331" TargetMode="External"/><Relationship Id="rId67" Type="http://schemas.openxmlformats.org/officeDocument/2006/relationships/hyperlink" Target="https://my.zakupivli.pro/remote/dispatcher/state_purchase_view/51772200" TargetMode="External"/><Relationship Id="rId272" Type="http://schemas.openxmlformats.org/officeDocument/2006/relationships/hyperlink" Target="https://my.zakupivli.pro/remote/dispatcher/state_purchase_view/46027741" TargetMode="External"/><Relationship Id="rId577" Type="http://schemas.openxmlformats.org/officeDocument/2006/relationships/hyperlink" Target="https://my.zakupivli.pro/remote/dispatcher/state_purchase_lot_view/801908" TargetMode="External"/><Relationship Id="rId700" Type="http://schemas.openxmlformats.org/officeDocument/2006/relationships/hyperlink" Target="https://my.zakupivli.pro/remote/dispatcher/state_purchase_view/33019306" TargetMode="External"/><Relationship Id="rId132" Type="http://schemas.openxmlformats.org/officeDocument/2006/relationships/hyperlink" Target="https://my.zakupivli.pro/remote/dispatcher/state_purchase_lot_view/1289036" TargetMode="External"/><Relationship Id="rId784" Type="http://schemas.openxmlformats.org/officeDocument/2006/relationships/hyperlink" Target="https://my.zakupivli.pro/remote/dispatcher/state_purchase_view/31356038" TargetMode="External"/><Relationship Id="rId437" Type="http://schemas.openxmlformats.org/officeDocument/2006/relationships/hyperlink" Target="https://my.zakupivli.pro/remote/dispatcher/state_purchase_lot_view/946361" TargetMode="External"/><Relationship Id="rId644" Type="http://schemas.openxmlformats.org/officeDocument/2006/relationships/hyperlink" Target="https://auctions.prozorro.gov.ua/tenders/597bfe6e05e6446c8945f1d8c7019142" TargetMode="External"/><Relationship Id="rId851" Type="http://schemas.openxmlformats.org/officeDocument/2006/relationships/hyperlink" Target="https://my.zakupivli.pro/remote/dispatcher/state_purchase_view/30320386" TargetMode="External"/><Relationship Id="rId283" Type="http://schemas.openxmlformats.org/officeDocument/2006/relationships/hyperlink" Target="https://my.zakupivli.pro/remote/dispatcher/state_purchase_view/45764700" TargetMode="External"/><Relationship Id="rId490" Type="http://schemas.openxmlformats.org/officeDocument/2006/relationships/hyperlink" Target="https://my.zakupivli.pro/remote/dispatcher/state_purchase_view/42110344" TargetMode="External"/><Relationship Id="rId504" Type="http://schemas.openxmlformats.org/officeDocument/2006/relationships/hyperlink" Target="https://my.zakupivli.pro/remote/dispatcher/state_purchase_lot_view/917388" TargetMode="External"/><Relationship Id="rId711" Type="http://schemas.openxmlformats.org/officeDocument/2006/relationships/hyperlink" Target="https://my.zakupivli.pro/remote/dispatcher/state_purchase_view/32722662" TargetMode="External"/><Relationship Id="rId949" Type="http://schemas.openxmlformats.org/officeDocument/2006/relationships/hyperlink" Target="https://my.zakupivli.pro/remote/dispatcher/state_purchase_view/27829387" TargetMode="External"/><Relationship Id="rId78" Type="http://schemas.openxmlformats.org/officeDocument/2006/relationships/hyperlink" Target="https://my.zakupivli.pro/remote/dispatcher/state_purchase_lot_view/1312133" TargetMode="External"/><Relationship Id="rId143" Type="http://schemas.openxmlformats.org/officeDocument/2006/relationships/hyperlink" Target="https://my.zakupivli.pro/remote/dispatcher/state_purchase_view/50889229" TargetMode="External"/><Relationship Id="rId350" Type="http://schemas.openxmlformats.org/officeDocument/2006/relationships/hyperlink" Target="https://my.zakupivli.pro/remote/dispatcher/state_purchase_view/44048822" TargetMode="External"/><Relationship Id="rId588" Type="http://schemas.openxmlformats.org/officeDocument/2006/relationships/hyperlink" Target="https://my.zakupivli.pro/remote/dispatcher/state_purchase_lot_view/789899" TargetMode="External"/><Relationship Id="rId795" Type="http://schemas.openxmlformats.org/officeDocument/2006/relationships/hyperlink" Target="https://my.zakupivli.pro/remote/dispatcher/state_purchase_view/31188999" TargetMode="External"/><Relationship Id="rId809" Type="http://schemas.openxmlformats.org/officeDocument/2006/relationships/hyperlink" Target="https://auctions.prozorro.gov.ua/tenders/64696c648e054873ba2f7e5d355635bc" TargetMode="External"/><Relationship Id="rId9" Type="http://schemas.openxmlformats.org/officeDocument/2006/relationships/hyperlink" Target="https://my.zakupivli.pro/remote/dispatcher/state_purchase_view/52546226" TargetMode="External"/><Relationship Id="rId210" Type="http://schemas.openxmlformats.org/officeDocument/2006/relationships/hyperlink" Target="https://my.zakupivli.pro/remote/dispatcher/state_purchase_view/47788776" TargetMode="External"/><Relationship Id="rId448" Type="http://schemas.openxmlformats.org/officeDocument/2006/relationships/hyperlink" Target="https://my.zakupivli.pro/remote/dispatcher/state_purchase_view/42620542" TargetMode="External"/><Relationship Id="rId655" Type="http://schemas.openxmlformats.org/officeDocument/2006/relationships/hyperlink" Target="https://my.zakupivli.pro/remote/dispatcher/state_purchase_view/36762726" TargetMode="External"/><Relationship Id="rId862" Type="http://schemas.openxmlformats.org/officeDocument/2006/relationships/hyperlink" Target="https://my.zakupivli.pro/remote/dispatcher/state_purchase_view/29626931" TargetMode="External"/><Relationship Id="rId294" Type="http://schemas.openxmlformats.org/officeDocument/2006/relationships/hyperlink" Target="https://my.zakupivli.pro/remote/dispatcher/state_purchase_view/45382353" TargetMode="External"/><Relationship Id="rId308" Type="http://schemas.openxmlformats.org/officeDocument/2006/relationships/hyperlink" Target="https://my.zakupivli.pro/remote/dispatcher/state_purchase_view/45220930" TargetMode="External"/><Relationship Id="rId515" Type="http://schemas.openxmlformats.org/officeDocument/2006/relationships/hyperlink" Target="https://my.zakupivli.pro/remote/dispatcher/state_purchase_lot_view/887565" TargetMode="External"/><Relationship Id="rId722" Type="http://schemas.openxmlformats.org/officeDocument/2006/relationships/hyperlink" Target="https://auctions.prozorro.gov.ua/tenders/7099782e4b394623a6e912401634f0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I696"/>
  <sheetViews>
    <sheetView tabSelected="1" workbookViewId="0">
      <pane ySplit="5" topLeftCell="A54" activePane="bottomLeft" state="frozen"/>
      <selection pane="bottomLeft"/>
    </sheetView>
  </sheetViews>
  <sheetFormatPr defaultColWidth="11.42578125" defaultRowHeight="15" x14ac:dyDescent="0.25"/>
  <cols>
    <col min="1" max="1" width="5"/>
    <col min="2" max="3" width="25"/>
    <col min="4" max="5" width="35"/>
    <col min="6" max="6" width="20"/>
    <col min="7" max="7" width="35"/>
    <col min="8" max="8" width="30"/>
    <col min="9" max="9" width="5"/>
    <col min="10" max="10" width="30"/>
    <col min="11" max="11" width="15"/>
    <col min="12" max="13" width="20"/>
    <col min="14" max="16" width="5"/>
    <col min="17" max="21" width="10"/>
    <col min="22" max="22" width="25"/>
    <col min="23" max="23" width="10"/>
    <col min="24" max="25" width="15"/>
    <col min="26" max="26" width="10"/>
    <col min="27" max="29" width="15"/>
    <col min="30" max="30" width="10"/>
    <col min="31" max="31" width="15"/>
    <col min="32" max="33" width="20"/>
    <col min="34" max="35" width="15"/>
    <col min="36" max="36" width="20"/>
    <col min="37" max="37" width="15"/>
    <col min="38" max="38" width="10"/>
    <col min="39" max="39" width="20"/>
    <col min="40" max="40" width="15"/>
    <col min="41" max="41" width="20"/>
    <col min="42" max="42" width="10"/>
    <col min="43" max="43" width="15"/>
    <col min="44" max="45" width="10"/>
    <col min="46" max="46" width="15"/>
    <col min="47" max="48" width="10"/>
    <col min="49" max="49" width="20"/>
    <col min="50" max="52" width="15"/>
    <col min="53" max="54" width="10"/>
    <col min="55" max="56" width="20"/>
    <col min="57" max="57" width="15"/>
    <col min="58" max="58" width="10"/>
    <col min="59" max="60" width="20"/>
    <col min="61" max="61" width="50"/>
  </cols>
  <sheetData>
    <row r="1" spans="1:61" x14ac:dyDescent="0.25">
      <c r="A1" s="1" t="s">
        <v>2144</v>
      </c>
    </row>
    <row r="2" spans="1:61" x14ac:dyDescent="0.25">
      <c r="A2" s="2" t="s">
        <v>1125</v>
      </c>
    </row>
    <row r="4" spans="1:61" x14ac:dyDescent="0.25">
      <c r="A4" s="1" t="s">
        <v>2014</v>
      </c>
    </row>
    <row r="5" spans="1:61" ht="102.75" x14ac:dyDescent="0.25">
      <c r="A5" s="3" t="s">
        <v>2176</v>
      </c>
      <c r="B5" s="3" t="s">
        <v>1139</v>
      </c>
      <c r="C5" s="3" t="s">
        <v>1140</v>
      </c>
      <c r="D5" s="3" t="s">
        <v>2108</v>
      </c>
      <c r="E5" s="3" t="s">
        <v>1968</v>
      </c>
      <c r="F5" s="3" t="s">
        <v>2007</v>
      </c>
      <c r="G5" s="3" t="s">
        <v>1476</v>
      </c>
      <c r="H5" s="3" t="s">
        <v>2100</v>
      </c>
      <c r="I5" s="3" t="s">
        <v>1471</v>
      </c>
      <c r="J5" s="3" t="s">
        <v>1535</v>
      </c>
      <c r="K5" s="3" t="s">
        <v>1136</v>
      </c>
      <c r="L5" s="3" t="s">
        <v>1536</v>
      </c>
      <c r="M5" s="3" t="s">
        <v>1537</v>
      </c>
      <c r="N5" s="3" t="s">
        <v>1181</v>
      </c>
      <c r="O5" s="3" t="s">
        <v>1182</v>
      </c>
      <c r="P5" s="3" t="s">
        <v>1180</v>
      </c>
      <c r="Q5" s="3" t="s">
        <v>1197</v>
      </c>
      <c r="R5" s="3" t="s">
        <v>1201</v>
      </c>
      <c r="S5" s="3" t="s">
        <v>1200</v>
      </c>
      <c r="T5" s="3" t="s">
        <v>1976</v>
      </c>
      <c r="U5" s="3" t="s">
        <v>1975</v>
      </c>
      <c r="V5" s="3" t="s">
        <v>1195</v>
      </c>
      <c r="W5" s="3" t="s">
        <v>1487</v>
      </c>
      <c r="X5" s="3" t="s">
        <v>1538</v>
      </c>
      <c r="Y5" s="3" t="s">
        <v>1539</v>
      </c>
      <c r="Z5" s="3" t="s">
        <v>1486</v>
      </c>
      <c r="AA5" s="3" t="s">
        <v>1540</v>
      </c>
      <c r="AB5" s="3" t="s">
        <v>1532</v>
      </c>
      <c r="AC5" s="3" t="s">
        <v>1481</v>
      </c>
      <c r="AD5" s="3" t="s">
        <v>1170</v>
      </c>
      <c r="AE5" s="3" t="s">
        <v>1216</v>
      </c>
      <c r="AF5" s="3" t="s">
        <v>2023</v>
      </c>
      <c r="AG5" s="3" t="s">
        <v>1519</v>
      </c>
      <c r="AH5" s="3" t="s">
        <v>2002</v>
      </c>
      <c r="AI5" s="3" t="s">
        <v>2003</v>
      </c>
      <c r="AJ5" s="3" t="s">
        <v>1515</v>
      </c>
      <c r="AK5" s="3" t="s">
        <v>2024</v>
      </c>
      <c r="AL5" s="3" t="s">
        <v>3</v>
      </c>
      <c r="AM5" s="3" t="s">
        <v>2134</v>
      </c>
      <c r="AN5" s="3" t="s">
        <v>1137</v>
      </c>
      <c r="AO5" s="3" t="s">
        <v>1215</v>
      </c>
      <c r="AP5" s="3" t="s">
        <v>1480</v>
      </c>
      <c r="AQ5" s="3" t="s">
        <v>2024</v>
      </c>
      <c r="AR5" s="3" t="s">
        <v>3</v>
      </c>
      <c r="AS5" s="3" t="s">
        <v>1569</v>
      </c>
      <c r="AT5" s="3" t="s">
        <v>1198</v>
      </c>
      <c r="AU5" s="3" t="s">
        <v>2110</v>
      </c>
      <c r="AV5" s="3" t="s">
        <v>2109</v>
      </c>
      <c r="AW5" s="3" t="s">
        <v>2017</v>
      </c>
      <c r="AX5" s="3" t="s">
        <v>1196</v>
      </c>
      <c r="AY5" s="3" t="s">
        <v>1520</v>
      </c>
      <c r="AZ5" s="3" t="s">
        <v>2025</v>
      </c>
      <c r="BA5" s="3" t="s">
        <v>2022</v>
      </c>
      <c r="BB5" s="3" t="s">
        <v>2021</v>
      </c>
      <c r="BC5" s="3" t="s">
        <v>1199</v>
      </c>
      <c r="BD5" s="3" t="s">
        <v>1209</v>
      </c>
      <c r="BE5" s="3" t="s">
        <v>1208</v>
      </c>
      <c r="BF5" s="3" t="s">
        <v>2018</v>
      </c>
      <c r="BG5" s="3" t="s">
        <v>1977</v>
      </c>
      <c r="BH5" s="3" t="s">
        <v>1511</v>
      </c>
      <c r="BI5" s="3" t="s">
        <v>1183</v>
      </c>
    </row>
    <row r="6" spans="1:61" x14ac:dyDescent="0.25">
      <c r="A6" s="4">
        <v>1</v>
      </c>
      <c r="B6" s="2" t="str">
        <f>HYPERLINK("https://my.zakupivli.pro/remote/dispatcher/state_purchase_view/52761676", "UA-2024-08-16-009958-a")</f>
        <v>UA-2024-08-16-009958-a</v>
      </c>
      <c r="C6" s="2" t="s">
        <v>1516</v>
      </c>
      <c r="D6" s="1" t="s">
        <v>1273</v>
      </c>
      <c r="E6" s="1" t="s">
        <v>1273</v>
      </c>
      <c r="F6" s="1" t="s">
        <v>603</v>
      </c>
      <c r="G6" s="1" t="s">
        <v>971</v>
      </c>
      <c r="H6" s="1" t="s">
        <v>1218</v>
      </c>
      <c r="I6" s="1" t="s">
        <v>2094</v>
      </c>
      <c r="J6" s="1" t="s">
        <v>1145</v>
      </c>
      <c r="K6" s="1" t="s">
        <v>947</v>
      </c>
      <c r="L6" s="1" t="s">
        <v>1533</v>
      </c>
      <c r="M6" s="1" t="s">
        <v>1533</v>
      </c>
      <c r="N6" s="1" t="s">
        <v>110</v>
      </c>
      <c r="O6" s="1" t="s">
        <v>110</v>
      </c>
      <c r="P6" s="1" t="s">
        <v>110</v>
      </c>
      <c r="Q6" s="5">
        <v>45520</v>
      </c>
      <c r="R6" s="1"/>
      <c r="S6" s="1"/>
      <c r="T6" s="1"/>
      <c r="U6" s="1"/>
      <c r="V6" s="1" t="s">
        <v>2146</v>
      </c>
      <c r="W6" s="4">
        <v>1</v>
      </c>
      <c r="X6" s="6">
        <v>64215.47</v>
      </c>
      <c r="Y6" s="1" t="s">
        <v>1516</v>
      </c>
      <c r="Z6" s="1">
        <v>1</v>
      </c>
      <c r="AA6" s="6">
        <v>64215.47</v>
      </c>
      <c r="AB6" s="1" t="s">
        <v>2167</v>
      </c>
      <c r="AC6" s="1" t="s">
        <v>2162</v>
      </c>
      <c r="AD6" s="1" t="s">
        <v>1100</v>
      </c>
      <c r="AE6" s="1" t="s">
        <v>1522</v>
      </c>
      <c r="AF6" s="1" t="s">
        <v>1186</v>
      </c>
      <c r="AG6" s="1" t="s">
        <v>1522</v>
      </c>
      <c r="AH6" s="6">
        <v>64215.47</v>
      </c>
      <c r="AI6" s="6">
        <v>64215.47</v>
      </c>
      <c r="AJ6" s="1" t="s">
        <v>1192</v>
      </c>
      <c r="AK6" s="1"/>
      <c r="AL6" s="1"/>
      <c r="AM6" s="1" t="s">
        <v>1192</v>
      </c>
      <c r="AN6" s="1" t="s">
        <v>808</v>
      </c>
      <c r="AO6" s="1"/>
      <c r="AP6" s="1" t="s">
        <v>43</v>
      </c>
      <c r="AQ6" s="1"/>
      <c r="AR6" s="1"/>
      <c r="AS6" s="2"/>
      <c r="AT6" s="1"/>
      <c r="AU6" s="1"/>
      <c r="AV6" s="1"/>
      <c r="AW6" s="1" t="s">
        <v>2152</v>
      </c>
      <c r="AX6" s="7">
        <v>45520.706239483174</v>
      </c>
      <c r="AY6" s="1" t="s">
        <v>1063</v>
      </c>
      <c r="AZ6" s="6">
        <v>64215.47</v>
      </c>
      <c r="BA6" s="1"/>
      <c r="BB6" s="5">
        <v>45627</v>
      </c>
      <c r="BC6" s="5">
        <v>45520</v>
      </c>
      <c r="BD6" s="5">
        <v>45520</v>
      </c>
      <c r="BE6" s="7">
        <v>45657</v>
      </c>
      <c r="BF6" s="1" t="s">
        <v>2170</v>
      </c>
      <c r="BG6" s="1"/>
      <c r="BH6" s="1" t="s">
        <v>1217</v>
      </c>
      <c r="BI6" s="1" t="s">
        <v>108</v>
      </c>
    </row>
    <row r="7" spans="1:61" x14ac:dyDescent="0.25">
      <c r="A7" s="4">
        <v>2</v>
      </c>
      <c r="B7" s="2" t="str">
        <f>HYPERLINK("https://my.zakupivli.pro/remote/dispatcher/state_purchase_view/52699920", "UA-2024-08-14-005779-a")</f>
        <v>UA-2024-08-14-005779-a</v>
      </c>
      <c r="C7" s="2" t="s">
        <v>1516</v>
      </c>
      <c r="D7" s="1" t="s">
        <v>1670</v>
      </c>
      <c r="E7" s="1" t="s">
        <v>1715</v>
      </c>
      <c r="F7" s="1" t="s">
        <v>603</v>
      </c>
      <c r="G7" s="1" t="s">
        <v>992</v>
      </c>
      <c r="H7" s="1" t="s">
        <v>1218</v>
      </c>
      <c r="I7" s="1" t="s">
        <v>2094</v>
      </c>
      <c r="J7" s="1" t="s">
        <v>1145</v>
      </c>
      <c r="K7" s="1" t="s">
        <v>947</v>
      </c>
      <c r="L7" s="1" t="s">
        <v>1533</v>
      </c>
      <c r="M7" s="1" t="s">
        <v>1533</v>
      </c>
      <c r="N7" s="1" t="s">
        <v>110</v>
      </c>
      <c r="O7" s="1" t="s">
        <v>110</v>
      </c>
      <c r="P7" s="1" t="s">
        <v>110</v>
      </c>
      <c r="Q7" s="5">
        <v>45518</v>
      </c>
      <c r="R7" s="1"/>
      <c r="S7" s="1"/>
      <c r="T7" s="1"/>
      <c r="U7" s="1"/>
      <c r="V7" s="1" t="s">
        <v>2146</v>
      </c>
      <c r="W7" s="4">
        <v>1</v>
      </c>
      <c r="X7" s="6">
        <v>4150</v>
      </c>
      <c r="Y7" s="1" t="s">
        <v>1516</v>
      </c>
      <c r="Z7" s="1">
        <v>6</v>
      </c>
      <c r="AA7" s="6">
        <v>691.67</v>
      </c>
      <c r="AB7" s="1" t="s">
        <v>2157</v>
      </c>
      <c r="AC7" s="1" t="s">
        <v>2162</v>
      </c>
      <c r="AD7" s="1" t="s">
        <v>1100</v>
      </c>
      <c r="AE7" s="1" t="s">
        <v>1522</v>
      </c>
      <c r="AF7" s="1" t="s">
        <v>1186</v>
      </c>
      <c r="AG7" s="1" t="s">
        <v>1522</v>
      </c>
      <c r="AH7" s="6">
        <v>4150</v>
      </c>
      <c r="AI7" s="6">
        <v>691.66666666666663</v>
      </c>
      <c r="AJ7" s="1" t="s">
        <v>2070</v>
      </c>
      <c r="AK7" s="1"/>
      <c r="AL7" s="1"/>
      <c r="AM7" s="1" t="s">
        <v>2070</v>
      </c>
      <c r="AN7" s="1" t="s">
        <v>829</v>
      </c>
      <c r="AO7" s="1"/>
      <c r="AP7" s="1" t="s">
        <v>67</v>
      </c>
      <c r="AQ7" s="1"/>
      <c r="AR7" s="1"/>
      <c r="AS7" s="2"/>
      <c r="AT7" s="1"/>
      <c r="AU7" s="1"/>
      <c r="AV7" s="1"/>
      <c r="AW7" s="1" t="s">
        <v>2145</v>
      </c>
      <c r="AX7" s="7">
        <v>45518.551590547329</v>
      </c>
      <c r="AY7" s="1" t="s">
        <v>983</v>
      </c>
      <c r="AZ7" s="6">
        <v>4150</v>
      </c>
      <c r="BA7" s="1"/>
      <c r="BB7" s="5">
        <v>45657</v>
      </c>
      <c r="BC7" s="1" t="s">
        <v>109</v>
      </c>
      <c r="BD7" s="1" t="s">
        <v>109</v>
      </c>
      <c r="BE7" s="7">
        <v>45657</v>
      </c>
      <c r="BF7" s="1" t="s">
        <v>2164</v>
      </c>
      <c r="BG7" s="1"/>
      <c r="BH7" s="1" t="s">
        <v>1217</v>
      </c>
      <c r="BI7" s="1" t="s">
        <v>108</v>
      </c>
    </row>
    <row r="8" spans="1:61" x14ac:dyDescent="0.25">
      <c r="A8" s="4">
        <v>3</v>
      </c>
      <c r="B8" s="2" t="str">
        <f>HYPERLINK("https://my.zakupivli.pro/remote/dispatcher/state_purchase_view/52650988", "UA-2024-08-12-007512-a")</f>
        <v>UA-2024-08-12-007512-a</v>
      </c>
      <c r="C8" s="2" t="s">
        <v>1516</v>
      </c>
      <c r="D8" s="1" t="s">
        <v>1726</v>
      </c>
      <c r="E8" s="1" t="s">
        <v>1726</v>
      </c>
      <c r="F8" s="1" t="s">
        <v>603</v>
      </c>
      <c r="G8" s="1" t="s">
        <v>1035</v>
      </c>
      <c r="H8" s="1" t="s">
        <v>1218</v>
      </c>
      <c r="I8" s="1" t="s">
        <v>2094</v>
      </c>
      <c r="J8" s="1" t="s">
        <v>1145</v>
      </c>
      <c r="K8" s="1" t="s">
        <v>947</v>
      </c>
      <c r="L8" s="1" t="s">
        <v>1533</v>
      </c>
      <c r="M8" s="1" t="s">
        <v>1533</v>
      </c>
      <c r="N8" s="1" t="s">
        <v>110</v>
      </c>
      <c r="O8" s="1" t="s">
        <v>110</v>
      </c>
      <c r="P8" s="1" t="s">
        <v>110</v>
      </c>
      <c r="Q8" s="5">
        <v>45516</v>
      </c>
      <c r="R8" s="1"/>
      <c r="S8" s="1"/>
      <c r="T8" s="1"/>
      <c r="U8" s="1"/>
      <c r="V8" s="1" t="s">
        <v>2146</v>
      </c>
      <c r="W8" s="4">
        <v>1</v>
      </c>
      <c r="X8" s="6">
        <v>18045.650000000001</v>
      </c>
      <c r="Y8" s="1" t="s">
        <v>1516</v>
      </c>
      <c r="Z8" s="1">
        <v>1</v>
      </c>
      <c r="AA8" s="6">
        <v>18045.650000000001</v>
      </c>
      <c r="AB8" s="1" t="s">
        <v>2167</v>
      </c>
      <c r="AC8" s="1" t="s">
        <v>2162</v>
      </c>
      <c r="AD8" s="1" t="s">
        <v>1100</v>
      </c>
      <c r="AE8" s="1" t="s">
        <v>2094</v>
      </c>
      <c r="AF8" s="1" t="s">
        <v>1186</v>
      </c>
      <c r="AG8" s="1" t="s">
        <v>1522</v>
      </c>
      <c r="AH8" s="6">
        <v>18045.650000000001</v>
      </c>
      <c r="AI8" s="6">
        <v>18045.650000000001</v>
      </c>
      <c r="AJ8" s="1" t="s">
        <v>1547</v>
      </c>
      <c r="AK8" s="1"/>
      <c r="AL8" s="1"/>
      <c r="AM8" s="1" t="s">
        <v>1547</v>
      </c>
      <c r="AN8" s="1" t="s">
        <v>827</v>
      </c>
      <c r="AO8" s="1"/>
      <c r="AP8" s="1" t="s">
        <v>51</v>
      </c>
      <c r="AQ8" s="1"/>
      <c r="AR8" s="1"/>
      <c r="AS8" s="2"/>
      <c r="AT8" s="1"/>
      <c r="AU8" s="1"/>
      <c r="AV8" s="1"/>
      <c r="AW8" s="1" t="s">
        <v>2152</v>
      </c>
      <c r="AX8" s="7">
        <v>45516.635921934823</v>
      </c>
      <c r="AY8" s="1" t="s">
        <v>1058</v>
      </c>
      <c r="AZ8" s="6">
        <v>18045.650000000001</v>
      </c>
      <c r="BA8" s="5">
        <v>45513</v>
      </c>
      <c r="BB8" s="5">
        <v>45627</v>
      </c>
      <c r="BC8" s="5">
        <v>45513</v>
      </c>
      <c r="BD8" s="5">
        <v>45513</v>
      </c>
      <c r="BE8" s="7">
        <v>45657</v>
      </c>
      <c r="BF8" s="1" t="s">
        <v>2170</v>
      </c>
      <c r="BG8" s="1"/>
      <c r="BH8" s="1" t="s">
        <v>1217</v>
      </c>
      <c r="BI8" s="1" t="s">
        <v>108</v>
      </c>
    </row>
    <row r="9" spans="1:61" x14ac:dyDescent="0.25">
      <c r="A9" s="4">
        <v>4</v>
      </c>
      <c r="B9" s="2" t="str">
        <f>HYPERLINK("https://my.zakupivli.pro/remote/dispatcher/state_purchase_view/52646588", "UA-2024-08-12-005599-a")</f>
        <v>UA-2024-08-12-005599-a</v>
      </c>
      <c r="C9" s="2" t="s">
        <v>1516</v>
      </c>
      <c r="D9" s="1" t="s">
        <v>1725</v>
      </c>
      <c r="E9" s="1" t="s">
        <v>1724</v>
      </c>
      <c r="F9" s="1" t="s">
        <v>603</v>
      </c>
      <c r="G9" s="1" t="s">
        <v>1035</v>
      </c>
      <c r="H9" s="1" t="s">
        <v>1218</v>
      </c>
      <c r="I9" s="1" t="s">
        <v>2094</v>
      </c>
      <c r="J9" s="1" t="s">
        <v>1145</v>
      </c>
      <c r="K9" s="1" t="s">
        <v>947</v>
      </c>
      <c r="L9" s="1" t="s">
        <v>1533</v>
      </c>
      <c r="M9" s="1" t="s">
        <v>1533</v>
      </c>
      <c r="N9" s="1" t="s">
        <v>110</v>
      </c>
      <c r="O9" s="1" t="s">
        <v>110</v>
      </c>
      <c r="P9" s="1" t="s">
        <v>110</v>
      </c>
      <c r="Q9" s="5">
        <v>45516</v>
      </c>
      <c r="R9" s="1"/>
      <c r="S9" s="1"/>
      <c r="T9" s="1"/>
      <c r="U9" s="1"/>
      <c r="V9" s="1" t="s">
        <v>2146</v>
      </c>
      <c r="W9" s="4">
        <v>1</v>
      </c>
      <c r="X9" s="6">
        <v>3467.7</v>
      </c>
      <c r="Y9" s="1" t="s">
        <v>1516</v>
      </c>
      <c r="Z9" s="1">
        <v>1</v>
      </c>
      <c r="AA9" s="6">
        <v>3467.7</v>
      </c>
      <c r="AB9" s="1" t="s">
        <v>2167</v>
      </c>
      <c r="AC9" s="1" t="s">
        <v>2162</v>
      </c>
      <c r="AD9" s="1" t="s">
        <v>1100</v>
      </c>
      <c r="AE9" s="1" t="s">
        <v>2094</v>
      </c>
      <c r="AF9" s="1" t="s">
        <v>1186</v>
      </c>
      <c r="AG9" s="1" t="s">
        <v>1522</v>
      </c>
      <c r="AH9" s="6">
        <v>3467.7</v>
      </c>
      <c r="AI9" s="6">
        <v>3467.7</v>
      </c>
      <c r="AJ9" s="1" t="s">
        <v>1547</v>
      </c>
      <c r="AK9" s="1"/>
      <c r="AL9" s="1"/>
      <c r="AM9" s="1" t="s">
        <v>1547</v>
      </c>
      <c r="AN9" s="1" t="s">
        <v>827</v>
      </c>
      <c r="AO9" s="1"/>
      <c r="AP9" s="1" t="s">
        <v>51</v>
      </c>
      <c r="AQ9" s="1"/>
      <c r="AR9" s="1"/>
      <c r="AS9" s="2"/>
      <c r="AT9" s="1"/>
      <c r="AU9" s="1"/>
      <c r="AV9" s="1"/>
      <c r="AW9" s="1" t="s">
        <v>2152</v>
      </c>
      <c r="AX9" s="7">
        <v>45516.572504743388</v>
      </c>
      <c r="AY9" s="1" t="s">
        <v>1060</v>
      </c>
      <c r="AZ9" s="6">
        <v>3467.7</v>
      </c>
      <c r="BA9" s="5">
        <v>45513</v>
      </c>
      <c r="BB9" s="5">
        <v>45627</v>
      </c>
      <c r="BC9" s="5">
        <v>45513</v>
      </c>
      <c r="BD9" s="5">
        <v>45513</v>
      </c>
      <c r="BE9" s="7">
        <v>45657</v>
      </c>
      <c r="BF9" s="1" t="s">
        <v>2170</v>
      </c>
      <c r="BG9" s="1"/>
      <c r="BH9" s="1" t="s">
        <v>1217</v>
      </c>
      <c r="BI9" s="1" t="s">
        <v>108</v>
      </c>
    </row>
    <row r="10" spans="1:61" x14ac:dyDescent="0.25">
      <c r="A10" s="4">
        <v>5</v>
      </c>
      <c r="B10" s="2" t="str">
        <f>HYPERLINK("https://my.zakupivli.pro/remote/dispatcher/state_purchase_view/52559203", "UA-2024-08-07-002218-a")</f>
        <v>UA-2024-08-07-002218-a</v>
      </c>
      <c r="C10" s="2" t="s">
        <v>1516</v>
      </c>
      <c r="D10" s="1" t="s">
        <v>1730</v>
      </c>
      <c r="E10" s="1" t="s">
        <v>1730</v>
      </c>
      <c r="F10" s="1" t="s">
        <v>603</v>
      </c>
      <c r="G10" s="1" t="s">
        <v>1035</v>
      </c>
      <c r="H10" s="1" t="s">
        <v>1218</v>
      </c>
      <c r="I10" s="1" t="s">
        <v>2094</v>
      </c>
      <c r="J10" s="1" t="s">
        <v>1145</v>
      </c>
      <c r="K10" s="1" t="s">
        <v>947</v>
      </c>
      <c r="L10" s="1" t="s">
        <v>1533</v>
      </c>
      <c r="M10" s="1" t="s">
        <v>1533</v>
      </c>
      <c r="N10" s="1" t="s">
        <v>110</v>
      </c>
      <c r="O10" s="1" t="s">
        <v>110</v>
      </c>
      <c r="P10" s="1" t="s">
        <v>110</v>
      </c>
      <c r="Q10" s="5">
        <v>45511</v>
      </c>
      <c r="R10" s="1"/>
      <c r="S10" s="1"/>
      <c r="T10" s="1"/>
      <c r="U10" s="1"/>
      <c r="V10" s="1" t="s">
        <v>2146</v>
      </c>
      <c r="W10" s="4">
        <v>1</v>
      </c>
      <c r="X10" s="6">
        <v>25676.7</v>
      </c>
      <c r="Y10" s="1" t="s">
        <v>1516</v>
      </c>
      <c r="Z10" s="1">
        <v>1</v>
      </c>
      <c r="AA10" s="6">
        <v>25676.7</v>
      </c>
      <c r="AB10" s="1" t="s">
        <v>2167</v>
      </c>
      <c r="AC10" s="1" t="s">
        <v>2162</v>
      </c>
      <c r="AD10" s="1" t="s">
        <v>1100</v>
      </c>
      <c r="AE10" s="1" t="s">
        <v>2094</v>
      </c>
      <c r="AF10" s="1" t="s">
        <v>1186</v>
      </c>
      <c r="AG10" s="1" t="s">
        <v>1522</v>
      </c>
      <c r="AH10" s="6">
        <v>25676.7</v>
      </c>
      <c r="AI10" s="6">
        <v>25676.7</v>
      </c>
      <c r="AJ10" s="1" t="s">
        <v>1547</v>
      </c>
      <c r="AK10" s="1"/>
      <c r="AL10" s="1"/>
      <c r="AM10" s="1" t="s">
        <v>1547</v>
      </c>
      <c r="AN10" s="1" t="s">
        <v>827</v>
      </c>
      <c r="AO10" s="1"/>
      <c r="AP10" s="1" t="s">
        <v>51</v>
      </c>
      <c r="AQ10" s="1"/>
      <c r="AR10" s="1"/>
      <c r="AS10" s="2"/>
      <c r="AT10" s="1"/>
      <c r="AU10" s="1"/>
      <c r="AV10" s="1"/>
      <c r="AW10" s="1" t="s">
        <v>2152</v>
      </c>
      <c r="AX10" s="7">
        <v>45511.436763609454</v>
      </c>
      <c r="AY10" s="1" t="s">
        <v>1048</v>
      </c>
      <c r="AZ10" s="6">
        <v>25676.7</v>
      </c>
      <c r="BA10" s="5">
        <v>45510</v>
      </c>
      <c r="BB10" s="5">
        <v>45627</v>
      </c>
      <c r="BC10" s="5">
        <v>45510</v>
      </c>
      <c r="BD10" s="5">
        <v>45510</v>
      </c>
      <c r="BE10" s="7">
        <v>45657</v>
      </c>
      <c r="BF10" s="1" t="s">
        <v>2170</v>
      </c>
      <c r="BG10" s="1"/>
      <c r="BH10" s="1" t="s">
        <v>1217</v>
      </c>
      <c r="BI10" s="1" t="s">
        <v>108</v>
      </c>
    </row>
    <row r="11" spans="1:61" x14ac:dyDescent="0.25">
      <c r="A11" s="4">
        <v>6</v>
      </c>
      <c r="B11" s="2" t="str">
        <f>HYPERLINK("https://my.zakupivli.pro/remote/dispatcher/state_purchase_view/52550891", "UA-2024-08-06-010371-a")</f>
        <v>UA-2024-08-06-010371-a</v>
      </c>
      <c r="C11" s="2" t="str">
        <f>HYPERLINK("https://my.zakupivli.pro/remote/dispatcher/state_purchase_lot_view/1355410", "UA-2024-08-06-010371-a-L1")</f>
        <v>UA-2024-08-06-010371-a-L1</v>
      </c>
      <c r="D11" s="1" t="s">
        <v>1296</v>
      </c>
      <c r="E11" s="1" t="s">
        <v>1295</v>
      </c>
      <c r="F11" s="1" t="s">
        <v>603</v>
      </c>
      <c r="G11" s="1" t="s">
        <v>973</v>
      </c>
      <c r="H11" s="1" t="s">
        <v>1185</v>
      </c>
      <c r="I11" s="1" t="s">
        <v>2094</v>
      </c>
      <c r="J11" s="1" t="s">
        <v>1145</v>
      </c>
      <c r="K11" s="1" t="s">
        <v>947</v>
      </c>
      <c r="L11" s="1" t="s">
        <v>1533</v>
      </c>
      <c r="M11" s="1" t="s">
        <v>1533</v>
      </c>
      <c r="N11" s="1" t="s">
        <v>110</v>
      </c>
      <c r="O11" s="1" t="s">
        <v>110</v>
      </c>
      <c r="P11" s="1" t="s">
        <v>110</v>
      </c>
      <c r="Q11" s="5">
        <v>45510</v>
      </c>
      <c r="R11" s="1" t="s">
        <v>683</v>
      </c>
      <c r="S11" s="1" t="s">
        <v>686</v>
      </c>
      <c r="T11" s="5">
        <v>45510</v>
      </c>
      <c r="U11" s="5">
        <v>45518</v>
      </c>
      <c r="V11" s="1" t="s">
        <v>2147</v>
      </c>
      <c r="W11" s="4">
        <v>1</v>
      </c>
      <c r="X11" s="6">
        <v>96801</v>
      </c>
      <c r="Y11" s="6">
        <v>96801</v>
      </c>
      <c r="Z11" s="1">
        <v>1</v>
      </c>
      <c r="AA11" s="6">
        <v>96801</v>
      </c>
      <c r="AB11" s="1" t="s">
        <v>2167</v>
      </c>
      <c r="AC11" s="6">
        <v>484.01</v>
      </c>
      <c r="AD11" s="1" t="s">
        <v>1100</v>
      </c>
      <c r="AE11" s="1" t="s">
        <v>2094</v>
      </c>
      <c r="AF11" s="1" t="s">
        <v>1186</v>
      </c>
      <c r="AG11" s="1" t="s">
        <v>1522</v>
      </c>
      <c r="AH11" s="6">
        <v>94375.039999999994</v>
      </c>
      <c r="AI11" s="6">
        <v>94375.039999999994</v>
      </c>
      <c r="AJ11" s="1" t="s">
        <v>2116</v>
      </c>
      <c r="AK11" s="6">
        <v>2425.9600000000064</v>
      </c>
      <c r="AL11" s="6">
        <v>2.5061311350089426E-2</v>
      </c>
      <c r="AM11" s="1" t="s">
        <v>2116</v>
      </c>
      <c r="AN11" s="1" t="s">
        <v>792</v>
      </c>
      <c r="AO11" s="1" t="s">
        <v>794</v>
      </c>
      <c r="AP11" s="1" t="s">
        <v>94</v>
      </c>
      <c r="AQ11" s="6">
        <v>2425.9600000000064</v>
      </c>
      <c r="AR11" s="6">
        <v>2.5061311350089426E-2</v>
      </c>
      <c r="AS11" s="2"/>
      <c r="AT11" s="7">
        <v>45519.663298949883</v>
      </c>
      <c r="AU11" s="1" t="s">
        <v>689</v>
      </c>
      <c r="AV11" s="1" t="s">
        <v>691</v>
      </c>
      <c r="AW11" s="1" t="s">
        <v>2151</v>
      </c>
      <c r="AX11" s="7">
        <v>45530.692152034295</v>
      </c>
      <c r="AY11" s="1" t="s">
        <v>1064</v>
      </c>
      <c r="AZ11" s="6">
        <v>94375.039999999994</v>
      </c>
      <c r="BA11" s="1"/>
      <c r="BB11" s="5">
        <v>45627</v>
      </c>
      <c r="BC11" s="5">
        <v>45530</v>
      </c>
      <c r="BD11" s="5">
        <v>45530</v>
      </c>
      <c r="BE11" s="7">
        <v>45657</v>
      </c>
      <c r="BF11" s="1" t="s">
        <v>2170</v>
      </c>
      <c r="BG11" s="1"/>
      <c r="BH11" s="1" t="s">
        <v>2111</v>
      </c>
      <c r="BI11" s="1" t="s">
        <v>793</v>
      </c>
    </row>
    <row r="12" spans="1:61" x14ac:dyDescent="0.25">
      <c r="A12" s="4">
        <v>7</v>
      </c>
      <c r="B12" s="2" t="str">
        <f>HYPERLINK("https://my.zakupivli.pro/remote/dispatcher/state_purchase_view/52546226", "UA-2024-08-06-008481-a")</f>
        <v>UA-2024-08-06-008481-a</v>
      </c>
      <c r="C12" s="2" t="str">
        <f>HYPERLINK("https://my.zakupivli.pro/remote/dispatcher/state_purchase_lot_view/1355145", "UA-2024-08-06-008481-a-L1")</f>
        <v>UA-2024-08-06-008481-a-L1</v>
      </c>
      <c r="D12" s="1" t="s">
        <v>1261</v>
      </c>
      <c r="E12" s="1" t="s">
        <v>1260</v>
      </c>
      <c r="F12" s="1" t="s">
        <v>603</v>
      </c>
      <c r="G12" s="1" t="s">
        <v>967</v>
      </c>
      <c r="H12" s="1" t="s">
        <v>1185</v>
      </c>
      <c r="I12" s="1" t="s">
        <v>2094</v>
      </c>
      <c r="J12" s="1" t="s">
        <v>1145</v>
      </c>
      <c r="K12" s="1" t="s">
        <v>947</v>
      </c>
      <c r="L12" s="1" t="s">
        <v>1533</v>
      </c>
      <c r="M12" s="1" t="s">
        <v>1533</v>
      </c>
      <c r="N12" s="1" t="s">
        <v>110</v>
      </c>
      <c r="O12" s="1" t="s">
        <v>110</v>
      </c>
      <c r="P12" s="1" t="s">
        <v>110</v>
      </c>
      <c r="Q12" s="5">
        <v>45510</v>
      </c>
      <c r="R12" s="1" t="s">
        <v>683</v>
      </c>
      <c r="S12" s="1" t="s">
        <v>686</v>
      </c>
      <c r="T12" s="5">
        <v>45510</v>
      </c>
      <c r="U12" s="5">
        <v>45518</v>
      </c>
      <c r="V12" s="1" t="s">
        <v>2147</v>
      </c>
      <c r="W12" s="4">
        <v>1</v>
      </c>
      <c r="X12" s="6">
        <v>299901</v>
      </c>
      <c r="Y12" s="6">
        <v>299901</v>
      </c>
      <c r="Z12" s="1">
        <v>1</v>
      </c>
      <c r="AA12" s="6">
        <v>299901</v>
      </c>
      <c r="AB12" s="1" t="s">
        <v>2167</v>
      </c>
      <c r="AC12" s="6">
        <v>1499.51</v>
      </c>
      <c r="AD12" s="1" t="s">
        <v>1100</v>
      </c>
      <c r="AE12" s="1" t="s">
        <v>2094</v>
      </c>
      <c r="AF12" s="1" t="s">
        <v>1186</v>
      </c>
      <c r="AG12" s="1" t="s">
        <v>1522</v>
      </c>
      <c r="AH12" s="6">
        <v>298577.95</v>
      </c>
      <c r="AI12" s="6">
        <v>298577.95</v>
      </c>
      <c r="AJ12" s="1" t="s">
        <v>2050</v>
      </c>
      <c r="AK12" s="6">
        <v>1323.0499999999884</v>
      </c>
      <c r="AL12" s="6">
        <v>4.4116225020923187E-3</v>
      </c>
      <c r="AM12" s="1" t="s">
        <v>2050</v>
      </c>
      <c r="AN12" s="1" t="s">
        <v>954</v>
      </c>
      <c r="AO12" s="1" t="s">
        <v>1129</v>
      </c>
      <c r="AP12" s="1" t="s">
        <v>74</v>
      </c>
      <c r="AQ12" s="6">
        <v>1323.0499999999884</v>
      </c>
      <c r="AR12" s="6">
        <v>4.4116225020923187E-3</v>
      </c>
      <c r="AS12" s="2"/>
      <c r="AT12" s="7">
        <v>45519.668546083434</v>
      </c>
      <c r="AU12" s="1" t="s">
        <v>689</v>
      </c>
      <c r="AV12" s="1" t="s">
        <v>691</v>
      </c>
      <c r="AW12" s="1" t="s">
        <v>2151</v>
      </c>
      <c r="AX12" s="7">
        <v>45530.694728652154</v>
      </c>
      <c r="AY12" s="1" t="s">
        <v>1065</v>
      </c>
      <c r="AZ12" s="6">
        <v>298577.95</v>
      </c>
      <c r="BA12" s="1"/>
      <c r="BB12" s="5">
        <v>45627</v>
      </c>
      <c r="BC12" s="5">
        <v>45530</v>
      </c>
      <c r="BD12" s="5">
        <v>45530</v>
      </c>
      <c r="BE12" s="7">
        <v>45657</v>
      </c>
      <c r="BF12" s="1" t="s">
        <v>2170</v>
      </c>
      <c r="BG12" s="1"/>
      <c r="BH12" s="1"/>
      <c r="BI12" s="1" t="s">
        <v>955</v>
      </c>
    </row>
    <row r="13" spans="1:61" x14ac:dyDescent="0.25">
      <c r="A13" s="4">
        <v>8</v>
      </c>
      <c r="B13" s="2" t="str">
        <f>HYPERLINK("https://my.zakupivli.pro/remote/dispatcher/state_purchase_view/52417153", "UA-2024-07-30-004556-a")</f>
        <v>UA-2024-07-30-004556-a</v>
      </c>
      <c r="C13" s="2" t="s">
        <v>1516</v>
      </c>
      <c r="D13" s="1" t="s">
        <v>1699</v>
      </c>
      <c r="E13" s="1" t="s">
        <v>1692</v>
      </c>
      <c r="F13" s="1" t="s">
        <v>603</v>
      </c>
      <c r="G13" s="1" t="s">
        <v>990</v>
      </c>
      <c r="H13" s="1" t="s">
        <v>1218</v>
      </c>
      <c r="I13" s="1" t="s">
        <v>2094</v>
      </c>
      <c r="J13" s="1" t="s">
        <v>1145</v>
      </c>
      <c r="K13" s="1" t="s">
        <v>947</v>
      </c>
      <c r="L13" s="1" t="s">
        <v>1533</v>
      </c>
      <c r="M13" s="1" t="s">
        <v>1533</v>
      </c>
      <c r="N13" s="1" t="s">
        <v>110</v>
      </c>
      <c r="O13" s="1" t="s">
        <v>110</v>
      </c>
      <c r="P13" s="1" t="s">
        <v>110</v>
      </c>
      <c r="Q13" s="5">
        <v>45503</v>
      </c>
      <c r="R13" s="1"/>
      <c r="S13" s="1"/>
      <c r="T13" s="1"/>
      <c r="U13" s="1"/>
      <c r="V13" s="1" t="s">
        <v>2146</v>
      </c>
      <c r="W13" s="4">
        <v>1</v>
      </c>
      <c r="X13" s="6">
        <v>34344</v>
      </c>
      <c r="Y13" s="1" t="s">
        <v>1516</v>
      </c>
      <c r="Z13" s="1">
        <v>1</v>
      </c>
      <c r="AA13" s="6">
        <v>34344</v>
      </c>
      <c r="AB13" s="1" t="s">
        <v>2167</v>
      </c>
      <c r="AC13" s="1" t="s">
        <v>2162</v>
      </c>
      <c r="AD13" s="1" t="s">
        <v>1100</v>
      </c>
      <c r="AE13" s="1" t="s">
        <v>2094</v>
      </c>
      <c r="AF13" s="1" t="s">
        <v>1186</v>
      </c>
      <c r="AG13" s="1" t="s">
        <v>1522</v>
      </c>
      <c r="AH13" s="6">
        <v>34344</v>
      </c>
      <c r="AI13" s="6">
        <v>34344</v>
      </c>
      <c r="AJ13" s="1" t="s">
        <v>2085</v>
      </c>
      <c r="AK13" s="1"/>
      <c r="AL13" s="1"/>
      <c r="AM13" s="1" t="s">
        <v>2085</v>
      </c>
      <c r="AN13" s="1" t="s">
        <v>803</v>
      </c>
      <c r="AO13" s="1"/>
      <c r="AP13" s="1" t="s">
        <v>29</v>
      </c>
      <c r="AQ13" s="1"/>
      <c r="AR13" s="1"/>
      <c r="AS13" s="2"/>
      <c r="AT13" s="1"/>
      <c r="AU13" s="1"/>
      <c r="AV13" s="1"/>
      <c r="AW13" s="1" t="s">
        <v>2152</v>
      </c>
      <c r="AX13" s="7">
        <v>45503.524911817884</v>
      </c>
      <c r="AY13" s="1" t="s">
        <v>1032</v>
      </c>
      <c r="AZ13" s="6">
        <v>34344</v>
      </c>
      <c r="BA13" s="5">
        <v>45499</v>
      </c>
      <c r="BB13" s="5">
        <v>45504</v>
      </c>
      <c r="BC13" s="5">
        <v>45499</v>
      </c>
      <c r="BD13" s="5">
        <v>45499</v>
      </c>
      <c r="BE13" s="7">
        <v>45657</v>
      </c>
      <c r="BF13" s="1" t="s">
        <v>2170</v>
      </c>
      <c r="BG13" s="1"/>
      <c r="BH13" s="1" t="s">
        <v>1217</v>
      </c>
      <c r="BI13" s="1" t="s">
        <v>108</v>
      </c>
    </row>
    <row r="14" spans="1:61" x14ac:dyDescent="0.25">
      <c r="A14" s="4">
        <v>9</v>
      </c>
      <c r="B14" s="2" t="str">
        <f>HYPERLINK("https://my.zakupivli.pro/remote/dispatcher/state_purchase_view/52417717", "UA-2024-07-30-004805-a")</f>
        <v>UA-2024-07-30-004805-a</v>
      </c>
      <c r="C14" s="2" t="s">
        <v>1516</v>
      </c>
      <c r="D14" s="1" t="s">
        <v>1699</v>
      </c>
      <c r="E14" s="1" t="s">
        <v>1698</v>
      </c>
      <c r="F14" s="1" t="s">
        <v>603</v>
      </c>
      <c r="G14" s="1" t="s">
        <v>990</v>
      </c>
      <c r="H14" s="1" t="s">
        <v>1218</v>
      </c>
      <c r="I14" s="1" t="s">
        <v>2094</v>
      </c>
      <c r="J14" s="1" t="s">
        <v>1145</v>
      </c>
      <c r="K14" s="1" t="s">
        <v>947</v>
      </c>
      <c r="L14" s="1" t="s">
        <v>1533</v>
      </c>
      <c r="M14" s="1" t="s">
        <v>1533</v>
      </c>
      <c r="N14" s="1" t="s">
        <v>110</v>
      </c>
      <c r="O14" s="1" t="s">
        <v>110</v>
      </c>
      <c r="P14" s="1" t="s">
        <v>110</v>
      </c>
      <c r="Q14" s="5">
        <v>45503</v>
      </c>
      <c r="R14" s="1"/>
      <c r="S14" s="1"/>
      <c r="T14" s="1"/>
      <c r="U14" s="1"/>
      <c r="V14" s="1" t="s">
        <v>2146</v>
      </c>
      <c r="W14" s="4">
        <v>1</v>
      </c>
      <c r="X14" s="6">
        <v>16688.400000000001</v>
      </c>
      <c r="Y14" s="1" t="s">
        <v>1516</v>
      </c>
      <c r="Z14" s="1">
        <v>1</v>
      </c>
      <c r="AA14" s="6">
        <v>16688.400000000001</v>
      </c>
      <c r="AB14" s="1" t="s">
        <v>2167</v>
      </c>
      <c r="AC14" s="1" t="s">
        <v>2162</v>
      </c>
      <c r="AD14" s="1" t="s">
        <v>1100</v>
      </c>
      <c r="AE14" s="1" t="s">
        <v>2094</v>
      </c>
      <c r="AF14" s="1" t="s">
        <v>1186</v>
      </c>
      <c r="AG14" s="1" t="s">
        <v>1522</v>
      </c>
      <c r="AH14" s="6">
        <v>16688.400000000001</v>
      </c>
      <c r="AI14" s="6">
        <v>16688.400000000001</v>
      </c>
      <c r="AJ14" s="1" t="s">
        <v>2085</v>
      </c>
      <c r="AK14" s="1"/>
      <c r="AL14" s="1"/>
      <c r="AM14" s="1" t="s">
        <v>2085</v>
      </c>
      <c r="AN14" s="1" t="s">
        <v>803</v>
      </c>
      <c r="AO14" s="1"/>
      <c r="AP14" s="1" t="s">
        <v>27</v>
      </c>
      <c r="AQ14" s="1"/>
      <c r="AR14" s="1"/>
      <c r="AS14" s="2"/>
      <c r="AT14" s="1"/>
      <c r="AU14" s="1"/>
      <c r="AV14" s="1"/>
      <c r="AW14" s="1" t="s">
        <v>2152</v>
      </c>
      <c r="AX14" s="7">
        <v>45503.540474346642</v>
      </c>
      <c r="AY14" s="1" t="s">
        <v>1029</v>
      </c>
      <c r="AZ14" s="6">
        <v>16688.400000000001</v>
      </c>
      <c r="BA14" s="5">
        <v>45499</v>
      </c>
      <c r="BB14" s="5">
        <v>45504</v>
      </c>
      <c r="BC14" s="5">
        <v>45499</v>
      </c>
      <c r="BD14" s="5">
        <v>45499</v>
      </c>
      <c r="BE14" s="7">
        <v>45657</v>
      </c>
      <c r="BF14" s="1" t="s">
        <v>2170</v>
      </c>
      <c r="BG14" s="1"/>
      <c r="BH14" s="1" t="s">
        <v>1217</v>
      </c>
      <c r="BI14" s="1" t="s">
        <v>108</v>
      </c>
    </row>
    <row r="15" spans="1:61" x14ac:dyDescent="0.25">
      <c r="A15" s="4">
        <v>10</v>
      </c>
      <c r="B15" s="2" t="str">
        <f>HYPERLINK("https://my.zakupivli.pro/remote/dispatcher/state_purchase_view/52416394", "UA-2024-07-30-004206-a")</f>
        <v>UA-2024-07-30-004206-a</v>
      </c>
      <c r="C15" s="2" t="s">
        <v>1516</v>
      </c>
      <c r="D15" s="1" t="s">
        <v>1699</v>
      </c>
      <c r="E15" s="1" t="s">
        <v>1695</v>
      </c>
      <c r="F15" s="1" t="s">
        <v>603</v>
      </c>
      <c r="G15" s="1" t="s">
        <v>990</v>
      </c>
      <c r="H15" s="1" t="s">
        <v>1218</v>
      </c>
      <c r="I15" s="1" t="s">
        <v>2094</v>
      </c>
      <c r="J15" s="1" t="s">
        <v>1145</v>
      </c>
      <c r="K15" s="1" t="s">
        <v>947</v>
      </c>
      <c r="L15" s="1" t="s">
        <v>1533</v>
      </c>
      <c r="M15" s="1" t="s">
        <v>1533</v>
      </c>
      <c r="N15" s="1" t="s">
        <v>110</v>
      </c>
      <c r="O15" s="1" t="s">
        <v>110</v>
      </c>
      <c r="P15" s="1" t="s">
        <v>110</v>
      </c>
      <c r="Q15" s="5">
        <v>45503</v>
      </c>
      <c r="R15" s="1"/>
      <c r="S15" s="1"/>
      <c r="T15" s="1"/>
      <c r="U15" s="1"/>
      <c r="V15" s="1" t="s">
        <v>2146</v>
      </c>
      <c r="W15" s="4">
        <v>1</v>
      </c>
      <c r="X15" s="6">
        <v>7496.88</v>
      </c>
      <c r="Y15" s="1" t="s">
        <v>1516</v>
      </c>
      <c r="Z15" s="1">
        <v>1</v>
      </c>
      <c r="AA15" s="6">
        <v>7496.88</v>
      </c>
      <c r="AB15" s="1" t="s">
        <v>2167</v>
      </c>
      <c r="AC15" s="1" t="s">
        <v>2162</v>
      </c>
      <c r="AD15" s="1" t="s">
        <v>1100</v>
      </c>
      <c r="AE15" s="1" t="s">
        <v>2094</v>
      </c>
      <c r="AF15" s="1" t="s">
        <v>1186</v>
      </c>
      <c r="AG15" s="1" t="s">
        <v>1522</v>
      </c>
      <c r="AH15" s="6">
        <v>7496.88</v>
      </c>
      <c r="AI15" s="6">
        <v>7496.88</v>
      </c>
      <c r="AJ15" s="1" t="s">
        <v>2085</v>
      </c>
      <c r="AK15" s="1"/>
      <c r="AL15" s="1"/>
      <c r="AM15" s="1" t="s">
        <v>2085</v>
      </c>
      <c r="AN15" s="1" t="s">
        <v>803</v>
      </c>
      <c r="AO15" s="1"/>
      <c r="AP15" s="1" t="s">
        <v>8</v>
      </c>
      <c r="AQ15" s="1"/>
      <c r="AR15" s="1"/>
      <c r="AS15" s="2"/>
      <c r="AT15" s="1"/>
      <c r="AU15" s="1"/>
      <c r="AV15" s="1"/>
      <c r="AW15" s="1" t="s">
        <v>2152</v>
      </c>
      <c r="AX15" s="7">
        <v>45503.507742652466</v>
      </c>
      <c r="AY15" s="1" t="s">
        <v>1033</v>
      </c>
      <c r="AZ15" s="6">
        <v>7496.88</v>
      </c>
      <c r="BA15" s="5">
        <v>45499</v>
      </c>
      <c r="BB15" s="5">
        <v>45504</v>
      </c>
      <c r="BC15" s="5">
        <v>45499</v>
      </c>
      <c r="BD15" s="5">
        <v>45499</v>
      </c>
      <c r="BE15" s="7">
        <v>45657</v>
      </c>
      <c r="BF15" s="1" t="s">
        <v>2170</v>
      </c>
      <c r="BG15" s="1"/>
      <c r="BH15" s="1"/>
      <c r="BI15" s="1" t="s">
        <v>108</v>
      </c>
    </row>
    <row r="16" spans="1:61" x14ac:dyDescent="0.25">
      <c r="A16" s="4">
        <v>11</v>
      </c>
      <c r="B16" s="2" t="str">
        <f>HYPERLINK("https://my.zakupivli.pro/remote/dispatcher/state_purchase_view/52393295", "UA-2024-07-29-004609-a")</f>
        <v>UA-2024-07-29-004609-a</v>
      </c>
      <c r="C16" s="2" t="str">
        <f>HYPERLINK("https://my.zakupivli.pro/remote/dispatcher/state_purchase_lot_view/1347902", "UA-2024-07-29-004609-a-L1")</f>
        <v>UA-2024-07-29-004609-a-L1</v>
      </c>
      <c r="D16" s="1" t="s">
        <v>1268</v>
      </c>
      <c r="E16" s="1" t="s">
        <v>1267</v>
      </c>
      <c r="F16" s="1" t="s">
        <v>603</v>
      </c>
      <c r="G16" s="1" t="s">
        <v>995</v>
      </c>
      <c r="H16" s="1" t="s">
        <v>1185</v>
      </c>
      <c r="I16" s="1" t="s">
        <v>2094</v>
      </c>
      <c r="J16" s="1" t="s">
        <v>1145</v>
      </c>
      <c r="K16" s="1" t="s">
        <v>947</v>
      </c>
      <c r="L16" s="1" t="s">
        <v>1533</v>
      </c>
      <c r="M16" s="1" t="s">
        <v>1533</v>
      </c>
      <c r="N16" s="1" t="s">
        <v>110</v>
      </c>
      <c r="O16" s="1" t="s">
        <v>110</v>
      </c>
      <c r="P16" s="1" t="s">
        <v>110</v>
      </c>
      <c r="Q16" s="5">
        <v>45502</v>
      </c>
      <c r="R16" s="1" t="s">
        <v>676</v>
      </c>
      <c r="S16" s="1" t="s">
        <v>681</v>
      </c>
      <c r="T16" s="5">
        <v>45502</v>
      </c>
      <c r="U16" s="5">
        <v>45510</v>
      </c>
      <c r="V16" s="7">
        <v>45510.604143518518</v>
      </c>
      <c r="W16" s="4">
        <v>0</v>
      </c>
      <c r="X16" s="6">
        <v>226536</v>
      </c>
      <c r="Y16" s="6">
        <v>226536</v>
      </c>
      <c r="Z16" s="1">
        <v>1</v>
      </c>
      <c r="AA16" s="6">
        <v>226536</v>
      </c>
      <c r="AB16" s="1" t="s">
        <v>2167</v>
      </c>
      <c r="AC16" s="6">
        <v>1132.68</v>
      </c>
      <c r="AD16" s="1" t="s">
        <v>1100</v>
      </c>
      <c r="AE16" s="1" t="s">
        <v>2094</v>
      </c>
      <c r="AF16" s="1" t="s">
        <v>1186</v>
      </c>
      <c r="AG16" s="1" t="s">
        <v>1522</v>
      </c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2"/>
      <c r="AT16" s="1"/>
      <c r="AU16" s="1"/>
      <c r="AV16" s="1"/>
      <c r="AW16" s="1" t="s">
        <v>2168</v>
      </c>
      <c r="AX16" s="1" t="s">
        <v>109</v>
      </c>
      <c r="AY16" s="1"/>
      <c r="AZ16" s="1"/>
      <c r="BA16" s="1"/>
      <c r="BB16" s="5">
        <v>45566</v>
      </c>
      <c r="BC16" s="1" t="s">
        <v>109</v>
      </c>
      <c r="BD16" s="1" t="s">
        <v>109</v>
      </c>
      <c r="BE16" s="1"/>
      <c r="BF16" s="1"/>
      <c r="BG16" s="1"/>
      <c r="BH16" s="1"/>
      <c r="BI16" s="1"/>
    </row>
    <row r="17" spans="1:61" x14ac:dyDescent="0.25">
      <c r="A17" s="4">
        <v>12</v>
      </c>
      <c r="B17" s="2" t="str">
        <f>HYPERLINK("https://my.zakupivli.pro/remote/dispatcher/state_purchase_view/52396175", "UA-2024-07-29-005831-a")</f>
        <v>UA-2024-07-29-005831-a</v>
      </c>
      <c r="C17" s="2" t="str">
        <f>HYPERLINK("https://my.zakupivli.pro/remote/dispatcher/state_purchase_lot_view/1348006", "UA-2024-07-29-005831-a-L1")</f>
        <v>UA-2024-07-29-005831-a-L1</v>
      </c>
      <c r="D17" s="1" t="s">
        <v>1272</v>
      </c>
      <c r="E17" s="1" t="s">
        <v>1271</v>
      </c>
      <c r="F17" s="1" t="s">
        <v>603</v>
      </c>
      <c r="G17" s="1" t="s">
        <v>995</v>
      </c>
      <c r="H17" s="1" t="s">
        <v>1185</v>
      </c>
      <c r="I17" s="1" t="s">
        <v>2094</v>
      </c>
      <c r="J17" s="1" t="s">
        <v>1145</v>
      </c>
      <c r="K17" s="1" t="s">
        <v>947</v>
      </c>
      <c r="L17" s="1" t="s">
        <v>1533</v>
      </c>
      <c r="M17" s="1" t="s">
        <v>1533</v>
      </c>
      <c r="N17" s="1" t="s">
        <v>110</v>
      </c>
      <c r="O17" s="1" t="s">
        <v>110</v>
      </c>
      <c r="P17" s="1" t="s">
        <v>110</v>
      </c>
      <c r="Q17" s="5">
        <v>45502</v>
      </c>
      <c r="R17" s="1" t="s">
        <v>676</v>
      </c>
      <c r="S17" s="1" t="s">
        <v>681</v>
      </c>
      <c r="T17" s="5">
        <v>45502</v>
      </c>
      <c r="U17" s="5">
        <v>45510</v>
      </c>
      <c r="V17" s="7">
        <v>45510.655486111114</v>
      </c>
      <c r="W17" s="4">
        <v>0</v>
      </c>
      <c r="X17" s="6">
        <v>226536</v>
      </c>
      <c r="Y17" s="6">
        <v>226536</v>
      </c>
      <c r="Z17" s="1">
        <v>1</v>
      </c>
      <c r="AA17" s="6">
        <v>226536</v>
      </c>
      <c r="AB17" s="1" t="s">
        <v>2167</v>
      </c>
      <c r="AC17" s="6">
        <v>1132.68</v>
      </c>
      <c r="AD17" s="1" t="s">
        <v>1100</v>
      </c>
      <c r="AE17" s="1" t="s">
        <v>2094</v>
      </c>
      <c r="AF17" s="1" t="s">
        <v>1186</v>
      </c>
      <c r="AG17" s="1" t="s">
        <v>1522</v>
      </c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2"/>
      <c r="AT17" s="1"/>
      <c r="AU17" s="1"/>
      <c r="AV17" s="1"/>
      <c r="AW17" s="1" t="s">
        <v>2168</v>
      </c>
      <c r="AX17" s="1" t="s">
        <v>109</v>
      </c>
      <c r="AY17" s="1"/>
      <c r="AZ17" s="1"/>
      <c r="BA17" s="1"/>
      <c r="BB17" s="5">
        <v>45566</v>
      </c>
      <c r="BC17" s="1" t="s">
        <v>109</v>
      </c>
      <c r="BD17" s="1" t="s">
        <v>109</v>
      </c>
      <c r="BE17" s="1"/>
      <c r="BF17" s="1"/>
      <c r="BG17" s="1"/>
      <c r="BH17" s="1"/>
      <c r="BI17" s="1"/>
    </row>
    <row r="18" spans="1:61" x14ac:dyDescent="0.25">
      <c r="A18" s="4">
        <v>13</v>
      </c>
      <c r="B18" s="2" t="str">
        <f>HYPERLINK("https://my.zakupivli.pro/remote/dispatcher/state_purchase_view/52394615", "UA-2024-07-29-005240-a")</f>
        <v>UA-2024-07-29-005240-a</v>
      </c>
      <c r="C18" s="2" t="str">
        <f>HYPERLINK("https://my.zakupivli.pro/remote/dispatcher/state_purchase_lot_view/1347951", "UA-2024-07-29-005240-a-L1")</f>
        <v>UA-2024-07-29-005240-a-L1</v>
      </c>
      <c r="D18" s="1" t="s">
        <v>1270</v>
      </c>
      <c r="E18" s="1" t="s">
        <v>1269</v>
      </c>
      <c r="F18" s="1" t="s">
        <v>603</v>
      </c>
      <c r="G18" s="1" t="s">
        <v>995</v>
      </c>
      <c r="H18" s="1" t="s">
        <v>1185</v>
      </c>
      <c r="I18" s="1" t="s">
        <v>2094</v>
      </c>
      <c r="J18" s="1" t="s">
        <v>1145</v>
      </c>
      <c r="K18" s="1" t="s">
        <v>947</v>
      </c>
      <c r="L18" s="1" t="s">
        <v>1533</v>
      </c>
      <c r="M18" s="1" t="s">
        <v>1533</v>
      </c>
      <c r="N18" s="1" t="s">
        <v>110</v>
      </c>
      <c r="O18" s="1" t="s">
        <v>110</v>
      </c>
      <c r="P18" s="1" t="s">
        <v>110</v>
      </c>
      <c r="Q18" s="5">
        <v>45502</v>
      </c>
      <c r="R18" s="1" t="s">
        <v>676</v>
      </c>
      <c r="S18" s="1" t="s">
        <v>681</v>
      </c>
      <c r="T18" s="5">
        <v>45502</v>
      </c>
      <c r="U18" s="5">
        <v>45510</v>
      </c>
      <c r="V18" s="7">
        <v>45510.492060185185</v>
      </c>
      <c r="W18" s="4">
        <v>0</v>
      </c>
      <c r="X18" s="6">
        <v>226536</v>
      </c>
      <c r="Y18" s="6">
        <v>226536</v>
      </c>
      <c r="Z18" s="1">
        <v>1</v>
      </c>
      <c r="AA18" s="6">
        <v>226536</v>
      </c>
      <c r="AB18" s="1" t="s">
        <v>2167</v>
      </c>
      <c r="AC18" s="6">
        <v>1132.68</v>
      </c>
      <c r="AD18" s="1" t="s">
        <v>1100</v>
      </c>
      <c r="AE18" s="1" t="s">
        <v>2094</v>
      </c>
      <c r="AF18" s="1" t="s">
        <v>1186</v>
      </c>
      <c r="AG18" s="1" t="s">
        <v>1522</v>
      </c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2"/>
      <c r="AT18" s="1"/>
      <c r="AU18" s="1"/>
      <c r="AV18" s="1"/>
      <c r="AW18" s="1" t="s">
        <v>2168</v>
      </c>
      <c r="AX18" s="1" t="s">
        <v>109</v>
      </c>
      <c r="AY18" s="1"/>
      <c r="AZ18" s="1"/>
      <c r="BA18" s="1"/>
      <c r="BB18" s="5">
        <v>45566</v>
      </c>
      <c r="BC18" s="1" t="s">
        <v>109</v>
      </c>
      <c r="BD18" s="1" t="s">
        <v>109</v>
      </c>
      <c r="BE18" s="1"/>
      <c r="BF18" s="1"/>
      <c r="BG18" s="1"/>
      <c r="BH18" s="1"/>
      <c r="BI18" s="1"/>
    </row>
    <row r="19" spans="1:61" x14ac:dyDescent="0.25">
      <c r="A19" s="4">
        <v>14</v>
      </c>
      <c r="B19" s="2" t="str">
        <f>HYPERLINK("https://my.zakupivli.pro/remote/dispatcher/state_purchase_view/52389753", "UA-2024-07-29-003104-a")</f>
        <v>UA-2024-07-29-003104-a</v>
      </c>
      <c r="C19" s="2" t="s">
        <v>1516</v>
      </c>
      <c r="D19" s="1" t="s">
        <v>1729</v>
      </c>
      <c r="E19" s="1" t="s">
        <v>1729</v>
      </c>
      <c r="F19" s="1" t="s">
        <v>603</v>
      </c>
      <c r="G19" s="1" t="s">
        <v>1035</v>
      </c>
      <c r="H19" s="1" t="s">
        <v>1218</v>
      </c>
      <c r="I19" s="1" t="s">
        <v>2094</v>
      </c>
      <c r="J19" s="1" t="s">
        <v>1145</v>
      </c>
      <c r="K19" s="1" t="s">
        <v>947</v>
      </c>
      <c r="L19" s="1" t="s">
        <v>1533</v>
      </c>
      <c r="M19" s="1" t="s">
        <v>1533</v>
      </c>
      <c r="N19" s="1" t="s">
        <v>110</v>
      </c>
      <c r="O19" s="1" t="s">
        <v>110</v>
      </c>
      <c r="P19" s="1" t="s">
        <v>110</v>
      </c>
      <c r="Q19" s="5">
        <v>45502</v>
      </c>
      <c r="R19" s="1"/>
      <c r="S19" s="1"/>
      <c r="T19" s="1"/>
      <c r="U19" s="1"/>
      <c r="V19" s="1" t="s">
        <v>2146</v>
      </c>
      <c r="W19" s="4">
        <v>0</v>
      </c>
      <c r="X19" s="6">
        <v>2053.9</v>
      </c>
      <c r="Y19" s="1" t="s">
        <v>1516</v>
      </c>
      <c r="Z19" s="1">
        <v>1</v>
      </c>
      <c r="AA19" s="6">
        <v>2053.9</v>
      </c>
      <c r="AB19" s="1" t="s">
        <v>2167</v>
      </c>
      <c r="AC19" s="1" t="s">
        <v>2162</v>
      </c>
      <c r="AD19" s="1" t="s">
        <v>1100</v>
      </c>
      <c r="AE19" s="1" t="s">
        <v>2094</v>
      </c>
      <c r="AF19" s="1" t="s">
        <v>1186</v>
      </c>
      <c r="AG19" s="1" t="s">
        <v>1522</v>
      </c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2"/>
      <c r="AT19" s="1"/>
      <c r="AU19" s="1"/>
      <c r="AV19" s="1"/>
      <c r="AW19" s="1" t="s">
        <v>2164</v>
      </c>
      <c r="AX19" s="1" t="s">
        <v>109</v>
      </c>
      <c r="AY19" s="1"/>
      <c r="AZ19" s="1"/>
      <c r="BA19" s="5">
        <v>45498</v>
      </c>
      <c r="BB19" s="5">
        <v>45627</v>
      </c>
      <c r="BC19" s="1" t="s">
        <v>109</v>
      </c>
      <c r="BD19" s="1" t="s">
        <v>109</v>
      </c>
      <c r="BE19" s="1"/>
      <c r="BF19" s="1"/>
      <c r="BG19" s="1"/>
      <c r="BH19" s="1"/>
      <c r="BI19" s="1"/>
    </row>
    <row r="20" spans="1:61" x14ac:dyDescent="0.25">
      <c r="A20" s="4">
        <v>15</v>
      </c>
      <c r="B20" s="2" t="str">
        <f>HYPERLINK("https://my.zakupivli.pro/remote/dispatcher/state_purchase_view/52388273", "UA-2024-07-29-002418-a")</f>
        <v>UA-2024-07-29-002418-a</v>
      </c>
      <c r="C20" s="2" t="s">
        <v>1516</v>
      </c>
      <c r="D20" s="1" t="s">
        <v>1728</v>
      </c>
      <c r="E20" s="1" t="s">
        <v>1727</v>
      </c>
      <c r="F20" s="1" t="s">
        <v>603</v>
      </c>
      <c r="G20" s="1" t="s">
        <v>1035</v>
      </c>
      <c r="H20" s="1" t="s">
        <v>1218</v>
      </c>
      <c r="I20" s="1" t="s">
        <v>2094</v>
      </c>
      <c r="J20" s="1" t="s">
        <v>1145</v>
      </c>
      <c r="K20" s="1" t="s">
        <v>947</v>
      </c>
      <c r="L20" s="1" t="s">
        <v>1533</v>
      </c>
      <c r="M20" s="1" t="s">
        <v>1533</v>
      </c>
      <c r="N20" s="1" t="s">
        <v>110</v>
      </c>
      <c r="O20" s="1" t="s">
        <v>110</v>
      </c>
      <c r="P20" s="1" t="s">
        <v>110</v>
      </c>
      <c r="Q20" s="5">
        <v>45502</v>
      </c>
      <c r="R20" s="1"/>
      <c r="S20" s="1"/>
      <c r="T20" s="1"/>
      <c r="U20" s="1"/>
      <c r="V20" s="1" t="s">
        <v>2146</v>
      </c>
      <c r="W20" s="4">
        <v>1</v>
      </c>
      <c r="X20" s="6">
        <v>2614.16</v>
      </c>
      <c r="Y20" s="1" t="s">
        <v>1516</v>
      </c>
      <c r="Z20" s="1">
        <v>1</v>
      </c>
      <c r="AA20" s="6">
        <v>2614.16</v>
      </c>
      <c r="AB20" s="1" t="s">
        <v>2167</v>
      </c>
      <c r="AC20" s="1" t="s">
        <v>2162</v>
      </c>
      <c r="AD20" s="1" t="s">
        <v>1100</v>
      </c>
      <c r="AE20" s="1" t="s">
        <v>2094</v>
      </c>
      <c r="AF20" s="1" t="s">
        <v>1186</v>
      </c>
      <c r="AG20" s="1" t="s">
        <v>1522</v>
      </c>
      <c r="AH20" s="6">
        <v>2614.16</v>
      </c>
      <c r="AI20" s="6">
        <v>2614.16</v>
      </c>
      <c r="AJ20" s="1" t="s">
        <v>1547</v>
      </c>
      <c r="AK20" s="1"/>
      <c r="AL20" s="1"/>
      <c r="AM20" s="1" t="s">
        <v>1547</v>
      </c>
      <c r="AN20" s="1" t="s">
        <v>827</v>
      </c>
      <c r="AO20" s="1"/>
      <c r="AP20" s="1" t="s">
        <v>51</v>
      </c>
      <c r="AQ20" s="1"/>
      <c r="AR20" s="1"/>
      <c r="AS20" s="2"/>
      <c r="AT20" s="1"/>
      <c r="AU20" s="1"/>
      <c r="AV20" s="1"/>
      <c r="AW20" s="1" t="s">
        <v>2152</v>
      </c>
      <c r="AX20" s="7">
        <v>45502.45720193976</v>
      </c>
      <c r="AY20" s="1" t="s">
        <v>1028</v>
      </c>
      <c r="AZ20" s="6">
        <v>2614.16</v>
      </c>
      <c r="BA20" s="5">
        <v>45498</v>
      </c>
      <c r="BB20" s="5">
        <v>45627</v>
      </c>
      <c r="BC20" s="5">
        <v>45498</v>
      </c>
      <c r="BD20" s="5">
        <v>45498</v>
      </c>
      <c r="BE20" s="7">
        <v>45657</v>
      </c>
      <c r="BF20" s="1" t="s">
        <v>2170</v>
      </c>
      <c r="BG20" s="1"/>
      <c r="BH20" s="1" t="s">
        <v>1217</v>
      </c>
      <c r="BI20" s="1" t="s">
        <v>108</v>
      </c>
    </row>
    <row r="21" spans="1:61" x14ac:dyDescent="0.25">
      <c r="A21" s="4">
        <v>16</v>
      </c>
      <c r="B21" s="2" t="str">
        <f>HYPERLINK("https://my.zakupivli.pro/remote/dispatcher/state_purchase_view/52377901", "UA-2024-07-26-007652-a")</f>
        <v>UA-2024-07-26-007652-a</v>
      </c>
      <c r="C21" s="2" t="s">
        <v>1516</v>
      </c>
      <c r="D21" s="1" t="s">
        <v>1732</v>
      </c>
      <c r="E21" s="1" t="s">
        <v>1731</v>
      </c>
      <c r="F21" s="1" t="s">
        <v>603</v>
      </c>
      <c r="G21" s="1" t="s">
        <v>1035</v>
      </c>
      <c r="H21" s="1" t="s">
        <v>1218</v>
      </c>
      <c r="I21" s="1" t="s">
        <v>2094</v>
      </c>
      <c r="J21" s="1" t="s">
        <v>1145</v>
      </c>
      <c r="K21" s="1" t="s">
        <v>947</v>
      </c>
      <c r="L21" s="1" t="s">
        <v>1533</v>
      </c>
      <c r="M21" s="1" t="s">
        <v>1533</v>
      </c>
      <c r="N21" s="1" t="s">
        <v>110</v>
      </c>
      <c r="O21" s="1" t="s">
        <v>110</v>
      </c>
      <c r="P21" s="1" t="s">
        <v>110</v>
      </c>
      <c r="Q21" s="5">
        <v>45499</v>
      </c>
      <c r="R21" s="1"/>
      <c r="S21" s="1"/>
      <c r="T21" s="1"/>
      <c r="U21" s="1"/>
      <c r="V21" s="1" t="s">
        <v>2146</v>
      </c>
      <c r="W21" s="4">
        <v>1</v>
      </c>
      <c r="X21" s="6">
        <v>460.74</v>
      </c>
      <c r="Y21" s="1" t="s">
        <v>1516</v>
      </c>
      <c r="Z21" s="1">
        <v>1</v>
      </c>
      <c r="AA21" s="6">
        <v>460.74</v>
      </c>
      <c r="AB21" s="1" t="s">
        <v>2167</v>
      </c>
      <c r="AC21" s="1" t="s">
        <v>2162</v>
      </c>
      <c r="AD21" s="1" t="s">
        <v>1100</v>
      </c>
      <c r="AE21" s="1" t="s">
        <v>2094</v>
      </c>
      <c r="AF21" s="1" t="s">
        <v>1186</v>
      </c>
      <c r="AG21" s="1" t="s">
        <v>1522</v>
      </c>
      <c r="AH21" s="6">
        <v>460.74</v>
      </c>
      <c r="AI21" s="6">
        <v>460.74</v>
      </c>
      <c r="AJ21" s="1" t="s">
        <v>1547</v>
      </c>
      <c r="AK21" s="1"/>
      <c r="AL21" s="1"/>
      <c r="AM21" s="1" t="s">
        <v>1547</v>
      </c>
      <c r="AN21" s="1" t="s">
        <v>827</v>
      </c>
      <c r="AO21" s="1"/>
      <c r="AP21" s="1" t="s">
        <v>51</v>
      </c>
      <c r="AQ21" s="1"/>
      <c r="AR21" s="1"/>
      <c r="AS21" s="2"/>
      <c r="AT21" s="1"/>
      <c r="AU21" s="1"/>
      <c r="AV21" s="1"/>
      <c r="AW21" s="1" t="s">
        <v>2152</v>
      </c>
      <c r="AX21" s="7">
        <v>45499.655953007372</v>
      </c>
      <c r="AY21" s="1" t="s">
        <v>1025</v>
      </c>
      <c r="AZ21" s="6">
        <v>460.74</v>
      </c>
      <c r="BA21" s="5">
        <v>45498</v>
      </c>
      <c r="BB21" s="5">
        <v>45627</v>
      </c>
      <c r="BC21" s="5">
        <v>45498</v>
      </c>
      <c r="BD21" s="5">
        <v>45498</v>
      </c>
      <c r="BE21" s="7">
        <v>45657</v>
      </c>
      <c r="BF21" s="1" t="s">
        <v>2170</v>
      </c>
      <c r="BG21" s="1"/>
      <c r="BH21" s="1" t="s">
        <v>1217</v>
      </c>
      <c r="BI21" s="1" t="s">
        <v>108</v>
      </c>
    </row>
    <row r="22" spans="1:61" x14ac:dyDescent="0.25">
      <c r="A22" s="4">
        <v>17</v>
      </c>
      <c r="B22" s="2" t="str">
        <f>HYPERLINK("https://my.zakupivli.pro/remote/dispatcher/state_purchase_view/52363917", "UA-2024-07-26-001231-a")</f>
        <v>UA-2024-07-26-001231-a</v>
      </c>
      <c r="C22" s="2" t="str">
        <f>HYPERLINK("https://my.zakupivli.pro/remote/dispatcher/state_purchase_lot_view/1346302", "UA-2024-07-26-001231-a-L1")</f>
        <v>UA-2024-07-26-001231-a-L1</v>
      </c>
      <c r="D22" s="1" t="s">
        <v>1261</v>
      </c>
      <c r="E22" s="1" t="s">
        <v>1260</v>
      </c>
      <c r="F22" s="1" t="s">
        <v>603</v>
      </c>
      <c r="G22" s="1" t="s">
        <v>967</v>
      </c>
      <c r="H22" s="1" t="s">
        <v>1185</v>
      </c>
      <c r="I22" s="1" t="s">
        <v>2094</v>
      </c>
      <c r="J22" s="1" t="s">
        <v>1145</v>
      </c>
      <c r="K22" s="1" t="s">
        <v>947</v>
      </c>
      <c r="L22" s="1" t="s">
        <v>1533</v>
      </c>
      <c r="M22" s="1" t="s">
        <v>1533</v>
      </c>
      <c r="N22" s="1" t="s">
        <v>110</v>
      </c>
      <c r="O22" s="1" t="s">
        <v>110</v>
      </c>
      <c r="P22" s="1" t="s">
        <v>110</v>
      </c>
      <c r="Q22" s="5">
        <v>45499</v>
      </c>
      <c r="R22" s="1" t="s">
        <v>675</v>
      </c>
      <c r="S22" s="1" t="s">
        <v>680</v>
      </c>
      <c r="T22" s="5">
        <v>45499</v>
      </c>
      <c r="U22" s="5">
        <v>45509</v>
      </c>
      <c r="V22" s="1" t="s">
        <v>2147</v>
      </c>
      <c r="W22" s="4">
        <v>1</v>
      </c>
      <c r="X22" s="6">
        <v>299901</v>
      </c>
      <c r="Y22" s="6">
        <v>299901</v>
      </c>
      <c r="Z22" s="1">
        <v>1</v>
      </c>
      <c r="AA22" s="6">
        <v>299901</v>
      </c>
      <c r="AB22" s="1" t="s">
        <v>2167</v>
      </c>
      <c r="AC22" s="6">
        <v>1499.51</v>
      </c>
      <c r="AD22" s="1" t="s">
        <v>1100</v>
      </c>
      <c r="AE22" s="1" t="s">
        <v>2094</v>
      </c>
      <c r="AF22" s="1" t="s">
        <v>1186</v>
      </c>
      <c r="AG22" s="1" t="s">
        <v>1522</v>
      </c>
      <c r="AH22" s="6">
        <v>298577.95</v>
      </c>
      <c r="AI22" s="6">
        <v>298577.95</v>
      </c>
      <c r="AJ22" s="1" t="s">
        <v>2050</v>
      </c>
      <c r="AK22" s="6">
        <v>1323.0499999999884</v>
      </c>
      <c r="AL22" s="6">
        <v>4.4116225020923187E-3</v>
      </c>
      <c r="AM22" s="1"/>
      <c r="AN22" s="1"/>
      <c r="AO22" s="1"/>
      <c r="AP22" s="1"/>
      <c r="AQ22" s="1"/>
      <c r="AR22" s="1"/>
      <c r="AS22" s="2"/>
      <c r="AT22" s="7">
        <v>45510.535124724818</v>
      </c>
      <c r="AU22" s="1"/>
      <c r="AV22" s="1"/>
      <c r="AW22" s="1" t="s">
        <v>2153</v>
      </c>
      <c r="AX22" s="7">
        <v>45516.000032906479</v>
      </c>
      <c r="AY22" s="1"/>
      <c r="AZ22" s="1"/>
      <c r="BA22" s="1"/>
      <c r="BB22" s="5">
        <v>45627</v>
      </c>
      <c r="BC22" s="1" t="s">
        <v>109</v>
      </c>
      <c r="BD22" s="1" t="s">
        <v>109</v>
      </c>
      <c r="BE22" s="1"/>
      <c r="BF22" s="1"/>
      <c r="BG22" s="1"/>
      <c r="BH22" s="1"/>
      <c r="BI22" s="1" t="s">
        <v>955</v>
      </c>
    </row>
    <row r="23" spans="1:61" x14ac:dyDescent="0.25">
      <c r="A23" s="4">
        <v>18</v>
      </c>
      <c r="B23" s="2" t="str">
        <f>HYPERLINK("https://my.zakupivli.pro/remote/dispatcher/state_purchase_view/52362109", "UA-2024-07-26-000532-a")</f>
        <v>UA-2024-07-26-000532-a</v>
      </c>
      <c r="C23" s="2" t="str">
        <f>HYPERLINK("https://my.zakupivli.pro/remote/dispatcher/state_purchase_lot_view/1346246", "UA-2024-07-26-000532-a-L1")</f>
        <v>UA-2024-07-26-000532-a-L1</v>
      </c>
      <c r="D23" s="1" t="s">
        <v>1294</v>
      </c>
      <c r="E23" s="1" t="s">
        <v>1293</v>
      </c>
      <c r="F23" s="1" t="s">
        <v>603</v>
      </c>
      <c r="G23" s="1" t="s">
        <v>973</v>
      </c>
      <c r="H23" s="1" t="s">
        <v>1185</v>
      </c>
      <c r="I23" s="1" t="s">
        <v>2094</v>
      </c>
      <c r="J23" s="1" t="s">
        <v>1145</v>
      </c>
      <c r="K23" s="1" t="s">
        <v>947</v>
      </c>
      <c r="L23" s="1" t="s">
        <v>1533</v>
      </c>
      <c r="M23" s="1" t="s">
        <v>1533</v>
      </c>
      <c r="N23" s="1" t="s">
        <v>110</v>
      </c>
      <c r="O23" s="1" t="s">
        <v>110</v>
      </c>
      <c r="P23" s="1" t="s">
        <v>110</v>
      </c>
      <c r="Q23" s="5">
        <v>45499</v>
      </c>
      <c r="R23" s="1" t="s">
        <v>675</v>
      </c>
      <c r="S23" s="1" t="s">
        <v>680</v>
      </c>
      <c r="T23" s="5">
        <v>45499</v>
      </c>
      <c r="U23" s="5">
        <v>45509</v>
      </c>
      <c r="V23" s="1" t="s">
        <v>2147</v>
      </c>
      <c r="W23" s="4">
        <v>1</v>
      </c>
      <c r="X23" s="6">
        <v>257040</v>
      </c>
      <c r="Y23" s="6">
        <v>257040</v>
      </c>
      <c r="Z23" s="1">
        <v>1</v>
      </c>
      <c r="AA23" s="6">
        <v>257040</v>
      </c>
      <c r="AB23" s="1" t="s">
        <v>2167</v>
      </c>
      <c r="AC23" s="6">
        <v>1285.2</v>
      </c>
      <c r="AD23" s="1" t="s">
        <v>1100</v>
      </c>
      <c r="AE23" s="1" t="s">
        <v>2094</v>
      </c>
      <c r="AF23" s="1" t="s">
        <v>1186</v>
      </c>
      <c r="AG23" s="1" t="s">
        <v>1522</v>
      </c>
      <c r="AH23" s="6">
        <v>255656.11</v>
      </c>
      <c r="AI23" s="6">
        <v>255656.11</v>
      </c>
      <c r="AJ23" s="1" t="s">
        <v>2050</v>
      </c>
      <c r="AK23" s="6">
        <v>1383.890000000014</v>
      </c>
      <c r="AL23" s="6">
        <v>5.3839480236539602E-3</v>
      </c>
      <c r="AM23" s="1" t="s">
        <v>2050</v>
      </c>
      <c r="AN23" s="1" t="s">
        <v>954</v>
      </c>
      <c r="AO23" s="1" t="s">
        <v>1129</v>
      </c>
      <c r="AP23" s="1" t="s">
        <v>74</v>
      </c>
      <c r="AQ23" s="6">
        <v>1383.890000000014</v>
      </c>
      <c r="AR23" s="6">
        <v>5.3839480236539602E-3</v>
      </c>
      <c r="AS23" s="2"/>
      <c r="AT23" s="7">
        <v>45512.700412756953</v>
      </c>
      <c r="AU23" s="1" t="s">
        <v>687</v>
      </c>
      <c r="AV23" s="1" t="s">
        <v>690</v>
      </c>
      <c r="AW23" s="1" t="s">
        <v>2151</v>
      </c>
      <c r="AX23" s="7">
        <v>45518.415594241953</v>
      </c>
      <c r="AY23" s="1" t="s">
        <v>1061</v>
      </c>
      <c r="AZ23" s="6">
        <v>255656.11</v>
      </c>
      <c r="BA23" s="1"/>
      <c r="BB23" s="5">
        <v>45627</v>
      </c>
      <c r="BC23" s="5">
        <v>45518</v>
      </c>
      <c r="BD23" s="5">
        <v>45518</v>
      </c>
      <c r="BE23" s="7">
        <v>45657</v>
      </c>
      <c r="BF23" s="1" t="s">
        <v>2170</v>
      </c>
      <c r="BG23" s="1"/>
      <c r="BH23" s="1" t="s">
        <v>2111</v>
      </c>
      <c r="BI23" s="1" t="s">
        <v>955</v>
      </c>
    </row>
    <row r="24" spans="1:61" x14ac:dyDescent="0.25">
      <c r="A24" s="4">
        <v>19</v>
      </c>
      <c r="B24" s="2" t="str">
        <f>HYPERLINK("https://my.zakupivli.pro/remote/dispatcher/state_purchase_view/52357689", "UA-2024-07-25-009947-a")</f>
        <v>UA-2024-07-25-009947-a</v>
      </c>
      <c r="C24" s="2" t="str">
        <f>HYPERLINK("https://my.zakupivli.pro/remote/dispatcher/state_purchase_lot_view/1345946", "UA-2024-07-25-009947-a-L1")</f>
        <v>UA-2024-07-25-009947-a-L1</v>
      </c>
      <c r="D24" s="1" t="s">
        <v>1795</v>
      </c>
      <c r="E24" s="1" t="s">
        <v>1793</v>
      </c>
      <c r="F24" s="1" t="s">
        <v>603</v>
      </c>
      <c r="G24" s="1" t="s">
        <v>966</v>
      </c>
      <c r="H24" s="1" t="s">
        <v>1185</v>
      </c>
      <c r="I24" s="1" t="s">
        <v>2094</v>
      </c>
      <c r="J24" s="1" t="s">
        <v>1145</v>
      </c>
      <c r="K24" s="1" t="s">
        <v>947</v>
      </c>
      <c r="L24" s="1" t="s">
        <v>1533</v>
      </c>
      <c r="M24" s="1" t="s">
        <v>1533</v>
      </c>
      <c r="N24" s="1" t="s">
        <v>110</v>
      </c>
      <c r="O24" s="1" t="s">
        <v>110</v>
      </c>
      <c r="P24" s="1" t="s">
        <v>110</v>
      </c>
      <c r="Q24" s="5">
        <v>45498</v>
      </c>
      <c r="R24" s="1" t="s">
        <v>674</v>
      </c>
      <c r="S24" s="1" t="s">
        <v>677</v>
      </c>
      <c r="T24" s="5">
        <v>45498</v>
      </c>
      <c r="U24" s="5">
        <v>45506</v>
      </c>
      <c r="V24" s="1" t="s">
        <v>2147</v>
      </c>
      <c r="W24" s="4">
        <v>1</v>
      </c>
      <c r="X24" s="6">
        <v>310180</v>
      </c>
      <c r="Y24" s="6">
        <v>310180</v>
      </c>
      <c r="Z24" s="1">
        <v>1</v>
      </c>
      <c r="AA24" s="6">
        <v>310180</v>
      </c>
      <c r="AB24" s="1" t="s">
        <v>2167</v>
      </c>
      <c r="AC24" s="6">
        <v>1550.9</v>
      </c>
      <c r="AD24" s="1" t="s">
        <v>1100</v>
      </c>
      <c r="AE24" s="1" t="s">
        <v>2094</v>
      </c>
      <c r="AF24" s="1" t="s">
        <v>1186</v>
      </c>
      <c r="AG24" s="1" t="s">
        <v>1522</v>
      </c>
      <c r="AH24" s="6">
        <v>309618.01</v>
      </c>
      <c r="AI24" s="6">
        <v>309618.01</v>
      </c>
      <c r="AJ24" s="1" t="s">
        <v>2050</v>
      </c>
      <c r="AK24" s="6">
        <v>561.98999999999069</v>
      </c>
      <c r="AL24" s="6">
        <v>1.8118189438390312E-3</v>
      </c>
      <c r="AM24" s="1" t="s">
        <v>2050</v>
      </c>
      <c r="AN24" s="1" t="s">
        <v>954</v>
      </c>
      <c r="AO24" s="1" t="s">
        <v>1129</v>
      </c>
      <c r="AP24" s="1" t="s">
        <v>74</v>
      </c>
      <c r="AQ24" s="6">
        <v>561.98999999999069</v>
      </c>
      <c r="AR24" s="6">
        <v>1.8118189438390312E-3</v>
      </c>
      <c r="AS24" s="2"/>
      <c r="AT24" s="7">
        <v>45506.628053496192</v>
      </c>
      <c r="AU24" s="1" t="s">
        <v>684</v>
      </c>
      <c r="AV24" s="1" t="s">
        <v>688</v>
      </c>
      <c r="AW24" s="1" t="s">
        <v>2151</v>
      </c>
      <c r="AX24" s="7">
        <v>45512.447813969593</v>
      </c>
      <c r="AY24" s="1" t="s">
        <v>1053</v>
      </c>
      <c r="AZ24" s="6">
        <v>309618.01</v>
      </c>
      <c r="BA24" s="1"/>
      <c r="BB24" s="5">
        <v>45627</v>
      </c>
      <c r="BC24" s="5">
        <v>45512</v>
      </c>
      <c r="BD24" s="5">
        <v>45512</v>
      </c>
      <c r="BE24" s="7">
        <v>45657</v>
      </c>
      <c r="BF24" s="1" t="s">
        <v>2170</v>
      </c>
      <c r="BG24" s="1"/>
      <c r="BH24" s="1" t="s">
        <v>2111</v>
      </c>
      <c r="BI24" s="1" t="s">
        <v>955</v>
      </c>
    </row>
    <row r="25" spans="1:61" x14ac:dyDescent="0.25">
      <c r="A25" s="4">
        <v>20</v>
      </c>
      <c r="B25" s="2" t="str">
        <f>HYPERLINK("https://my.zakupivli.pro/remote/dispatcher/state_purchase_view/52329500", "UA-2024-07-24-008311-a")</f>
        <v>UA-2024-07-24-008311-a</v>
      </c>
      <c r="C25" s="2" t="str">
        <f>HYPERLINK("https://my.zakupivli.pro/remote/dispatcher/state_purchase_lot_view/1344608", "UA-2024-07-24-008311-a-L1")</f>
        <v>UA-2024-07-24-008311-a-L1</v>
      </c>
      <c r="D25" s="1" t="s">
        <v>1801</v>
      </c>
      <c r="E25" s="1" t="s">
        <v>1800</v>
      </c>
      <c r="F25" s="1" t="s">
        <v>603</v>
      </c>
      <c r="G25" s="1" t="s">
        <v>966</v>
      </c>
      <c r="H25" s="1" t="s">
        <v>1185</v>
      </c>
      <c r="I25" s="1" t="s">
        <v>2094</v>
      </c>
      <c r="J25" s="1" t="s">
        <v>1145</v>
      </c>
      <c r="K25" s="1" t="s">
        <v>947</v>
      </c>
      <c r="L25" s="1" t="s">
        <v>1533</v>
      </c>
      <c r="M25" s="1" t="s">
        <v>1533</v>
      </c>
      <c r="N25" s="1" t="s">
        <v>110</v>
      </c>
      <c r="O25" s="1" t="s">
        <v>110</v>
      </c>
      <c r="P25" s="1" t="s">
        <v>110</v>
      </c>
      <c r="Q25" s="5">
        <v>45497</v>
      </c>
      <c r="R25" s="1" t="s">
        <v>673</v>
      </c>
      <c r="S25" s="1" t="s">
        <v>676</v>
      </c>
      <c r="T25" s="5">
        <v>45497</v>
      </c>
      <c r="U25" s="5">
        <v>45505</v>
      </c>
      <c r="V25" s="1" t="s">
        <v>2147</v>
      </c>
      <c r="W25" s="4">
        <v>1</v>
      </c>
      <c r="X25" s="6">
        <v>1606834</v>
      </c>
      <c r="Y25" s="6">
        <v>1606834</v>
      </c>
      <c r="Z25" s="1">
        <v>1</v>
      </c>
      <c r="AA25" s="6">
        <v>1606834</v>
      </c>
      <c r="AB25" s="1" t="s">
        <v>2167</v>
      </c>
      <c r="AC25" s="6">
        <v>8034.17</v>
      </c>
      <c r="AD25" s="1" t="s">
        <v>1100</v>
      </c>
      <c r="AE25" s="1" t="s">
        <v>2094</v>
      </c>
      <c r="AF25" s="1" t="s">
        <v>1186</v>
      </c>
      <c r="AG25" s="1" t="s">
        <v>1522</v>
      </c>
      <c r="AH25" s="6">
        <v>1604398.36</v>
      </c>
      <c r="AI25" s="6">
        <v>1604398.36</v>
      </c>
      <c r="AJ25" s="1" t="s">
        <v>2050</v>
      </c>
      <c r="AK25" s="6">
        <v>2435.6399999998976</v>
      </c>
      <c r="AL25" s="6">
        <v>1.5158006365311523E-3</v>
      </c>
      <c r="AM25" s="1" t="s">
        <v>2050</v>
      </c>
      <c r="AN25" s="1" t="s">
        <v>954</v>
      </c>
      <c r="AO25" s="1" t="s">
        <v>1129</v>
      </c>
      <c r="AP25" s="1" t="s">
        <v>74</v>
      </c>
      <c r="AQ25" s="6">
        <v>2435.6399999998976</v>
      </c>
      <c r="AR25" s="6">
        <v>1.5158006365311523E-3</v>
      </c>
      <c r="AS25" s="2"/>
      <c r="AT25" s="7">
        <v>45506.696853356909</v>
      </c>
      <c r="AU25" s="1" t="s">
        <v>684</v>
      </c>
      <c r="AV25" s="1" t="s">
        <v>688</v>
      </c>
      <c r="AW25" s="1" t="s">
        <v>2151</v>
      </c>
      <c r="AX25" s="7">
        <v>45512.433683432602</v>
      </c>
      <c r="AY25" s="1" t="s">
        <v>1054</v>
      </c>
      <c r="AZ25" s="6">
        <v>1604398.36</v>
      </c>
      <c r="BA25" s="1"/>
      <c r="BB25" s="5">
        <v>45627</v>
      </c>
      <c r="BC25" s="5">
        <v>45512</v>
      </c>
      <c r="BD25" s="5">
        <v>45512</v>
      </c>
      <c r="BE25" s="7">
        <v>45657</v>
      </c>
      <c r="BF25" s="1" t="s">
        <v>2170</v>
      </c>
      <c r="BG25" s="1"/>
      <c r="BH25" s="1" t="s">
        <v>2111</v>
      </c>
      <c r="BI25" s="1" t="s">
        <v>955</v>
      </c>
    </row>
    <row r="26" spans="1:61" x14ac:dyDescent="0.25">
      <c r="A26" s="4">
        <v>21</v>
      </c>
      <c r="B26" s="2" t="str">
        <f>HYPERLINK("https://my.zakupivli.pro/remote/dispatcher/state_purchase_view/52175052", "UA-2024-07-16-001962-a")</f>
        <v>UA-2024-07-16-001962-a</v>
      </c>
      <c r="C26" s="2" t="str">
        <f>HYPERLINK("https://my.zakupivli.pro/remote/dispatcher/state_purchase_lot_view/1336905", "UA-2024-07-16-001962-a-L1")</f>
        <v>UA-2024-07-16-001962-a-L1</v>
      </c>
      <c r="D26" s="1" t="s">
        <v>1268</v>
      </c>
      <c r="E26" s="1" t="s">
        <v>1267</v>
      </c>
      <c r="F26" s="1" t="s">
        <v>603</v>
      </c>
      <c r="G26" s="1" t="s">
        <v>995</v>
      </c>
      <c r="H26" s="1" t="s">
        <v>1185</v>
      </c>
      <c r="I26" s="1" t="s">
        <v>2094</v>
      </c>
      <c r="J26" s="1" t="s">
        <v>1145</v>
      </c>
      <c r="K26" s="1" t="s">
        <v>947</v>
      </c>
      <c r="L26" s="1" t="s">
        <v>1533</v>
      </c>
      <c r="M26" s="1" t="s">
        <v>1533</v>
      </c>
      <c r="N26" s="1" t="s">
        <v>110</v>
      </c>
      <c r="O26" s="1" t="s">
        <v>110</v>
      </c>
      <c r="P26" s="1" t="s">
        <v>110</v>
      </c>
      <c r="Q26" s="5">
        <v>45489</v>
      </c>
      <c r="R26" s="1" t="s">
        <v>668</v>
      </c>
      <c r="S26" s="1" t="s">
        <v>672</v>
      </c>
      <c r="T26" s="5">
        <v>45489</v>
      </c>
      <c r="U26" s="5">
        <v>45497</v>
      </c>
      <c r="V26" s="1" t="s">
        <v>2148</v>
      </c>
      <c r="W26" s="4">
        <v>0</v>
      </c>
      <c r="X26" s="6">
        <v>226433</v>
      </c>
      <c r="Y26" s="6">
        <v>226433</v>
      </c>
      <c r="Z26" s="1">
        <v>1</v>
      </c>
      <c r="AA26" s="6">
        <v>226433</v>
      </c>
      <c r="AB26" s="1" t="s">
        <v>2167</v>
      </c>
      <c r="AC26" s="6">
        <v>1133.22</v>
      </c>
      <c r="AD26" s="1" t="s">
        <v>1100</v>
      </c>
      <c r="AE26" s="1" t="s">
        <v>2094</v>
      </c>
      <c r="AF26" s="1" t="s">
        <v>1186</v>
      </c>
      <c r="AG26" s="1" t="s">
        <v>1522</v>
      </c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2"/>
      <c r="AT26" s="1"/>
      <c r="AU26" s="1"/>
      <c r="AV26" s="1"/>
      <c r="AW26" s="1" t="s">
        <v>2171</v>
      </c>
      <c r="AX26" s="7">
        <v>45489.444331534294</v>
      </c>
      <c r="AY26" s="1"/>
      <c r="AZ26" s="1"/>
      <c r="BA26" s="1"/>
      <c r="BB26" s="5">
        <v>45566</v>
      </c>
      <c r="BC26" s="1" t="s">
        <v>109</v>
      </c>
      <c r="BD26" s="1" t="s">
        <v>109</v>
      </c>
      <c r="BE26" s="1"/>
      <c r="BF26" s="1"/>
      <c r="BG26" s="1"/>
      <c r="BH26" s="1"/>
      <c r="BI26" s="1"/>
    </row>
    <row r="27" spans="1:61" x14ac:dyDescent="0.25">
      <c r="A27" s="4">
        <v>22</v>
      </c>
      <c r="B27" s="2" t="str">
        <f>HYPERLINK("https://my.zakupivli.pro/remote/dispatcher/state_purchase_view/52185654", "UA-2024-07-16-006760-a")</f>
        <v>UA-2024-07-16-006760-a</v>
      </c>
      <c r="C27" s="2" t="str">
        <f>HYPERLINK("https://my.zakupivli.pro/remote/dispatcher/state_purchase_lot_view/1337346", "UA-2024-07-16-006760-a-L1")</f>
        <v>UA-2024-07-16-006760-a-L1</v>
      </c>
      <c r="D27" s="1" t="s">
        <v>1801</v>
      </c>
      <c r="E27" s="1" t="s">
        <v>1800</v>
      </c>
      <c r="F27" s="1" t="s">
        <v>603</v>
      </c>
      <c r="G27" s="1" t="s">
        <v>966</v>
      </c>
      <c r="H27" s="1" t="s">
        <v>1185</v>
      </c>
      <c r="I27" s="1" t="s">
        <v>2094</v>
      </c>
      <c r="J27" s="1" t="s">
        <v>1145</v>
      </c>
      <c r="K27" s="1" t="s">
        <v>947</v>
      </c>
      <c r="L27" s="1" t="s">
        <v>1533</v>
      </c>
      <c r="M27" s="1" t="s">
        <v>1533</v>
      </c>
      <c r="N27" s="1" t="s">
        <v>110</v>
      </c>
      <c r="O27" s="1" t="s">
        <v>110</v>
      </c>
      <c r="P27" s="1" t="s">
        <v>110</v>
      </c>
      <c r="Q27" s="5">
        <v>45489</v>
      </c>
      <c r="R27" s="1" t="s">
        <v>668</v>
      </c>
      <c r="S27" s="1" t="s">
        <v>672</v>
      </c>
      <c r="T27" s="5">
        <v>45489</v>
      </c>
      <c r="U27" s="5">
        <v>45497</v>
      </c>
      <c r="V27" s="1" t="s">
        <v>2147</v>
      </c>
      <c r="W27" s="4">
        <v>0</v>
      </c>
      <c r="X27" s="6">
        <v>1606834</v>
      </c>
      <c r="Y27" s="6">
        <v>1606834</v>
      </c>
      <c r="Z27" s="1">
        <v>1</v>
      </c>
      <c r="AA27" s="6">
        <v>1606834</v>
      </c>
      <c r="AB27" s="1" t="s">
        <v>2167</v>
      </c>
      <c r="AC27" s="6">
        <v>8034.71</v>
      </c>
      <c r="AD27" s="1" t="s">
        <v>1100</v>
      </c>
      <c r="AE27" s="1" t="s">
        <v>2094</v>
      </c>
      <c r="AF27" s="1" t="s">
        <v>1186</v>
      </c>
      <c r="AG27" s="1" t="s">
        <v>1522</v>
      </c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2"/>
      <c r="AT27" s="1"/>
      <c r="AU27" s="1"/>
      <c r="AV27" s="1"/>
      <c r="AW27" s="1" t="s">
        <v>2153</v>
      </c>
      <c r="AX27" s="7">
        <v>45497.000036600199</v>
      </c>
      <c r="AY27" s="1"/>
      <c r="AZ27" s="1"/>
      <c r="BA27" s="1"/>
      <c r="BB27" s="5">
        <v>45627</v>
      </c>
      <c r="BC27" s="1" t="s">
        <v>109</v>
      </c>
      <c r="BD27" s="1" t="s">
        <v>109</v>
      </c>
      <c r="BE27" s="1"/>
      <c r="BF27" s="1"/>
      <c r="BG27" s="1"/>
      <c r="BH27" s="1"/>
      <c r="BI27" s="1"/>
    </row>
    <row r="28" spans="1:61" x14ac:dyDescent="0.25">
      <c r="A28" s="4">
        <v>23</v>
      </c>
      <c r="B28" s="2" t="str">
        <f>HYPERLINK("https://my.zakupivli.pro/remote/dispatcher/state_purchase_view/52178717", "UA-2024-07-16-003549-a")</f>
        <v>UA-2024-07-16-003549-a</v>
      </c>
      <c r="C28" s="2" t="str">
        <f>HYPERLINK("https://my.zakupivli.pro/remote/dispatcher/state_purchase_lot_view/1337029", "UA-2024-07-16-003549-a-L1")</f>
        <v>UA-2024-07-16-003549-a-L1</v>
      </c>
      <c r="D28" s="1" t="s">
        <v>1272</v>
      </c>
      <c r="E28" s="1" t="s">
        <v>1271</v>
      </c>
      <c r="F28" s="1" t="s">
        <v>603</v>
      </c>
      <c r="G28" s="1" t="s">
        <v>995</v>
      </c>
      <c r="H28" s="1" t="s">
        <v>1185</v>
      </c>
      <c r="I28" s="1" t="s">
        <v>2094</v>
      </c>
      <c r="J28" s="1" t="s">
        <v>1145</v>
      </c>
      <c r="K28" s="1" t="s">
        <v>947</v>
      </c>
      <c r="L28" s="1" t="s">
        <v>1533</v>
      </c>
      <c r="M28" s="1" t="s">
        <v>1533</v>
      </c>
      <c r="N28" s="1" t="s">
        <v>110</v>
      </c>
      <c r="O28" s="1" t="s">
        <v>110</v>
      </c>
      <c r="P28" s="1" t="s">
        <v>110</v>
      </c>
      <c r="Q28" s="5">
        <v>45489</v>
      </c>
      <c r="R28" s="1" t="s">
        <v>668</v>
      </c>
      <c r="S28" s="1" t="s">
        <v>672</v>
      </c>
      <c r="T28" s="5">
        <v>45489</v>
      </c>
      <c r="U28" s="5">
        <v>45497</v>
      </c>
      <c r="V28" s="1" t="s">
        <v>2148</v>
      </c>
      <c r="W28" s="4">
        <v>0</v>
      </c>
      <c r="X28" s="6">
        <v>226433</v>
      </c>
      <c r="Y28" s="6">
        <v>226433</v>
      </c>
      <c r="Z28" s="1">
        <v>1</v>
      </c>
      <c r="AA28" s="6">
        <v>226433</v>
      </c>
      <c r="AB28" s="1" t="s">
        <v>2167</v>
      </c>
      <c r="AC28" s="6">
        <v>1132.22</v>
      </c>
      <c r="AD28" s="1" t="s">
        <v>1100</v>
      </c>
      <c r="AE28" s="1" t="s">
        <v>2094</v>
      </c>
      <c r="AF28" s="1" t="s">
        <v>1186</v>
      </c>
      <c r="AG28" s="1" t="s">
        <v>1522</v>
      </c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2"/>
      <c r="AT28" s="1"/>
      <c r="AU28" s="1"/>
      <c r="AV28" s="1"/>
      <c r="AW28" s="1" t="s">
        <v>2171</v>
      </c>
      <c r="AX28" s="7">
        <v>45489.497919664536</v>
      </c>
      <c r="AY28" s="1"/>
      <c r="AZ28" s="1"/>
      <c r="BA28" s="1"/>
      <c r="BB28" s="5">
        <v>45566</v>
      </c>
      <c r="BC28" s="1" t="s">
        <v>109</v>
      </c>
      <c r="BD28" s="1" t="s">
        <v>109</v>
      </c>
      <c r="BE28" s="1"/>
      <c r="BF28" s="1"/>
      <c r="BG28" s="1"/>
      <c r="BH28" s="1"/>
      <c r="BI28" s="1"/>
    </row>
    <row r="29" spans="1:61" x14ac:dyDescent="0.25">
      <c r="A29" s="4">
        <v>24</v>
      </c>
      <c r="B29" s="2" t="str">
        <f>HYPERLINK("https://my.zakupivli.pro/remote/dispatcher/state_purchase_view/52178260", "UA-2024-07-16-003364-a")</f>
        <v>UA-2024-07-16-003364-a</v>
      </c>
      <c r="C29" s="2" t="str">
        <f>HYPERLINK("https://my.zakupivli.pro/remote/dispatcher/state_purchase_lot_view/1337010", "UA-2024-07-16-003364-a-L1")</f>
        <v>UA-2024-07-16-003364-a-L1</v>
      </c>
      <c r="D29" s="1" t="s">
        <v>1270</v>
      </c>
      <c r="E29" s="1" t="s">
        <v>1269</v>
      </c>
      <c r="F29" s="1" t="s">
        <v>603</v>
      </c>
      <c r="G29" s="1" t="s">
        <v>995</v>
      </c>
      <c r="H29" s="1" t="s">
        <v>1185</v>
      </c>
      <c r="I29" s="1" t="s">
        <v>2094</v>
      </c>
      <c r="J29" s="1" t="s">
        <v>1145</v>
      </c>
      <c r="K29" s="1" t="s">
        <v>947</v>
      </c>
      <c r="L29" s="1" t="s">
        <v>1533</v>
      </c>
      <c r="M29" s="1" t="s">
        <v>1533</v>
      </c>
      <c r="N29" s="1" t="s">
        <v>110</v>
      </c>
      <c r="O29" s="1" t="s">
        <v>110</v>
      </c>
      <c r="P29" s="1" t="s">
        <v>110</v>
      </c>
      <c r="Q29" s="5">
        <v>45489</v>
      </c>
      <c r="R29" s="1" t="s">
        <v>668</v>
      </c>
      <c r="S29" s="1" t="s">
        <v>672</v>
      </c>
      <c r="T29" s="5">
        <v>45489</v>
      </c>
      <c r="U29" s="5">
        <v>45497</v>
      </c>
      <c r="V29" s="1" t="s">
        <v>2148</v>
      </c>
      <c r="W29" s="4">
        <v>0</v>
      </c>
      <c r="X29" s="6">
        <v>226433</v>
      </c>
      <c r="Y29" s="6">
        <v>226433</v>
      </c>
      <c r="Z29" s="1">
        <v>1</v>
      </c>
      <c r="AA29" s="6">
        <v>226433</v>
      </c>
      <c r="AB29" s="1" t="s">
        <v>2167</v>
      </c>
      <c r="AC29" s="6">
        <v>1132.22</v>
      </c>
      <c r="AD29" s="1" t="s">
        <v>1100</v>
      </c>
      <c r="AE29" s="1" t="s">
        <v>2094</v>
      </c>
      <c r="AF29" s="1" t="s">
        <v>1186</v>
      </c>
      <c r="AG29" s="1" t="s">
        <v>1522</v>
      </c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2"/>
      <c r="AT29" s="1"/>
      <c r="AU29" s="1"/>
      <c r="AV29" s="1"/>
      <c r="AW29" s="1" t="s">
        <v>2171</v>
      </c>
      <c r="AX29" s="7">
        <v>45489.491132277202</v>
      </c>
      <c r="AY29" s="1"/>
      <c r="AZ29" s="1"/>
      <c r="BA29" s="1"/>
      <c r="BB29" s="5">
        <v>45566</v>
      </c>
      <c r="BC29" s="1" t="s">
        <v>109</v>
      </c>
      <c r="BD29" s="1" t="s">
        <v>109</v>
      </c>
      <c r="BE29" s="1"/>
      <c r="BF29" s="1"/>
      <c r="BG29" s="1"/>
      <c r="BH29" s="1"/>
      <c r="BI29" s="1"/>
    </row>
    <row r="30" spans="1:61" x14ac:dyDescent="0.25">
      <c r="A30" s="4">
        <v>25</v>
      </c>
      <c r="B30" s="2" t="str">
        <f>HYPERLINK("https://my.zakupivli.pro/remote/dispatcher/state_purchase_view/52166985", "UA-2024-07-15-008180-a")</f>
        <v>UA-2024-07-15-008180-a</v>
      </c>
      <c r="C30" s="2" t="str">
        <f>HYPERLINK("https://my.zakupivli.pro/remote/dispatcher/state_purchase_lot_view/1336448", "UA-2024-07-15-008180-a-L1")</f>
        <v>UA-2024-07-15-008180-a-L1</v>
      </c>
      <c r="D30" s="1" t="s">
        <v>1240</v>
      </c>
      <c r="E30" s="1" t="s">
        <v>1239</v>
      </c>
      <c r="F30" s="1" t="s">
        <v>603</v>
      </c>
      <c r="G30" s="1" t="s">
        <v>976</v>
      </c>
      <c r="H30" s="1" t="s">
        <v>1185</v>
      </c>
      <c r="I30" s="1" t="s">
        <v>2094</v>
      </c>
      <c r="J30" s="1" t="s">
        <v>1145</v>
      </c>
      <c r="K30" s="1" t="s">
        <v>947</v>
      </c>
      <c r="L30" s="1" t="s">
        <v>1533</v>
      </c>
      <c r="M30" s="1" t="s">
        <v>1533</v>
      </c>
      <c r="N30" s="1" t="s">
        <v>110</v>
      </c>
      <c r="O30" s="1" t="s">
        <v>110</v>
      </c>
      <c r="P30" s="1" t="s">
        <v>110</v>
      </c>
      <c r="Q30" s="5">
        <v>45488</v>
      </c>
      <c r="R30" s="1" t="s">
        <v>667</v>
      </c>
      <c r="S30" s="1" t="s">
        <v>671</v>
      </c>
      <c r="T30" s="5">
        <v>45488</v>
      </c>
      <c r="U30" s="5">
        <v>45496</v>
      </c>
      <c r="V30" s="1" t="s">
        <v>2147</v>
      </c>
      <c r="W30" s="4">
        <v>1</v>
      </c>
      <c r="X30" s="6">
        <v>424577</v>
      </c>
      <c r="Y30" s="6">
        <v>424577</v>
      </c>
      <c r="Z30" s="1">
        <v>1</v>
      </c>
      <c r="AA30" s="6">
        <v>424577</v>
      </c>
      <c r="AB30" s="1" t="s">
        <v>2167</v>
      </c>
      <c r="AC30" s="6">
        <v>2122.89</v>
      </c>
      <c r="AD30" s="1" t="s">
        <v>1100</v>
      </c>
      <c r="AE30" s="1" t="s">
        <v>2094</v>
      </c>
      <c r="AF30" s="1" t="s">
        <v>1186</v>
      </c>
      <c r="AG30" s="1" t="s">
        <v>1522</v>
      </c>
      <c r="AH30" s="6">
        <v>424001.98</v>
      </c>
      <c r="AI30" s="6">
        <v>424001.98</v>
      </c>
      <c r="AJ30" s="1" t="s">
        <v>2116</v>
      </c>
      <c r="AK30" s="6">
        <v>575.02000000001863</v>
      </c>
      <c r="AL30" s="6">
        <v>1.3543361981454922E-3</v>
      </c>
      <c r="AM30" s="1" t="s">
        <v>2116</v>
      </c>
      <c r="AN30" s="1" t="s">
        <v>792</v>
      </c>
      <c r="AO30" s="1" t="s">
        <v>794</v>
      </c>
      <c r="AP30" s="1" t="s">
        <v>94</v>
      </c>
      <c r="AQ30" s="6">
        <v>575.02000000001863</v>
      </c>
      <c r="AR30" s="6">
        <v>1.3543361981454922E-3</v>
      </c>
      <c r="AS30" s="2"/>
      <c r="AT30" s="7">
        <v>45499.59949836367</v>
      </c>
      <c r="AU30" s="1" t="s">
        <v>679</v>
      </c>
      <c r="AV30" s="1" t="s">
        <v>686</v>
      </c>
      <c r="AW30" s="1" t="s">
        <v>2151</v>
      </c>
      <c r="AX30" s="7">
        <v>45505.507312134505</v>
      </c>
      <c r="AY30" s="1" t="s">
        <v>1044</v>
      </c>
      <c r="AZ30" s="6">
        <v>424001.98</v>
      </c>
      <c r="BA30" s="1"/>
      <c r="BB30" s="5">
        <v>45627</v>
      </c>
      <c r="BC30" s="5">
        <v>45505</v>
      </c>
      <c r="BD30" s="5">
        <v>45505</v>
      </c>
      <c r="BE30" s="7">
        <v>45657</v>
      </c>
      <c r="BF30" s="1" t="s">
        <v>2170</v>
      </c>
      <c r="BG30" s="1"/>
      <c r="BH30" s="1" t="s">
        <v>2111</v>
      </c>
      <c r="BI30" s="1" t="s">
        <v>793</v>
      </c>
    </row>
    <row r="31" spans="1:61" x14ac:dyDescent="0.25">
      <c r="A31" s="4">
        <v>26</v>
      </c>
      <c r="B31" s="2" t="str">
        <f>HYPERLINK("https://my.zakupivli.pro/remote/dispatcher/state_purchase_view/52168431", "UA-2024-07-15-008858-a")</f>
        <v>UA-2024-07-15-008858-a</v>
      </c>
      <c r="C31" s="2" t="str">
        <f>HYPERLINK("https://my.zakupivli.pro/remote/dispatcher/state_purchase_lot_view/1336541", "UA-2024-07-15-008858-a-L1")</f>
        <v>UA-2024-07-15-008858-a-L1</v>
      </c>
      <c r="D31" s="1" t="s">
        <v>1242</v>
      </c>
      <c r="E31" s="1" t="s">
        <v>1241</v>
      </c>
      <c r="F31" s="1" t="s">
        <v>603</v>
      </c>
      <c r="G31" s="1" t="s">
        <v>976</v>
      </c>
      <c r="H31" s="1" t="s">
        <v>1185</v>
      </c>
      <c r="I31" s="1" t="s">
        <v>2094</v>
      </c>
      <c r="J31" s="1" t="s">
        <v>1145</v>
      </c>
      <c r="K31" s="1" t="s">
        <v>947</v>
      </c>
      <c r="L31" s="1" t="s">
        <v>1533</v>
      </c>
      <c r="M31" s="1" t="s">
        <v>1533</v>
      </c>
      <c r="N31" s="1" t="s">
        <v>110</v>
      </c>
      <c r="O31" s="1" t="s">
        <v>110</v>
      </c>
      <c r="P31" s="1" t="s">
        <v>110</v>
      </c>
      <c r="Q31" s="5">
        <v>45488</v>
      </c>
      <c r="R31" s="1" t="s">
        <v>667</v>
      </c>
      <c r="S31" s="1" t="s">
        <v>671</v>
      </c>
      <c r="T31" s="5">
        <v>45488</v>
      </c>
      <c r="U31" s="5">
        <v>45496</v>
      </c>
      <c r="V31" s="1" t="s">
        <v>2147</v>
      </c>
      <c r="W31" s="4">
        <v>1</v>
      </c>
      <c r="X31" s="6">
        <v>406088</v>
      </c>
      <c r="Y31" s="6">
        <v>406088</v>
      </c>
      <c r="Z31" s="1">
        <v>1</v>
      </c>
      <c r="AA31" s="6">
        <v>406088</v>
      </c>
      <c r="AB31" s="1" t="s">
        <v>2167</v>
      </c>
      <c r="AC31" s="6">
        <v>2030.44</v>
      </c>
      <c r="AD31" s="1" t="s">
        <v>1100</v>
      </c>
      <c r="AE31" s="1" t="s">
        <v>2094</v>
      </c>
      <c r="AF31" s="1" t="s">
        <v>1186</v>
      </c>
      <c r="AG31" s="1" t="s">
        <v>1522</v>
      </c>
      <c r="AH31" s="6">
        <v>403352.19</v>
      </c>
      <c r="AI31" s="6">
        <v>403352.19</v>
      </c>
      <c r="AJ31" s="1" t="s">
        <v>2116</v>
      </c>
      <c r="AK31" s="6">
        <v>2735.8099999999977</v>
      </c>
      <c r="AL31" s="6">
        <v>6.7369880420007425E-3</v>
      </c>
      <c r="AM31" s="1" t="s">
        <v>2116</v>
      </c>
      <c r="AN31" s="1" t="s">
        <v>792</v>
      </c>
      <c r="AO31" s="1" t="s">
        <v>794</v>
      </c>
      <c r="AP31" s="1" t="s">
        <v>94</v>
      </c>
      <c r="AQ31" s="6">
        <v>2735.8099999999977</v>
      </c>
      <c r="AR31" s="6">
        <v>6.7369880420007425E-3</v>
      </c>
      <c r="AS31" s="2"/>
      <c r="AT31" s="7">
        <v>45499.610362657746</v>
      </c>
      <c r="AU31" s="1" t="s">
        <v>679</v>
      </c>
      <c r="AV31" s="1" t="s">
        <v>686</v>
      </c>
      <c r="AW31" s="1" t="s">
        <v>2151</v>
      </c>
      <c r="AX31" s="7">
        <v>45505.512429678289</v>
      </c>
      <c r="AY31" s="1" t="s">
        <v>1045</v>
      </c>
      <c r="AZ31" s="6">
        <v>403352.19</v>
      </c>
      <c r="BA31" s="1"/>
      <c r="BB31" s="5">
        <v>45627</v>
      </c>
      <c r="BC31" s="5">
        <v>45505</v>
      </c>
      <c r="BD31" s="5">
        <v>45505</v>
      </c>
      <c r="BE31" s="7">
        <v>45657</v>
      </c>
      <c r="BF31" s="1" t="s">
        <v>2170</v>
      </c>
      <c r="BG31" s="1"/>
      <c r="BH31" s="1" t="s">
        <v>2111</v>
      </c>
      <c r="BI31" s="1" t="s">
        <v>793</v>
      </c>
    </row>
    <row r="32" spans="1:61" x14ac:dyDescent="0.25">
      <c r="A32" s="4">
        <v>27</v>
      </c>
      <c r="B32" s="2" t="str">
        <f>HYPERLINK("https://my.zakupivli.pro/remote/dispatcher/state_purchase_view/52135896", "UA-2024-07-12-005176-a")</f>
        <v>UA-2024-07-12-005176-a</v>
      </c>
      <c r="C32" s="2" t="str">
        <f>HYPERLINK("https://my.zakupivli.pro/remote/dispatcher/state_purchase_lot_view/1334881", "UA-2024-07-12-005176-a-L1")</f>
        <v>UA-2024-07-12-005176-a-L1</v>
      </c>
      <c r="D32" s="1" t="s">
        <v>1261</v>
      </c>
      <c r="E32" s="1" t="s">
        <v>1260</v>
      </c>
      <c r="F32" s="1" t="s">
        <v>603</v>
      </c>
      <c r="G32" s="1" t="s">
        <v>967</v>
      </c>
      <c r="H32" s="1" t="s">
        <v>1185</v>
      </c>
      <c r="I32" s="1" t="s">
        <v>2094</v>
      </c>
      <c r="J32" s="1" t="s">
        <v>1145</v>
      </c>
      <c r="K32" s="1" t="s">
        <v>947</v>
      </c>
      <c r="L32" s="1" t="s">
        <v>1533</v>
      </c>
      <c r="M32" s="1" t="s">
        <v>1533</v>
      </c>
      <c r="N32" s="1" t="s">
        <v>110</v>
      </c>
      <c r="O32" s="1" t="s">
        <v>110</v>
      </c>
      <c r="P32" s="1" t="s">
        <v>110</v>
      </c>
      <c r="Q32" s="5">
        <v>45485</v>
      </c>
      <c r="R32" s="1" t="s">
        <v>666</v>
      </c>
      <c r="S32" s="1" t="s">
        <v>670</v>
      </c>
      <c r="T32" s="5">
        <v>45485</v>
      </c>
      <c r="U32" s="5">
        <v>45495</v>
      </c>
      <c r="V32" s="1" t="s">
        <v>2147</v>
      </c>
      <c r="W32" s="4">
        <v>1</v>
      </c>
      <c r="X32" s="6">
        <v>299901</v>
      </c>
      <c r="Y32" s="6">
        <v>299901</v>
      </c>
      <c r="Z32" s="1">
        <v>1</v>
      </c>
      <c r="AA32" s="6">
        <v>299901</v>
      </c>
      <c r="AB32" s="1" t="s">
        <v>2167</v>
      </c>
      <c r="AC32" s="6">
        <v>1499.51</v>
      </c>
      <c r="AD32" s="1" t="s">
        <v>1100</v>
      </c>
      <c r="AE32" s="1" t="s">
        <v>2094</v>
      </c>
      <c r="AF32" s="1" t="s">
        <v>1186</v>
      </c>
      <c r="AG32" s="1" t="s">
        <v>1522</v>
      </c>
      <c r="AH32" s="6">
        <v>298577.95</v>
      </c>
      <c r="AI32" s="6">
        <v>298577.95</v>
      </c>
      <c r="AJ32" s="1" t="s">
        <v>2050</v>
      </c>
      <c r="AK32" s="6">
        <v>1323.0499999999884</v>
      </c>
      <c r="AL32" s="6">
        <v>4.4116225020923187E-3</v>
      </c>
      <c r="AM32" s="1"/>
      <c r="AN32" s="1"/>
      <c r="AO32" s="1"/>
      <c r="AP32" s="1"/>
      <c r="AQ32" s="1"/>
      <c r="AR32" s="1"/>
      <c r="AS32" s="2"/>
      <c r="AT32" s="7">
        <v>45498.635918486965</v>
      </c>
      <c r="AU32" s="1"/>
      <c r="AV32" s="1"/>
      <c r="AW32" s="1" t="s">
        <v>2153</v>
      </c>
      <c r="AX32" s="7">
        <v>45504.000063111795</v>
      </c>
      <c r="AY32" s="1"/>
      <c r="AZ32" s="1"/>
      <c r="BA32" s="1"/>
      <c r="BB32" s="5">
        <v>45627</v>
      </c>
      <c r="BC32" s="1" t="s">
        <v>109</v>
      </c>
      <c r="BD32" s="1" t="s">
        <v>109</v>
      </c>
      <c r="BE32" s="1"/>
      <c r="BF32" s="1"/>
      <c r="BG32" s="1"/>
      <c r="BH32" s="1"/>
      <c r="BI32" s="1" t="s">
        <v>955</v>
      </c>
    </row>
    <row r="33" spans="1:61" x14ac:dyDescent="0.25">
      <c r="A33" s="4">
        <v>28</v>
      </c>
      <c r="B33" s="2" t="str">
        <f>HYPERLINK("https://my.zakupivli.pro/remote/dispatcher/state_purchase_view/52134979", "UA-2024-07-12-004911-a")</f>
        <v>UA-2024-07-12-004911-a</v>
      </c>
      <c r="C33" s="2" t="str">
        <f>HYPERLINK("https://my.zakupivli.pro/remote/dispatcher/state_purchase_lot_view/1334860", "UA-2024-07-12-004911-a-L1")</f>
        <v>UA-2024-07-12-004911-a-L1</v>
      </c>
      <c r="D33" s="1" t="s">
        <v>1259</v>
      </c>
      <c r="E33" s="1" t="s">
        <v>1258</v>
      </c>
      <c r="F33" s="1" t="s">
        <v>603</v>
      </c>
      <c r="G33" s="1" t="s">
        <v>967</v>
      </c>
      <c r="H33" s="1" t="s">
        <v>1185</v>
      </c>
      <c r="I33" s="1" t="s">
        <v>2094</v>
      </c>
      <c r="J33" s="1" t="s">
        <v>1145</v>
      </c>
      <c r="K33" s="1" t="s">
        <v>947</v>
      </c>
      <c r="L33" s="1" t="s">
        <v>1533</v>
      </c>
      <c r="M33" s="1" t="s">
        <v>1533</v>
      </c>
      <c r="N33" s="1" t="s">
        <v>110</v>
      </c>
      <c r="O33" s="1" t="s">
        <v>110</v>
      </c>
      <c r="P33" s="1" t="s">
        <v>110</v>
      </c>
      <c r="Q33" s="5">
        <v>45485</v>
      </c>
      <c r="R33" s="1" t="s">
        <v>666</v>
      </c>
      <c r="S33" s="1" t="s">
        <v>670</v>
      </c>
      <c r="T33" s="5">
        <v>45485</v>
      </c>
      <c r="U33" s="5">
        <v>45495</v>
      </c>
      <c r="V33" s="1" t="s">
        <v>2147</v>
      </c>
      <c r="W33" s="4">
        <v>1</v>
      </c>
      <c r="X33" s="6">
        <v>417852</v>
      </c>
      <c r="Y33" s="6">
        <v>417852</v>
      </c>
      <c r="Z33" s="1">
        <v>1</v>
      </c>
      <c r="AA33" s="6">
        <v>417852</v>
      </c>
      <c r="AB33" s="1" t="s">
        <v>2167</v>
      </c>
      <c r="AC33" s="6">
        <v>2089.2600000000002</v>
      </c>
      <c r="AD33" s="1" t="s">
        <v>1100</v>
      </c>
      <c r="AE33" s="1" t="s">
        <v>2094</v>
      </c>
      <c r="AF33" s="1" t="s">
        <v>1186</v>
      </c>
      <c r="AG33" s="1" t="s">
        <v>1522</v>
      </c>
      <c r="AH33" s="6">
        <v>413282.92</v>
      </c>
      <c r="AI33" s="6">
        <v>413282.92</v>
      </c>
      <c r="AJ33" s="1" t="s">
        <v>2034</v>
      </c>
      <c r="AK33" s="6">
        <v>4569.0800000000163</v>
      </c>
      <c r="AL33" s="6">
        <v>1.0934685008089027E-2</v>
      </c>
      <c r="AM33" s="1" t="s">
        <v>2034</v>
      </c>
      <c r="AN33" s="1" t="s">
        <v>977</v>
      </c>
      <c r="AO33" s="1" t="s">
        <v>1111</v>
      </c>
      <c r="AP33" s="1" t="s">
        <v>25</v>
      </c>
      <c r="AQ33" s="6">
        <v>4569.0800000000163</v>
      </c>
      <c r="AR33" s="6">
        <v>1.0934685008089027E-2</v>
      </c>
      <c r="AS33" s="2"/>
      <c r="AT33" s="7">
        <v>45498.670529050221</v>
      </c>
      <c r="AU33" s="1" t="s">
        <v>678</v>
      </c>
      <c r="AV33" s="1" t="s">
        <v>685</v>
      </c>
      <c r="AW33" s="1" t="s">
        <v>2151</v>
      </c>
      <c r="AX33" s="7">
        <v>45504.481262829038</v>
      </c>
      <c r="AY33" s="1" t="s">
        <v>1042</v>
      </c>
      <c r="AZ33" s="6">
        <v>413282.92</v>
      </c>
      <c r="BA33" s="1"/>
      <c r="BB33" s="5">
        <v>45627</v>
      </c>
      <c r="BC33" s="5">
        <v>45504</v>
      </c>
      <c r="BD33" s="5">
        <v>45504</v>
      </c>
      <c r="BE33" s="7">
        <v>45657</v>
      </c>
      <c r="BF33" s="1" t="s">
        <v>2170</v>
      </c>
      <c r="BG33" s="1"/>
      <c r="BH33" s="1" t="s">
        <v>2111</v>
      </c>
      <c r="BI33" s="1" t="s">
        <v>978</v>
      </c>
    </row>
    <row r="34" spans="1:61" x14ac:dyDescent="0.25">
      <c r="A34" s="4">
        <v>29</v>
      </c>
      <c r="B34" s="2" t="str">
        <f>HYPERLINK("https://my.zakupivli.pro/remote/dispatcher/state_purchase_view/52135459", "UA-2024-07-12-004998-a")</f>
        <v>UA-2024-07-12-004998-a</v>
      </c>
      <c r="C34" s="2" t="str">
        <f>HYPERLINK("https://my.zakupivli.pro/remote/dispatcher/state_purchase_lot_view/1334864", "UA-2024-07-12-004998-a-L1")</f>
        <v>UA-2024-07-12-004998-a-L1</v>
      </c>
      <c r="D34" s="1" t="s">
        <v>1257</v>
      </c>
      <c r="E34" s="1" t="s">
        <v>1256</v>
      </c>
      <c r="F34" s="1" t="s">
        <v>603</v>
      </c>
      <c r="G34" s="1" t="s">
        <v>967</v>
      </c>
      <c r="H34" s="1" t="s">
        <v>1185</v>
      </c>
      <c r="I34" s="1" t="s">
        <v>2094</v>
      </c>
      <c r="J34" s="1" t="s">
        <v>1145</v>
      </c>
      <c r="K34" s="1" t="s">
        <v>947</v>
      </c>
      <c r="L34" s="1" t="s">
        <v>1533</v>
      </c>
      <c r="M34" s="1" t="s">
        <v>1533</v>
      </c>
      <c r="N34" s="1" t="s">
        <v>110</v>
      </c>
      <c r="O34" s="1" t="s">
        <v>110</v>
      </c>
      <c r="P34" s="1" t="s">
        <v>110</v>
      </c>
      <c r="Q34" s="5">
        <v>45485</v>
      </c>
      <c r="R34" s="1" t="s">
        <v>666</v>
      </c>
      <c r="S34" s="1" t="s">
        <v>670</v>
      </c>
      <c r="T34" s="5">
        <v>45485</v>
      </c>
      <c r="U34" s="5">
        <v>45495</v>
      </c>
      <c r="V34" s="1" t="s">
        <v>2147</v>
      </c>
      <c r="W34" s="4">
        <v>1</v>
      </c>
      <c r="X34" s="6">
        <v>398266</v>
      </c>
      <c r="Y34" s="6">
        <v>398266</v>
      </c>
      <c r="Z34" s="1">
        <v>1</v>
      </c>
      <c r="AA34" s="6">
        <v>398266</v>
      </c>
      <c r="AB34" s="1" t="s">
        <v>2167</v>
      </c>
      <c r="AC34" s="6">
        <v>1991.33</v>
      </c>
      <c r="AD34" s="1" t="s">
        <v>1100</v>
      </c>
      <c r="AE34" s="1" t="s">
        <v>2094</v>
      </c>
      <c r="AF34" s="1" t="s">
        <v>1186</v>
      </c>
      <c r="AG34" s="1" t="s">
        <v>1522</v>
      </c>
      <c r="AH34" s="6">
        <v>394571.93</v>
      </c>
      <c r="AI34" s="6">
        <v>394571.93</v>
      </c>
      <c r="AJ34" s="1" t="s">
        <v>2034</v>
      </c>
      <c r="AK34" s="6">
        <v>3694.070000000007</v>
      </c>
      <c r="AL34" s="6">
        <v>9.2753837887241362E-3</v>
      </c>
      <c r="AM34" s="1" t="s">
        <v>2034</v>
      </c>
      <c r="AN34" s="1" t="s">
        <v>977</v>
      </c>
      <c r="AO34" s="1" t="s">
        <v>1111</v>
      </c>
      <c r="AP34" s="1" t="s">
        <v>25</v>
      </c>
      <c r="AQ34" s="6">
        <v>3694.070000000007</v>
      </c>
      <c r="AR34" s="6">
        <v>9.2753837887241362E-3</v>
      </c>
      <c r="AS34" s="2"/>
      <c r="AT34" s="7">
        <v>45498.664232049654</v>
      </c>
      <c r="AU34" s="1" t="s">
        <v>678</v>
      </c>
      <c r="AV34" s="1" t="s">
        <v>685</v>
      </c>
      <c r="AW34" s="1" t="s">
        <v>2151</v>
      </c>
      <c r="AX34" s="7">
        <v>45504.482771973402</v>
      </c>
      <c r="AY34" s="1" t="s">
        <v>1037</v>
      </c>
      <c r="AZ34" s="6">
        <v>394571.93</v>
      </c>
      <c r="BA34" s="1"/>
      <c r="BB34" s="5">
        <v>45627</v>
      </c>
      <c r="BC34" s="5">
        <v>45504</v>
      </c>
      <c r="BD34" s="5">
        <v>45504</v>
      </c>
      <c r="BE34" s="7">
        <v>45657</v>
      </c>
      <c r="BF34" s="1" t="s">
        <v>2170</v>
      </c>
      <c r="BG34" s="1"/>
      <c r="BH34" s="1" t="s">
        <v>2111</v>
      </c>
      <c r="BI34" s="1" t="s">
        <v>978</v>
      </c>
    </row>
    <row r="35" spans="1:61" x14ac:dyDescent="0.25">
      <c r="A35" s="4">
        <v>30</v>
      </c>
      <c r="B35" s="2" t="str">
        <f>HYPERLINK("https://my.zakupivli.pro/remote/dispatcher/state_purchase_view/52143626", "UA-2024-07-12-008732-a")</f>
        <v>UA-2024-07-12-008732-a</v>
      </c>
      <c r="C35" s="2" t="str">
        <f>HYPERLINK("https://my.zakupivli.pro/remote/dispatcher/state_purchase_lot_view/1335251", "UA-2024-07-12-008732-a-L1")</f>
        <v>UA-2024-07-12-008732-a-L1</v>
      </c>
      <c r="D35" s="1" t="s">
        <v>1832</v>
      </c>
      <c r="E35" s="1" t="s">
        <v>1831</v>
      </c>
      <c r="F35" s="1" t="s">
        <v>603</v>
      </c>
      <c r="G35" s="1" t="s">
        <v>966</v>
      </c>
      <c r="H35" s="1" t="s">
        <v>1185</v>
      </c>
      <c r="I35" s="1" t="s">
        <v>2094</v>
      </c>
      <c r="J35" s="1" t="s">
        <v>1145</v>
      </c>
      <c r="K35" s="1" t="s">
        <v>947</v>
      </c>
      <c r="L35" s="1" t="s">
        <v>1533</v>
      </c>
      <c r="M35" s="1" t="s">
        <v>1533</v>
      </c>
      <c r="N35" s="1" t="s">
        <v>110</v>
      </c>
      <c r="O35" s="1" t="s">
        <v>110</v>
      </c>
      <c r="P35" s="1" t="s">
        <v>110</v>
      </c>
      <c r="Q35" s="5">
        <v>45485</v>
      </c>
      <c r="R35" s="1" t="s">
        <v>666</v>
      </c>
      <c r="S35" s="1" t="s">
        <v>673</v>
      </c>
      <c r="T35" s="5">
        <v>45485</v>
      </c>
      <c r="U35" s="5">
        <v>45500</v>
      </c>
      <c r="V35" s="1" t="s">
        <v>2147</v>
      </c>
      <c r="W35" s="4">
        <v>1</v>
      </c>
      <c r="X35" s="6">
        <v>3233500</v>
      </c>
      <c r="Y35" s="6">
        <v>3233500</v>
      </c>
      <c r="Z35" s="1">
        <v>1</v>
      </c>
      <c r="AA35" s="6">
        <v>3233500</v>
      </c>
      <c r="AB35" s="1" t="s">
        <v>2167</v>
      </c>
      <c r="AC35" s="6">
        <v>16167.5</v>
      </c>
      <c r="AD35" s="1" t="s">
        <v>1100</v>
      </c>
      <c r="AE35" s="1" t="s">
        <v>2094</v>
      </c>
      <c r="AF35" s="1" t="s">
        <v>1186</v>
      </c>
      <c r="AG35" s="1" t="s">
        <v>1522</v>
      </c>
      <c r="AH35" s="6">
        <v>3227798.68</v>
      </c>
      <c r="AI35" s="6">
        <v>3227798.68</v>
      </c>
      <c r="AJ35" s="1" t="s">
        <v>2112</v>
      </c>
      <c r="AK35" s="6">
        <v>5701.3199999998324</v>
      </c>
      <c r="AL35" s="6">
        <v>1.7632039585587854E-3</v>
      </c>
      <c r="AM35" s="1" t="s">
        <v>2112</v>
      </c>
      <c r="AN35" s="1" t="s">
        <v>821</v>
      </c>
      <c r="AO35" s="1" t="s">
        <v>1096</v>
      </c>
      <c r="AP35" s="1" t="s">
        <v>873</v>
      </c>
      <c r="AQ35" s="6">
        <v>5701.3199999998324</v>
      </c>
      <c r="AR35" s="6">
        <v>1.7632039585587854E-3</v>
      </c>
      <c r="AS35" s="2"/>
      <c r="AT35" s="7">
        <v>45502.714441588389</v>
      </c>
      <c r="AU35" s="1" t="s">
        <v>682</v>
      </c>
      <c r="AV35" s="1" t="s">
        <v>687</v>
      </c>
      <c r="AW35" s="1" t="s">
        <v>2151</v>
      </c>
      <c r="AX35" s="7">
        <v>45509.480256049181</v>
      </c>
      <c r="AY35" s="1" t="s">
        <v>1047</v>
      </c>
      <c r="AZ35" s="6">
        <v>3227798.68</v>
      </c>
      <c r="BA35" s="1"/>
      <c r="BB35" s="5">
        <v>45627</v>
      </c>
      <c r="BC35" s="5">
        <v>45509</v>
      </c>
      <c r="BD35" s="5">
        <v>45509</v>
      </c>
      <c r="BE35" s="7">
        <v>45657</v>
      </c>
      <c r="BF35" s="1" t="s">
        <v>2170</v>
      </c>
      <c r="BG35" s="1"/>
      <c r="BH35" s="1" t="s">
        <v>2111</v>
      </c>
      <c r="BI35" s="1" t="s">
        <v>822</v>
      </c>
    </row>
    <row r="36" spans="1:61" x14ac:dyDescent="0.25">
      <c r="A36" s="4">
        <v>31</v>
      </c>
      <c r="B36" s="2" t="str">
        <f>HYPERLINK("https://my.zakupivli.pro/remote/dispatcher/state_purchase_view/52121231", "UA-2024-07-11-009285-a")</f>
        <v>UA-2024-07-11-009285-a</v>
      </c>
      <c r="C36" s="2" t="str">
        <f>HYPERLINK("https://my.zakupivli.pro/remote/dispatcher/state_purchase_lot_view/1334265", "UA-2024-07-11-009285-a-L1")</f>
        <v>UA-2024-07-11-009285-a-L1</v>
      </c>
      <c r="D36" s="1" t="s">
        <v>1795</v>
      </c>
      <c r="E36" s="1" t="s">
        <v>1793</v>
      </c>
      <c r="F36" s="1" t="s">
        <v>603</v>
      </c>
      <c r="G36" s="1" t="s">
        <v>966</v>
      </c>
      <c r="H36" s="1" t="s">
        <v>1185</v>
      </c>
      <c r="I36" s="1" t="s">
        <v>2094</v>
      </c>
      <c r="J36" s="1" t="s">
        <v>1145</v>
      </c>
      <c r="K36" s="1" t="s">
        <v>947</v>
      </c>
      <c r="L36" s="1" t="s">
        <v>1533</v>
      </c>
      <c r="M36" s="1" t="s">
        <v>1533</v>
      </c>
      <c r="N36" s="1" t="s">
        <v>110</v>
      </c>
      <c r="O36" s="1" t="s">
        <v>110</v>
      </c>
      <c r="P36" s="1" t="s">
        <v>110</v>
      </c>
      <c r="Q36" s="5">
        <v>45484</v>
      </c>
      <c r="R36" s="1" t="s">
        <v>665</v>
      </c>
      <c r="S36" s="1" t="s">
        <v>668</v>
      </c>
      <c r="T36" s="5">
        <v>45484</v>
      </c>
      <c r="U36" s="5">
        <v>45492</v>
      </c>
      <c r="V36" s="1" t="s">
        <v>2147</v>
      </c>
      <c r="W36" s="4">
        <v>1</v>
      </c>
      <c r="X36" s="6">
        <v>310180</v>
      </c>
      <c r="Y36" s="6">
        <v>310180</v>
      </c>
      <c r="Z36" s="1">
        <v>1</v>
      </c>
      <c r="AA36" s="6">
        <v>310180</v>
      </c>
      <c r="AB36" s="1" t="s">
        <v>2167</v>
      </c>
      <c r="AC36" s="6">
        <v>1550.9</v>
      </c>
      <c r="AD36" s="1" t="s">
        <v>1100</v>
      </c>
      <c r="AE36" s="1" t="s">
        <v>2094</v>
      </c>
      <c r="AF36" s="1" t="s">
        <v>1186</v>
      </c>
      <c r="AG36" s="1" t="s">
        <v>1522</v>
      </c>
      <c r="AH36" s="6">
        <v>309302.38</v>
      </c>
      <c r="AI36" s="6">
        <v>309302.38</v>
      </c>
      <c r="AJ36" s="1" t="s">
        <v>2050</v>
      </c>
      <c r="AK36" s="6">
        <v>877.61999999999534</v>
      </c>
      <c r="AL36" s="6">
        <v>2.8293893868076452E-3</v>
      </c>
      <c r="AM36" s="1"/>
      <c r="AN36" s="1"/>
      <c r="AO36" s="1"/>
      <c r="AP36" s="1"/>
      <c r="AQ36" s="1"/>
      <c r="AR36" s="1"/>
      <c r="AS36" s="2"/>
      <c r="AT36" s="7">
        <v>45498.607358434951</v>
      </c>
      <c r="AU36" s="1"/>
      <c r="AV36" s="1"/>
      <c r="AW36" s="1" t="s">
        <v>2169</v>
      </c>
      <c r="AX36" s="1" t="s">
        <v>109</v>
      </c>
      <c r="AY36" s="1"/>
      <c r="AZ36" s="1"/>
      <c r="BA36" s="1"/>
      <c r="BB36" s="5">
        <v>45627</v>
      </c>
      <c r="BC36" s="1" t="s">
        <v>109</v>
      </c>
      <c r="BD36" s="1" t="s">
        <v>109</v>
      </c>
      <c r="BE36" s="1"/>
      <c r="BF36" s="1"/>
      <c r="BG36" s="1"/>
      <c r="BH36" s="1"/>
      <c r="BI36" s="1" t="s">
        <v>955</v>
      </c>
    </row>
    <row r="37" spans="1:61" x14ac:dyDescent="0.25">
      <c r="A37" s="4">
        <v>32</v>
      </c>
      <c r="B37" s="2" t="str">
        <f>HYPERLINK("https://my.zakupivli.pro/remote/dispatcher/state_purchase_view/52106649", "UA-2024-07-11-002723-a")</f>
        <v>UA-2024-07-11-002723-a</v>
      </c>
      <c r="C37" s="2" t="s">
        <v>1516</v>
      </c>
      <c r="D37" s="1" t="s">
        <v>1244</v>
      </c>
      <c r="E37" s="1" t="s">
        <v>1244</v>
      </c>
      <c r="F37" s="1" t="s">
        <v>603</v>
      </c>
      <c r="G37" s="1" t="s">
        <v>970</v>
      </c>
      <c r="H37" s="1" t="s">
        <v>1218</v>
      </c>
      <c r="I37" s="1" t="s">
        <v>2094</v>
      </c>
      <c r="J37" s="1" t="s">
        <v>1145</v>
      </c>
      <c r="K37" s="1" t="s">
        <v>947</v>
      </c>
      <c r="L37" s="1" t="s">
        <v>1533</v>
      </c>
      <c r="M37" s="1" t="s">
        <v>1533</v>
      </c>
      <c r="N37" s="1" t="s">
        <v>110</v>
      </c>
      <c r="O37" s="1" t="s">
        <v>110</v>
      </c>
      <c r="P37" s="1" t="s">
        <v>110</v>
      </c>
      <c r="Q37" s="5">
        <v>45484</v>
      </c>
      <c r="R37" s="1"/>
      <c r="S37" s="1"/>
      <c r="T37" s="1"/>
      <c r="U37" s="1"/>
      <c r="V37" s="1" t="s">
        <v>2146</v>
      </c>
      <c r="W37" s="4">
        <v>1</v>
      </c>
      <c r="X37" s="6">
        <v>199163.41</v>
      </c>
      <c r="Y37" s="1" t="s">
        <v>1516</v>
      </c>
      <c r="Z37" s="1">
        <v>1</v>
      </c>
      <c r="AA37" s="6">
        <v>199163.41</v>
      </c>
      <c r="AB37" s="1" t="s">
        <v>2167</v>
      </c>
      <c r="AC37" s="1" t="s">
        <v>2162</v>
      </c>
      <c r="AD37" s="1" t="s">
        <v>1100</v>
      </c>
      <c r="AE37" s="1" t="s">
        <v>2094</v>
      </c>
      <c r="AF37" s="1" t="s">
        <v>1186</v>
      </c>
      <c r="AG37" s="1" t="s">
        <v>1522</v>
      </c>
      <c r="AH37" s="6">
        <v>199163.41</v>
      </c>
      <c r="AI37" s="6">
        <v>199163.41</v>
      </c>
      <c r="AJ37" s="1" t="s">
        <v>2050</v>
      </c>
      <c r="AK37" s="1"/>
      <c r="AL37" s="1"/>
      <c r="AM37" s="1" t="s">
        <v>2050</v>
      </c>
      <c r="AN37" s="1" t="s">
        <v>954</v>
      </c>
      <c r="AO37" s="1"/>
      <c r="AP37" s="1" t="s">
        <v>20</v>
      </c>
      <c r="AQ37" s="1"/>
      <c r="AR37" s="1"/>
      <c r="AS37" s="2"/>
      <c r="AT37" s="1"/>
      <c r="AU37" s="1"/>
      <c r="AV37" s="1"/>
      <c r="AW37" s="1" t="s">
        <v>2152</v>
      </c>
      <c r="AX37" s="7">
        <v>45484.462099444121</v>
      </c>
      <c r="AY37" s="1" t="s">
        <v>1018</v>
      </c>
      <c r="AZ37" s="6">
        <v>199163.41</v>
      </c>
      <c r="BA37" s="5">
        <v>45483</v>
      </c>
      <c r="BB37" s="5">
        <v>45627</v>
      </c>
      <c r="BC37" s="5">
        <v>45483</v>
      </c>
      <c r="BD37" s="5">
        <v>45483</v>
      </c>
      <c r="BE37" s="7">
        <v>45657</v>
      </c>
      <c r="BF37" s="1" t="s">
        <v>2170</v>
      </c>
      <c r="BG37" s="1"/>
      <c r="BH37" s="1"/>
      <c r="BI37" s="1" t="s">
        <v>108</v>
      </c>
    </row>
    <row r="38" spans="1:61" x14ac:dyDescent="0.25">
      <c r="A38" s="4">
        <v>33</v>
      </c>
      <c r="B38" s="2" t="str">
        <f>HYPERLINK("https://my.zakupivli.pro/remote/dispatcher/state_purchase_view/52106207", "UA-2024-07-11-002528-a")</f>
        <v>UA-2024-07-11-002528-a</v>
      </c>
      <c r="C38" s="2" t="s">
        <v>1516</v>
      </c>
      <c r="D38" s="1" t="s">
        <v>1243</v>
      </c>
      <c r="E38" s="1" t="s">
        <v>1243</v>
      </c>
      <c r="F38" s="1" t="s">
        <v>603</v>
      </c>
      <c r="G38" s="1" t="s">
        <v>970</v>
      </c>
      <c r="H38" s="1" t="s">
        <v>1218</v>
      </c>
      <c r="I38" s="1" t="s">
        <v>2094</v>
      </c>
      <c r="J38" s="1" t="s">
        <v>1145</v>
      </c>
      <c r="K38" s="1" t="s">
        <v>947</v>
      </c>
      <c r="L38" s="1" t="s">
        <v>1533</v>
      </c>
      <c r="M38" s="1" t="s">
        <v>1533</v>
      </c>
      <c r="N38" s="1" t="s">
        <v>110</v>
      </c>
      <c r="O38" s="1" t="s">
        <v>110</v>
      </c>
      <c r="P38" s="1" t="s">
        <v>110</v>
      </c>
      <c r="Q38" s="5">
        <v>45484</v>
      </c>
      <c r="R38" s="1"/>
      <c r="S38" s="1"/>
      <c r="T38" s="1"/>
      <c r="U38" s="1"/>
      <c r="V38" s="1" t="s">
        <v>2146</v>
      </c>
      <c r="W38" s="4">
        <v>1</v>
      </c>
      <c r="X38" s="6">
        <v>28077.24</v>
      </c>
      <c r="Y38" s="1" t="s">
        <v>1516</v>
      </c>
      <c r="Z38" s="1">
        <v>1</v>
      </c>
      <c r="AA38" s="6">
        <v>28077.24</v>
      </c>
      <c r="AB38" s="1" t="s">
        <v>2167</v>
      </c>
      <c r="AC38" s="1" t="s">
        <v>2162</v>
      </c>
      <c r="AD38" s="1" t="s">
        <v>1100</v>
      </c>
      <c r="AE38" s="1" t="s">
        <v>1522</v>
      </c>
      <c r="AF38" s="1" t="s">
        <v>1186</v>
      </c>
      <c r="AG38" s="1" t="s">
        <v>1522</v>
      </c>
      <c r="AH38" s="6">
        <v>28077.24</v>
      </c>
      <c r="AI38" s="6">
        <v>28077.24</v>
      </c>
      <c r="AJ38" s="1" t="s">
        <v>2034</v>
      </c>
      <c r="AK38" s="1"/>
      <c r="AL38" s="1"/>
      <c r="AM38" s="1" t="s">
        <v>2034</v>
      </c>
      <c r="AN38" s="1" t="s">
        <v>977</v>
      </c>
      <c r="AO38" s="1"/>
      <c r="AP38" s="1" t="s">
        <v>1030</v>
      </c>
      <c r="AQ38" s="1"/>
      <c r="AR38" s="1"/>
      <c r="AS38" s="2"/>
      <c r="AT38" s="1"/>
      <c r="AU38" s="1"/>
      <c r="AV38" s="1"/>
      <c r="AW38" s="1" t="s">
        <v>2152</v>
      </c>
      <c r="AX38" s="7">
        <v>45484.456609168032</v>
      </c>
      <c r="AY38" s="1" t="s">
        <v>1019</v>
      </c>
      <c r="AZ38" s="6">
        <v>28077.24</v>
      </c>
      <c r="BA38" s="5">
        <v>45483</v>
      </c>
      <c r="BB38" s="5">
        <v>45627</v>
      </c>
      <c r="BC38" s="5">
        <v>45483</v>
      </c>
      <c r="BD38" s="5">
        <v>45483</v>
      </c>
      <c r="BE38" s="7">
        <v>45657</v>
      </c>
      <c r="BF38" s="1" t="s">
        <v>2170</v>
      </c>
      <c r="BG38" s="1"/>
      <c r="BH38" s="1"/>
      <c r="BI38" s="1" t="s">
        <v>108</v>
      </c>
    </row>
    <row r="39" spans="1:61" x14ac:dyDescent="0.25">
      <c r="A39" s="4">
        <v>34</v>
      </c>
      <c r="B39" s="2" t="str">
        <f>HYPERLINK("https://my.zakupivli.pro/remote/dispatcher/state_purchase_view/52105816", "UA-2024-07-11-002413-a")</f>
        <v>UA-2024-07-11-002413-a</v>
      </c>
      <c r="C39" s="2" t="s">
        <v>1516</v>
      </c>
      <c r="D39" s="1" t="s">
        <v>1266</v>
      </c>
      <c r="E39" s="1" t="s">
        <v>1266</v>
      </c>
      <c r="F39" s="1" t="s">
        <v>603</v>
      </c>
      <c r="G39" s="1" t="s">
        <v>967</v>
      </c>
      <c r="H39" s="1" t="s">
        <v>1218</v>
      </c>
      <c r="I39" s="1" t="s">
        <v>2094</v>
      </c>
      <c r="J39" s="1" t="s">
        <v>1145</v>
      </c>
      <c r="K39" s="1" t="s">
        <v>947</v>
      </c>
      <c r="L39" s="1" t="s">
        <v>1533</v>
      </c>
      <c r="M39" s="1" t="s">
        <v>1533</v>
      </c>
      <c r="N39" s="1" t="s">
        <v>110</v>
      </c>
      <c r="O39" s="1" t="s">
        <v>110</v>
      </c>
      <c r="P39" s="1" t="s">
        <v>110</v>
      </c>
      <c r="Q39" s="5">
        <v>45484</v>
      </c>
      <c r="R39" s="1"/>
      <c r="S39" s="1"/>
      <c r="T39" s="1"/>
      <c r="U39" s="1"/>
      <c r="V39" s="1" t="s">
        <v>2146</v>
      </c>
      <c r="W39" s="4">
        <v>1</v>
      </c>
      <c r="X39" s="6">
        <v>148423.97</v>
      </c>
      <c r="Y39" s="1" t="s">
        <v>1516</v>
      </c>
      <c r="Z39" s="1">
        <v>1</v>
      </c>
      <c r="AA39" s="6">
        <v>148423.97</v>
      </c>
      <c r="AB39" s="1" t="s">
        <v>2167</v>
      </c>
      <c r="AC39" s="1" t="s">
        <v>2162</v>
      </c>
      <c r="AD39" s="1" t="s">
        <v>1100</v>
      </c>
      <c r="AE39" s="1" t="s">
        <v>1522</v>
      </c>
      <c r="AF39" s="1" t="s">
        <v>1186</v>
      </c>
      <c r="AG39" s="1" t="s">
        <v>1522</v>
      </c>
      <c r="AH39" s="6">
        <v>148423.97</v>
      </c>
      <c r="AI39" s="6">
        <v>148423.97</v>
      </c>
      <c r="AJ39" s="1" t="s">
        <v>2034</v>
      </c>
      <c r="AK39" s="1"/>
      <c r="AL39" s="1"/>
      <c r="AM39" s="1" t="s">
        <v>2034</v>
      </c>
      <c r="AN39" s="1" t="s">
        <v>977</v>
      </c>
      <c r="AO39" s="1"/>
      <c r="AP39" s="1" t="s">
        <v>25</v>
      </c>
      <c r="AQ39" s="1"/>
      <c r="AR39" s="1"/>
      <c r="AS39" s="2"/>
      <c r="AT39" s="1"/>
      <c r="AU39" s="1"/>
      <c r="AV39" s="1"/>
      <c r="AW39" s="1" t="s">
        <v>2152</v>
      </c>
      <c r="AX39" s="7">
        <v>45484.452920730138</v>
      </c>
      <c r="AY39" s="1" t="s">
        <v>1020</v>
      </c>
      <c r="AZ39" s="6">
        <v>148423.97</v>
      </c>
      <c r="BA39" s="5">
        <v>45483</v>
      </c>
      <c r="BB39" s="5">
        <v>45627</v>
      </c>
      <c r="BC39" s="5">
        <v>45483</v>
      </c>
      <c r="BD39" s="5">
        <v>45483</v>
      </c>
      <c r="BE39" s="7">
        <v>45657</v>
      </c>
      <c r="BF39" s="1" t="s">
        <v>2170</v>
      </c>
      <c r="BG39" s="1"/>
      <c r="BH39" s="1"/>
      <c r="BI39" s="1" t="s">
        <v>108</v>
      </c>
    </row>
    <row r="40" spans="1:61" x14ac:dyDescent="0.25">
      <c r="A40" s="4">
        <v>35</v>
      </c>
      <c r="B40" s="2" t="str">
        <f>HYPERLINK("https://my.zakupivli.pro/remote/dispatcher/state_purchase_view/52122598", "UA-2024-07-11-009904-a")</f>
        <v>UA-2024-07-11-009904-a</v>
      </c>
      <c r="C40" s="2" t="str">
        <f>HYPERLINK("https://my.zakupivli.pro/remote/dispatcher/state_purchase_lot_view/1334377", "UA-2024-07-11-009904-a-L1")</f>
        <v>UA-2024-07-11-009904-a-L1</v>
      </c>
      <c r="D40" s="1" t="s">
        <v>1294</v>
      </c>
      <c r="E40" s="1" t="s">
        <v>1293</v>
      </c>
      <c r="F40" s="1" t="s">
        <v>603</v>
      </c>
      <c r="G40" s="1" t="s">
        <v>973</v>
      </c>
      <c r="H40" s="1" t="s">
        <v>1185</v>
      </c>
      <c r="I40" s="1" t="s">
        <v>2094</v>
      </c>
      <c r="J40" s="1" t="s">
        <v>1145</v>
      </c>
      <c r="K40" s="1" t="s">
        <v>947</v>
      </c>
      <c r="L40" s="1" t="s">
        <v>1533</v>
      </c>
      <c r="M40" s="1" t="s">
        <v>1533</v>
      </c>
      <c r="N40" s="1" t="s">
        <v>110</v>
      </c>
      <c r="O40" s="1" t="s">
        <v>110</v>
      </c>
      <c r="P40" s="1" t="s">
        <v>110</v>
      </c>
      <c r="Q40" s="5">
        <v>45484</v>
      </c>
      <c r="R40" s="1" t="s">
        <v>665</v>
      </c>
      <c r="S40" s="1" t="s">
        <v>668</v>
      </c>
      <c r="T40" s="5">
        <v>45484</v>
      </c>
      <c r="U40" s="5">
        <v>45492</v>
      </c>
      <c r="V40" s="1" t="s">
        <v>2147</v>
      </c>
      <c r="W40" s="4">
        <v>1</v>
      </c>
      <c r="X40" s="6">
        <v>257040</v>
      </c>
      <c r="Y40" s="6">
        <v>257040</v>
      </c>
      <c r="Z40" s="1">
        <v>1</v>
      </c>
      <c r="AA40" s="6">
        <v>257040</v>
      </c>
      <c r="AB40" s="1" t="s">
        <v>2167</v>
      </c>
      <c r="AC40" s="6">
        <v>1285.2</v>
      </c>
      <c r="AD40" s="1" t="s">
        <v>1100</v>
      </c>
      <c r="AE40" s="1" t="s">
        <v>2094</v>
      </c>
      <c r="AF40" s="1" t="s">
        <v>1186</v>
      </c>
      <c r="AG40" s="1" t="s">
        <v>1522</v>
      </c>
      <c r="AH40" s="6">
        <v>255656.11</v>
      </c>
      <c r="AI40" s="6">
        <v>255656.11</v>
      </c>
      <c r="AJ40" s="1" t="s">
        <v>2050</v>
      </c>
      <c r="AK40" s="6">
        <v>1383.890000000014</v>
      </c>
      <c r="AL40" s="6">
        <v>5.3839480236539602E-3</v>
      </c>
      <c r="AM40" s="1"/>
      <c r="AN40" s="1"/>
      <c r="AO40" s="1"/>
      <c r="AP40" s="1"/>
      <c r="AQ40" s="1"/>
      <c r="AR40" s="1"/>
      <c r="AS40" s="2"/>
      <c r="AT40" s="7">
        <v>45498.620192699709</v>
      </c>
      <c r="AU40" s="1"/>
      <c r="AV40" s="1"/>
      <c r="AW40" s="1" t="s">
        <v>2169</v>
      </c>
      <c r="AX40" s="1" t="s">
        <v>109</v>
      </c>
      <c r="AY40" s="1"/>
      <c r="AZ40" s="1"/>
      <c r="BA40" s="1"/>
      <c r="BB40" s="5">
        <v>45627</v>
      </c>
      <c r="BC40" s="1" t="s">
        <v>109</v>
      </c>
      <c r="BD40" s="1" t="s">
        <v>109</v>
      </c>
      <c r="BE40" s="1"/>
      <c r="BF40" s="1"/>
      <c r="BG40" s="1"/>
      <c r="BH40" s="1"/>
      <c r="BI40" s="1" t="s">
        <v>955</v>
      </c>
    </row>
    <row r="41" spans="1:61" x14ac:dyDescent="0.25">
      <c r="A41" s="4">
        <v>36</v>
      </c>
      <c r="B41" s="2" t="str">
        <f>HYPERLINK("https://my.zakupivli.pro/remote/dispatcher/state_purchase_view/52082793", "UA-2024-07-10-002883-a")</f>
        <v>UA-2024-07-10-002883-a</v>
      </c>
      <c r="C41" s="2" t="s">
        <v>1516</v>
      </c>
      <c r="D41" s="1" t="s">
        <v>1833</v>
      </c>
      <c r="E41" s="1" t="s">
        <v>1833</v>
      </c>
      <c r="F41" s="1" t="s">
        <v>603</v>
      </c>
      <c r="G41" s="1" t="s">
        <v>976</v>
      </c>
      <c r="H41" s="1" t="s">
        <v>1218</v>
      </c>
      <c r="I41" s="1" t="s">
        <v>2094</v>
      </c>
      <c r="J41" s="1" t="s">
        <v>1145</v>
      </c>
      <c r="K41" s="1" t="s">
        <v>947</v>
      </c>
      <c r="L41" s="1" t="s">
        <v>1533</v>
      </c>
      <c r="M41" s="1" t="s">
        <v>1533</v>
      </c>
      <c r="N41" s="1" t="s">
        <v>110</v>
      </c>
      <c r="O41" s="1" t="s">
        <v>110</v>
      </c>
      <c r="P41" s="1" t="s">
        <v>110</v>
      </c>
      <c r="Q41" s="5">
        <v>45483</v>
      </c>
      <c r="R41" s="1"/>
      <c r="S41" s="1"/>
      <c r="T41" s="1"/>
      <c r="U41" s="1"/>
      <c r="V41" s="1" t="s">
        <v>2146</v>
      </c>
      <c r="W41" s="4">
        <v>1</v>
      </c>
      <c r="X41" s="6">
        <v>35758.21</v>
      </c>
      <c r="Y41" s="1" t="s">
        <v>1516</v>
      </c>
      <c r="Z41" s="1">
        <v>1</v>
      </c>
      <c r="AA41" s="6">
        <v>35758.21</v>
      </c>
      <c r="AB41" s="1" t="s">
        <v>2167</v>
      </c>
      <c r="AC41" s="1" t="s">
        <v>2162</v>
      </c>
      <c r="AD41" s="1" t="s">
        <v>1100</v>
      </c>
      <c r="AE41" s="1" t="s">
        <v>1522</v>
      </c>
      <c r="AF41" s="1" t="s">
        <v>1186</v>
      </c>
      <c r="AG41" s="1" t="s">
        <v>1522</v>
      </c>
      <c r="AH41" s="6">
        <v>35758.21</v>
      </c>
      <c r="AI41" s="6">
        <v>35758.21</v>
      </c>
      <c r="AJ41" s="1" t="s">
        <v>2034</v>
      </c>
      <c r="AK41" s="1"/>
      <c r="AL41" s="1"/>
      <c r="AM41" s="1" t="s">
        <v>2034</v>
      </c>
      <c r="AN41" s="1" t="s">
        <v>977</v>
      </c>
      <c r="AO41" s="1"/>
      <c r="AP41" s="1" t="s">
        <v>25</v>
      </c>
      <c r="AQ41" s="1"/>
      <c r="AR41" s="1"/>
      <c r="AS41" s="2"/>
      <c r="AT41" s="1"/>
      <c r="AU41" s="1"/>
      <c r="AV41" s="1"/>
      <c r="AW41" s="1" t="s">
        <v>2152</v>
      </c>
      <c r="AX41" s="7">
        <v>45483.48007598515</v>
      </c>
      <c r="AY41" s="1" t="s">
        <v>1004</v>
      </c>
      <c r="AZ41" s="6">
        <v>35758.21</v>
      </c>
      <c r="BA41" s="5">
        <v>45481</v>
      </c>
      <c r="BB41" s="5">
        <v>45627</v>
      </c>
      <c r="BC41" s="5">
        <v>45481</v>
      </c>
      <c r="BD41" s="5">
        <v>45481</v>
      </c>
      <c r="BE41" s="7">
        <v>45657</v>
      </c>
      <c r="BF41" s="1" t="s">
        <v>2170</v>
      </c>
      <c r="BG41" s="1"/>
      <c r="BH41" s="1"/>
      <c r="BI41" s="1" t="s">
        <v>108</v>
      </c>
    </row>
    <row r="42" spans="1:61" x14ac:dyDescent="0.25">
      <c r="A42" s="4">
        <v>37</v>
      </c>
      <c r="B42" s="2" t="str">
        <f>HYPERLINK("https://my.zakupivli.pro/remote/dispatcher/state_purchase_view/52071498", "UA-2024-07-09-008349-a")</f>
        <v>UA-2024-07-09-008349-a</v>
      </c>
      <c r="C42" s="2" t="s">
        <v>1516</v>
      </c>
      <c r="D42" s="1" t="s">
        <v>1723</v>
      </c>
      <c r="E42" s="1" t="s">
        <v>1723</v>
      </c>
      <c r="F42" s="1" t="s">
        <v>603</v>
      </c>
      <c r="G42" s="1" t="s">
        <v>1035</v>
      </c>
      <c r="H42" s="1" t="s">
        <v>1218</v>
      </c>
      <c r="I42" s="1" t="s">
        <v>2094</v>
      </c>
      <c r="J42" s="1" t="s">
        <v>1145</v>
      </c>
      <c r="K42" s="1" t="s">
        <v>947</v>
      </c>
      <c r="L42" s="1" t="s">
        <v>1533</v>
      </c>
      <c r="M42" s="1" t="s">
        <v>1533</v>
      </c>
      <c r="N42" s="1" t="s">
        <v>110</v>
      </c>
      <c r="O42" s="1" t="s">
        <v>110</v>
      </c>
      <c r="P42" s="1" t="s">
        <v>110</v>
      </c>
      <c r="Q42" s="5">
        <v>45482</v>
      </c>
      <c r="R42" s="1"/>
      <c r="S42" s="1"/>
      <c r="T42" s="1"/>
      <c r="U42" s="1"/>
      <c r="V42" s="1" t="s">
        <v>2146</v>
      </c>
      <c r="W42" s="4">
        <v>1</v>
      </c>
      <c r="X42" s="6">
        <v>18012.669999999998</v>
      </c>
      <c r="Y42" s="1" t="s">
        <v>1516</v>
      </c>
      <c r="Z42" s="1">
        <v>1</v>
      </c>
      <c r="AA42" s="6">
        <v>18012.669999999998</v>
      </c>
      <c r="AB42" s="1" t="s">
        <v>2167</v>
      </c>
      <c r="AC42" s="1" t="s">
        <v>2162</v>
      </c>
      <c r="AD42" s="1" t="s">
        <v>1100</v>
      </c>
      <c r="AE42" s="1" t="s">
        <v>2094</v>
      </c>
      <c r="AF42" s="1" t="s">
        <v>1186</v>
      </c>
      <c r="AG42" s="1" t="s">
        <v>1522</v>
      </c>
      <c r="AH42" s="6">
        <v>18012.669999999998</v>
      </c>
      <c r="AI42" s="6">
        <v>18012.669999999998</v>
      </c>
      <c r="AJ42" s="1" t="s">
        <v>1547</v>
      </c>
      <c r="AK42" s="1"/>
      <c r="AL42" s="1"/>
      <c r="AM42" s="1" t="s">
        <v>1547</v>
      </c>
      <c r="AN42" s="1" t="s">
        <v>827</v>
      </c>
      <c r="AO42" s="1"/>
      <c r="AP42" s="1" t="s">
        <v>51</v>
      </c>
      <c r="AQ42" s="1"/>
      <c r="AR42" s="1"/>
      <c r="AS42" s="2"/>
      <c r="AT42" s="1"/>
      <c r="AU42" s="1"/>
      <c r="AV42" s="1"/>
      <c r="AW42" s="1" t="s">
        <v>2152</v>
      </c>
      <c r="AX42" s="7">
        <v>45482.649219780564</v>
      </c>
      <c r="AY42" s="1" t="s">
        <v>1005</v>
      </c>
      <c r="AZ42" s="6">
        <v>18012.669999999998</v>
      </c>
      <c r="BA42" s="5">
        <v>45481</v>
      </c>
      <c r="BB42" s="5">
        <v>45627</v>
      </c>
      <c r="BC42" s="5">
        <v>45481</v>
      </c>
      <c r="BD42" s="5">
        <v>45481</v>
      </c>
      <c r="BE42" s="7">
        <v>45657</v>
      </c>
      <c r="BF42" s="1" t="s">
        <v>2170</v>
      </c>
      <c r="BG42" s="1"/>
      <c r="BH42" s="1"/>
      <c r="BI42" s="1" t="s">
        <v>108</v>
      </c>
    </row>
    <row r="43" spans="1:61" x14ac:dyDescent="0.25">
      <c r="A43" s="4">
        <v>38</v>
      </c>
      <c r="B43" s="2" t="str">
        <f>HYPERLINK("https://my.zakupivli.pro/remote/dispatcher/state_purchase_view/52070282", "UA-2024-07-09-007818-a")</f>
        <v>UA-2024-07-09-007818-a</v>
      </c>
      <c r="C43" s="2" t="s">
        <v>1516</v>
      </c>
      <c r="D43" s="1" t="s">
        <v>1722</v>
      </c>
      <c r="E43" s="1" t="s">
        <v>1721</v>
      </c>
      <c r="F43" s="1" t="s">
        <v>603</v>
      </c>
      <c r="G43" s="1" t="s">
        <v>1035</v>
      </c>
      <c r="H43" s="1" t="s">
        <v>1218</v>
      </c>
      <c r="I43" s="1" t="s">
        <v>2094</v>
      </c>
      <c r="J43" s="1" t="s">
        <v>1145</v>
      </c>
      <c r="K43" s="1" t="s">
        <v>947</v>
      </c>
      <c r="L43" s="1" t="s">
        <v>1533</v>
      </c>
      <c r="M43" s="1" t="s">
        <v>1533</v>
      </c>
      <c r="N43" s="1" t="s">
        <v>110</v>
      </c>
      <c r="O43" s="1" t="s">
        <v>110</v>
      </c>
      <c r="P43" s="1" t="s">
        <v>110</v>
      </c>
      <c r="Q43" s="5">
        <v>45482</v>
      </c>
      <c r="R43" s="1"/>
      <c r="S43" s="1"/>
      <c r="T43" s="1"/>
      <c r="U43" s="1"/>
      <c r="V43" s="1" t="s">
        <v>2146</v>
      </c>
      <c r="W43" s="4">
        <v>1</v>
      </c>
      <c r="X43" s="6">
        <v>5359.76</v>
      </c>
      <c r="Y43" s="1" t="s">
        <v>1516</v>
      </c>
      <c r="Z43" s="1">
        <v>1</v>
      </c>
      <c r="AA43" s="6">
        <v>5359.76</v>
      </c>
      <c r="AB43" s="1" t="s">
        <v>2167</v>
      </c>
      <c r="AC43" s="1" t="s">
        <v>2162</v>
      </c>
      <c r="AD43" s="1" t="s">
        <v>1100</v>
      </c>
      <c r="AE43" s="1" t="s">
        <v>2094</v>
      </c>
      <c r="AF43" s="1" t="s">
        <v>1186</v>
      </c>
      <c r="AG43" s="1" t="s">
        <v>1522</v>
      </c>
      <c r="AH43" s="6">
        <v>5359.76</v>
      </c>
      <c r="AI43" s="6">
        <v>5359.76</v>
      </c>
      <c r="AJ43" s="1" t="s">
        <v>1547</v>
      </c>
      <c r="AK43" s="1"/>
      <c r="AL43" s="1"/>
      <c r="AM43" s="1" t="s">
        <v>1547</v>
      </c>
      <c r="AN43" s="1" t="s">
        <v>827</v>
      </c>
      <c r="AO43" s="1"/>
      <c r="AP43" s="1" t="s">
        <v>51</v>
      </c>
      <c r="AQ43" s="1"/>
      <c r="AR43" s="1"/>
      <c r="AS43" s="2"/>
      <c r="AT43" s="1"/>
      <c r="AU43" s="1"/>
      <c r="AV43" s="1"/>
      <c r="AW43" s="1" t="s">
        <v>2152</v>
      </c>
      <c r="AX43" s="7">
        <v>45482.633531860891</v>
      </c>
      <c r="AY43" s="1" t="s">
        <v>1006</v>
      </c>
      <c r="AZ43" s="6">
        <v>5359.76</v>
      </c>
      <c r="BA43" s="5">
        <v>45481</v>
      </c>
      <c r="BB43" s="5">
        <v>45627</v>
      </c>
      <c r="BC43" s="5">
        <v>45481</v>
      </c>
      <c r="BD43" s="5">
        <v>45481</v>
      </c>
      <c r="BE43" s="7">
        <v>45657</v>
      </c>
      <c r="BF43" s="1" t="s">
        <v>2170</v>
      </c>
      <c r="BG43" s="1"/>
      <c r="BH43" s="1"/>
      <c r="BI43" s="1" t="s">
        <v>108</v>
      </c>
    </row>
    <row r="44" spans="1:61" x14ac:dyDescent="0.25">
      <c r="A44" s="4">
        <v>39</v>
      </c>
      <c r="B44" s="2" t="str">
        <f>HYPERLINK("https://my.zakupivli.pro/remote/dispatcher/state_purchase_view/52012825", "UA-2024-07-05-003973-a")</f>
        <v>UA-2024-07-05-003973-a</v>
      </c>
      <c r="C44" s="2" t="str">
        <f>HYPERLINK("https://my.zakupivli.pro/remote/dispatcher/state_purchase_lot_view/1329625", "UA-2024-07-05-003973-a-L1")</f>
        <v>UA-2024-07-05-003973-a-L1</v>
      </c>
      <c r="D44" s="1" t="s">
        <v>1252</v>
      </c>
      <c r="E44" s="1" t="s">
        <v>1251</v>
      </c>
      <c r="F44" s="1" t="s">
        <v>603</v>
      </c>
      <c r="G44" s="1" t="s">
        <v>975</v>
      </c>
      <c r="H44" s="1" t="s">
        <v>1185</v>
      </c>
      <c r="I44" s="1" t="s">
        <v>2094</v>
      </c>
      <c r="J44" s="1" t="s">
        <v>1145</v>
      </c>
      <c r="K44" s="1" t="s">
        <v>947</v>
      </c>
      <c r="L44" s="1" t="s">
        <v>1533</v>
      </c>
      <c r="M44" s="1" t="s">
        <v>1533</v>
      </c>
      <c r="N44" s="1" t="s">
        <v>110</v>
      </c>
      <c r="O44" s="1" t="s">
        <v>110</v>
      </c>
      <c r="P44" s="1" t="s">
        <v>110</v>
      </c>
      <c r="Q44" s="5">
        <v>45478</v>
      </c>
      <c r="R44" s="1" t="s">
        <v>662</v>
      </c>
      <c r="S44" s="1" t="s">
        <v>666</v>
      </c>
      <c r="T44" s="5">
        <v>45478</v>
      </c>
      <c r="U44" s="5">
        <v>45488</v>
      </c>
      <c r="V44" s="1" t="s">
        <v>2147</v>
      </c>
      <c r="W44" s="4">
        <v>1</v>
      </c>
      <c r="X44" s="6">
        <v>281663</v>
      </c>
      <c r="Y44" s="6">
        <v>281663</v>
      </c>
      <c r="Z44" s="1">
        <v>1</v>
      </c>
      <c r="AA44" s="6">
        <v>281663</v>
      </c>
      <c r="AB44" s="1" t="s">
        <v>2167</v>
      </c>
      <c r="AC44" s="6">
        <v>1408.32</v>
      </c>
      <c r="AD44" s="1" t="s">
        <v>1100</v>
      </c>
      <c r="AE44" s="1" t="s">
        <v>2094</v>
      </c>
      <c r="AF44" s="1" t="s">
        <v>1186</v>
      </c>
      <c r="AG44" s="1" t="s">
        <v>1522</v>
      </c>
      <c r="AH44" s="6">
        <v>250001.36</v>
      </c>
      <c r="AI44" s="6">
        <v>250001.36</v>
      </c>
      <c r="AJ44" s="1" t="s">
        <v>2045</v>
      </c>
      <c r="AK44" s="6">
        <v>31661.640000000014</v>
      </c>
      <c r="AL44" s="6">
        <v>0.1124096526700348</v>
      </c>
      <c r="AM44" s="1" t="s">
        <v>2045</v>
      </c>
      <c r="AN44" s="1" t="s">
        <v>926</v>
      </c>
      <c r="AO44" s="1" t="s">
        <v>1102</v>
      </c>
      <c r="AP44" s="1" t="s">
        <v>96</v>
      </c>
      <c r="AQ44" s="6">
        <v>31661.640000000014</v>
      </c>
      <c r="AR44" s="6">
        <v>0.1124096526700348</v>
      </c>
      <c r="AS44" s="2"/>
      <c r="AT44" s="7">
        <v>45488.554325201178</v>
      </c>
      <c r="AU44" s="1" t="s">
        <v>672</v>
      </c>
      <c r="AV44" s="1" t="s">
        <v>678</v>
      </c>
      <c r="AW44" s="1" t="s">
        <v>2151</v>
      </c>
      <c r="AX44" s="7">
        <v>45495.598885381136</v>
      </c>
      <c r="AY44" s="1" t="s">
        <v>1022</v>
      </c>
      <c r="AZ44" s="6">
        <v>250001.36</v>
      </c>
      <c r="BA44" s="1"/>
      <c r="BB44" s="5">
        <v>45627</v>
      </c>
      <c r="BC44" s="5">
        <v>45495</v>
      </c>
      <c r="BD44" s="5">
        <v>45495</v>
      </c>
      <c r="BE44" s="7">
        <v>45657</v>
      </c>
      <c r="BF44" s="1" t="s">
        <v>2170</v>
      </c>
      <c r="BG44" s="1"/>
      <c r="BH44" s="1" t="s">
        <v>2111</v>
      </c>
      <c r="BI44" s="1" t="s">
        <v>927</v>
      </c>
    </row>
    <row r="45" spans="1:61" x14ac:dyDescent="0.25">
      <c r="A45" s="4">
        <v>40</v>
      </c>
      <c r="B45" s="2" t="str">
        <f>HYPERLINK("https://my.zakupivli.pro/remote/dispatcher/state_purchase_view/51771737", "UA-2024-06-21-003275-a")</f>
        <v>UA-2024-06-21-003275-a</v>
      </c>
      <c r="C45" s="2" t="str">
        <f>HYPERLINK("https://my.zakupivli.pro/remote/dispatcher/state_purchase_lot_view/1317843", "UA-2024-06-21-003275-a-L1")</f>
        <v>UA-2024-06-21-003275-a-L1</v>
      </c>
      <c r="D45" s="1" t="s">
        <v>1819</v>
      </c>
      <c r="E45" s="1" t="s">
        <v>1818</v>
      </c>
      <c r="F45" s="1" t="s">
        <v>603</v>
      </c>
      <c r="G45" s="1" t="s">
        <v>967</v>
      </c>
      <c r="H45" s="1" t="s">
        <v>1185</v>
      </c>
      <c r="I45" s="1" t="s">
        <v>2094</v>
      </c>
      <c r="J45" s="1" t="s">
        <v>1145</v>
      </c>
      <c r="K45" s="1" t="s">
        <v>947</v>
      </c>
      <c r="L45" s="1" t="s">
        <v>1533</v>
      </c>
      <c r="M45" s="1" t="s">
        <v>1533</v>
      </c>
      <c r="N45" s="1" t="s">
        <v>110</v>
      </c>
      <c r="O45" s="1" t="s">
        <v>110</v>
      </c>
      <c r="P45" s="1" t="s">
        <v>110</v>
      </c>
      <c r="Q45" s="5">
        <v>45464</v>
      </c>
      <c r="R45" s="1" t="s">
        <v>655</v>
      </c>
      <c r="S45" s="1" t="s">
        <v>659</v>
      </c>
      <c r="T45" s="5">
        <v>45464</v>
      </c>
      <c r="U45" s="5">
        <v>45474</v>
      </c>
      <c r="V45" s="1" t="s">
        <v>2147</v>
      </c>
      <c r="W45" s="4">
        <v>1</v>
      </c>
      <c r="X45" s="6">
        <v>158741</v>
      </c>
      <c r="Y45" s="6">
        <v>158741</v>
      </c>
      <c r="Z45" s="1">
        <v>1</v>
      </c>
      <c r="AA45" s="6">
        <v>158741</v>
      </c>
      <c r="AB45" s="1" t="s">
        <v>2167</v>
      </c>
      <c r="AC45" s="6">
        <v>793.71</v>
      </c>
      <c r="AD45" s="1" t="s">
        <v>1100</v>
      </c>
      <c r="AE45" s="1" t="s">
        <v>2094</v>
      </c>
      <c r="AF45" s="1" t="s">
        <v>1186</v>
      </c>
      <c r="AG45" s="1" t="s">
        <v>1522</v>
      </c>
      <c r="AH45" s="6">
        <v>157761.60000000001</v>
      </c>
      <c r="AI45" s="6">
        <v>157761.60000000001</v>
      </c>
      <c r="AJ45" s="1" t="s">
        <v>2034</v>
      </c>
      <c r="AK45" s="6">
        <v>979.39999999999418</v>
      </c>
      <c r="AL45" s="6">
        <v>6.1697986027553949E-3</v>
      </c>
      <c r="AM45" s="1" t="s">
        <v>2034</v>
      </c>
      <c r="AN45" s="1" t="s">
        <v>977</v>
      </c>
      <c r="AO45" s="1" t="s">
        <v>1111</v>
      </c>
      <c r="AP45" s="1" t="s">
        <v>25</v>
      </c>
      <c r="AQ45" s="6">
        <v>979.39999999999418</v>
      </c>
      <c r="AR45" s="6">
        <v>6.1697986027553949E-3</v>
      </c>
      <c r="AS45" s="2"/>
      <c r="AT45" s="7">
        <v>45476.65615596596</v>
      </c>
      <c r="AU45" s="1" t="s">
        <v>664</v>
      </c>
      <c r="AV45" s="1" t="s">
        <v>670</v>
      </c>
      <c r="AW45" s="1" t="s">
        <v>2151</v>
      </c>
      <c r="AX45" s="7">
        <v>45482.58988807095</v>
      </c>
      <c r="AY45" s="1" t="s">
        <v>1008</v>
      </c>
      <c r="AZ45" s="6">
        <v>157761.60000000001</v>
      </c>
      <c r="BA45" s="1"/>
      <c r="BB45" s="5">
        <v>45627</v>
      </c>
      <c r="BC45" s="5">
        <v>45482</v>
      </c>
      <c r="BD45" s="5">
        <v>45482</v>
      </c>
      <c r="BE45" s="7">
        <v>45657</v>
      </c>
      <c r="BF45" s="1" t="s">
        <v>2170</v>
      </c>
      <c r="BG45" s="1"/>
      <c r="BH45" s="1" t="s">
        <v>2111</v>
      </c>
      <c r="BI45" s="1" t="s">
        <v>978</v>
      </c>
    </row>
    <row r="46" spans="1:61" x14ac:dyDescent="0.25">
      <c r="A46" s="4">
        <v>41</v>
      </c>
      <c r="B46" s="2" t="str">
        <f>HYPERLINK("https://my.zakupivli.pro/remote/dispatcher/state_purchase_view/51773753", "UA-2024-06-21-004185-a")</f>
        <v>UA-2024-06-21-004185-a</v>
      </c>
      <c r="C46" s="2" t="str">
        <f>HYPERLINK("https://my.zakupivli.pro/remote/dispatcher/state_purchase_lot_view/1317918", "UA-2024-06-21-004185-a-L1")</f>
        <v>UA-2024-06-21-004185-a-L1</v>
      </c>
      <c r="D46" s="1" t="s">
        <v>1795</v>
      </c>
      <c r="E46" s="1" t="s">
        <v>1794</v>
      </c>
      <c r="F46" s="1" t="s">
        <v>603</v>
      </c>
      <c r="G46" s="1" t="s">
        <v>966</v>
      </c>
      <c r="H46" s="1" t="s">
        <v>1185</v>
      </c>
      <c r="I46" s="1" t="s">
        <v>2094</v>
      </c>
      <c r="J46" s="1" t="s">
        <v>1145</v>
      </c>
      <c r="K46" s="1" t="s">
        <v>947</v>
      </c>
      <c r="L46" s="1" t="s">
        <v>1533</v>
      </c>
      <c r="M46" s="1" t="s">
        <v>1533</v>
      </c>
      <c r="N46" s="1" t="s">
        <v>110</v>
      </c>
      <c r="O46" s="1" t="s">
        <v>110</v>
      </c>
      <c r="P46" s="1" t="s">
        <v>110</v>
      </c>
      <c r="Q46" s="5">
        <v>45464</v>
      </c>
      <c r="R46" s="1" t="s">
        <v>655</v>
      </c>
      <c r="S46" s="1" t="s">
        <v>659</v>
      </c>
      <c r="T46" s="5">
        <v>45464</v>
      </c>
      <c r="U46" s="5">
        <v>45474</v>
      </c>
      <c r="V46" s="1" t="s">
        <v>2147</v>
      </c>
      <c r="W46" s="4">
        <v>1</v>
      </c>
      <c r="X46" s="6">
        <v>310180</v>
      </c>
      <c r="Y46" s="6">
        <v>310180</v>
      </c>
      <c r="Z46" s="1">
        <v>1</v>
      </c>
      <c r="AA46" s="6">
        <v>310180</v>
      </c>
      <c r="AB46" s="1" t="s">
        <v>2167</v>
      </c>
      <c r="AC46" s="6">
        <v>1550.9</v>
      </c>
      <c r="AD46" s="1" t="s">
        <v>1100</v>
      </c>
      <c r="AE46" s="1" t="s">
        <v>2094</v>
      </c>
      <c r="AF46" s="1" t="s">
        <v>1186</v>
      </c>
      <c r="AG46" s="1" t="s">
        <v>1522</v>
      </c>
      <c r="AH46" s="6">
        <v>309302.39</v>
      </c>
      <c r="AI46" s="6">
        <v>309302.39</v>
      </c>
      <c r="AJ46" s="1" t="s">
        <v>2050</v>
      </c>
      <c r="AK46" s="6">
        <v>877.60999999998603</v>
      </c>
      <c r="AL46" s="6">
        <v>2.8293571474627185E-3</v>
      </c>
      <c r="AM46" s="1"/>
      <c r="AN46" s="1"/>
      <c r="AO46" s="1"/>
      <c r="AP46" s="1"/>
      <c r="AQ46" s="1"/>
      <c r="AR46" s="1"/>
      <c r="AS46" s="2"/>
      <c r="AT46" s="7">
        <v>45481.601898817731</v>
      </c>
      <c r="AU46" s="1"/>
      <c r="AV46" s="1"/>
      <c r="AW46" s="1" t="s">
        <v>2153</v>
      </c>
      <c r="AX46" s="7">
        <v>45487.000018273175</v>
      </c>
      <c r="AY46" s="1"/>
      <c r="AZ46" s="1"/>
      <c r="BA46" s="1"/>
      <c r="BB46" s="5">
        <v>45627</v>
      </c>
      <c r="BC46" s="1" t="s">
        <v>109</v>
      </c>
      <c r="BD46" s="1" t="s">
        <v>109</v>
      </c>
      <c r="BE46" s="1"/>
      <c r="BF46" s="1"/>
      <c r="BG46" s="1"/>
      <c r="BH46" s="1"/>
      <c r="BI46" s="1" t="s">
        <v>955</v>
      </c>
    </row>
    <row r="47" spans="1:61" x14ac:dyDescent="0.25">
      <c r="A47" s="4">
        <v>42</v>
      </c>
      <c r="B47" s="2" t="str">
        <f>HYPERLINK("https://my.zakupivli.pro/remote/dispatcher/state_purchase_view/51772200", "UA-2024-06-21-003488-a")</f>
        <v>UA-2024-06-21-003488-a</v>
      </c>
      <c r="C47" s="2" t="str">
        <f>HYPERLINK("https://my.zakupivli.pro/remote/dispatcher/state_purchase_lot_view/1317856", "UA-2024-06-21-003488-a-L1")</f>
        <v>UA-2024-06-21-003488-a-L1</v>
      </c>
      <c r="D47" s="1" t="s">
        <v>1815</v>
      </c>
      <c r="E47" s="1" t="s">
        <v>1814</v>
      </c>
      <c r="F47" s="1" t="s">
        <v>603</v>
      </c>
      <c r="G47" s="1" t="s">
        <v>967</v>
      </c>
      <c r="H47" s="1" t="s">
        <v>1185</v>
      </c>
      <c r="I47" s="1" t="s">
        <v>2094</v>
      </c>
      <c r="J47" s="1" t="s">
        <v>1145</v>
      </c>
      <c r="K47" s="1" t="s">
        <v>947</v>
      </c>
      <c r="L47" s="1" t="s">
        <v>1533</v>
      </c>
      <c r="M47" s="1" t="s">
        <v>1533</v>
      </c>
      <c r="N47" s="1" t="s">
        <v>110</v>
      </c>
      <c r="O47" s="1" t="s">
        <v>110</v>
      </c>
      <c r="P47" s="1" t="s">
        <v>110</v>
      </c>
      <c r="Q47" s="5">
        <v>45464</v>
      </c>
      <c r="R47" s="1" t="s">
        <v>655</v>
      </c>
      <c r="S47" s="1" t="s">
        <v>659</v>
      </c>
      <c r="T47" s="5">
        <v>45464</v>
      </c>
      <c r="U47" s="5">
        <v>45474</v>
      </c>
      <c r="V47" s="1" t="s">
        <v>2147</v>
      </c>
      <c r="W47" s="4">
        <v>1</v>
      </c>
      <c r="X47" s="6">
        <v>200617</v>
      </c>
      <c r="Y47" s="6">
        <v>200617</v>
      </c>
      <c r="Z47" s="1">
        <v>1</v>
      </c>
      <c r="AA47" s="6">
        <v>200617</v>
      </c>
      <c r="AB47" s="1" t="s">
        <v>2167</v>
      </c>
      <c r="AC47" s="6">
        <v>1003.09</v>
      </c>
      <c r="AD47" s="1" t="s">
        <v>1100</v>
      </c>
      <c r="AE47" s="1" t="s">
        <v>2094</v>
      </c>
      <c r="AF47" s="1" t="s">
        <v>1186</v>
      </c>
      <c r="AG47" s="1" t="s">
        <v>1522</v>
      </c>
      <c r="AH47" s="6">
        <v>199693.56</v>
      </c>
      <c r="AI47" s="6">
        <v>199693.56</v>
      </c>
      <c r="AJ47" s="1" t="s">
        <v>2034</v>
      </c>
      <c r="AK47" s="6">
        <v>923.44000000000233</v>
      </c>
      <c r="AL47" s="6">
        <v>4.6029997457842668E-3</v>
      </c>
      <c r="AM47" s="1" t="s">
        <v>2034</v>
      </c>
      <c r="AN47" s="1" t="s">
        <v>977</v>
      </c>
      <c r="AO47" s="1" t="s">
        <v>1111</v>
      </c>
      <c r="AP47" s="1" t="s">
        <v>25</v>
      </c>
      <c r="AQ47" s="6">
        <v>923.44000000000233</v>
      </c>
      <c r="AR47" s="6">
        <v>4.6029997457842668E-3</v>
      </c>
      <c r="AS47" s="2"/>
      <c r="AT47" s="7">
        <v>45476.652392292046</v>
      </c>
      <c r="AU47" s="1" t="s">
        <v>664</v>
      </c>
      <c r="AV47" s="1" t="s">
        <v>670</v>
      </c>
      <c r="AW47" s="1" t="s">
        <v>2151</v>
      </c>
      <c r="AX47" s="7">
        <v>45482.597087103226</v>
      </c>
      <c r="AY47" s="1" t="s">
        <v>1012</v>
      </c>
      <c r="AZ47" s="6">
        <v>199693.56</v>
      </c>
      <c r="BA47" s="1"/>
      <c r="BB47" s="5">
        <v>45627</v>
      </c>
      <c r="BC47" s="5">
        <v>45482</v>
      </c>
      <c r="BD47" s="5">
        <v>45482</v>
      </c>
      <c r="BE47" s="7">
        <v>45657</v>
      </c>
      <c r="BF47" s="1" t="s">
        <v>2170</v>
      </c>
      <c r="BG47" s="1"/>
      <c r="BH47" s="1" t="s">
        <v>2111</v>
      </c>
      <c r="BI47" s="1" t="s">
        <v>978</v>
      </c>
    </row>
    <row r="48" spans="1:61" x14ac:dyDescent="0.25">
      <c r="A48" s="4">
        <v>43</v>
      </c>
      <c r="B48" s="2" t="str">
        <f>HYPERLINK("https://my.zakupivli.pro/remote/dispatcher/state_purchase_view/51767811", "UA-2024-06-21-001567-a")</f>
        <v>UA-2024-06-21-001567-a</v>
      </c>
      <c r="C48" s="2" t="str">
        <f>HYPERLINK("https://my.zakupivli.pro/remote/dispatcher/state_purchase_lot_view/1317714", "UA-2024-06-21-001567-a-L1")</f>
        <v>UA-2024-06-21-001567-a-L1</v>
      </c>
      <c r="D48" s="1" t="s">
        <v>1294</v>
      </c>
      <c r="E48" s="1" t="s">
        <v>1293</v>
      </c>
      <c r="F48" s="1" t="s">
        <v>603</v>
      </c>
      <c r="G48" s="1" t="s">
        <v>973</v>
      </c>
      <c r="H48" s="1" t="s">
        <v>1185</v>
      </c>
      <c r="I48" s="1" t="s">
        <v>2094</v>
      </c>
      <c r="J48" s="1" t="s">
        <v>1145</v>
      </c>
      <c r="K48" s="1" t="s">
        <v>947</v>
      </c>
      <c r="L48" s="1" t="s">
        <v>1533</v>
      </c>
      <c r="M48" s="1" t="s">
        <v>1533</v>
      </c>
      <c r="N48" s="1" t="s">
        <v>110</v>
      </c>
      <c r="O48" s="1" t="s">
        <v>110</v>
      </c>
      <c r="P48" s="1" t="s">
        <v>110</v>
      </c>
      <c r="Q48" s="5">
        <v>45464</v>
      </c>
      <c r="R48" s="1" t="s">
        <v>655</v>
      </c>
      <c r="S48" s="1" t="s">
        <v>659</v>
      </c>
      <c r="T48" s="5">
        <v>45464</v>
      </c>
      <c r="U48" s="5">
        <v>45474</v>
      </c>
      <c r="V48" s="1" t="s">
        <v>2147</v>
      </c>
      <c r="W48" s="4">
        <v>1</v>
      </c>
      <c r="X48" s="6">
        <v>257040</v>
      </c>
      <c r="Y48" s="6">
        <v>257040</v>
      </c>
      <c r="Z48" s="1">
        <v>1</v>
      </c>
      <c r="AA48" s="6">
        <v>257040</v>
      </c>
      <c r="AB48" s="1" t="s">
        <v>2167</v>
      </c>
      <c r="AC48" s="6">
        <v>1285.2</v>
      </c>
      <c r="AD48" s="1" t="s">
        <v>1100</v>
      </c>
      <c r="AE48" s="1" t="s">
        <v>2094</v>
      </c>
      <c r="AF48" s="1" t="s">
        <v>1186</v>
      </c>
      <c r="AG48" s="1" t="s">
        <v>1522</v>
      </c>
      <c r="AH48" s="6">
        <v>255656.11</v>
      </c>
      <c r="AI48" s="6">
        <v>255656.11</v>
      </c>
      <c r="AJ48" s="1" t="s">
        <v>2050</v>
      </c>
      <c r="AK48" s="6">
        <v>1383.890000000014</v>
      </c>
      <c r="AL48" s="6">
        <v>5.3839480236539602E-3</v>
      </c>
      <c r="AM48" s="1"/>
      <c r="AN48" s="1"/>
      <c r="AO48" s="1"/>
      <c r="AP48" s="1"/>
      <c r="AQ48" s="1"/>
      <c r="AR48" s="1"/>
      <c r="AS48" s="2"/>
      <c r="AT48" s="7">
        <v>45481.623522175752</v>
      </c>
      <c r="AU48" s="1"/>
      <c r="AV48" s="1"/>
      <c r="AW48" s="1" t="s">
        <v>2153</v>
      </c>
      <c r="AX48" s="7">
        <v>45487.000020493528</v>
      </c>
      <c r="AY48" s="1"/>
      <c r="AZ48" s="1"/>
      <c r="BA48" s="1"/>
      <c r="BB48" s="5">
        <v>45627</v>
      </c>
      <c r="BC48" s="1" t="s">
        <v>109</v>
      </c>
      <c r="BD48" s="1" t="s">
        <v>109</v>
      </c>
      <c r="BE48" s="1"/>
      <c r="BF48" s="1"/>
      <c r="BG48" s="1"/>
      <c r="BH48" s="1"/>
      <c r="BI48" s="1" t="s">
        <v>955</v>
      </c>
    </row>
    <row r="49" spans="1:61" x14ac:dyDescent="0.25">
      <c r="A49" s="4">
        <v>44</v>
      </c>
      <c r="B49" s="2" t="str">
        <f>HYPERLINK("https://my.zakupivli.pro/remote/dispatcher/state_purchase_view/51751903", "UA-2024-06-20-006685-a")</f>
        <v>UA-2024-06-20-006685-a</v>
      </c>
      <c r="C49" s="2" t="s">
        <v>1516</v>
      </c>
      <c r="D49" s="1" t="s">
        <v>1230</v>
      </c>
      <c r="E49" s="1" t="s">
        <v>1230</v>
      </c>
      <c r="F49" s="1" t="s">
        <v>603</v>
      </c>
      <c r="G49" s="1" t="s">
        <v>976</v>
      </c>
      <c r="H49" s="1" t="s">
        <v>1218</v>
      </c>
      <c r="I49" s="1" t="s">
        <v>2094</v>
      </c>
      <c r="J49" s="1" t="s">
        <v>1145</v>
      </c>
      <c r="K49" s="1" t="s">
        <v>947</v>
      </c>
      <c r="L49" s="1" t="s">
        <v>1533</v>
      </c>
      <c r="M49" s="1" t="s">
        <v>1533</v>
      </c>
      <c r="N49" s="1" t="s">
        <v>110</v>
      </c>
      <c r="O49" s="1" t="s">
        <v>110</v>
      </c>
      <c r="P49" s="1" t="s">
        <v>110</v>
      </c>
      <c r="Q49" s="5">
        <v>45463</v>
      </c>
      <c r="R49" s="1"/>
      <c r="S49" s="1"/>
      <c r="T49" s="1"/>
      <c r="U49" s="1"/>
      <c r="V49" s="1" t="s">
        <v>2146</v>
      </c>
      <c r="W49" s="4">
        <v>1</v>
      </c>
      <c r="X49" s="6">
        <v>79189.539999999994</v>
      </c>
      <c r="Y49" s="1" t="s">
        <v>1516</v>
      </c>
      <c r="Z49" s="1">
        <v>1</v>
      </c>
      <c r="AA49" s="6">
        <v>79189.539999999994</v>
      </c>
      <c r="AB49" s="1" t="s">
        <v>2167</v>
      </c>
      <c r="AC49" s="1" t="s">
        <v>2162</v>
      </c>
      <c r="AD49" s="1" t="s">
        <v>1100</v>
      </c>
      <c r="AE49" s="1" t="s">
        <v>1522</v>
      </c>
      <c r="AF49" s="1" t="s">
        <v>1186</v>
      </c>
      <c r="AG49" s="1" t="s">
        <v>1522</v>
      </c>
      <c r="AH49" s="6">
        <v>79189.539999999994</v>
      </c>
      <c r="AI49" s="6">
        <v>79189.539999999994</v>
      </c>
      <c r="AJ49" s="1" t="s">
        <v>2045</v>
      </c>
      <c r="AK49" s="1"/>
      <c r="AL49" s="1"/>
      <c r="AM49" s="1" t="s">
        <v>2045</v>
      </c>
      <c r="AN49" s="1" t="s">
        <v>926</v>
      </c>
      <c r="AO49" s="1"/>
      <c r="AP49" s="1" t="s">
        <v>96</v>
      </c>
      <c r="AQ49" s="1"/>
      <c r="AR49" s="1"/>
      <c r="AS49" s="2"/>
      <c r="AT49" s="1"/>
      <c r="AU49" s="1"/>
      <c r="AV49" s="1"/>
      <c r="AW49" s="1" t="s">
        <v>2152</v>
      </c>
      <c r="AX49" s="7">
        <v>45463.581339759898</v>
      </c>
      <c r="AY49" s="1" t="s">
        <v>938</v>
      </c>
      <c r="AZ49" s="6">
        <v>79189.539999999994</v>
      </c>
      <c r="BA49" s="5">
        <v>45460</v>
      </c>
      <c r="BB49" s="5">
        <v>45627</v>
      </c>
      <c r="BC49" s="5">
        <v>45460</v>
      </c>
      <c r="BD49" s="5">
        <v>45460</v>
      </c>
      <c r="BE49" s="7">
        <v>45657</v>
      </c>
      <c r="BF49" s="1" t="s">
        <v>2170</v>
      </c>
      <c r="BG49" s="1"/>
      <c r="BH49" s="1" t="s">
        <v>1217</v>
      </c>
      <c r="BI49" s="1" t="s">
        <v>108</v>
      </c>
    </row>
    <row r="50" spans="1:61" x14ac:dyDescent="0.25">
      <c r="A50" s="4">
        <v>45</v>
      </c>
      <c r="B50" s="2" t="str">
        <f>HYPERLINK("https://my.zakupivli.pro/remote/dispatcher/state_purchase_view/51761295", "UA-2024-06-20-010711-a")</f>
        <v>UA-2024-06-20-010711-a</v>
      </c>
      <c r="C50" s="2" t="s">
        <v>1516</v>
      </c>
      <c r="D50" s="1" t="s">
        <v>1300</v>
      </c>
      <c r="E50" s="1" t="s">
        <v>1299</v>
      </c>
      <c r="F50" s="1" t="s">
        <v>603</v>
      </c>
      <c r="G50" s="1" t="s">
        <v>973</v>
      </c>
      <c r="H50" s="1" t="s">
        <v>1218</v>
      </c>
      <c r="I50" s="1" t="s">
        <v>2094</v>
      </c>
      <c r="J50" s="1" t="s">
        <v>1145</v>
      </c>
      <c r="K50" s="1" t="s">
        <v>947</v>
      </c>
      <c r="L50" s="1" t="s">
        <v>1533</v>
      </c>
      <c r="M50" s="1" t="s">
        <v>1533</v>
      </c>
      <c r="N50" s="1" t="s">
        <v>110</v>
      </c>
      <c r="O50" s="1" t="s">
        <v>110</v>
      </c>
      <c r="P50" s="1" t="s">
        <v>110</v>
      </c>
      <c r="Q50" s="5">
        <v>45463</v>
      </c>
      <c r="R50" s="1"/>
      <c r="S50" s="1"/>
      <c r="T50" s="1"/>
      <c r="U50" s="1"/>
      <c r="V50" s="1" t="s">
        <v>2146</v>
      </c>
      <c r="W50" s="4">
        <v>1</v>
      </c>
      <c r="X50" s="6">
        <v>199773.31</v>
      </c>
      <c r="Y50" s="1" t="s">
        <v>1516</v>
      </c>
      <c r="Z50" s="1">
        <v>1</v>
      </c>
      <c r="AA50" s="6">
        <v>199773.31</v>
      </c>
      <c r="AB50" s="1" t="s">
        <v>2167</v>
      </c>
      <c r="AC50" s="1" t="s">
        <v>2162</v>
      </c>
      <c r="AD50" s="1" t="s">
        <v>1100</v>
      </c>
      <c r="AE50" s="1" t="s">
        <v>2094</v>
      </c>
      <c r="AF50" s="1" t="s">
        <v>1186</v>
      </c>
      <c r="AG50" s="1" t="s">
        <v>1522</v>
      </c>
      <c r="AH50" s="6">
        <v>199773.31</v>
      </c>
      <c r="AI50" s="6">
        <v>199773.31</v>
      </c>
      <c r="AJ50" s="1" t="s">
        <v>2050</v>
      </c>
      <c r="AK50" s="1"/>
      <c r="AL50" s="1"/>
      <c r="AM50" s="1" t="s">
        <v>2050</v>
      </c>
      <c r="AN50" s="1" t="s">
        <v>954</v>
      </c>
      <c r="AO50" s="1"/>
      <c r="AP50" s="1" t="s">
        <v>20</v>
      </c>
      <c r="AQ50" s="1"/>
      <c r="AR50" s="1"/>
      <c r="AS50" s="2"/>
      <c r="AT50" s="1"/>
      <c r="AU50" s="1"/>
      <c r="AV50" s="1"/>
      <c r="AW50" s="1" t="s">
        <v>2152</v>
      </c>
      <c r="AX50" s="7">
        <v>45463.705854829597</v>
      </c>
      <c r="AY50" s="1" t="s">
        <v>980</v>
      </c>
      <c r="AZ50" s="6">
        <v>199773.31</v>
      </c>
      <c r="BA50" s="5">
        <v>45460</v>
      </c>
      <c r="BB50" s="5">
        <v>45627</v>
      </c>
      <c r="BC50" s="5">
        <v>45460</v>
      </c>
      <c r="BD50" s="5">
        <v>45460</v>
      </c>
      <c r="BE50" s="7">
        <v>45657</v>
      </c>
      <c r="BF50" s="1" t="s">
        <v>2170</v>
      </c>
      <c r="BG50" s="1"/>
      <c r="BH50" s="1" t="s">
        <v>1217</v>
      </c>
      <c r="BI50" s="1" t="s">
        <v>108</v>
      </c>
    </row>
    <row r="51" spans="1:61" x14ac:dyDescent="0.25">
      <c r="A51" s="4">
        <v>46</v>
      </c>
      <c r="B51" s="2" t="str">
        <f>HYPERLINK("https://my.zakupivli.pro/remote/dispatcher/state_purchase_view/51760874", "UA-2024-06-20-010548-a")</f>
        <v>UA-2024-06-20-010548-a</v>
      </c>
      <c r="C51" s="2" t="s">
        <v>1516</v>
      </c>
      <c r="D51" s="1" t="s">
        <v>1391</v>
      </c>
      <c r="E51" s="1" t="s">
        <v>1391</v>
      </c>
      <c r="F51" s="1" t="s">
        <v>603</v>
      </c>
      <c r="G51" s="1" t="s">
        <v>967</v>
      </c>
      <c r="H51" s="1" t="s">
        <v>1218</v>
      </c>
      <c r="I51" s="1" t="s">
        <v>2094</v>
      </c>
      <c r="J51" s="1" t="s">
        <v>1145</v>
      </c>
      <c r="K51" s="1" t="s">
        <v>947</v>
      </c>
      <c r="L51" s="1" t="s">
        <v>1533</v>
      </c>
      <c r="M51" s="1" t="s">
        <v>1533</v>
      </c>
      <c r="N51" s="1" t="s">
        <v>110</v>
      </c>
      <c r="O51" s="1" t="s">
        <v>110</v>
      </c>
      <c r="P51" s="1" t="s">
        <v>110</v>
      </c>
      <c r="Q51" s="5">
        <v>45463</v>
      </c>
      <c r="R51" s="1"/>
      <c r="S51" s="1"/>
      <c r="T51" s="1"/>
      <c r="U51" s="1"/>
      <c r="V51" s="1" t="s">
        <v>2146</v>
      </c>
      <c r="W51" s="4">
        <v>1</v>
      </c>
      <c r="X51" s="6">
        <v>158732.16</v>
      </c>
      <c r="Y51" s="1" t="s">
        <v>1516</v>
      </c>
      <c r="Z51" s="1">
        <v>1</v>
      </c>
      <c r="AA51" s="6">
        <v>158732.16</v>
      </c>
      <c r="AB51" s="1" t="s">
        <v>2167</v>
      </c>
      <c r="AC51" s="1" t="s">
        <v>2162</v>
      </c>
      <c r="AD51" s="1" t="s">
        <v>1100</v>
      </c>
      <c r="AE51" s="1" t="s">
        <v>2094</v>
      </c>
      <c r="AF51" s="1" t="s">
        <v>1186</v>
      </c>
      <c r="AG51" s="1" t="s">
        <v>1522</v>
      </c>
      <c r="AH51" s="6">
        <v>158732.16</v>
      </c>
      <c r="AI51" s="6">
        <v>158732.16</v>
      </c>
      <c r="AJ51" s="1" t="s">
        <v>2050</v>
      </c>
      <c r="AK51" s="1"/>
      <c r="AL51" s="1"/>
      <c r="AM51" s="1" t="s">
        <v>2050</v>
      </c>
      <c r="AN51" s="1" t="s">
        <v>954</v>
      </c>
      <c r="AO51" s="1"/>
      <c r="AP51" s="1" t="s">
        <v>867</v>
      </c>
      <c r="AQ51" s="1"/>
      <c r="AR51" s="1"/>
      <c r="AS51" s="2"/>
      <c r="AT51" s="1"/>
      <c r="AU51" s="1"/>
      <c r="AV51" s="1"/>
      <c r="AW51" s="1" t="s">
        <v>2152</v>
      </c>
      <c r="AX51" s="7">
        <v>45463.690751206654</v>
      </c>
      <c r="AY51" s="1" t="s">
        <v>920</v>
      </c>
      <c r="AZ51" s="6">
        <v>158732.16</v>
      </c>
      <c r="BA51" s="5">
        <v>45460</v>
      </c>
      <c r="BB51" s="5">
        <v>45627</v>
      </c>
      <c r="BC51" s="5">
        <v>45460</v>
      </c>
      <c r="BD51" s="5">
        <v>45460</v>
      </c>
      <c r="BE51" s="7">
        <v>45657</v>
      </c>
      <c r="BF51" s="1" t="s">
        <v>2170</v>
      </c>
      <c r="BG51" s="1"/>
      <c r="BH51" s="1"/>
      <c r="BI51" s="1" t="s">
        <v>108</v>
      </c>
    </row>
    <row r="52" spans="1:61" x14ac:dyDescent="0.25">
      <c r="A52" s="4">
        <v>47</v>
      </c>
      <c r="B52" s="2" t="str">
        <f>HYPERLINK("https://my.zakupivli.pro/remote/dispatcher/state_purchase_view/51759874", "UA-2024-06-20-010277-a")</f>
        <v>UA-2024-06-20-010277-a</v>
      </c>
      <c r="C52" s="2" t="s">
        <v>1516</v>
      </c>
      <c r="D52" s="1" t="s">
        <v>1378</v>
      </c>
      <c r="E52" s="1" t="s">
        <v>1377</v>
      </c>
      <c r="F52" s="1" t="s">
        <v>603</v>
      </c>
      <c r="G52" s="1" t="s">
        <v>967</v>
      </c>
      <c r="H52" s="1" t="s">
        <v>1218</v>
      </c>
      <c r="I52" s="1" t="s">
        <v>2094</v>
      </c>
      <c r="J52" s="1" t="s">
        <v>1145</v>
      </c>
      <c r="K52" s="1" t="s">
        <v>947</v>
      </c>
      <c r="L52" s="1" t="s">
        <v>1533</v>
      </c>
      <c r="M52" s="1" t="s">
        <v>1533</v>
      </c>
      <c r="N52" s="1" t="s">
        <v>110</v>
      </c>
      <c r="O52" s="1" t="s">
        <v>110</v>
      </c>
      <c r="P52" s="1" t="s">
        <v>110</v>
      </c>
      <c r="Q52" s="5">
        <v>45463</v>
      </c>
      <c r="R52" s="1"/>
      <c r="S52" s="1"/>
      <c r="T52" s="1"/>
      <c r="U52" s="1"/>
      <c r="V52" s="1" t="s">
        <v>2146</v>
      </c>
      <c r="W52" s="4">
        <v>1</v>
      </c>
      <c r="X52" s="6">
        <v>199906.09</v>
      </c>
      <c r="Y52" s="1" t="s">
        <v>1516</v>
      </c>
      <c r="Z52" s="1">
        <v>1</v>
      </c>
      <c r="AA52" s="6">
        <v>199906.09</v>
      </c>
      <c r="AB52" s="1" t="s">
        <v>2167</v>
      </c>
      <c r="AC52" s="1" t="s">
        <v>2162</v>
      </c>
      <c r="AD52" s="1" t="s">
        <v>1100</v>
      </c>
      <c r="AE52" s="1" t="s">
        <v>2094</v>
      </c>
      <c r="AF52" s="1" t="s">
        <v>1186</v>
      </c>
      <c r="AG52" s="1" t="s">
        <v>1522</v>
      </c>
      <c r="AH52" s="6">
        <v>199906.09</v>
      </c>
      <c r="AI52" s="6">
        <v>199906.09</v>
      </c>
      <c r="AJ52" s="1" t="s">
        <v>2050</v>
      </c>
      <c r="AK52" s="1"/>
      <c r="AL52" s="1"/>
      <c r="AM52" s="1" t="s">
        <v>2050</v>
      </c>
      <c r="AN52" s="1" t="s">
        <v>954</v>
      </c>
      <c r="AO52" s="1"/>
      <c r="AP52" s="1" t="s">
        <v>20</v>
      </c>
      <c r="AQ52" s="1"/>
      <c r="AR52" s="1"/>
      <c r="AS52" s="2"/>
      <c r="AT52" s="1"/>
      <c r="AU52" s="1"/>
      <c r="AV52" s="1"/>
      <c r="AW52" s="1" t="s">
        <v>2152</v>
      </c>
      <c r="AX52" s="7">
        <v>45463.69148213273</v>
      </c>
      <c r="AY52" s="1" t="s">
        <v>979</v>
      </c>
      <c r="AZ52" s="6">
        <v>199906.09</v>
      </c>
      <c r="BA52" s="5">
        <v>45460</v>
      </c>
      <c r="BB52" s="5">
        <v>45627</v>
      </c>
      <c r="BC52" s="5">
        <v>45460</v>
      </c>
      <c r="BD52" s="5">
        <v>45460</v>
      </c>
      <c r="BE52" s="7">
        <v>45657</v>
      </c>
      <c r="BF52" s="1" t="s">
        <v>2170</v>
      </c>
      <c r="BG52" s="1"/>
      <c r="BH52" s="1"/>
      <c r="BI52" s="1" t="s">
        <v>108</v>
      </c>
    </row>
    <row r="53" spans="1:61" x14ac:dyDescent="0.25">
      <c r="A53" s="4">
        <v>48</v>
      </c>
      <c r="B53" s="2" t="str">
        <f>HYPERLINK("https://my.zakupivli.pro/remote/dispatcher/state_purchase_view/51759370", "UA-2024-06-20-010038-a")</f>
        <v>UA-2024-06-20-010038-a</v>
      </c>
      <c r="C53" s="2" t="s">
        <v>1516</v>
      </c>
      <c r="D53" s="1" t="s">
        <v>1316</v>
      </c>
      <c r="E53" s="1" t="s">
        <v>1315</v>
      </c>
      <c r="F53" s="1" t="s">
        <v>603</v>
      </c>
      <c r="G53" s="1" t="s">
        <v>970</v>
      </c>
      <c r="H53" s="1" t="s">
        <v>1218</v>
      </c>
      <c r="I53" s="1" t="s">
        <v>2094</v>
      </c>
      <c r="J53" s="1" t="s">
        <v>1145</v>
      </c>
      <c r="K53" s="1" t="s">
        <v>947</v>
      </c>
      <c r="L53" s="1" t="s">
        <v>1533</v>
      </c>
      <c r="M53" s="1" t="s">
        <v>1533</v>
      </c>
      <c r="N53" s="1" t="s">
        <v>110</v>
      </c>
      <c r="O53" s="1" t="s">
        <v>110</v>
      </c>
      <c r="P53" s="1" t="s">
        <v>110</v>
      </c>
      <c r="Q53" s="5">
        <v>45463</v>
      </c>
      <c r="R53" s="1"/>
      <c r="S53" s="1"/>
      <c r="T53" s="1"/>
      <c r="U53" s="1"/>
      <c r="V53" s="1" t="s">
        <v>2146</v>
      </c>
      <c r="W53" s="4">
        <v>1</v>
      </c>
      <c r="X53" s="6">
        <v>50510.3</v>
      </c>
      <c r="Y53" s="1" t="s">
        <v>1516</v>
      </c>
      <c r="Z53" s="1">
        <v>1</v>
      </c>
      <c r="AA53" s="6">
        <v>50510.3</v>
      </c>
      <c r="AB53" s="1" t="s">
        <v>2167</v>
      </c>
      <c r="AC53" s="1" t="s">
        <v>2162</v>
      </c>
      <c r="AD53" s="1" t="s">
        <v>1100</v>
      </c>
      <c r="AE53" s="1" t="s">
        <v>2094</v>
      </c>
      <c r="AF53" s="1" t="s">
        <v>1186</v>
      </c>
      <c r="AG53" s="1" t="s">
        <v>1522</v>
      </c>
      <c r="AH53" s="6">
        <v>50510.3</v>
      </c>
      <c r="AI53" s="6">
        <v>50510.3</v>
      </c>
      <c r="AJ53" s="1" t="s">
        <v>2050</v>
      </c>
      <c r="AK53" s="1"/>
      <c r="AL53" s="1"/>
      <c r="AM53" s="1" t="s">
        <v>2050</v>
      </c>
      <c r="AN53" s="1" t="s">
        <v>954</v>
      </c>
      <c r="AO53" s="1"/>
      <c r="AP53" s="1" t="s">
        <v>20</v>
      </c>
      <c r="AQ53" s="1"/>
      <c r="AR53" s="1"/>
      <c r="AS53" s="2"/>
      <c r="AT53" s="1"/>
      <c r="AU53" s="1"/>
      <c r="AV53" s="1"/>
      <c r="AW53" s="1" t="s">
        <v>2152</v>
      </c>
      <c r="AX53" s="7">
        <v>45463.680902246851</v>
      </c>
      <c r="AY53" s="1" t="s">
        <v>962</v>
      </c>
      <c r="AZ53" s="6">
        <v>50510.3</v>
      </c>
      <c r="BA53" s="5">
        <v>45460</v>
      </c>
      <c r="BB53" s="5">
        <v>45627</v>
      </c>
      <c r="BC53" s="5">
        <v>45460</v>
      </c>
      <c r="BD53" s="5">
        <v>45460</v>
      </c>
      <c r="BE53" s="7">
        <v>45657</v>
      </c>
      <c r="BF53" s="1" t="s">
        <v>2170</v>
      </c>
      <c r="BG53" s="1"/>
      <c r="BH53" s="1"/>
      <c r="BI53" s="1" t="s">
        <v>108</v>
      </c>
    </row>
    <row r="54" spans="1:61" x14ac:dyDescent="0.25">
      <c r="A54" s="4">
        <v>49</v>
      </c>
      <c r="B54" s="2" t="str">
        <f>HYPERLINK("https://my.zakupivli.pro/remote/dispatcher/state_purchase_view/51752166", "UA-2024-06-20-006822-a")</f>
        <v>UA-2024-06-20-006822-a</v>
      </c>
      <c r="C54" s="2" t="s">
        <v>1516</v>
      </c>
      <c r="D54" s="1" t="s">
        <v>1227</v>
      </c>
      <c r="E54" s="1" t="s">
        <v>1227</v>
      </c>
      <c r="F54" s="1" t="s">
        <v>603</v>
      </c>
      <c r="G54" s="1" t="s">
        <v>976</v>
      </c>
      <c r="H54" s="1" t="s">
        <v>1218</v>
      </c>
      <c r="I54" s="1" t="s">
        <v>2094</v>
      </c>
      <c r="J54" s="1" t="s">
        <v>1145</v>
      </c>
      <c r="K54" s="1" t="s">
        <v>947</v>
      </c>
      <c r="L54" s="1" t="s">
        <v>1533</v>
      </c>
      <c r="M54" s="1" t="s">
        <v>1533</v>
      </c>
      <c r="N54" s="1" t="s">
        <v>110</v>
      </c>
      <c r="O54" s="1" t="s">
        <v>110</v>
      </c>
      <c r="P54" s="1" t="s">
        <v>110</v>
      </c>
      <c r="Q54" s="5">
        <v>45463</v>
      </c>
      <c r="R54" s="1"/>
      <c r="S54" s="1"/>
      <c r="T54" s="1"/>
      <c r="U54" s="1"/>
      <c r="V54" s="1" t="s">
        <v>2146</v>
      </c>
      <c r="W54" s="4">
        <v>1</v>
      </c>
      <c r="X54" s="6">
        <v>161137.88</v>
      </c>
      <c r="Y54" s="1" t="s">
        <v>1516</v>
      </c>
      <c r="Z54" s="1">
        <v>1</v>
      </c>
      <c r="AA54" s="6">
        <v>161137.88</v>
      </c>
      <c r="AB54" s="1" t="s">
        <v>2167</v>
      </c>
      <c r="AC54" s="1" t="s">
        <v>2162</v>
      </c>
      <c r="AD54" s="1" t="s">
        <v>1100</v>
      </c>
      <c r="AE54" s="1" t="s">
        <v>1522</v>
      </c>
      <c r="AF54" s="1" t="s">
        <v>1186</v>
      </c>
      <c r="AG54" s="1" t="s">
        <v>1522</v>
      </c>
      <c r="AH54" s="6">
        <v>161137.88</v>
      </c>
      <c r="AI54" s="6">
        <v>161137.88</v>
      </c>
      <c r="AJ54" s="1" t="s">
        <v>2045</v>
      </c>
      <c r="AK54" s="1"/>
      <c r="AL54" s="1"/>
      <c r="AM54" s="1" t="s">
        <v>2045</v>
      </c>
      <c r="AN54" s="1" t="s">
        <v>926</v>
      </c>
      <c r="AO54" s="1"/>
      <c r="AP54" s="1" t="s">
        <v>96</v>
      </c>
      <c r="AQ54" s="1"/>
      <c r="AR54" s="1"/>
      <c r="AS54" s="2"/>
      <c r="AT54" s="1"/>
      <c r="AU54" s="1"/>
      <c r="AV54" s="1"/>
      <c r="AW54" s="1" t="s">
        <v>2152</v>
      </c>
      <c r="AX54" s="7">
        <v>45463.585648182117</v>
      </c>
      <c r="AY54" s="1" t="s">
        <v>950</v>
      </c>
      <c r="AZ54" s="6">
        <v>161137.88</v>
      </c>
      <c r="BA54" s="5">
        <v>45460</v>
      </c>
      <c r="BB54" s="5">
        <v>45627</v>
      </c>
      <c r="BC54" s="5">
        <v>45460</v>
      </c>
      <c r="BD54" s="5">
        <v>45460</v>
      </c>
      <c r="BE54" s="7">
        <v>45657</v>
      </c>
      <c r="BF54" s="1" t="s">
        <v>2170</v>
      </c>
      <c r="BG54" s="1"/>
      <c r="BH54" s="1"/>
      <c r="BI54" s="1" t="s">
        <v>108</v>
      </c>
    </row>
    <row r="55" spans="1:61" x14ac:dyDescent="0.25">
      <c r="A55" s="4">
        <v>50</v>
      </c>
      <c r="B55" s="2" t="str">
        <f>HYPERLINK("https://my.zakupivli.pro/remote/dispatcher/state_purchase_view/51646928", "UA-2024-06-14-010002-a")</f>
        <v>UA-2024-06-14-010002-a</v>
      </c>
      <c r="C55" s="2" t="str">
        <f>HYPERLINK("https://my.zakupivli.pro/remote/dispatcher/state_purchase_lot_view/1312133", "UA-2024-06-14-010002-a-L1")</f>
        <v>UA-2024-06-14-010002-a-L1</v>
      </c>
      <c r="D55" s="1" t="s">
        <v>1248</v>
      </c>
      <c r="E55" s="1" t="s">
        <v>1247</v>
      </c>
      <c r="F55" s="1" t="s">
        <v>603</v>
      </c>
      <c r="G55" s="1" t="s">
        <v>975</v>
      </c>
      <c r="H55" s="1" t="s">
        <v>1185</v>
      </c>
      <c r="I55" s="1" t="s">
        <v>2094</v>
      </c>
      <c r="J55" s="1" t="s">
        <v>1145</v>
      </c>
      <c r="K55" s="1" t="s">
        <v>947</v>
      </c>
      <c r="L55" s="1" t="s">
        <v>1533</v>
      </c>
      <c r="M55" s="1" t="s">
        <v>1533</v>
      </c>
      <c r="N55" s="1" t="s">
        <v>110</v>
      </c>
      <c r="O55" s="1" t="s">
        <v>110</v>
      </c>
      <c r="P55" s="1" t="s">
        <v>110</v>
      </c>
      <c r="Q55" s="5">
        <v>45457</v>
      </c>
      <c r="R55" s="1" t="s">
        <v>650</v>
      </c>
      <c r="S55" s="1" t="s">
        <v>655</v>
      </c>
      <c r="T55" s="5">
        <v>45457</v>
      </c>
      <c r="U55" s="5">
        <v>45467</v>
      </c>
      <c r="V55" s="1" t="s">
        <v>2147</v>
      </c>
      <c r="W55" s="4">
        <v>1</v>
      </c>
      <c r="X55" s="6">
        <v>879141</v>
      </c>
      <c r="Y55" s="6">
        <v>879141</v>
      </c>
      <c r="Z55" s="1">
        <v>1</v>
      </c>
      <c r="AA55" s="6">
        <v>879141</v>
      </c>
      <c r="AB55" s="1" t="s">
        <v>2167</v>
      </c>
      <c r="AC55" s="6">
        <v>4395.71</v>
      </c>
      <c r="AD55" s="1" t="s">
        <v>1100</v>
      </c>
      <c r="AE55" s="1" t="s">
        <v>2094</v>
      </c>
      <c r="AF55" s="1" t="s">
        <v>1186</v>
      </c>
      <c r="AG55" s="1" t="s">
        <v>1522</v>
      </c>
      <c r="AH55" s="6">
        <v>872418.76</v>
      </c>
      <c r="AI55" s="6">
        <v>872418.76</v>
      </c>
      <c r="AJ55" s="1" t="s">
        <v>2045</v>
      </c>
      <c r="AK55" s="6">
        <v>6722.2399999999907</v>
      </c>
      <c r="AL55" s="6">
        <v>7.6463729936380974E-3</v>
      </c>
      <c r="AM55" s="1" t="s">
        <v>2045</v>
      </c>
      <c r="AN55" s="1" t="s">
        <v>926</v>
      </c>
      <c r="AO55" s="1" t="s">
        <v>1102</v>
      </c>
      <c r="AP55" s="1" t="s">
        <v>96</v>
      </c>
      <c r="AQ55" s="6">
        <v>6722.2399999999907</v>
      </c>
      <c r="AR55" s="6">
        <v>7.6463729936380974E-3</v>
      </c>
      <c r="AS55" s="2"/>
      <c r="AT55" s="7">
        <v>45468.625912898991</v>
      </c>
      <c r="AU55" s="1" t="s">
        <v>660</v>
      </c>
      <c r="AV55" s="1" t="s">
        <v>665</v>
      </c>
      <c r="AW55" s="1" t="s">
        <v>2151</v>
      </c>
      <c r="AX55" s="7">
        <v>45477.501745010995</v>
      </c>
      <c r="AY55" s="1" t="s">
        <v>984</v>
      </c>
      <c r="AZ55" s="6">
        <v>872418.76</v>
      </c>
      <c r="BA55" s="1"/>
      <c r="BB55" s="5">
        <v>45627</v>
      </c>
      <c r="BC55" s="5">
        <v>45476</v>
      </c>
      <c r="BD55" s="5">
        <v>45476</v>
      </c>
      <c r="BE55" s="7">
        <v>45657</v>
      </c>
      <c r="BF55" s="1" t="s">
        <v>2170</v>
      </c>
      <c r="BG55" s="1"/>
      <c r="BH55" s="1" t="s">
        <v>2111</v>
      </c>
      <c r="BI55" s="1" t="s">
        <v>927</v>
      </c>
    </row>
    <row r="56" spans="1:61" x14ac:dyDescent="0.25">
      <c r="A56" s="4">
        <v>51</v>
      </c>
      <c r="B56" s="2" t="str">
        <f>HYPERLINK("https://my.zakupivli.pro/remote/dispatcher/state_purchase_view/51621953", "UA-2024-06-13-011722-a")</f>
        <v>UA-2024-06-13-011722-a</v>
      </c>
      <c r="C56" s="2" t="str">
        <f>HYPERLINK("https://my.zakupivli.pro/remote/dispatcher/state_purchase_lot_view/1310987", "UA-2024-06-13-011722-a-L1")</f>
        <v>UA-2024-06-13-011722-a-L1</v>
      </c>
      <c r="D56" s="1" t="s">
        <v>1238</v>
      </c>
      <c r="E56" s="1" t="s">
        <v>1237</v>
      </c>
      <c r="F56" s="1" t="s">
        <v>603</v>
      </c>
      <c r="G56" s="1" t="s">
        <v>976</v>
      </c>
      <c r="H56" s="1" t="s">
        <v>1185</v>
      </c>
      <c r="I56" s="1" t="s">
        <v>2094</v>
      </c>
      <c r="J56" s="1" t="s">
        <v>1145</v>
      </c>
      <c r="K56" s="1" t="s">
        <v>947</v>
      </c>
      <c r="L56" s="1" t="s">
        <v>1533</v>
      </c>
      <c r="M56" s="1" t="s">
        <v>1533</v>
      </c>
      <c r="N56" s="1" t="s">
        <v>110</v>
      </c>
      <c r="O56" s="1" t="s">
        <v>110</v>
      </c>
      <c r="P56" s="1" t="s">
        <v>110</v>
      </c>
      <c r="Q56" s="5">
        <v>45456</v>
      </c>
      <c r="R56" s="1" t="s">
        <v>649</v>
      </c>
      <c r="S56" s="1" t="s">
        <v>653</v>
      </c>
      <c r="T56" s="5">
        <v>45456</v>
      </c>
      <c r="U56" s="5">
        <v>45464</v>
      </c>
      <c r="V56" s="1" t="s">
        <v>2147</v>
      </c>
      <c r="W56" s="4">
        <v>1</v>
      </c>
      <c r="X56" s="6">
        <v>245615</v>
      </c>
      <c r="Y56" s="6">
        <v>245615</v>
      </c>
      <c r="Z56" s="1">
        <v>1</v>
      </c>
      <c r="AA56" s="6">
        <v>245615</v>
      </c>
      <c r="AB56" s="1" t="s">
        <v>2167</v>
      </c>
      <c r="AC56" s="6">
        <v>1228.08</v>
      </c>
      <c r="AD56" s="1" t="s">
        <v>1100</v>
      </c>
      <c r="AE56" s="1" t="s">
        <v>2094</v>
      </c>
      <c r="AF56" s="1" t="s">
        <v>1186</v>
      </c>
      <c r="AG56" s="1" t="s">
        <v>1522</v>
      </c>
      <c r="AH56" s="6">
        <v>241072.73</v>
      </c>
      <c r="AI56" s="6">
        <v>241072.73</v>
      </c>
      <c r="AJ56" s="1" t="s">
        <v>2118</v>
      </c>
      <c r="AK56" s="6">
        <v>4542.2699999999895</v>
      </c>
      <c r="AL56" s="6">
        <v>1.8493455204283082E-2</v>
      </c>
      <c r="AM56" s="1" t="s">
        <v>2118</v>
      </c>
      <c r="AN56" s="1" t="s">
        <v>808</v>
      </c>
      <c r="AO56" s="1" t="s">
        <v>1104</v>
      </c>
      <c r="AP56" s="1" t="s">
        <v>43</v>
      </c>
      <c r="AQ56" s="6">
        <v>4542.2699999999895</v>
      </c>
      <c r="AR56" s="6">
        <v>1.8493455204283082E-2</v>
      </c>
      <c r="AS56" s="2"/>
      <c r="AT56" s="7">
        <v>45469.453982961655</v>
      </c>
      <c r="AU56" s="1" t="s">
        <v>661</v>
      </c>
      <c r="AV56" s="1" t="s">
        <v>666</v>
      </c>
      <c r="AW56" s="1" t="s">
        <v>2151</v>
      </c>
      <c r="AX56" s="7">
        <v>45477.432240952512</v>
      </c>
      <c r="AY56" s="1" t="s">
        <v>1000</v>
      </c>
      <c r="AZ56" s="6">
        <v>241072.73</v>
      </c>
      <c r="BA56" s="1"/>
      <c r="BB56" s="5">
        <v>45627</v>
      </c>
      <c r="BC56" s="5">
        <v>45476</v>
      </c>
      <c r="BD56" s="5">
        <v>45476</v>
      </c>
      <c r="BE56" s="7">
        <v>45657</v>
      </c>
      <c r="BF56" s="1" t="s">
        <v>2170</v>
      </c>
      <c r="BG56" s="1"/>
      <c r="BH56" s="1" t="s">
        <v>2111</v>
      </c>
      <c r="BI56" s="1" t="s">
        <v>809</v>
      </c>
    </row>
    <row r="57" spans="1:61" x14ac:dyDescent="0.25">
      <c r="A57" s="4">
        <v>52</v>
      </c>
      <c r="B57" s="2" t="str">
        <f>HYPERLINK("https://my.zakupivli.pro/remote/dispatcher/state_purchase_view/51618817", "UA-2024-06-13-010267-a")</f>
        <v>UA-2024-06-13-010267-a</v>
      </c>
      <c r="C57" s="2" t="str">
        <f>HYPERLINK("https://my.zakupivli.pro/remote/dispatcher/state_purchase_lot_view/1310803", "UA-2024-06-13-010267-a-L1")</f>
        <v>UA-2024-06-13-010267-a-L1</v>
      </c>
      <c r="D57" s="1" t="s">
        <v>1229</v>
      </c>
      <c r="E57" s="1" t="s">
        <v>1228</v>
      </c>
      <c r="F57" s="1" t="s">
        <v>603</v>
      </c>
      <c r="G57" s="1" t="s">
        <v>976</v>
      </c>
      <c r="H57" s="1" t="s">
        <v>1185</v>
      </c>
      <c r="I57" s="1" t="s">
        <v>2094</v>
      </c>
      <c r="J57" s="1" t="s">
        <v>1145</v>
      </c>
      <c r="K57" s="1" t="s">
        <v>947</v>
      </c>
      <c r="L57" s="1" t="s">
        <v>1533</v>
      </c>
      <c r="M57" s="1" t="s">
        <v>1533</v>
      </c>
      <c r="N57" s="1" t="s">
        <v>110</v>
      </c>
      <c r="O57" s="1" t="s">
        <v>110</v>
      </c>
      <c r="P57" s="1" t="s">
        <v>110</v>
      </c>
      <c r="Q57" s="5">
        <v>45456</v>
      </c>
      <c r="R57" s="1" t="s">
        <v>649</v>
      </c>
      <c r="S57" s="1" t="s">
        <v>653</v>
      </c>
      <c r="T57" s="5">
        <v>45456</v>
      </c>
      <c r="U57" s="5">
        <v>45464</v>
      </c>
      <c r="V57" s="1" t="s">
        <v>2147</v>
      </c>
      <c r="W57" s="4">
        <v>1</v>
      </c>
      <c r="X57" s="6">
        <v>245222</v>
      </c>
      <c r="Y57" s="6">
        <v>245222</v>
      </c>
      <c r="Z57" s="1">
        <v>1</v>
      </c>
      <c r="AA57" s="6">
        <v>245222</v>
      </c>
      <c r="AB57" s="1" t="s">
        <v>2167</v>
      </c>
      <c r="AC57" s="6">
        <v>1226.1099999999999</v>
      </c>
      <c r="AD57" s="1" t="s">
        <v>1100</v>
      </c>
      <c r="AE57" s="1" t="s">
        <v>2094</v>
      </c>
      <c r="AF57" s="1" t="s">
        <v>1186</v>
      </c>
      <c r="AG57" s="1" t="s">
        <v>1522</v>
      </c>
      <c r="AH57" s="6">
        <v>242446.53</v>
      </c>
      <c r="AI57" s="6">
        <v>242446.53</v>
      </c>
      <c r="AJ57" s="1" t="s">
        <v>2045</v>
      </c>
      <c r="AK57" s="6">
        <v>2775.4700000000012</v>
      </c>
      <c r="AL57" s="6">
        <v>1.1318193310551261E-2</v>
      </c>
      <c r="AM57" s="1" t="s">
        <v>2045</v>
      </c>
      <c r="AN57" s="1" t="s">
        <v>926</v>
      </c>
      <c r="AO57" s="1" t="s">
        <v>1102</v>
      </c>
      <c r="AP57" s="1" t="s">
        <v>96</v>
      </c>
      <c r="AQ57" s="6">
        <v>2775.4700000000012</v>
      </c>
      <c r="AR57" s="6">
        <v>1.1318193310551261E-2</v>
      </c>
      <c r="AS57" s="2"/>
      <c r="AT57" s="7">
        <v>45469.407311663716</v>
      </c>
      <c r="AU57" s="1" t="s">
        <v>661</v>
      </c>
      <c r="AV57" s="1" t="s">
        <v>666</v>
      </c>
      <c r="AW57" s="1" t="s">
        <v>2151</v>
      </c>
      <c r="AX57" s="7">
        <v>45477.470871741993</v>
      </c>
      <c r="AY57" s="1" t="s">
        <v>997</v>
      </c>
      <c r="AZ57" s="6">
        <v>242446.53</v>
      </c>
      <c r="BA57" s="1"/>
      <c r="BB57" s="5">
        <v>45627</v>
      </c>
      <c r="BC57" s="5">
        <v>45476</v>
      </c>
      <c r="BD57" s="5">
        <v>45476</v>
      </c>
      <c r="BE57" s="7">
        <v>45657</v>
      </c>
      <c r="BF57" s="1" t="s">
        <v>2170</v>
      </c>
      <c r="BG57" s="1"/>
      <c r="BH57" s="1" t="s">
        <v>2111</v>
      </c>
      <c r="BI57" s="1" t="s">
        <v>927</v>
      </c>
    </row>
    <row r="58" spans="1:61" x14ac:dyDescent="0.25">
      <c r="A58" s="4">
        <v>53</v>
      </c>
      <c r="B58" s="2" t="str">
        <f>HYPERLINK("https://my.zakupivli.pro/remote/dispatcher/state_purchase_view/51620389", "UA-2024-06-13-010967-a")</f>
        <v>UA-2024-06-13-010967-a</v>
      </c>
      <c r="C58" s="2" t="str">
        <f>HYPERLINK("https://my.zakupivli.pro/remote/dispatcher/state_purchase_lot_view/1310892", "UA-2024-06-13-010967-a-L1")</f>
        <v>UA-2024-06-13-010967-a-L1</v>
      </c>
      <c r="D58" s="1" t="s">
        <v>1236</v>
      </c>
      <c r="E58" s="1" t="s">
        <v>1235</v>
      </c>
      <c r="F58" s="1" t="s">
        <v>603</v>
      </c>
      <c r="G58" s="1" t="s">
        <v>976</v>
      </c>
      <c r="H58" s="1" t="s">
        <v>1185</v>
      </c>
      <c r="I58" s="1" t="s">
        <v>2094</v>
      </c>
      <c r="J58" s="1" t="s">
        <v>1145</v>
      </c>
      <c r="K58" s="1" t="s">
        <v>947</v>
      </c>
      <c r="L58" s="1" t="s">
        <v>1533</v>
      </c>
      <c r="M58" s="1" t="s">
        <v>1533</v>
      </c>
      <c r="N58" s="1" t="s">
        <v>110</v>
      </c>
      <c r="O58" s="1" t="s">
        <v>110</v>
      </c>
      <c r="P58" s="1" t="s">
        <v>110</v>
      </c>
      <c r="Q58" s="5">
        <v>45456</v>
      </c>
      <c r="R58" s="1" t="s">
        <v>649</v>
      </c>
      <c r="S58" s="1" t="s">
        <v>653</v>
      </c>
      <c r="T58" s="5">
        <v>45456</v>
      </c>
      <c r="U58" s="5">
        <v>45464</v>
      </c>
      <c r="V58" s="1" t="s">
        <v>2147</v>
      </c>
      <c r="W58" s="4">
        <v>1</v>
      </c>
      <c r="X58" s="6">
        <v>303746</v>
      </c>
      <c r="Y58" s="6">
        <v>303746</v>
      </c>
      <c r="Z58" s="1">
        <v>1</v>
      </c>
      <c r="AA58" s="6">
        <v>303746</v>
      </c>
      <c r="AB58" s="1" t="s">
        <v>2167</v>
      </c>
      <c r="AC58" s="6">
        <v>1518.73</v>
      </c>
      <c r="AD58" s="1" t="s">
        <v>1100</v>
      </c>
      <c r="AE58" s="1" t="s">
        <v>2094</v>
      </c>
      <c r="AF58" s="1" t="s">
        <v>1186</v>
      </c>
      <c r="AG58" s="1" t="s">
        <v>1522</v>
      </c>
      <c r="AH58" s="6">
        <v>300378.32</v>
      </c>
      <c r="AI58" s="6">
        <v>300378.32</v>
      </c>
      <c r="AJ58" s="1" t="s">
        <v>2045</v>
      </c>
      <c r="AK58" s="6">
        <v>3367.679999999993</v>
      </c>
      <c r="AL58" s="6">
        <v>1.1087158349410339E-2</v>
      </c>
      <c r="AM58" s="1" t="s">
        <v>2045</v>
      </c>
      <c r="AN58" s="1" t="s">
        <v>926</v>
      </c>
      <c r="AO58" s="1" t="s">
        <v>1102</v>
      </c>
      <c r="AP58" s="1" t="s">
        <v>96</v>
      </c>
      <c r="AQ58" s="6">
        <v>3367.679999999993</v>
      </c>
      <c r="AR58" s="6">
        <v>1.1087158349410339E-2</v>
      </c>
      <c r="AS58" s="2"/>
      <c r="AT58" s="7">
        <v>45469.412737042803</v>
      </c>
      <c r="AU58" s="1" t="s">
        <v>661</v>
      </c>
      <c r="AV58" s="1" t="s">
        <v>666</v>
      </c>
      <c r="AW58" s="1" t="s">
        <v>2151</v>
      </c>
      <c r="AX58" s="7">
        <v>45477.506713591909</v>
      </c>
      <c r="AY58" s="1" t="s">
        <v>998</v>
      </c>
      <c r="AZ58" s="6">
        <v>300378.32</v>
      </c>
      <c r="BA58" s="1"/>
      <c r="BB58" s="5">
        <v>45627</v>
      </c>
      <c r="BC58" s="5">
        <v>45476</v>
      </c>
      <c r="BD58" s="5">
        <v>45476</v>
      </c>
      <c r="BE58" s="7">
        <v>45657</v>
      </c>
      <c r="BF58" s="1" t="s">
        <v>2170</v>
      </c>
      <c r="BG58" s="1"/>
      <c r="BH58" s="1"/>
      <c r="BI58" s="1" t="s">
        <v>927</v>
      </c>
    </row>
    <row r="59" spans="1:61" x14ac:dyDescent="0.25">
      <c r="A59" s="4">
        <v>54</v>
      </c>
      <c r="B59" s="2" t="str">
        <f>HYPERLINK("https://my.zakupivli.pro/remote/dispatcher/state_purchase_view/51621455", "UA-2024-06-13-011492-a")</f>
        <v>UA-2024-06-13-011492-a</v>
      </c>
      <c r="C59" s="2" t="str">
        <f>HYPERLINK("https://my.zakupivli.pro/remote/dispatcher/state_purchase_lot_view/1310952", "UA-2024-06-13-011492-a-L1")</f>
        <v>UA-2024-06-13-011492-a-L1</v>
      </c>
      <c r="D59" s="1" t="s">
        <v>1234</v>
      </c>
      <c r="E59" s="1" t="s">
        <v>1233</v>
      </c>
      <c r="F59" s="1" t="s">
        <v>603</v>
      </c>
      <c r="G59" s="1" t="s">
        <v>976</v>
      </c>
      <c r="H59" s="1" t="s">
        <v>1185</v>
      </c>
      <c r="I59" s="1" t="s">
        <v>2094</v>
      </c>
      <c r="J59" s="1" t="s">
        <v>1145</v>
      </c>
      <c r="K59" s="1" t="s">
        <v>947</v>
      </c>
      <c r="L59" s="1" t="s">
        <v>1533</v>
      </c>
      <c r="M59" s="1" t="s">
        <v>1533</v>
      </c>
      <c r="N59" s="1" t="s">
        <v>110</v>
      </c>
      <c r="O59" s="1" t="s">
        <v>110</v>
      </c>
      <c r="P59" s="1" t="s">
        <v>110</v>
      </c>
      <c r="Q59" s="5">
        <v>45456</v>
      </c>
      <c r="R59" s="1" t="s">
        <v>649</v>
      </c>
      <c r="S59" s="1" t="s">
        <v>653</v>
      </c>
      <c r="T59" s="5">
        <v>45456</v>
      </c>
      <c r="U59" s="5">
        <v>45464</v>
      </c>
      <c r="V59" s="1" t="s">
        <v>2147</v>
      </c>
      <c r="W59" s="4">
        <v>1</v>
      </c>
      <c r="X59" s="6">
        <v>325454</v>
      </c>
      <c r="Y59" s="6">
        <v>325454</v>
      </c>
      <c r="Z59" s="1">
        <v>1</v>
      </c>
      <c r="AA59" s="6">
        <v>325454</v>
      </c>
      <c r="AB59" s="1" t="s">
        <v>2167</v>
      </c>
      <c r="AC59" s="6">
        <v>1627.27</v>
      </c>
      <c r="AD59" s="1" t="s">
        <v>1100</v>
      </c>
      <c r="AE59" s="1" t="s">
        <v>2094</v>
      </c>
      <c r="AF59" s="1" t="s">
        <v>1186</v>
      </c>
      <c r="AG59" s="1" t="s">
        <v>1522</v>
      </c>
      <c r="AH59" s="6">
        <v>323312.28000000003</v>
      </c>
      <c r="AI59" s="6">
        <v>323312.28000000003</v>
      </c>
      <c r="AJ59" s="1" t="s">
        <v>2045</v>
      </c>
      <c r="AK59" s="6">
        <v>2141.7199999999721</v>
      </c>
      <c r="AL59" s="6">
        <v>6.580714939745623E-3</v>
      </c>
      <c r="AM59" s="1" t="s">
        <v>2045</v>
      </c>
      <c r="AN59" s="1" t="s">
        <v>926</v>
      </c>
      <c r="AO59" s="1" t="s">
        <v>1102</v>
      </c>
      <c r="AP59" s="1" t="s">
        <v>96</v>
      </c>
      <c r="AQ59" s="6">
        <v>2141.7199999999721</v>
      </c>
      <c r="AR59" s="6">
        <v>6.580714939745623E-3</v>
      </c>
      <c r="AS59" s="2"/>
      <c r="AT59" s="7">
        <v>45469.410017614355</v>
      </c>
      <c r="AU59" s="1" t="s">
        <v>661</v>
      </c>
      <c r="AV59" s="1" t="s">
        <v>666</v>
      </c>
      <c r="AW59" s="1" t="s">
        <v>2151</v>
      </c>
      <c r="AX59" s="7">
        <v>45477.492664388345</v>
      </c>
      <c r="AY59" s="1" t="s">
        <v>986</v>
      </c>
      <c r="AZ59" s="6">
        <v>323312.28000000003</v>
      </c>
      <c r="BA59" s="1"/>
      <c r="BB59" s="5">
        <v>45627</v>
      </c>
      <c r="BC59" s="5">
        <v>45476</v>
      </c>
      <c r="BD59" s="5">
        <v>45476</v>
      </c>
      <c r="BE59" s="7">
        <v>45657</v>
      </c>
      <c r="BF59" s="1" t="s">
        <v>2170</v>
      </c>
      <c r="BG59" s="1"/>
      <c r="BH59" s="1" t="s">
        <v>2111</v>
      </c>
      <c r="BI59" s="1" t="s">
        <v>927</v>
      </c>
    </row>
    <row r="60" spans="1:61" x14ac:dyDescent="0.25">
      <c r="A60" s="4">
        <v>55</v>
      </c>
      <c r="B60" s="2" t="str">
        <f>HYPERLINK("https://my.zakupivli.pro/remote/dispatcher/state_purchase_view/51621804", "UA-2024-06-13-011625-a")</f>
        <v>UA-2024-06-13-011625-a</v>
      </c>
      <c r="C60" s="2" t="str">
        <f>HYPERLINK("https://my.zakupivli.pro/remote/dispatcher/state_purchase_lot_view/1310972", "UA-2024-06-13-011625-a-L1")</f>
        <v>UA-2024-06-13-011625-a-L1</v>
      </c>
      <c r="D60" s="1" t="s">
        <v>1232</v>
      </c>
      <c r="E60" s="1" t="s">
        <v>1231</v>
      </c>
      <c r="F60" s="1" t="s">
        <v>603</v>
      </c>
      <c r="G60" s="1" t="s">
        <v>976</v>
      </c>
      <c r="H60" s="1" t="s">
        <v>1185</v>
      </c>
      <c r="I60" s="1" t="s">
        <v>2094</v>
      </c>
      <c r="J60" s="1" t="s">
        <v>1145</v>
      </c>
      <c r="K60" s="1" t="s">
        <v>947</v>
      </c>
      <c r="L60" s="1" t="s">
        <v>1533</v>
      </c>
      <c r="M60" s="1" t="s">
        <v>1533</v>
      </c>
      <c r="N60" s="1" t="s">
        <v>110</v>
      </c>
      <c r="O60" s="1" t="s">
        <v>110</v>
      </c>
      <c r="P60" s="1" t="s">
        <v>110</v>
      </c>
      <c r="Q60" s="5">
        <v>45456</v>
      </c>
      <c r="R60" s="1" t="s">
        <v>649</v>
      </c>
      <c r="S60" s="1" t="s">
        <v>653</v>
      </c>
      <c r="T60" s="5">
        <v>45456</v>
      </c>
      <c r="U60" s="5">
        <v>45464</v>
      </c>
      <c r="V60" s="1" t="s">
        <v>2147</v>
      </c>
      <c r="W60" s="4">
        <v>1</v>
      </c>
      <c r="X60" s="6">
        <v>506753</v>
      </c>
      <c r="Y60" s="6">
        <v>506753</v>
      </c>
      <c r="Z60" s="1">
        <v>1</v>
      </c>
      <c r="AA60" s="6">
        <v>506753</v>
      </c>
      <c r="AB60" s="1" t="s">
        <v>2167</v>
      </c>
      <c r="AC60" s="6">
        <v>2533.77</v>
      </c>
      <c r="AD60" s="1" t="s">
        <v>1100</v>
      </c>
      <c r="AE60" s="1" t="s">
        <v>2094</v>
      </c>
      <c r="AF60" s="1" t="s">
        <v>1186</v>
      </c>
      <c r="AG60" s="1" t="s">
        <v>1522</v>
      </c>
      <c r="AH60" s="6">
        <v>497852.56</v>
      </c>
      <c r="AI60" s="6">
        <v>497852.56</v>
      </c>
      <c r="AJ60" s="1" t="s">
        <v>2118</v>
      </c>
      <c r="AK60" s="6">
        <v>8900.4400000000023</v>
      </c>
      <c r="AL60" s="6">
        <v>1.7563665138637566E-2</v>
      </c>
      <c r="AM60" s="1" t="s">
        <v>2118</v>
      </c>
      <c r="AN60" s="1" t="s">
        <v>808</v>
      </c>
      <c r="AO60" s="1" t="s">
        <v>1104</v>
      </c>
      <c r="AP60" s="1" t="s">
        <v>43</v>
      </c>
      <c r="AQ60" s="6">
        <v>8900.4400000000023</v>
      </c>
      <c r="AR60" s="6">
        <v>1.7563665138637566E-2</v>
      </c>
      <c r="AS60" s="2"/>
      <c r="AT60" s="7">
        <v>45469.455711677219</v>
      </c>
      <c r="AU60" s="1" t="s">
        <v>661</v>
      </c>
      <c r="AV60" s="1" t="s">
        <v>666</v>
      </c>
      <c r="AW60" s="1" t="s">
        <v>2151</v>
      </c>
      <c r="AX60" s="7">
        <v>45477.454996211061</v>
      </c>
      <c r="AY60" s="1" t="s">
        <v>1001</v>
      </c>
      <c r="AZ60" s="6">
        <v>497852.56</v>
      </c>
      <c r="BA60" s="1"/>
      <c r="BB60" s="5">
        <v>45627</v>
      </c>
      <c r="BC60" s="5">
        <v>45476</v>
      </c>
      <c r="BD60" s="5">
        <v>45476</v>
      </c>
      <c r="BE60" s="7">
        <v>45657</v>
      </c>
      <c r="BF60" s="1" t="s">
        <v>2170</v>
      </c>
      <c r="BG60" s="1"/>
      <c r="BH60" s="1" t="s">
        <v>2111</v>
      </c>
      <c r="BI60" s="1" t="s">
        <v>809</v>
      </c>
    </row>
    <row r="61" spans="1:61" x14ac:dyDescent="0.25">
      <c r="A61" s="4">
        <v>56</v>
      </c>
      <c r="B61" s="2" t="str">
        <f>HYPERLINK("https://my.zakupivli.pro/remote/dispatcher/state_purchase_view/51594681", "UA-2024-06-12-012326-a")</f>
        <v>UA-2024-06-12-012326-a</v>
      </c>
      <c r="C61" s="2" t="str">
        <f>HYPERLINK("https://my.zakupivli.pro/remote/dispatcher/state_purchase_lot_view/1309792", "UA-2024-06-12-012326-a-L1")</f>
        <v>UA-2024-06-12-012326-a-L1</v>
      </c>
      <c r="D61" s="1" t="s">
        <v>1437</v>
      </c>
      <c r="E61" s="1" t="s">
        <v>1436</v>
      </c>
      <c r="F61" s="1" t="s">
        <v>603</v>
      </c>
      <c r="G61" s="1" t="s">
        <v>1035</v>
      </c>
      <c r="H61" s="1" t="s">
        <v>1185</v>
      </c>
      <c r="I61" s="1" t="s">
        <v>2094</v>
      </c>
      <c r="J61" s="1" t="s">
        <v>1145</v>
      </c>
      <c r="K61" s="1" t="s">
        <v>947</v>
      </c>
      <c r="L61" s="1" t="s">
        <v>1533</v>
      </c>
      <c r="M61" s="1" t="s">
        <v>1533</v>
      </c>
      <c r="N61" s="1" t="s">
        <v>110</v>
      </c>
      <c r="O61" s="1" t="s">
        <v>110</v>
      </c>
      <c r="P61" s="1" t="s">
        <v>110</v>
      </c>
      <c r="Q61" s="5">
        <v>45455</v>
      </c>
      <c r="R61" s="1" t="s">
        <v>648</v>
      </c>
      <c r="S61" s="1" t="s">
        <v>655</v>
      </c>
      <c r="T61" s="5">
        <v>45455</v>
      </c>
      <c r="U61" s="5">
        <v>45467</v>
      </c>
      <c r="V61" s="7">
        <v>45467.527199074073</v>
      </c>
      <c r="W61" s="4">
        <v>2</v>
      </c>
      <c r="X61" s="6">
        <v>177150</v>
      </c>
      <c r="Y61" s="6">
        <v>177150</v>
      </c>
      <c r="Z61" s="1">
        <v>37</v>
      </c>
      <c r="AA61" s="6">
        <v>4787.84</v>
      </c>
      <c r="AB61" s="1" t="s">
        <v>2167</v>
      </c>
      <c r="AC61" s="6">
        <v>885.75</v>
      </c>
      <c r="AD61" s="1" t="s">
        <v>1100</v>
      </c>
      <c r="AE61" s="1" t="s">
        <v>2094</v>
      </c>
      <c r="AF61" s="1" t="s">
        <v>1186</v>
      </c>
      <c r="AG61" s="1" t="s">
        <v>1522</v>
      </c>
      <c r="AH61" s="6">
        <v>162000</v>
      </c>
      <c r="AI61" s="6">
        <v>4378.3783783783783</v>
      </c>
      <c r="AJ61" s="1" t="s">
        <v>2125</v>
      </c>
      <c r="AK61" s="6">
        <v>15150</v>
      </c>
      <c r="AL61" s="6">
        <v>8.5520745131244705E-2</v>
      </c>
      <c r="AM61" s="1" t="s">
        <v>1542</v>
      </c>
      <c r="AN61" s="1" t="s">
        <v>827</v>
      </c>
      <c r="AO61" s="1" t="s">
        <v>1116</v>
      </c>
      <c r="AP61" s="1" t="s">
        <v>51</v>
      </c>
      <c r="AQ61" s="6">
        <v>12755.510000000009</v>
      </c>
      <c r="AR61" s="6">
        <v>7.2004007902907188E-2</v>
      </c>
      <c r="AS61" s="2" t="str">
        <f>HYPERLINK("https://auctions.prozorro.gov.ua/tenders/8b89d69be4b443ee9645cacc500bbf40_b76a294590c34180a96457621af3bc36")</f>
        <v>https://auctions.prozorro.gov.ua/tenders/8b89d69be4b443ee9645cacc500bbf40_b76a294590c34180a96457621af3bc36</v>
      </c>
      <c r="AT61" s="7">
        <v>45474.668696054934</v>
      </c>
      <c r="AU61" s="1" t="s">
        <v>663</v>
      </c>
      <c r="AV61" s="1" t="s">
        <v>669</v>
      </c>
      <c r="AW61" s="1" t="s">
        <v>2151</v>
      </c>
      <c r="AX61" s="7">
        <v>45481.562582860402</v>
      </c>
      <c r="AY61" s="1" t="s">
        <v>998</v>
      </c>
      <c r="AZ61" s="6">
        <v>164394.49</v>
      </c>
      <c r="BA61" s="1"/>
      <c r="BB61" s="5">
        <v>45627</v>
      </c>
      <c r="BC61" s="5">
        <v>45481</v>
      </c>
      <c r="BD61" s="5">
        <v>45481</v>
      </c>
      <c r="BE61" s="7">
        <v>45657</v>
      </c>
      <c r="BF61" s="1" t="s">
        <v>2170</v>
      </c>
      <c r="BG61" s="1"/>
      <c r="BH61" s="1" t="s">
        <v>2111</v>
      </c>
      <c r="BI61" s="1" t="s">
        <v>784</v>
      </c>
    </row>
    <row r="62" spans="1:61" x14ac:dyDescent="0.25">
      <c r="A62" s="4">
        <v>57</v>
      </c>
      <c r="B62" s="2" t="str">
        <f>HYPERLINK("https://my.zakupivli.pro/remote/dispatcher/state_purchase_view/51591720", "UA-2024-06-12-010983-a")</f>
        <v>UA-2024-06-12-010983-a</v>
      </c>
      <c r="C62" s="2" t="str">
        <f>HYPERLINK("https://my.zakupivli.pro/remote/dispatcher/state_purchase_lot_view/1309611", "UA-2024-06-12-010983-a-L1")</f>
        <v>UA-2024-06-12-010983-a-L1</v>
      </c>
      <c r="D62" s="1" t="s">
        <v>1263</v>
      </c>
      <c r="E62" s="1" t="s">
        <v>1262</v>
      </c>
      <c r="F62" s="1" t="s">
        <v>603</v>
      </c>
      <c r="G62" s="1" t="s">
        <v>967</v>
      </c>
      <c r="H62" s="1" t="s">
        <v>1185</v>
      </c>
      <c r="I62" s="1" t="s">
        <v>2094</v>
      </c>
      <c r="J62" s="1" t="s">
        <v>1145</v>
      </c>
      <c r="K62" s="1" t="s">
        <v>947</v>
      </c>
      <c r="L62" s="1" t="s">
        <v>1533</v>
      </c>
      <c r="M62" s="1" t="s">
        <v>1533</v>
      </c>
      <c r="N62" s="1" t="s">
        <v>110</v>
      </c>
      <c r="O62" s="1" t="s">
        <v>110</v>
      </c>
      <c r="P62" s="1" t="s">
        <v>110</v>
      </c>
      <c r="Q62" s="5">
        <v>45455</v>
      </c>
      <c r="R62" s="1" t="s">
        <v>648</v>
      </c>
      <c r="S62" s="1" t="s">
        <v>652</v>
      </c>
      <c r="T62" s="5">
        <v>45455</v>
      </c>
      <c r="U62" s="5">
        <v>45463</v>
      </c>
      <c r="V62" s="1" t="s">
        <v>2147</v>
      </c>
      <c r="W62" s="4">
        <v>1</v>
      </c>
      <c r="X62" s="6">
        <v>303620</v>
      </c>
      <c r="Y62" s="6">
        <v>303620</v>
      </c>
      <c r="Z62" s="1">
        <v>1</v>
      </c>
      <c r="AA62" s="6">
        <v>303620</v>
      </c>
      <c r="AB62" s="1" t="s">
        <v>2167</v>
      </c>
      <c r="AC62" s="6">
        <v>1518.1</v>
      </c>
      <c r="AD62" s="1" t="s">
        <v>1100</v>
      </c>
      <c r="AE62" s="1" t="s">
        <v>2094</v>
      </c>
      <c r="AF62" s="1" t="s">
        <v>1186</v>
      </c>
      <c r="AG62" s="1" t="s">
        <v>1522</v>
      </c>
      <c r="AH62" s="6">
        <v>299811.03000000003</v>
      </c>
      <c r="AI62" s="6">
        <v>299811.03000000003</v>
      </c>
      <c r="AJ62" s="1" t="s">
        <v>2119</v>
      </c>
      <c r="AK62" s="6">
        <v>3808.9699999999721</v>
      </c>
      <c r="AL62" s="6">
        <v>1.254518806402731E-2</v>
      </c>
      <c r="AM62" s="1" t="s">
        <v>2119</v>
      </c>
      <c r="AN62" s="1" t="s">
        <v>806</v>
      </c>
      <c r="AO62" s="1" t="s">
        <v>1114</v>
      </c>
      <c r="AP62" s="1" t="s">
        <v>91</v>
      </c>
      <c r="AQ62" s="6">
        <v>3808.9699999999721</v>
      </c>
      <c r="AR62" s="6">
        <v>1.254518806402731E-2</v>
      </c>
      <c r="AS62" s="2"/>
      <c r="AT62" s="7">
        <v>45468.675374746461</v>
      </c>
      <c r="AU62" s="1" t="s">
        <v>660</v>
      </c>
      <c r="AV62" s="1" t="s">
        <v>665</v>
      </c>
      <c r="AW62" s="1" t="s">
        <v>2151</v>
      </c>
      <c r="AX62" s="7">
        <v>45477.380956737143</v>
      </c>
      <c r="AY62" s="1" t="s">
        <v>1003</v>
      </c>
      <c r="AZ62" s="6">
        <v>299811.03000000003</v>
      </c>
      <c r="BA62" s="1"/>
      <c r="BB62" s="5">
        <v>45627</v>
      </c>
      <c r="BC62" s="5">
        <v>45476</v>
      </c>
      <c r="BD62" s="5">
        <v>45476</v>
      </c>
      <c r="BE62" s="7">
        <v>45657</v>
      </c>
      <c r="BF62" s="1" t="s">
        <v>2170</v>
      </c>
      <c r="BG62" s="1"/>
      <c r="BH62" s="1" t="s">
        <v>2111</v>
      </c>
      <c r="BI62" s="1" t="s">
        <v>807</v>
      </c>
    </row>
    <row r="63" spans="1:61" x14ac:dyDescent="0.25">
      <c r="A63" s="4">
        <v>58</v>
      </c>
      <c r="B63" s="2" t="str">
        <f>HYPERLINK("https://my.zakupivli.pro/remote/dispatcher/state_purchase_view/51589219", "UA-2024-06-12-009878-a")</f>
        <v>UA-2024-06-12-009878-a</v>
      </c>
      <c r="C63" s="2" t="str">
        <f>HYPERLINK("https://my.zakupivli.pro/remote/dispatcher/state_purchase_lot_view/1309520", "UA-2024-06-12-009878-a-L1")</f>
        <v>UA-2024-06-12-009878-a-L1</v>
      </c>
      <c r="D63" s="1" t="s">
        <v>1265</v>
      </c>
      <c r="E63" s="1" t="s">
        <v>1264</v>
      </c>
      <c r="F63" s="1" t="s">
        <v>603</v>
      </c>
      <c r="G63" s="1" t="s">
        <v>967</v>
      </c>
      <c r="H63" s="1" t="s">
        <v>1185</v>
      </c>
      <c r="I63" s="1" t="s">
        <v>2094</v>
      </c>
      <c r="J63" s="1" t="s">
        <v>1145</v>
      </c>
      <c r="K63" s="1" t="s">
        <v>947</v>
      </c>
      <c r="L63" s="1" t="s">
        <v>1533</v>
      </c>
      <c r="M63" s="1" t="s">
        <v>1533</v>
      </c>
      <c r="N63" s="1" t="s">
        <v>110</v>
      </c>
      <c r="O63" s="1" t="s">
        <v>110</v>
      </c>
      <c r="P63" s="1" t="s">
        <v>110</v>
      </c>
      <c r="Q63" s="5">
        <v>45455</v>
      </c>
      <c r="R63" s="1" t="s">
        <v>648</v>
      </c>
      <c r="S63" s="1" t="s">
        <v>652</v>
      </c>
      <c r="T63" s="5">
        <v>45455</v>
      </c>
      <c r="U63" s="5">
        <v>45463</v>
      </c>
      <c r="V63" s="1" t="s">
        <v>2147</v>
      </c>
      <c r="W63" s="4">
        <v>1</v>
      </c>
      <c r="X63" s="6">
        <v>395065</v>
      </c>
      <c r="Y63" s="6">
        <v>395065</v>
      </c>
      <c r="Z63" s="1">
        <v>1</v>
      </c>
      <c r="AA63" s="6">
        <v>395065</v>
      </c>
      <c r="AB63" s="1" t="s">
        <v>2167</v>
      </c>
      <c r="AC63" s="6">
        <v>1975.33</v>
      </c>
      <c r="AD63" s="1" t="s">
        <v>1100</v>
      </c>
      <c r="AE63" s="1" t="s">
        <v>2094</v>
      </c>
      <c r="AF63" s="1" t="s">
        <v>1186</v>
      </c>
      <c r="AG63" s="1" t="s">
        <v>1522</v>
      </c>
      <c r="AH63" s="6">
        <v>392679.98</v>
      </c>
      <c r="AI63" s="6">
        <v>392679.98</v>
      </c>
      <c r="AJ63" s="1" t="s">
        <v>2045</v>
      </c>
      <c r="AK63" s="6">
        <v>2385.0200000000186</v>
      </c>
      <c r="AL63" s="6">
        <v>6.0370318808297841E-3</v>
      </c>
      <c r="AM63" s="1" t="s">
        <v>2045</v>
      </c>
      <c r="AN63" s="1" t="s">
        <v>926</v>
      </c>
      <c r="AO63" s="1" t="s">
        <v>1102</v>
      </c>
      <c r="AP63" s="1" t="s">
        <v>96</v>
      </c>
      <c r="AQ63" s="6">
        <v>2385.0200000000186</v>
      </c>
      <c r="AR63" s="6">
        <v>6.0370318808297841E-3</v>
      </c>
      <c r="AS63" s="2"/>
      <c r="AT63" s="7">
        <v>45468.695882764216</v>
      </c>
      <c r="AU63" s="1" t="s">
        <v>660</v>
      </c>
      <c r="AV63" s="1" t="s">
        <v>665</v>
      </c>
      <c r="AW63" s="1" t="s">
        <v>2151</v>
      </c>
      <c r="AX63" s="7">
        <v>45477.488056606773</v>
      </c>
      <c r="AY63" s="1" t="s">
        <v>989</v>
      </c>
      <c r="AZ63" s="6">
        <v>392679.98</v>
      </c>
      <c r="BA63" s="1"/>
      <c r="BB63" s="5">
        <v>45627</v>
      </c>
      <c r="BC63" s="5">
        <v>45476</v>
      </c>
      <c r="BD63" s="5">
        <v>45476</v>
      </c>
      <c r="BE63" s="7">
        <v>45657</v>
      </c>
      <c r="BF63" s="1" t="s">
        <v>2170</v>
      </c>
      <c r="BG63" s="1"/>
      <c r="BH63" s="1" t="s">
        <v>2111</v>
      </c>
      <c r="BI63" s="1" t="s">
        <v>927</v>
      </c>
    </row>
    <row r="64" spans="1:61" x14ac:dyDescent="0.25">
      <c r="A64" s="4">
        <v>59</v>
      </c>
      <c r="B64" s="2" t="str">
        <f>HYPERLINK("https://my.zakupivli.pro/remote/dispatcher/state_purchase_view/51586227", "UA-2024-06-12-008556-a")</f>
        <v>UA-2024-06-12-008556-a</v>
      </c>
      <c r="C64" s="2" t="str">
        <f>HYPERLINK("https://my.zakupivli.pro/remote/dispatcher/state_purchase_lot_view/1309421", "UA-2024-06-12-008556-a-L1")</f>
        <v>UA-2024-06-12-008556-a-L1</v>
      </c>
      <c r="D64" s="1" t="s">
        <v>1246</v>
      </c>
      <c r="E64" s="1" t="s">
        <v>1245</v>
      </c>
      <c r="F64" s="1" t="s">
        <v>603</v>
      </c>
      <c r="G64" s="1" t="s">
        <v>970</v>
      </c>
      <c r="H64" s="1" t="s">
        <v>1185</v>
      </c>
      <c r="I64" s="1" t="s">
        <v>2094</v>
      </c>
      <c r="J64" s="1" t="s">
        <v>1145</v>
      </c>
      <c r="K64" s="1" t="s">
        <v>947</v>
      </c>
      <c r="L64" s="1" t="s">
        <v>1533</v>
      </c>
      <c r="M64" s="1" t="s">
        <v>1533</v>
      </c>
      <c r="N64" s="1" t="s">
        <v>110</v>
      </c>
      <c r="O64" s="1" t="s">
        <v>110</v>
      </c>
      <c r="P64" s="1" t="s">
        <v>110</v>
      </c>
      <c r="Q64" s="5">
        <v>45455</v>
      </c>
      <c r="R64" s="1" t="s">
        <v>648</v>
      </c>
      <c r="S64" s="1" t="s">
        <v>652</v>
      </c>
      <c r="T64" s="5">
        <v>45455</v>
      </c>
      <c r="U64" s="5">
        <v>45463</v>
      </c>
      <c r="V64" s="1" t="s">
        <v>2147</v>
      </c>
      <c r="W64" s="4">
        <v>1</v>
      </c>
      <c r="X64" s="6">
        <v>413728</v>
      </c>
      <c r="Y64" s="6">
        <v>413728</v>
      </c>
      <c r="Z64" s="1">
        <v>1</v>
      </c>
      <c r="AA64" s="6">
        <v>413728</v>
      </c>
      <c r="AB64" s="1" t="s">
        <v>2167</v>
      </c>
      <c r="AC64" s="6">
        <v>2068.64</v>
      </c>
      <c r="AD64" s="1" t="s">
        <v>1100</v>
      </c>
      <c r="AE64" s="1" t="s">
        <v>2094</v>
      </c>
      <c r="AF64" s="1" t="s">
        <v>1186</v>
      </c>
      <c r="AG64" s="1" t="s">
        <v>1522</v>
      </c>
      <c r="AH64" s="6">
        <v>409746.99</v>
      </c>
      <c r="AI64" s="6">
        <v>409746.99</v>
      </c>
      <c r="AJ64" s="1" t="s">
        <v>2118</v>
      </c>
      <c r="AK64" s="6">
        <v>3981.0100000000093</v>
      </c>
      <c r="AL64" s="6">
        <v>9.6222880733235587E-3</v>
      </c>
      <c r="AM64" s="1" t="s">
        <v>2118</v>
      </c>
      <c r="AN64" s="1" t="s">
        <v>808</v>
      </c>
      <c r="AO64" s="1" t="s">
        <v>1104</v>
      </c>
      <c r="AP64" s="1" t="s">
        <v>43</v>
      </c>
      <c r="AQ64" s="6">
        <v>3981.0100000000093</v>
      </c>
      <c r="AR64" s="6">
        <v>9.6222880733235587E-3</v>
      </c>
      <c r="AS64" s="2"/>
      <c r="AT64" s="7">
        <v>45468.64082145354</v>
      </c>
      <c r="AU64" s="1" t="s">
        <v>660</v>
      </c>
      <c r="AV64" s="1" t="s">
        <v>665</v>
      </c>
      <c r="AW64" s="1" t="s">
        <v>2151</v>
      </c>
      <c r="AX64" s="7">
        <v>45477.393112035199</v>
      </c>
      <c r="AY64" s="1" t="s">
        <v>999</v>
      </c>
      <c r="AZ64" s="6">
        <v>409746.99</v>
      </c>
      <c r="BA64" s="1"/>
      <c r="BB64" s="5">
        <v>45627</v>
      </c>
      <c r="BC64" s="5">
        <v>45476</v>
      </c>
      <c r="BD64" s="5">
        <v>45476</v>
      </c>
      <c r="BE64" s="7">
        <v>45657</v>
      </c>
      <c r="BF64" s="1" t="s">
        <v>2170</v>
      </c>
      <c r="BG64" s="1"/>
      <c r="BH64" s="1" t="s">
        <v>2111</v>
      </c>
      <c r="BI64" s="1" t="s">
        <v>809</v>
      </c>
    </row>
    <row r="65" spans="1:61" x14ac:dyDescent="0.25">
      <c r="A65" s="4">
        <v>60</v>
      </c>
      <c r="B65" s="2" t="str">
        <f>HYPERLINK("https://my.zakupivli.pro/remote/dispatcher/state_purchase_view/51582550", "UA-2024-06-12-006870-a")</f>
        <v>UA-2024-06-12-006870-a</v>
      </c>
      <c r="C65" s="2" t="s">
        <v>1516</v>
      </c>
      <c r="D65" s="1" t="s">
        <v>1275</v>
      </c>
      <c r="E65" s="1" t="s">
        <v>1275</v>
      </c>
      <c r="F65" s="1" t="s">
        <v>603</v>
      </c>
      <c r="G65" s="1" t="s">
        <v>1035</v>
      </c>
      <c r="H65" s="1" t="s">
        <v>1218</v>
      </c>
      <c r="I65" s="1" t="s">
        <v>2094</v>
      </c>
      <c r="J65" s="1" t="s">
        <v>1145</v>
      </c>
      <c r="K65" s="1" t="s">
        <v>947</v>
      </c>
      <c r="L65" s="1" t="s">
        <v>1533</v>
      </c>
      <c r="M65" s="1" t="s">
        <v>1533</v>
      </c>
      <c r="N65" s="1" t="s">
        <v>110</v>
      </c>
      <c r="O65" s="1" t="s">
        <v>110</v>
      </c>
      <c r="P65" s="1" t="s">
        <v>110</v>
      </c>
      <c r="Q65" s="5">
        <v>45455</v>
      </c>
      <c r="R65" s="1"/>
      <c r="S65" s="1"/>
      <c r="T65" s="1"/>
      <c r="U65" s="1"/>
      <c r="V65" s="1" t="s">
        <v>2146</v>
      </c>
      <c r="W65" s="4">
        <v>1</v>
      </c>
      <c r="X65" s="6">
        <v>3425.02</v>
      </c>
      <c r="Y65" s="1" t="s">
        <v>1516</v>
      </c>
      <c r="Z65" s="1">
        <v>1</v>
      </c>
      <c r="AA65" s="6">
        <v>3425.02</v>
      </c>
      <c r="AB65" s="1" t="s">
        <v>2167</v>
      </c>
      <c r="AC65" s="1" t="s">
        <v>2162</v>
      </c>
      <c r="AD65" s="1" t="s">
        <v>1100</v>
      </c>
      <c r="AE65" s="1" t="s">
        <v>2094</v>
      </c>
      <c r="AF65" s="1" t="s">
        <v>1186</v>
      </c>
      <c r="AG65" s="1" t="s">
        <v>1522</v>
      </c>
      <c r="AH65" s="6">
        <v>3425.02</v>
      </c>
      <c r="AI65" s="6">
        <v>3425.02</v>
      </c>
      <c r="AJ65" s="1" t="s">
        <v>1547</v>
      </c>
      <c r="AK65" s="1"/>
      <c r="AL65" s="1"/>
      <c r="AM65" s="1" t="s">
        <v>1547</v>
      </c>
      <c r="AN65" s="1" t="s">
        <v>827</v>
      </c>
      <c r="AO65" s="1"/>
      <c r="AP65" s="1" t="s">
        <v>51</v>
      </c>
      <c r="AQ65" s="1"/>
      <c r="AR65" s="1"/>
      <c r="AS65" s="2"/>
      <c r="AT65" s="1"/>
      <c r="AU65" s="1"/>
      <c r="AV65" s="1"/>
      <c r="AW65" s="1" t="s">
        <v>2152</v>
      </c>
      <c r="AX65" s="7">
        <v>45455.577589261513</v>
      </c>
      <c r="AY65" s="1" t="s">
        <v>802</v>
      </c>
      <c r="AZ65" s="6">
        <v>3425.02</v>
      </c>
      <c r="BA65" s="5">
        <v>45453</v>
      </c>
      <c r="BB65" s="5">
        <v>45505</v>
      </c>
      <c r="BC65" s="5">
        <v>45453</v>
      </c>
      <c r="BD65" s="5">
        <v>45453</v>
      </c>
      <c r="BE65" s="7">
        <v>45657</v>
      </c>
      <c r="BF65" s="1" t="s">
        <v>2170</v>
      </c>
      <c r="BG65" s="1"/>
      <c r="BH65" s="1"/>
      <c r="BI65" s="1" t="s">
        <v>108</v>
      </c>
    </row>
    <row r="66" spans="1:61" x14ac:dyDescent="0.25">
      <c r="A66" s="4">
        <v>61</v>
      </c>
      <c r="B66" s="2" t="str">
        <f>HYPERLINK("https://my.zakupivli.pro/remote/dispatcher/state_purchase_view/51528528", "UA-2024-06-10-009385-a")</f>
        <v>UA-2024-06-10-009385-a</v>
      </c>
      <c r="C66" s="2" t="s">
        <v>1516</v>
      </c>
      <c r="D66" s="1" t="s">
        <v>1276</v>
      </c>
      <c r="E66" s="1" t="s">
        <v>1276</v>
      </c>
      <c r="F66" s="1" t="s">
        <v>603</v>
      </c>
      <c r="G66" s="1" t="s">
        <v>1035</v>
      </c>
      <c r="H66" s="1" t="s">
        <v>1218</v>
      </c>
      <c r="I66" s="1" t="s">
        <v>2094</v>
      </c>
      <c r="J66" s="1" t="s">
        <v>1145</v>
      </c>
      <c r="K66" s="1" t="s">
        <v>947</v>
      </c>
      <c r="L66" s="1" t="s">
        <v>1533</v>
      </c>
      <c r="M66" s="1" t="s">
        <v>1533</v>
      </c>
      <c r="N66" s="1" t="s">
        <v>110</v>
      </c>
      <c r="O66" s="1" t="s">
        <v>110</v>
      </c>
      <c r="P66" s="1" t="s">
        <v>110</v>
      </c>
      <c r="Q66" s="5">
        <v>45453</v>
      </c>
      <c r="R66" s="1"/>
      <c r="S66" s="1"/>
      <c r="T66" s="1"/>
      <c r="U66" s="1"/>
      <c r="V66" s="1" t="s">
        <v>2146</v>
      </c>
      <c r="W66" s="4">
        <v>1</v>
      </c>
      <c r="X66" s="6">
        <v>2635.52</v>
      </c>
      <c r="Y66" s="1" t="s">
        <v>1516</v>
      </c>
      <c r="Z66" s="1">
        <v>1</v>
      </c>
      <c r="AA66" s="6">
        <v>2635.52</v>
      </c>
      <c r="AB66" s="1" t="s">
        <v>2167</v>
      </c>
      <c r="AC66" s="1" t="s">
        <v>2162</v>
      </c>
      <c r="AD66" s="1" t="s">
        <v>1100</v>
      </c>
      <c r="AE66" s="1" t="s">
        <v>2094</v>
      </c>
      <c r="AF66" s="1" t="s">
        <v>1186</v>
      </c>
      <c r="AG66" s="1" t="s">
        <v>1522</v>
      </c>
      <c r="AH66" s="6">
        <v>2635.52</v>
      </c>
      <c r="AI66" s="6">
        <v>2635.52</v>
      </c>
      <c r="AJ66" s="1" t="s">
        <v>1547</v>
      </c>
      <c r="AK66" s="1"/>
      <c r="AL66" s="1"/>
      <c r="AM66" s="1" t="s">
        <v>1547</v>
      </c>
      <c r="AN66" s="1" t="s">
        <v>827</v>
      </c>
      <c r="AO66" s="1"/>
      <c r="AP66" s="1" t="s">
        <v>51</v>
      </c>
      <c r="AQ66" s="1"/>
      <c r="AR66" s="1"/>
      <c r="AS66" s="2"/>
      <c r="AT66" s="1"/>
      <c r="AU66" s="1"/>
      <c r="AV66" s="1"/>
      <c r="AW66" s="1" t="s">
        <v>2152</v>
      </c>
      <c r="AX66" s="7">
        <v>45453.635086186077</v>
      </c>
      <c r="AY66" s="1" t="s">
        <v>788</v>
      </c>
      <c r="AZ66" s="6">
        <v>2635.52</v>
      </c>
      <c r="BA66" s="5">
        <v>45450</v>
      </c>
      <c r="BB66" s="5">
        <v>45505</v>
      </c>
      <c r="BC66" s="5">
        <v>45450</v>
      </c>
      <c r="BD66" s="5">
        <v>45450</v>
      </c>
      <c r="BE66" s="7">
        <v>45657</v>
      </c>
      <c r="BF66" s="1" t="s">
        <v>2170</v>
      </c>
      <c r="BG66" s="1"/>
      <c r="BH66" s="1"/>
      <c r="BI66" s="1" t="s">
        <v>108</v>
      </c>
    </row>
    <row r="67" spans="1:61" x14ac:dyDescent="0.25">
      <c r="A67" s="4">
        <v>62</v>
      </c>
      <c r="B67" s="2" t="str">
        <f>HYPERLINK("https://my.zakupivli.pro/remote/dispatcher/state_purchase_view/51527527", "UA-2024-06-10-008931-a")</f>
        <v>UA-2024-06-10-008931-a</v>
      </c>
      <c r="C67" s="2" t="s">
        <v>1516</v>
      </c>
      <c r="D67" s="1" t="s">
        <v>1274</v>
      </c>
      <c r="E67" s="1" t="s">
        <v>1274</v>
      </c>
      <c r="F67" s="1" t="s">
        <v>603</v>
      </c>
      <c r="G67" s="1" t="s">
        <v>1035</v>
      </c>
      <c r="H67" s="1" t="s">
        <v>1218</v>
      </c>
      <c r="I67" s="1" t="s">
        <v>2094</v>
      </c>
      <c r="J67" s="1" t="s">
        <v>1145</v>
      </c>
      <c r="K67" s="1" t="s">
        <v>947</v>
      </c>
      <c r="L67" s="1" t="s">
        <v>1533</v>
      </c>
      <c r="M67" s="1" t="s">
        <v>1533</v>
      </c>
      <c r="N67" s="1" t="s">
        <v>110</v>
      </c>
      <c r="O67" s="1" t="s">
        <v>110</v>
      </c>
      <c r="P67" s="1" t="s">
        <v>110</v>
      </c>
      <c r="Q67" s="5">
        <v>45453</v>
      </c>
      <c r="R67" s="1"/>
      <c r="S67" s="1"/>
      <c r="T67" s="1"/>
      <c r="U67" s="1"/>
      <c r="V67" s="1" t="s">
        <v>2146</v>
      </c>
      <c r="W67" s="4">
        <v>1</v>
      </c>
      <c r="X67" s="6">
        <v>4901.76</v>
      </c>
      <c r="Y67" s="1" t="s">
        <v>1516</v>
      </c>
      <c r="Z67" s="1">
        <v>1</v>
      </c>
      <c r="AA67" s="6">
        <v>4901.76</v>
      </c>
      <c r="AB67" s="1" t="s">
        <v>2167</v>
      </c>
      <c r="AC67" s="1" t="s">
        <v>2162</v>
      </c>
      <c r="AD67" s="1" t="s">
        <v>1100</v>
      </c>
      <c r="AE67" s="1" t="s">
        <v>2094</v>
      </c>
      <c r="AF67" s="1" t="s">
        <v>1186</v>
      </c>
      <c r="AG67" s="1" t="s">
        <v>1522</v>
      </c>
      <c r="AH67" s="6">
        <v>4901.76</v>
      </c>
      <c r="AI67" s="6">
        <v>4901.76</v>
      </c>
      <c r="AJ67" s="1" t="s">
        <v>1547</v>
      </c>
      <c r="AK67" s="1"/>
      <c r="AL67" s="1"/>
      <c r="AM67" s="1" t="s">
        <v>1547</v>
      </c>
      <c r="AN67" s="1" t="s">
        <v>827</v>
      </c>
      <c r="AO67" s="1"/>
      <c r="AP67" s="1" t="s">
        <v>51</v>
      </c>
      <c r="AQ67" s="1"/>
      <c r="AR67" s="1"/>
      <c r="AS67" s="2"/>
      <c r="AT67" s="1"/>
      <c r="AU67" s="1"/>
      <c r="AV67" s="1"/>
      <c r="AW67" s="1" t="s">
        <v>2152</v>
      </c>
      <c r="AX67" s="7">
        <v>45453.624355875763</v>
      </c>
      <c r="AY67" s="1" t="s">
        <v>773</v>
      </c>
      <c r="AZ67" s="6">
        <v>4901.76</v>
      </c>
      <c r="BA67" s="5">
        <v>45450</v>
      </c>
      <c r="BB67" s="5">
        <v>45505</v>
      </c>
      <c r="BC67" s="5">
        <v>45450</v>
      </c>
      <c r="BD67" s="5">
        <v>45450</v>
      </c>
      <c r="BE67" s="7">
        <v>45657</v>
      </c>
      <c r="BF67" s="1" t="s">
        <v>2170</v>
      </c>
      <c r="BG67" s="1"/>
      <c r="BH67" s="1"/>
      <c r="BI67" s="1" t="s">
        <v>108</v>
      </c>
    </row>
    <row r="68" spans="1:61" x14ac:dyDescent="0.25">
      <c r="A68" s="4">
        <v>63</v>
      </c>
      <c r="B68" s="2" t="str">
        <f>HYPERLINK("https://my.zakupivli.pro/remote/dispatcher/state_purchase_view/51319388", "UA-2024-05-29-010806-a")</f>
        <v>UA-2024-05-29-010806-a</v>
      </c>
      <c r="C68" s="2" t="str">
        <f>HYPERLINK("https://my.zakupivli.pro/remote/dispatcher/state_purchase_lot_view/1297389", "UA-2024-05-29-010806-a-L1")</f>
        <v>UA-2024-05-29-010806-a-L1</v>
      </c>
      <c r="D68" s="1" t="s">
        <v>1792</v>
      </c>
      <c r="E68" s="1" t="s">
        <v>1791</v>
      </c>
      <c r="F68" s="1" t="s">
        <v>603</v>
      </c>
      <c r="G68" s="1" t="s">
        <v>966</v>
      </c>
      <c r="H68" s="1" t="s">
        <v>1185</v>
      </c>
      <c r="I68" s="1" t="s">
        <v>2094</v>
      </c>
      <c r="J68" s="1" t="s">
        <v>1145</v>
      </c>
      <c r="K68" s="1" t="s">
        <v>947</v>
      </c>
      <c r="L68" s="1" t="s">
        <v>1533</v>
      </c>
      <c r="M68" s="1" t="s">
        <v>1533</v>
      </c>
      <c r="N68" s="1" t="s">
        <v>110</v>
      </c>
      <c r="O68" s="1" t="s">
        <v>110</v>
      </c>
      <c r="P68" s="1" t="s">
        <v>110</v>
      </c>
      <c r="Q68" s="5">
        <v>45441</v>
      </c>
      <c r="R68" s="1" t="s">
        <v>642</v>
      </c>
      <c r="S68" s="1" t="s">
        <v>645</v>
      </c>
      <c r="T68" s="5">
        <v>45441</v>
      </c>
      <c r="U68" s="5">
        <v>45449</v>
      </c>
      <c r="V68" s="1" t="s">
        <v>2147</v>
      </c>
      <c r="W68" s="4">
        <v>1</v>
      </c>
      <c r="X68" s="6">
        <v>1420000</v>
      </c>
      <c r="Y68" s="6">
        <v>1420000</v>
      </c>
      <c r="Z68" s="1">
        <v>1</v>
      </c>
      <c r="AA68" s="6">
        <v>1420000</v>
      </c>
      <c r="AB68" s="1" t="s">
        <v>2167</v>
      </c>
      <c r="AC68" s="6">
        <v>7100</v>
      </c>
      <c r="AD68" s="1" t="s">
        <v>1100</v>
      </c>
      <c r="AE68" s="1" t="s">
        <v>2094</v>
      </c>
      <c r="AF68" s="1" t="s">
        <v>1186</v>
      </c>
      <c r="AG68" s="1" t="s">
        <v>1522</v>
      </c>
      <c r="AH68" s="6">
        <v>1399459.45</v>
      </c>
      <c r="AI68" s="6">
        <v>1399459.45</v>
      </c>
      <c r="AJ68" s="1" t="s">
        <v>2034</v>
      </c>
      <c r="AK68" s="6">
        <v>20540.550000000047</v>
      </c>
      <c r="AL68" s="6">
        <v>1.4465176056338061E-2</v>
      </c>
      <c r="AM68" s="1" t="s">
        <v>2034</v>
      </c>
      <c r="AN68" s="1" t="s">
        <v>977</v>
      </c>
      <c r="AO68" s="1" t="s">
        <v>1111</v>
      </c>
      <c r="AP68" s="1" t="s">
        <v>25</v>
      </c>
      <c r="AQ68" s="6">
        <v>20540.550000000047</v>
      </c>
      <c r="AR68" s="6">
        <v>1.4465176056338061E-2</v>
      </c>
      <c r="AS68" s="2"/>
      <c r="AT68" s="7">
        <v>45450.702311624758</v>
      </c>
      <c r="AU68" s="1" t="s">
        <v>649</v>
      </c>
      <c r="AV68" s="1" t="s">
        <v>656</v>
      </c>
      <c r="AW68" s="1" t="s">
        <v>2151</v>
      </c>
      <c r="AX68" s="7">
        <v>45456.59346888397</v>
      </c>
      <c r="AY68" s="1" t="s">
        <v>878</v>
      </c>
      <c r="AZ68" s="6">
        <v>1399459.45</v>
      </c>
      <c r="BA68" s="1"/>
      <c r="BB68" s="5">
        <v>45627</v>
      </c>
      <c r="BC68" s="5">
        <v>45456</v>
      </c>
      <c r="BD68" s="5">
        <v>45456</v>
      </c>
      <c r="BE68" s="7">
        <v>45657</v>
      </c>
      <c r="BF68" s="1" t="s">
        <v>2170</v>
      </c>
      <c r="BG68" s="1"/>
      <c r="BH68" s="1" t="s">
        <v>2111</v>
      </c>
      <c r="BI68" s="1" t="s">
        <v>978</v>
      </c>
    </row>
    <row r="69" spans="1:61" x14ac:dyDescent="0.25">
      <c r="A69" s="4">
        <v>64</v>
      </c>
      <c r="B69" s="2" t="str">
        <f>HYPERLINK("https://my.zakupivli.pro/remote/dispatcher/state_purchase_view/51314394", "UA-2024-05-29-008469-a")</f>
        <v>UA-2024-05-29-008469-a</v>
      </c>
      <c r="C69" s="2" t="str">
        <f>HYPERLINK("https://my.zakupivli.pro/remote/dispatcher/state_purchase_lot_view/1297138", "UA-2024-05-29-008469-a-L1")</f>
        <v>UA-2024-05-29-008469-a-L1</v>
      </c>
      <c r="D69" s="1" t="s">
        <v>1255</v>
      </c>
      <c r="E69" s="1" t="s">
        <v>1254</v>
      </c>
      <c r="F69" s="1" t="s">
        <v>603</v>
      </c>
      <c r="G69" s="1" t="s">
        <v>975</v>
      </c>
      <c r="H69" s="1" t="s">
        <v>1185</v>
      </c>
      <c r="I69" s="1" t="s">
        <v>2094</v>
      </c>
      <c r="J69" s="1" t="s">
        <v>1145</v>
      </c>
      <c r="K69" s="1" t="s">
        <v>947</v>
      </c>
      <c r="L69" s="1" t="s">
        <v>1533</v>
      </c>
      <c r="M69" s="1" t="s">
        <v>1533</v>
      </c>
      <c r="N69" s="1" t="s">
        <v>110</v>
      </c>
      <c r="O69" s="1" t="s">
        <v>110</v>
      </c>
      <c r="P69" s="1" t="s">
        <v>110</v>
      </c>
      <c r="Q69" s="5">
        <v>45441</v>
      </c>
      <c r="R69" s="1" t="s">
        <v>642</v>
      </c>
      <c r="S69" s="1" t="s">
        <v>645</v>
      </c>
      <c r="T69" s="5">
        <v>45441</v>
      </c>
      <c r="U69" s="5">
        <v>45449</v>
      </c>
      <c r="V69" s="1" t="s">
        <v>2147</v>
      </c>
      <c r="W69" s="4">
        <v>1</v>
      </c>
      <c r="X69" s="6">
        <v>415794</v>
      </c>
      <c r="Y69" s="6">
        <v>415794</v>
      </c>
      <c r="Z69" s="1">
        <v>1</v>
      </c>
      <c r="AA69" s="6">
        <v>415794</v>
      </c>
      <c r="AB69" s="1" t="s">
        <v>2167</v>
      </c>
      <c r="AC69" s="6">
        <v>2078.9699999999998</v>
      </c>
      <c r="AD69" s="1" t="s">
        <v>1100</v>
      </c>
      <c r="AE69" s="1" t="s">
        <v>2094</v>
      </c>
      <c r="AF69" s="1" t="s">
        <v>1186</v>
      </c>
      <c r="AG69" s="1" t="s">
        <v>1522</v>
      </c>
      <c r="AH69" s="6">
        <v>412616.68</v>
      </c>
      <c r="AI69" s="6">
        <v>412616.68</v>
      </c>
      <c r="AJ69" s="1" t="s">
        <v>2045</v>
      </c>
      <c r="AK69" s="6">
        <v>3177.320000000007</v>
      </c>
      <c r="AL69" s="6">
        <v>7.6415725094638376E-3</v>
      </c>
      <c r="AM69" s="1" t="s">
        <v>2045</v>
      </c>
      <c r="AN69" s="1" t="s">
        <v>926</v>
      </c>
      <c r="AO69" s="1" t="s">
        <v>1102</v>
      </c>
      <c r="AP69" s="1" t="s">
        <v>96</v>
      </c>
      <c r="AQ69" s="6">
        <v>3177.320000000007</v>
      </c>
      <c r="AR69" s="6">
        <v>7.6415725094638376E-3</v>
      </c>
      <c r="AS69" s="2"/>
      <c r="AT69" s="7">
        <v>45450.619650692017</v>
      </c>
      <c r="AU69" s="1" t="s">
        <v>649</v>
      </c>
      <c r="AV69" s="1" t="s">
        <v>656</v>
      </c>
      <c r="AW69" s="1" t="s">
        <v>2151</v>
      </c>
      <c r="AX69" s="7">
        <v>45456.591150866421</v>
      </c>
      <c r="AY69" s="1" t="s">
        <v>865</v>
      </c>
      <c r="AZ69" s="6">
        <v>412616.68</v>
      </c>
      <c r="BA69" s="1"/>
      <c r="BB69" s="5">
        <v>45627</v>
      </c>
      <c r="BC69" s="5">
        <v>45456</v>
      </c>
      <c r="BD69" s="5">
        <v>45456</v>
      </c>
      <c r="BE69" s="7">
        <v>45657</v>
      </c>
      <c r="BF69" s="1" t="s">
        <v>2170</v>
      </c>
      <c r="BG69" s="1"/>
      <c r="BH69" s="1" t="s">
        <v>2111</v>
      </c>
      <c r="BI69" s="1" t="s">
        <v>927</v>
      </c>
    </row>
    <row r="70" spans="1:61" x14ac:dyDescent="0.25">
      <c r="A70" s="4">
        <v>65</v>
      </c>
      <c r="B70" s="2" t="str">
        <f>HYPERLINK("https://my.zakupivli.pro/remote/dispatcher/state_purchase_view/51314002", "UA-2024-05-29-008319-a")</f>
        <v>UA-2024-05-29-008319-a</v>
      </c>
      <c r="C70" s="2" t="str">
        <f>HYPERLINK("https://my.zakupivli.pro/remote/dispatcher/state_purchase_lot_view/1297128", "UA-2024-05-29-008319-a-L1")</f>
        <v>UA-2024-05-29-008319-a-L1</v>
      </c>
      <c r="D70" s="1" t="s">
        <v>1250</v>
      </c>
      <c r="E70" s="1" t="s">
        <v>1249</v>
      </c>
      <c r="F70" s="1" t="s">
        <v>603</v>
      </c>
      <c r="G70" s="1" t="s">
        <v>975</v>
      </c>
      <c r="H70" s="1" t="s">
        <v>1185</v>
      </c>
      <c r="I70" s="1" t="s">
        <v>2094</v>
      </c>
      <c r="J70" s="1" t="s">
        <v>1145</v>
      </c>
      <c r="K70" s="1" t="s">
        <v>947</v>
      </c>
      <c r="L70" s="1" t="s">
        <v>1533</v>
      </c>
      <c r="M70" s="1" t="s">
        <v>1533</v>
      </c>
      <c r="N70" s="1" t="s">
        <v>110</v>
      </c>
      <c r="O70" s="1" t="s">
        <v>110</v>
      </c>
      <c r="P70" s="1" t="s">
        <v>110</v>
      </c>
      <c r="Q70" s="5">
        <v>45441</v>
      </c>
      <c r="R70" s="1" t="s">
        <v>642</v>
      </c>
      <c r="S70" s="1" t="s">
        <v>645</v>
      </c>
      <c r="T70" s="5">
        <v>45441</v>
      </c>
      <c r="U70" s="5">
        <v>45449</v>
      </c>
      <c r="V70" s="1" t="s">
        <v>2147</v>
      </c>
      <c r="W70" s="4">
        <v>1</v>
      </c>
      <c r="X70" s="6">
        <v>688339</v>
      </c>
      <c r="Y70" s="6">
        <v>688339</v>
      </c>
      <c r="Z70" s="1">
        <v>1</v>
      </c>
      <c r="AA70" s="6">
        <v>688339</v>
      </c>
      <c r="AB70" s="1" t="s">
        <v>2167</v>
      </c>
      <c r="AC70" s="6">
        <v>3441.7</v>
      </c>
      <c r="AD70" s="1" t="s">
        <v>1100</v>
      </c>
      <c r="AE70" s="1" t="s">
        <v>2094</v>
      </c>
      <c r="AF70" s="1" t="s">
        <v>1186</v>
      </c>
      <c r="AG70" s="1" t="s">
        <v>1522</v>
      </c>
      <c r="AH70" s="6">
        <v>682984.03</v>
      </c>
      <c r="AI70" s="6">
        <v>682984.03</v>
      </c>
      <c r="AJ70" s="1" t="s">
        <v>2045</v>
      </c>
      <c r="AK70" s="6">
        <v>5354.9699999999721</v>
      </c>
      <c r="AL70" s="6">
        <v>7.7795533886645561E-3</v>
      </c>
      <c r="AM70" s="1" t="s">
        <v>2045</v>
      </c>
      <c r="AN70" s="1" t="s">
        <v>926</v>
      </c>
      <c r="AO70" s="1" t="s">
        <v>1102</v>
      </c>
      <c r="AP70" s="1" t="s">
        <v>96</v>
      </c>
      <c r="AQ70" s="6">
        <v>5354.9699999999721</v>
      </c>
      <c r="AR70" s="6">
        <v>7.7795533886645561E-3</v>
      </c>
      <c r="AS70" s="2"/>
      <c r="AT70" s="7">
        <v>45450.64274722855</v>
      </c>
      <c r="AU70" s="1" t="s">
        <v>649</v>
      </c>
      <c r="AV70" s="1" t="s">
        <v>656</v>
      </c>
      <c r="AW70" s="1" t="s">
        <v>2151</v>
      </c>
      <c r="AX70" s="7">
        <v>45456.589734897476</v>
      </c>
      <c r="AY70" s="1" t="s">
        <v>860</v>
      </c>
      <c r="AZ70" s="6">
        <v>682984.03</v>
      </c>
      <c r="BA70" s="1"/>
      <c r="BB70" s="5">
        <v>45627</v>
      </c>
      <c r="BC70" s="5">
        <v>45456</v>
      </c>
      <c r="BD70" s="5">
        <v>45456</v>
      </c>
      <c r="BE70" s="7">
        <v>45657</v>
      </c>
      <c r="BF70" s="1" t="s">
        <v>2170</v>
      </c>
      <c r="BG70" s="1"/>
      <c r="BH70" s="1"/>
      <c r="BI70" s="1" t="s">
        <v>927</v>
      </c>
    </row>
    <row r="71" spans="1:61" x14ac:dyDescent="0.25">
      <c r="A71" s="4">
        <v>66</v>
      </c>
      <c r="B71" s="2" t="str">
        <f>HYPERLINK("https://my.zakupivli.pro/remote/dispatcher/state_purchase_view/51313832", "UA-2024-05-29-008201-a")</f>
        <v>UA-2024-05-29-008201-a</v>
      </c>
      <c r="C71" s="2" t="str">
        <f>HYPERLINK("https://my.zakupivli.pro/remote/dispatcher/state_purchase_lot_view/1297118", "UA-2024-05-29-008201-a-L1")</f>
        <v>UA-2024-05-29-008201-a-L1</v>
      </c>
      <c r="D71" s="1" t="s">
        <v>1366</v>
      </c>
      <c r="E71" s="1" t="s">
        <v>1364</v>
      </c>
      <c r="F71" s="1" t="s">
        <v>603</v>
      </c>
      <c r="G71" s="1" t="s">
        <v>975</v>
      </c>
      <c r="H71" s="1" t="s">
        <v>1185</v>
      </c>
      <c r="I71" s="1" t="s">
        <v>2094</v>
      </c>
      <c r="J71" s="1" t="s">
        <v>1145</v>
      </c>
      <c r="K71" s="1" t="s">
        <v>947</v>
      </c>
      <c r="L71" s="1" t="s">
        <v>1533</v>
      </c>
      <c r="M71" s="1" t="s">
        <v>1533</v>
      </c>
      <c r="N71" s="1" t="s">
        <v>110</v>
      </c>
      <c r="O71" s="1" t="s">
        <v>110</v>
      </c>
      <c r="P71" s="1" t="s">
        <v>110</v>
      </c>
      <c r="Q71" s="5">
        <v>45441</v>
      </c>
      <c r="R71" s="1" t="s">
        <v>642</v>
      </c>
      <c r="S71" s="1" t="s">
        <v>645</v>
      </c>
      <c r="T71" s="5">
        <v>45441</v>
      </c>
      <c r="U71" s="5">
        <v>45449</v>
      </c>
      <c r="V71" s="1" t="s">
        <v>2147</v>
      </c>
      <c r="W71" s="4">
        <v>1</v>
      </c>
      <c r="X71" s="6">
        <v>746189</v>
      </c>
      <c r="Y71" s="6">
        <v>746189</v>
      </c>
      <c r="Z71" s="1">
        <v>1</v>
      </c>
      <c r="AA71" s="6">
        <v>746189</v>
      </c>
      <c r="AB71" s="1" t="s">
        <v>2167</v>
      </c>
      <c r="AC71" s="6">
        <v>3730.95</v>
      </c>
      <c r="AD71" s="1" t="s">
        <v>1100</v>
      </c>
      <c r="AE71" s="1" t="s">
        <v>2094</v>
      </c>
      <c r="AF71" s="1" t="s">
        <v>1186</v>
      </c>
      <c r="AG71" s="1" t="s">
        <v>1522</v>
      </c>
      <c r="AH71" s="6">
        <v>740447.45</v>
      </c>
      <c r="AI71" s="6">
        <v>740447.45</v>
      </c>
      <c r="AJ71" s="1" t="s">
        <v>2045</v>
      </c>
      <c r="AK71" s="6">
        <v>5741.5500000000466</v>
      </c>
      <c r="AL71" s="6">
        <v>7.6944983107497516E-3</v>
      </c>
      <c r="AM71" s="1" t="s">
        <v>2045</v>
      </c>
      <c r="AN71" s="1" t="s">
        <v>926</v>
      </c>
      <c r="AO71" s="1" t="s">
        <v>1102</v>
      </c>
      <c r="AP71" s="1" t="s">
        <v>96</v>
      </c>
      <c r="AQ71" s="6">
        <v>5741.5500000000466</v>
      </c>
      <c r="AR71" s="6">
        <v>7.6944983107497516E-3</v>
      </c>
      <c r="AS71" s="2"/>
      <c r="AT71" s="7">
        <v>45450.660599882627</v>
      </c>
      <c r="AU71" s="1" t="s">
        <v>649</v>
      </c>
      <c r="AV71" s="1" t="s">
        <v>656</v>
      </c>
      <c r="AW71" s="1" t="s">
        <v>2151</v>
      </c>
      <c r="AX71" s="7">
        <v>45456.585856197984</v>
      </c>
      <c r="AY71" s="1" t="s">
        <v>849</v>
      </c>
      <c r="AZ71" s="6">
        <v>740447.45</v>
      </c>
      <c r="BA71" s="1"/>
      <c r="BB71" s="5">
        <v>45627</v>
      </c>
      <c r="BC71" s="5">
        <v>45456</v>
      </c>
      <c r="BD71" s="5">
        <v>45456</v>
      </c>
      <c r="BE71" s="7">
        <v>45657</v>
      </c>
      <c r="BF71" s="1" t="s">
        <v>2170</v>
      </c>
      <c r="BG71" s="1"/>
      <c r="BH71" s="1"/>
      <c r="BI71" s="1" t="s">
        <v>927</v>
      </c>
    </row>
    <row r="72" spans="1:61" x14ac:dyDescent="0.25">
      <c r="A72" s="4">
        <v>67</v>
      </c>
      <c r="B72" s="2" t="str">
        <f>HYPERLINK("https://my.zakupivli.pro/remote/dispatcher/state_purchase_view/51313644", "UA-2024-05-29-008080-a")</f>
        <v>UA-2024-05-29-008080-a</v>
      </c>
      <c r="C72" s="2" t="str">
        <f>HYPERLINK("https://my.zakupivli.pro/remote/dispatcher/state_purchase_lot_view/1297110", "UA-2024-05-29-008080-a-L1")</f>
        <v>UA-2024-05-29-008080-a-L1</v>
      </c>
      <c r="D72" s="1" t="s">
        <v>1248</v>
      </c>
      <c r="E72" s="1" t="s">
        <v>1247</v>
      </c>
      <c r="F72" s="1" t="s">
        <v>603</v>
      </c>
      <c r="G72" s="1" t="s">
        <v>975</v>
      </c>
      <c r="H72" s="1" t="s">
        <v>1185</v>
      </c>
      <c r="I72" s="1" t="s">
        <v>2094</v>
      </c>
      <c r="J72" s="1" t="s">
        <v>1145</v>
      </c>
      <c r="K72" s="1" t="s">
        <v>947</v>
      </c>
      <c r="L72" s="1" t="s">
        <v>1533</v>
      </c>
      <c r="M72" s="1" t="s">
        <v>1533</v>
      </c>
      <c r="N72" s="1" t="s">
        <v>110</v>
      </c>
      <c r="O72" s="1" t="s">
        <v>110</v>
      </c>
      <c r="P72" s="1" t="s">
        <v>110</v>
      </c>
      <c r="Q72" s="5">
        <v>45441</v>
      </c>
      <c r="R72" s="1" t="s">
        <v>642</v>
      </c>
      <c r="S72" s="1" t="s">
        <v>645</v>
      </c>
      <c r="T72" s="5">
        <v>45441</v>
      </c>
      <c r="U72" s="5">
        <v>45449</v>
      </c>
      <c r="V72" s="1" t="s">
        <v>2147</v>
      </c>
      <c r="W72" s="4">
        <v>1</v>
      </c>
      <c r="X72" s="6">
        <v>879141</v>
      </c>
      <c r="Y72" s="6">
        <v>879141</v>
      </c>
      <c r="Z72" s="1">
        <v>1</v>
      </c>
      <c r="AA72" s="6">
        <v>879141</v>
      </c>
      <c r="AB72" s="1" t="s">
        <v>2167</v>
      </c>
      <c r="AC72" s="6">
        <v>4395.71</v>
      </c>
      <c r="AD72" s="1" t="s">
        <v>1100</v>
      </c>
      <c r="AE72" s="1" t="s">
        <v>2094</v>
      </c>
      <c r="AF72" s="1" t="s">
        <v>1186</v>
      </c>
      <c r="AG72" s="1" t="s">
        <v>1522</v>
      </c>
      <c r="AH72" s="6">
        <v>872418.76</v>
      </c>
      <c r="AI72" s="6">
        <v>872418.76</v>
      </c>
      <c r="AJ72" s="1" t="s">
        <v>2045</v>
      </c>
      <c r="AK72" s="6">
        <v>6722.2399999999907</v>
      </c>
      <c r="AL72" s="6">
        <v>7.6463729936380974E-3</v>
      </c>
      <c r="AM72" s="1" t="s">
        <v>2045</v>
      </c>
      <c r="AN72" s="1" t="s">
        <v>926</v>
      </c>
      <c r="AO72" s="1" t="s">
        <v>1102</v>
      </c>
      <c r="AP72" s="1" t="s">
        <v>96</v>
      </c>
      <c r="AQ72" s="6">
        <v>6722.2399999999907</v>
      </c>
      <c r="AR72" s="6">
        <v>7.6463729936380974E-3</v>
      </c>
      <c r="AS72" s="2"/>
      <c r="AT72" s="7">
        <v>45450.675393949918</v>
      </c>
      <c r="AU72" s="1" t="s">
        <v>649</v>
      </c>
      <c r="AV72" s="1" t="s">
        <v>656</v>
      </c>
      <c r="AW72" s="1" t="s">
        <v>2171</v>
      </c>
      <c r="AX72" s="7">
        <v>45441.625822157752</v>
      </c>
      <c r="AY72" s="1"/>
      <c r="AZ72" s="6">
        <v>872418.76</v>
      </c>
      <c r="BA72" s="1"/>
      <c r="BB72" s="5">
        <v>45627</v>
      </c>
      <c r="BC72" s="1" t="s">
        <v>109</v>
      </c>
      <c r="BD72" s="1" t="s">
        <v>109</v>
      </c>
      <c r="BE72" s="1"/>
      <c r="BF72" s="1" t="s">
        <v>2164</v>
      </c>
      <c r="BG72" s="1"/>
      <c r="BH72" s="1" t="s">
        <v>2111</v>
      </c>
      <c r="BI72" s="1" t="s">
        <v>927</v>
      </c>
    </row>
    <row r="73" spans="1:61" x14ac:dyDescent="0.25">
      <c r="A73" s="4">
        <v>68</v>
      </c>
      <c r="B73" s="2" t="str">
        <f>HYPERLINK("https://my.zakupivli.pro/remote/dispatcher/state_purchase_view/51312690", "UA-2024-05-29-007689-a")</f>
        <v>UA-2024-05-29-007689-a</v>
      </c>
      <c r="C73" s="2" t="str">
        <f>HYPERLINK("https://my.zakupivli.pro/remote/dispatcher/state_purchase_lot_view/1297082", "UA-2024-05-29-007689-a-L1")</f>
        <v>UA-2024-05-29-007689-a-L1</v>
      </c>
      <c r="D73" s="1" t="s">
        <v>1372</v>
      </c>
      <c r="E73" s="1" t="s">
        <v>1370</v>
      </c>
      <c r="F73" s="1" t="s">
        <v>603</v>
      </c>
      <c r="G73" s="1" t="s">
        <v>975</v>
      </c>
      <c r="H73" s="1" t="s">
        <v>1185</v>
      </c>
      <c r="I73" s="1" t="s">
        <v>2094</v>
      </c>
      <c r="J73" s="1" t="s">
        <v>1145</v>
      </c>
      <c r="K73" s="1" t="s">
        <v>947</v>
      </c>
      <c r="L73" s="1" t="s">
        <v>1533</v>
      </c>
      <c r="M73" s="1" t="s">
        <v>1533</v>
      </c>
      <c r="N73" s="1" t="s">
        <v>110</v>
      </c>
      <c r="O73" s="1" t="s">
        <v>110</v>
      </c>
      <c r="P73" s="1" t="s">
        <v>110</v>
      </c>
      <c r="Q73" s="5">
        <v>45441</v>
      </c>
      <c r="R73" s="1" t="s">
        <v>642</v>
      </c>
      <c r="S73" s="1" t="s">
        <v>645</v>
      </c>
      <c r="T73" s="5">
        <v>45441</v>
      </c>
      <c r="U73" s="5">
        <v>45449</v>
      </c>
      <c r="V73" s="1" t="s">
        <v>2147</v>
      </c>
      <c r="W73" s="4">
        <v>1</v>
      </c>
      <c r="X73" s="6">
        <v>727050</v>
      </c>
      <c r="Y73" s="6">
        <v>727050</v>
      </c>
      <c r="Z73" s="1">
        <v>1</v>
      </c>
      <c r="AA73" s="6">
        <v>727050</v>
      </c>
      <c r="AB73" s="1" t="s">
        <v>2167</v>
      </c>
      <c r="AC73" s="6">
        <v>3635.25</v>
      </c>
      <c r="AD73" s="1" t="s">
        <v>1100</v>
      </c>
      <c r="AE73" s="1" t="s">
        <v>2094</v>
      </c>
      <c r="AF73" s="1" t="s">
        <v>1186</v>
      </c>
      <c r="AG73" s="1" t="s">
        <v>1522</v>
      </c>
      <c r="AH73" s="6">
        <v>721498.12</v>
      </c>
      <c r="AI73" s="6">
        <v>721498.12</v>
      </c>
      <c r="AJ73" s="1" t="s">
        <v>2045</v>
      </c>
      <c r="AK73" s="6">
        <v>5551.8800000000047</v>
      </c>
      <c r="AL73" s="6">
        <v>7.6361735781583177E-3</v>
      </c>
      <c r="AM73" s="1" t="s">
        <v>2045</v>
      </c>
      <c r="AN73" s="1" t="s">
        <v>926</v>
      </c>
      <c r="AO73" s="1" t="s">
        <v>1102</v>
      </c>
      <c r="AP73" s="1" t="s">
        <v>96</v>
      </c>
      <c r="AQ73" s="6">
        <v>5551.8800000000047</v>
      </c>
      <c r="AR73" s="6">
        <v>7.6361735781583177E-3</v>
      </c>
      <c r="AS73" s="2"/>
      <c r="AT73" s="7">
        <v>45450.553276288018</v>
      </c>
      <c r="AU73" s="1" t="s">
        <v>649</v>
      </c>
      <c r="AV73" s="1" t="s">
        <v>656</v>
      </c>
      <c r="AW73" s="1" t="s">
        <v>2151</v>
      </c>
      <c r="AX73" s="7">
        <v>45456.581583174469</v>
      </c>
      <c r="AY73" s="1" t="s">
        <v>830</v>
      </c>
      <c r="AZ73" s="6">
        <v>721498.12</v>
      </c>
      <c r="BA73" s="1"/>
      <c r="BB73" s="5">
        <v>45627</v>
      </c>
      <c r="BC73" s="5">
        <v>45456</v>
      </c>
      <c r="BD73" s="5">
        <v>45456</v>
      </c>
      <c r="BE73" s="7">
        <v>45657</v>
      </c>
      <c r="BF73" s="1" t="s">
        <v>2170</v>
      </c>
      <c r="BG73" s="1"/>
      <c r="BH73" s="1" t="s">
        <v>2111</v>
      </c>
      <c r="BI73" s="1" t="s">
        <v>927</v>
      </c>
    </row>
    <row r="74" spans="1:61" x14ac:dyDescent="0.25">
      <c r="A74" s="4">
        <v>69</v>
      </c>
      <c r="B74" s="2" t="str">
        <f>HYPERLINK("https://my.zakupivli.pro/remote/dispatcher/state_purchase_view/51313126", "UA-2024-05-29-007884-a")</f>
        <v>UA-2024-05-29-007884-a</v>
      </c>
      <c r="C74" s="2" t="str">
        <f>HYPERLINK("https://my.zakupivli.pro/remote/dispatcher/state_purchase_lot_view/1297089", "UA-2024-05-29-007884-a-L1")</f>
        <v>UA-2024-05-29-007884-a-L1</v>
      </c>
      <c r="D74" s="1" t="s">
        <v>1363</v>
      </c>
      <c r="E74" s="1" t="s">
        <v>1361</v>
      </c>
      <c r="F74" s="1" t="s">
        <v>603</v>
      </c>
      <c r="G74" s="1" t="s">
        <v>975</v>
      </c>
      <c r="H74" s="1" t="s">
        <v>1185</v>
      </c>
      <c r="I74" s="1" t="s">
        <v>2094</v>
      </c>
      <c r="J74" s="1" t="s">
        <v>1145</v>
      </c>
      <c r="K74" s="1" t="s">
        <v>947</v>
      </c>
      <c r="L74" s="1" t="s">
        <v>1533</v>
      </c>
      <c r="M74" s="1" t="s">
        <v>1533</v>
      </c>
      <c r="N74" s="1" t="s">
        <v>110</v>
      </c>
      <c r="O74" s="1" t="s">
        <v>110</v>
      </c>
      <c r="P74" s="1" t="s">
        <v>110</v>
      </c>
      <c r="Q74" s="5">
        <v>45441</v>
      </c>
      <c r="R74" s="1" t="s">
        <v>642</v>
      </c>
      <c r="S74" s="1" t="s">
        <v>645</v>
      </c>
      <c r="T74" s="5">
        <v>45441</v>
      </c>
      <c r="U74" s="5">
        <v>45449</v>
      </c>
      <c r="V74" s="1" t="s">
        <v>2147</v>
      </c>
      <c r="W74" s="4">
        <v>1</v>
      </c>
      <c r="X74" s="6">
        <v>244760</v>
      </c>
      <c r="Y74" s="6">
        <v>244760</v>
      </c>
      <c r="Z74" s="1">
        <v>1</v>
      </c>
      <c r="AA74" s="6">
        <v>244760</v>
      </c>
      <c r="AB74" s="1" t="s">
        <v>2167</v>
      </c>
      <c r="AC74" s="6">
        <v>1223.8</v>
      </c>
      <c r="AD74" s="1" t="s">
        <v>1100</v>
      </c>
      <c r="AE74" s="1" t="s">
        <v>2094</v>
      </c>
      <c r="AF74" s="1" t="s">
        <v>1186</v>
      </c>
      <c r="AG74" s="1" t="s">
        <v>1522</v>
      </c>
      <c r="AH74" s="6">
        <v>242799.06</v>
      </c>
      <c r="AI74" s="6">
        <v>242799.06</v>
      </c>
      <c r="AJ74" s="1" t="s">
        <v>2045</v>
      </c>
      <c r="AK74" s="6">
        <v>1960.9400000000023</v>
      </c>
      <c r="AL74" s="6">
        <v>8.0116849158359312E-3</v>
      </c>
      <c r="AM74" s="1" t="s">
        <v>2045</v>
      </c>
      <c r="AN74" s="1" t="s">
        <v>926</v>
      </c>
      <c r="AO74" s="1" t="s">
        <v>1102</v>
      </c>
      <c r="AP74" s="1" t="s">
        <v>96</v>
      </c>
      <c r="AQ74" s="6">
        <v>1960.9400000000023</v>
      </c>
      <c r="AR74" s="6">
        <v>8.0116849158359312E-3</v>
      </c>
      <c r="AS74" s="2"/>
      <c r="AT74" s="7">
        <v>45450.694273971101</v>
      </c>
      <c r="AU74" s="1" t="s">
        <v>649</v>
      </c>
      <c r="AV74" s="1" t="s">
        <v>656</v>
      </c>
      <c r="AW74" s="1" t="s">
        <v>2151</v>
      </c>
      <c r="AX74" s="7">
        <v>45456.583629899338</v>
      </c>
      <c r="AY74" s="1" t="s">
        <v>839</v>
      </c>
      <c r="AZ74" s="6">
        <v>242799.06</v>
      </c>
      <c r="BA74" s="1"/>
      <c r="BB74" s="5">
        <v>45627</v>
      </c>
      <c r="BC74" s="5">
        <v>45456</v>
      </c>
      <c r="BD74" s="5">
        <v>45456</v>
      </c>
      <c r="BE74" s="7">
        <v>45657</v>
      </c>
      <c r="BF74" s="1" t="s">
        <v>2170</v>
      </c>
      <c r="BG74" s="1"/>
      <c r="BH74" s="1"/>
      <c r="BI74" s="1" t="s">
        <v>927</v>
      </c>
    </row>
    <row r="75" spans="1:61" x14ac:dyDescent="0.25">
      <c r="A75" s="4">
        <v>70</v>
      </c>
      <c r="B75" s="2" t="str">
        <f>HYPERLINK("https://my.zakupivli.pro/remote/dispatcher/state_purchase_view/51313295", "UA-2024-05-29-007994-a")</f>
        <v>UA-2024-05-29-007994-a</v>
      </c>
      <c r="C75" s="2" t="str">
        <f>HYPERLINK("https://my.zakupivli.pro/remote/dispatcher/state_purchase_lot_view/1297098", "UA-2024-05-29-007994-a-L1")</f>
        <v>UA-2024-05-29-007994-a-L1</v>
      </c>
      <c r="D75" s="1" t="s">
        <v>1358</v>
      </c>
      <c r="E75" s="1" t="s">
        <v>1356</v>
      </c>
      <c r="F75" s="1" t="s">
        <v>603</v>
      </c>
      <c r="G75" s="1" t="s">
        <v>975</v>
      </c>
      <c r="H75" s="1" t="s">
        <v>1185</v>
      </c>
      <c r="I75" s="1" t="s">
        <v>2094</v>
      </c>
      <c r="J75" s="1" t="s">
        <v>1145</v>
      </c>
      <c r="K75" s="1" t="s">
        <v>947</v>
      </c>
      <c r="L75" s="1" t="s">
        <v>1533</v>
      </c>
      <c r="M75" s="1" t="s">
        <v>1533</v>
      </c>
      <c r="N75" s="1" t="s">
        <v>110</v>
      </c>
      <c r="O75" s="1" t="s">
        <v>110</v>
      </c>
      <c r="P75" s="1" t="s">
        <v>110</v>
      </c>
      <c r="Q75" s="5">
        <v>45441</v>
      </c>
      <c r="R75" s="1" t="s">
        <v>642</v>
      </c>
      <c r="S75" s="1" t="s">
        <v>645</v>
      </c>
      <c r="T75" s="5">
        <v>45441</v>
      </c>
      <c r="U75" s="5">
        <v>45449</v>
      </c>
      <c r="V75" s="1" t="s">
        <v>2147</v>
      </c>
      <c r="W75" s="4">
        <v>1</v>
      </c>
      <c r="X75" s="6">
        <v>733731</v>
      </c>
      <c r="Y75" s="6">
        <v>733731</v>
      </c>
      <c r="Z75" s="1">
        <v>1</v>
      </c>
      <c r="AA75" s="6">
        <v>733731</v>
      </c>
      <c r="AB75" s="1" t="s">
        <v>2167</v>
      </c>
      <c r="AC75" s="6">
        <v>3668.66</v>
      </c>
      <c r="AD75" s="1" t="s">
        <v>1100</v>
      </c>
      <c r="AE75" s="1" t="s">
        <v>2094</v>
      </c>
      <c r="AF75" s="1" t="s">
        <v>1186</v>
      </c>
      <c r="AG75" s="1" t="s">
        <v>1522</v>
      </c>
      <c r="AH75" s="6">
        <v>728060.14</v>
      </c>
      <c r="AI75" s="6">
        <v>728060.14</v>
      </c>
      <c r="AJ75" s="1" t="s">
        <v>2045</v>
      </c>
      <c r="AK75" s="6">
        <v>5670.859999999986</v>
      </c>
      <c r="AL75" s="6">
        <v>7.7287997917492735E-3</v>
      </c>
      <c r="AM75" s="1" t="s">
        <v>2045</v>
      </c>
      <c r="AN75" s="1" t="s">
        <v>926</v>
      </c>
      <c r="AO75" s="1" t="s">
        <v>1102</v>
      </c>
      <c r="AP75" s="1" t="s">
        <v>96</v>
      </c>
      <c r="AQ75" s="6">
        <v>5670.859999999986</v>
      </c>
      <c r="AR75" s="6">
        <v>7.7287997917492735E-3</v>
      </c>
      <c r="AS75" s="2"/>
      <c r="AT75" s="7">
        <v>45450.603179763151</v>
      </c>
      <c r="AU75" s="1" t="s">
        <v>649</v>
      </c>
      <c r="AV75" s="1" t="s">
        <v>656</v>
      </c>
      <c r="AW75" s="1" t="s">
        <v>2151</v>
      </c>
      <c r="AX75" s="7">
        <v>45456.587838930674</v>
      </c>
      <c r="AY75" s="1" t="s">
        <v>856</v>
      </c>
      <c r="AZ75" s="6">
        <v>728060.14</v>
      </c>
      <c r="BA75" s="1"/>
      <c r="BB75" s="5">
        <v>45627</v>
      </c>
      <c r="BC75" s="5">
        <v>45456</v>
      </c>
      <c r="BD75" s="5">
        <v>45456</v>
      </c>
      <c r="BE75" s="7">
        <v>45657</v>
      </c>
      <c r="BF75" s="1" t="s">
        <v>2170</v>
      </c>
      <c r="BG75" s="1"/>
      <c r="BH75" s="1" t="s">
        <v>2111</v>
      </c>
      <c r="BI75" s="1" t="s">
        <v>927</v>
      </c>
    </row>
    <row r="76" spans="1:61" x14ac:dyDescent="0.25">
      <c r="A76" s="4">
        <v>71</v>
      </c>
      <c r="B76" s="2" t="str">
        <f>HYPERLINK("https://my.zakupivli.pro/remote/dispatcher/state_purchase_view/51319668", "UA-2024-05-29-010942-a")</f>
        <v>UA-2024-05-29-010942-a</v>
      </c>
      <c r="C76" s="2" t="str">
        <f>HYPERLINK("https://my.zakupivli.pro/remote/dispatcher/state_purchase_lot_view/1297407", "UA-2024-05-29-010942-a-L1")</f>
        <v>UA-2024-05-29-010942-a-L1</v>
      </c>
      <c r="D76" s="1" t="s">
        <v>1790</v>
      </c>
      <c r="E76" s="1" t="s">
        <v>1789</v>
      </c>
      <c r="F76" s="1" t="s">
        <v>603</v>
      </c>
      <c r="G76" s="1" t="s">
        <v>966</v>
      </c>
      <c r="H76" s="1" t="s">
        <v>1185</v>
      </c>
      <c r="I76" s="1" t="s">
        <v>2094</v>
      </c>
      <c r="J76" s="1" t="s">
        <v>1145</v>
      </c>
      <c r="K76" s="1" t="s">
        <v>947</v>
      </c>
      <c r="L76" s="1" t="s">
        <v>1533</v>
      </c>
      <c r="M76" s="1" t="s">
        <v>1533</v>
      </c>
      <c r="N76" s="1" t="s">
        <v>110</v>
      </c>
      <c r="O76" s="1" t="s">
        <v>110</v>
      </c>
      <c r="P76" s="1" t="s">
        <v>110</v>
      </c>
      <c r="Q76" s="5">
        <v>45441</v>
      </c>
      <c r="R76" s="1" t="s">
        <v>642</v>
      </c>
      <c r="S76" s="1" t="s">
        <v>645</v>
      </c>
      <c r="T76" s="5">
        <v>45441</v>
      </c>
      <c r="U76" s="5">
        <v>45449</v>
      </c>
      <c r="V76" s="1" t="s">
        <v>2147</v>
      </c>
      <c r="W76" s="4">
        <v>1</v>
      </c>
      <c r="X76" s="6">
        <v>426000</v>
      </c>
      <c r="Y76" s="6">
        <v>426000</v>
      </c>
      <c r="Z76" s="1">
        <v>1</v>
      </c>
      <c r="AA76" s="6">
        <v>426000</v>
      </c>
      <c r="AB76" s="1" t="s">
        <v>2167</v>
      </c>
      <c r="AC76" s="6">
        <v>2130</v>
      </c>
      <c r="AD76" s="1" t="s">
        <v>1100</v>
      </c>
      <c r="AE76" s="1" t="s">
        <v>2094</v>
      </c>
      <c r="AF76" s="1" t="s">
        <v>1186</v>
      </c>
      <c r="AG76" s="1" t="s">
        <v>1522</v>
      </c>
      <c r="AH76" s="6">
        <v>415539.21</v>
      </c>
      <c r="AI76" s="6">
        <v>415539.21</v>
      </c>
      <c r="AJ76" s="1" t="s">
        <v>2034</v>
      </c>
      <c r="AK76" s="6">
        <v>10460.789999999979</v>
      </c>
      <c r="AL76" s="6">
        <v>2.4555845070422487E-2</v>
      </c>
      <c r="AM76" s="1" t="s">
        <v>2034</v>
      </c>
      <c r="AN76" s="1" t="s">
        <v>977</v>
      </c>
      <c r="AO76" s="1" t="s">
        <v>1111</v>
      </c>
      <c r="AP76" s="1" t="s">
        <v>25</v>
      </c>
      <c r="AQ76" s="6">
        <v>10460.789999999979</v>
      </c>
      <c r="AR76" s="6">
        <v>2.4555845070422487E-2</v>
      </c>
      <c r="AS76" s="2"/>
      <c r="AT76" s="7">
        <v>45450.716231184968</v>
      </c>
      <c r="AU76" s="1" t="s">
        <v>649</v>
      </c>
      <c r="AV76" s="1" t="s">
        <v>656</v>
      </c>
      <c r="AW76" s="1" t="s">
        <v>2151</v>
      </c>
      <c r="AX76" s="7">
        <v>45456.595118959296</v>
      </c>
      <c r="AY76" s="1" t="s">
        <v>894</v>
      </c>
      <c r="AZ76" s="6">
        <v>415539.21</v>
      </c>
      <c r="BA76" s="1"/>
      <c r="BB76" s="5">
        <v>45627</v>
      </c>
      <c r="BC76" s="5">
        <v>45456</v>
      </c>
      <c r="BD76" s="5">
        <v>45456</v>
      </c>
      <c r="BE76" s="7">
        <v>45657</v>
      </c>
      <c r="BF76" s="1" t="s">
        <v>2170</v>
      </c>
      <c r="BG76" s="1"/>
      <c r="BH76" s="1" t="s">
        <v>2111</v>
      </c>
      <c r="BI76" s="1" t="s">
        <v>978</v>
      </c>
    </row>
    <row r="77" spans="1:61" x14ac:dyDescent="0.25">
      <c r="A77" s="4">
        <v>72</v>
      </c>
      <c r="B77" s="2" t="str">
        <f>HYPERLINK("https://my.zakupivli.pro/remote/dispatcher/state_purchase_view/51262986", "UA-2024-05-27-011488-a")</f>
        <v>UA-2024-05-27-011488-a</v>
      </c>
      <c r="C77" s="2" t="str">
        <f>HYPERLINK("https://my.zakupivli.pro/remote/dispatcher/state_purchase_lot_view/1294990", "UA-2024-05-27-011488-a-L1")</f>
        <v>UA-2024-05-27-011488-a-L1</v>
      </c>
      <c r="D77" s="1" t="s">
        <v>1832</v>
      </c>
      <c r="E77" s="1" t="s">
        <v>1831</v>
      </c>
      <c r="F77" s="1" t="s">
        <v>603</v>
      </c>
      <c r="G77" s="1" t="s">
        <v>966</v>
      </c>
      <c r="H77" s="1" t="s">
        <v>1185</v>
      </c>
      <c r="I77" s="1" t="s">
        <v>2094</v>
      </c>
      <c r="J77" s="1" t="s">
        <v>1145</v>
      </c>
      <c r="K77" s="1" t="s">
        <v>947</v>
      </c>
      <c r="L77" s="1" t="s">
        <v>1533</v>
      </c>
      <c r="M77" s="1" t="s">
        <v>1533</v>
      </c>
      <c r="N77" s="1" t="s">
        <v>110</v>
      </c>
      <c r="O77" s="1" t="s">
        <v>110</v>
      </c>
      <c r="P77" s="1" t="s">
        <v>110</v>
      </c>
      <c r="Q77" s="5">
        <v>45439</v>
      </c>
      <c r="R77" s="1" t="s">
        <v>641</v>
      </c>
      <c r="S77" s="1" t="s">
        <v>644</v>
      </c>
      <c r="T77" s="5">
        <v>45439</v>
      </c>
      <c r="U77" s="5">
        <v>45447</v>
      </c>
      <c r="V77" s="1" t="s">
        <v>2147</v>
      </c>
      <c r="W77" s="4">
        <v>1</v>
      </c>
      <c r="X77" s="6">
        <v>3233500</v>
      </c>
      <c r="Y77" s="6">
        <v>3233500</v>
      </c>
      <c r="Z77" s="1">
        <v>1</v>
      </c>
      <c r="AA77" s="6">
        <v>3233500</v>
      </c>
      <c r="AB77" s="1" t="s">
        <v>2167</v>
      </c>
      <c r="AC77" s="6">
        <v>16167.5</v>
      </c>
      <c r="AD77" s="1" t="s">
        <v>1100</v>
      </c>
      <c r="AE77" s="1" t="s">
        <v>2094</v>
      </c>
      <c r="AF77" s="1" t="s">
        <v>1186</v>
      </c>
      <c r="AG77" s="1" t="s">
        <v>1522</v>
      </c>
      <c r="AH77" s="6">
        <v>3226603.91</v>
      </c>
      <c r="AI77" s="6">
        <v>3226603.91</v>
      </c>
      <c r="AJ77" s="1" t="s">
        <v>2112</v>
      </c>
      <c r="AK77" s="6">
        <v>6896.089999999851</v>
      </c>
      <c r="AL77" s="6">
        <v>2.1327014071439157E-3</v>
      </c>
      <c r="AM77" s="1" t="s">
        <v>2112</v>
      </c>
      <c r="AN77" s="1" t="s">
        <v>821</v>
      </c>
      <c r="AO77" s="1" t="s">
        <v>1096</v>
      </c>
      <c r="AP77" s="1" t="s">
        <v>873</v>
      </c>
      <c r="AQ77" s="6">
        <v>6896.089999999851</v>
      </c>
      <c r="AR77" s="6">
        <v>2.1327014071439157E-3</v>
      </c>
      <c r="AS77" s="2"/>
      <c r="AT77" s="7">
        <v>45453.573893496781</v>
      </c>
      <c r="AU77" s="1" t="s">
        <v>651</v>
      </c>
      <c r="AV77" s="1" t="s">
        <v>658</v>
      </c>
      <c r="AW77" s="1" t="s">
        <v>2151</v>
      </c>
      <c r="AX77" s="7">
        <v>45460.573800794875</v>
      </c>
      <c r="AY77" s="1" t="s">
        <v>903</v>
      </c>
      <c r="AZ77" s="6">
        <v>3226603.91</v>
      </c>
      <c r="BA77" s="1"/>
      <c r="BB77" s="5">
        <v>45627</v>
      </c>
      <c r="BC77" s="5">
        <v>45460</v>
      </c>
      <c r="BD77" s="5">
        <v>45460</v>
      </c>
      <c r="BE77" s="7">
        <v>45483</v>
      </c>
      <c r="BF77" s="1" t="s">
        <v>2170</v>
      </c>
      <c r="BG77" s="1"/>
      <c r="BH77" s="1" t="s">
        <v>2111</v>
      </c>
      <c r="BI77" s="1" t="s">
        <v>822</v>
      </c>
    </row>
    <row r="78" spans="1:61" x14ac:dyDescent="0.25">
      <c r="A78" s="4">
        <v>73</v>
      </c>
      <c r="B78" s="2" t="str">
        <f>HYPERLINK("https://my.zakupivli.pro/remote/dispatcher/state_purchase_view/51228078", "UA-2024-05-24-008458-a")</f>
        <v>UA-2024-05-24-008458-a</v>
      </c>
      <c r="C78" s="2" t="str">
        <f>HYPERLINK("https://my.zakupivli.pro/remote/dispatcher/state_purchase_lot_view/1293621", "UA-2024-05-24-008458-a-L1")</f>
        <v>UA-2024-05-24-008458-a-L1</v>
      </c>
      <c r="D78" s="1" t="s">
        <v>1866</v>
      </c>
      <c r="E78" s="1" t="s">
        <v>1865</v>
      </c>
      <c r="F78" s="1" t="s">
        <v>603</v>
      </c>
      <c r="G78" s="1" t="s">
        <v>1075</v>
      </c>
      <c r="H78" s="1" t="s">
        <v>1185</v>
      </c>
      <c r="I78" s="1" t="s">
        <v>2094</v>
      </c>
      <c r="J78" s="1" t="s">
        <v>1145</v>
      </c>
      <c r="K78" s="1" t="s">
        <v>947</v>
      </c>
      <c r="L78" s="1" t="s">
        <v>1533</v>
      </c>
      <c r="M78" s="1" t="s">
        <v>1533</v>
      </c>
      <c r="N78" s="1" t="s">
        <v>110</v>
      </c>
      <c r="O78" s="1" t="s">
        <v>110</v>
      </c>
      <c r="P78" s="1" t="s">
        <v>110</v>
      </c>
      <c r="Q78" s="5">
        <v>45436</v>
      </c>
      <c r="R78" s="1" t="s">
        <v>639</v>
      </c>
      <c r="S78" s="1" t="s">
        <v>643</v>
      </c>
      <c r="T78" s="5">
        <v>45436</v>
      </c>
      <c r="U78" s="5">
        <v>45446</v>
      </c>
      <c r="V78" s="1" t="s">
        <v>2147</v>
      </c>
      <c r="W78" s="4">
        <v>1</v>
      </c>
      <c r="X78" s="6">
        <v>1146681</v>
      </c>
      <c r="Y78" s="6">
        <v>1146681</v>
      </c>
      <c r="Z78" s="1">
        <v>1</v>
      </c>
      <c r="AA78" s="6">
        <v>1146681</v>
      </c>
      <c r="AB78" s="1" t="s">
        <v>2167</v>
      </c>
      <c r="AC78" s="6">
        <v>5733.41</v>
      </c>
      <c r="AD78" s="1" t="s">
        <v>1100</v>
      </c>
      <c r="AE78" s="1" t="s">
        <v>2094</v>
      </c>
      <c r="AF78" s="1" t="s">
        <v>1186</v>
      </c>
      <c r="AG78" s="1" t="s">
        <v>1522</v>
      </c>
      <c r="AH78" s="6">
        <v>1146681</v>
      </c>
      <c r="AI78" s="6">
        <v>1146681</v>
      </c>
      <c r="AJ78" s="1" t="s">
        <v>2032</v>
      </c>
      <c r="AK78" s="1"/>
      <c r="AL78" s="1"/>
      <c r="AM78" s="1" t="s">
        <v>2032</v>
      </c>
      <c r="AN78" s="1" t="s">
        <v>968</v>
      </c>
      <c r="AO78" s="1" t="s">
        <v>1106</v>
      </c>
      <c r="AP78" s="1" t="s">
        <v>55</v>
      </c>
      <c r="AQ78" s="1"/>
      <c r="AR78" s="1"/>
      <c r="AS78" s="2"/>
      <c r="AT78" s="7">
        <v>45446.708855319783</v>
      </c>
      <c r="AU78" s="1" t="s">
        <v>647</v>
      </c>
      <c r="AV78" s="1" t="s">
        <v>654</v>
      </c>
      <c r="AW78" s="1" t="s">
        <v>2151</v>
      </c>
      <c r="AX78" s="7">
        <v>45453.49766323201</v>
      </c>
      <c r="AY78" s="1" t="s">
        <v>812</v>
      </c>
      <c r="AZ78" s="6">
        <v>1146681</v>
      </c>
      <c r="BA78" s="1"/>
      <c r="BB78" s="5">
        <v>45657</v>
      </c>
      <c r="BC78" s="5">
        <v>45453</v>
      </c>
      <c r="BD78" s="5">
        <v>45453</v>
      </c>
      <c r="BE78" s="7">
        <v>45657</v>
      </c>
      <c r="BF78" s="1" t="s">
        <v>2170</v>
      </c>
      <c r="BG78" s="1"/>
      <c r="BH78" s="1"/>
      <c r="BI78" s="1" t="s">
        <v>969</v>
      </c>
    </row>
    <row r="79" spans="1:61" x14ac:dyDescent="0.25">
      <c r="A79" s="4">
        <v>74</v>
      </c>
      <c r="B79" s="2" t="str">
        <f>HYPERLINK("https://my.zakupivli.pro/remote/dispatcher/state_purchase_view/51138321", "UA-2024-05-21-008416-a")</f>
        <v>UA-2024-05-21-008416-a</v>
      </c>
      <c r="C79" s="2" t="str">
        <f>HYPERLINK("https://my.zakupivli.pro/remote/dispatcher/state_purchase_lot_view/1289927", "UA-2024-05-21-008416-a-L1")</f>
        <v>UA-2024-05-21-008416-a-L1</v>
      </c>
      <c r="D79" s="1" t="s">
        <v>1368</v>
      </c>
      <c r="E79" s="1" t="s">
        <v>1367</v>
      </c>
      <c r="F79" s="1" t="s">
        <v>603</v>
      </c>
      <c r="G79" s="1" t="s">
        <v>975</v>
      </c>
      <c r="H79" s="1" t="s">
        <v>2015</v>
      </c>
      <c r="I79" s="1" t="s">
        <v>2094</v>
      </c>
      <c r="J79" s="1" t="s">
        <v>1145</v>
      </c>
      <c r="K79" s="1" t="s">
        <v>947</v>
      </c>
      <c r="L79" s="1" t="s">
        <v>1533</v>
      </c>
      <c r="M79" s="1" t="s">
        <v>1533</v>
      </c>
      <c r="N79" s="1" t="s">
        <v>110</v>
      </c>
      <c r="O79" s="1" t="s">
        <v>110</v>
      </c>
      <c r="P79" s="1" t="s">
        <v>110</v>
      </c>
      <c r="Q79" s="5">
        <v>45433</v>
      </c>
      <c r="R79" s="1" t="s">
        <v>637</v>
      </c>
      <c r="S79" s="1" t="s">
        <v>641</v>
      </c>
      <c r="T79" s="5">
        <v>45439</v>
      </c>
      <c r="U79" s="5">
        <v>45443</v>
      </c>
      <c r="V79" s="1" t="s">
        <v>2147</v>
      </c>
      <c r="W79" s="4">
        <v>1</v>
      </c>
      <c r="X79" s="6">
        <v>176850</v>
      </c>
      <c r="Y79" s="6">
        <v>176850</v>
      </c>
      <c r="Z79" s="1">
        <v>1</v>
      </c>
      <c r="AA79" s="6">
        <v>176850</v>
      </c>
      <c r="AB79" s="1" t="s">
        <v>2167</v>
      </c>
      <c r="AC79" s="6">
        <v>884.25</v>
      </c>
      <c r="AD79" s="1" t="s">
        <v>1100</v>
      </c>
      <c r="AE79" s="1" t="s">
        <v>2094</v>
      </c>
      <c r="AF79" s="1" t="s">
        <v>1186</v>
      </c>
      <c r="AG79" s="1" t="s">
        <v>1522</v>
      </c>
      <c r="AH79" s="6">
        <v>175266.53</v>
      </c>
      <c r="AI79" s="6">
        <v>175266.53</v>
      </c>
      <c r="AJ79" s="1" t="s">
        <v>2045</v>
      </c>
      <c r="AK79" s="6">
        <v>1583.4700000000012</v>
      </c>
      <c r="AL79" s="6">
        <v>8.953746112524745E-3</v>
      </c>
      <c r="AM79" s="1" t="s">
        <v>2045</v>
      </c>
      <c r="AN79" s="1" t="s">
        <v>926</v>
      </c>
      <c r="AO79" s="1" t="s">
        <v>1102</v>
      </c>
      <c r="AP79" s="1" t="s">
        <v>96</v>
      </c>
      <c r="AQ79" s="6">
        <v>1583.4700000000012</v>
      </c>
      <c r="AR79" s="6">
        <v>8.953746112524745E-3</v>
      </c>
      <c r="AS79" s="2"/>
      <c r="AT79" s="7">
        <v>45448.699029996293</v>
      </c>
      <c r="AU79" s="1" t="s">
        <v>646</v>
      </c>
      <c r="AV79" s="1" t="s">
        <v>657</v>
      </c>
      <c r="AW79" s="1" t="s">
        <v>2151</v>
      </c>
      <c r="AX79" s="7">
        <v>45453.512898522036</v>
      </c>
      <c r="AY79" s="1" t="s">
        <v>825</v>
      </c>
      <c r="AZ79" s="6">
        <v>175266.53</v>
      </c>
      <c r="BA79" s="1"/>
      <c r="BB79" s="5">
        <v>45627</v>
      </c>
      <c r="BC79" s="5">
        <v>45453</v>
      </c>
      <c r="BD79" s="5">
        <v>45453</v>
      </c>
      <c r="BE79" s="7">
        <v>45657</v>
      </c>
      <c r="BF79" s="1" t="s">
        <v>2170</v>
      </c>
      <c r="BG79" s="1"/>
      <c r="BH79" s="1"/>
      <c r="BI79" s="1" t="s">
        <v>927</v>
      </c>
    </row>
    <row r="80" spans="1:61" x14ac:dyDescent="0.25">
      <c r="A80" s="4">
        <v>75</v>
      </c>
      <c r="B80" s="2" t="str">
        <f>HYPERLINK("https://my.zakupivli.pro/remote/dispatcher/state_purchase_view/51117823", "UA-2024-05-20-011872-a")</f>
        <v>UA-2024-05-20-011872-a</v>
      </c>
      <c r="C80" s="2" t="str">
        <f>HYPERLINK("https://my.zakupivli.pro/remote/dispatcher/state_purchase_lot_view/1289180", "UA-2024-05-20-011872-a-L1")</f>
        <v>UA-2024-05-20-011872-a-L1</v>
      </c>
      <c r="D80" s="1" t="s">
        <v>1248</v>
      </c>
      <c r="E80" s="1" t="s">
        <v>1247</v>
      </c>
      <c r="F80" s="1" t="s">
        <v>603</v>
      </c>
      <c r="G80" s="1" t="s">
        <v>975</v>
      </c>
      <c r="H80" s="1" t="s">
        <v>1185</v>
      </c>
      <c r="I80" s="1" t="s">
        <v>2094</v>
      </c>
      <c r="J80" s="1" t="s">
        <v>1145</v>
      </c>
      <c r="K80" s="1" t="s">
        <v>947</v>
      </c>
      <c r="L80" s="1" t="s">
        <v>1533</v>
      </c>
      <c r="M80" s="1" t="s">
        <v>1533</v>
      </c>
      <c r="N80" s="1" t="s">
        <v>110</v>
      </c>
      <c r="O80" s="1" t="s">
        <v>110</v>
      </c>
      <c r="P80" s="1" t="s">
        <v>110</v>
      </c>
      <c r="Q80" s="5">
        <v>45432</v>
      </c>
      <c r="R80" s="1" t="s">
        <v>636</v>
      </c>
      <c r="S80" s="1" t="s">
        <v>640</v>
      </c>
      <c r="T80" s="5">
        <v>45432</v>
      </c>
      <c r="U80" s="5">
        <v>45440</v>
      </c>
      <c r="V80" s="1" t="s">
        <v>2147</v>
      </c>
      <c r="W80" s="4">
        <v>1</v>
      </c>
      <c r="X80" s="6">
        <v>879141</v>
      </c>
      <c r="Y80" s="6">
        <v>879141</v>
      </c>
      <c r="Z80" s="1">
        <v>1</v>
      </c>
      <c r="AA80" s="6">
        <v>879141</v>
      </c>
      <c r="AB80" s="1" t="s">
        <v>2167</v>
      </c>
      <c r="AC80" s="6">
        <v>4395.71</v>
      </c>
      <c r="AD80" s="1" t="s">
        <v>1100</v>
      </c>
      <c r="AE80" s="1" t="s">
        <v>2094</v>
      </c>
      <c r="AF80" s="1" t="s">
        <v>1186</v>
      </c>
      <c r="AG80" s="1" t="s">
        <v>1522</v>
      </c>
      <c r="AH80" s="6">
        <v>872418.76</v>
      </c>
      <c r="AI80" s="6">
        <v>872418.76</v>
      </c>
      <c r="AJ80" s="1" t="s">
        <v>2045</v>
      </c>
      <c r="AK80" s="6">
        <v>6722.2399999999907</v>
      </c>
      <c r="AL80" s="6">
        <v>7.6463729936380974E-3</v>
      </c>
      <c r="AM80" s="1"/>
      <c r="AN80" s="1"/>
      <c r="AO80" s="1"/>
      <c r="AP80" s="1"/>
      <c r="AQ80" s="1"/>
      <c r="AR80" s="1"/>
      <c r="AS80" s="2"/>
      <c r="AT80" s="7">
        <v>45441.492152448809</v>
      </c>
      <c r="AU80" s="1"/>
      <c r="AV80" s="1"/>
      <c r="AW80" s="1" t="s">
        <v>2153</v>
      </c>
      <c r="AX80" s="7">
        <v>45447.001308492036</v>
      </c>
      <c r="AY80" s="1"/>
      <c r="AZ80" s="1"/>
      <c r="BA80" s="1"/>
      <c r="BB80" s="5">
        <v>45627</v>
      </c>
      <c r="BC80" s="1" t="s">
        <v>109</v>
      </c>
      <c r="BD80" s="1" t="s">
        <v>109</v>
      </c>
      <c r="BE80" s="1"/>
      <c r="BF80" s="1"/>
      <c r="BG80" s="1"/>
      <c r="BH80" s="1"/>
      <c r="BI80" s="1" t="s">
        <v>927</v>
      </c>
    </row>
    <row r="81" spans="1:61" x14ac:dyDescent="0.25">
      <c r="A81" s="4">
        <v>76</v>
      </c>
      <c r="B81" s="2" t="str">
        <f>HYPERLINK("https://my.zakupivli.pro/remote/dispatcher/state_purchase_view/51113763", "UA-2024-05-20-010101-a")</f>
        <v>UA-2024-05-20-010101-a</v>
      </c>
      <c r="C81" s="2" t="str">
        <f>HYPERLINK("https://my.zakupivli.pro/remote/dispatcher/state_purchase_lot_view/1288932", "UA-2024-05-20-010101-a-L1")</f>
        <v>UA-2024-05-20-010101-a-L1</v>
      </c>
      <c r="D81" s="1" t="s">
        <v>1371</v>
      </c>
      <c r="E81" s="1" t="s">
        <v>1369</v>
      </c>
      <c r="F81" s="1" t="s">
        <v>603</v>
      </c>
      <c r="G81" s="1" t="s">
        <v>975</v>
      </c>
      <c r="H81" s="1" t="s">
        <v>1185</v>
      </c>
      <c r="I81" s="1" t="s">
        <v>2094</v>
      </c>
      <c r="J81" s="1" t="s">
        <v>1145</v>
      </c>
      <c r="K81" s="1" t="s">
        <v>947</v>
      </c>
      <c r="L81" s="1" t="s">
        <v>1533</v>
      </c>
      <c r="M81" s="1" t="s">
        <v>1533</v>
      </c>
      <c r="N81" s="1" t="s">
        <v>110</v>
      </c>
      <c r="O81" s="1" t="s">
        <v>110</v>
      </c>
      <c r="P81" s="1" t="s">
        <v>110</v>
      </c>
      <c r="Q81" s="5">
        <v>45432</v>
      </c>
      <c r="R81" s="1" t="s">
        <v>636</v>
      </c>
      <c r="S81" s="1" t="s">
        <v>640</v>
      </c>
      <c r="T81" s="5">
        <v>45432</v>
      </c>
      <c r="U81" s="5">
        <v>45440</v>
      </c>
      <c r="V81" s="1" t="s">
        <v>2147</v>
      </c>
      <c r="W81" s="4">
        <v>1</v>
      </c>
      <c r="X81" s="6">
        <v>727050</v>
      </c>
      <c r="Y81" s="6">
        <v>727050</v>
      </c>
      <c r="Z81" s="1">
        <v>1</v>
      </c>
      <c r="AA81" s="6">
        <v>727050</v>
      </c>
      <c r="AB81" s="1" t="s">
        <v>2167</v>
      </c>
      <c r="AC81" s="6">
        <v>3635.25</v>
      </c>
      <c r="AD81" s="1" t="s">
        <v>1100</v>
      </c>
      <c r="AE81" s="1" t="s">
        <v>2094</v>
      </c>
      <c r="AF81" s="1" t="s">
        <v>1186</v>
      </c>
      <c r="AG81" s="1" t="s">
        <v>1522</v>
      </c>
      <c r="AH81" s="6">
        <v>721498.12</v>
      </c>
      <c r="AI81" s="6">
        <v>721498.12</v>
      </c>
      <c r="AJ81" s="1" t="s">
        <v>2045</v>
      </c>
      <c r="AK81" s="6">
        <v>5551.8800000000047</v>
      </c>
      <c r="AL81" s="6">
        <v>7.6361735781583177E-3</v>
      </c>
      <c r="AM81" s="1"/>
      <c r="AN81" s="1"/>
      <c r="AO81" s="1"/>
      <c r="AP81" s="1"/>
      <c r="AQ81" s="1"/>
      <c r="AR81" s="1"/>
      <c r="AS81" s="2"/>
      <c r="AT81" s="7">
        <v>45441.443860670821</v>
      </c>
      <c r="AU81" s="1"/>
      <c r="AV81" s="1"/>
      <c r="AW81" s="1" t="s">
        <v>2153</v>
      </c>
      <c r="AX81" s="7">
        <v>45447.000533588551</v>
      </c>
      <c r="AY81" s="1"/>
      <c r="AZ81" s="1"/>
      <c r="BA81" s="1"/>
      <c r="BB81" s="5">
        <v>45627</v>
      </c>
      <c r="BC81" s="1" t="s">
        <v>109</v>
      </c>
      <c r="BD81" s="1" t="s">
        <v>109</v>
      </c>
      <c r="BE81" s="1"/>
      <c r="BF81" s="1"/>
      <c r="BG81" s="1"/>
      <c r="BH81" s="1"/>
      <c r="BI81" s="1" t="s">
        <v>927</v>
      </c>
    </row>
    <row r="82" spans="1:61" x14ac:dyDescent="0.25">
      <c r="A82" s="4">
        <v>77</v>
      </c>
      <c r="B82" s="2" t="str">
        <f>HYPERLINK("https://my.zakupivli.pro/remote/dispatcher/state_purchase_view/51115562", "UA-2024-05-20-010833-a")</f>
        <v>UA-2024-05-20-010833-a</v>
      </c>
      <c r="C82" s="2" t="str">
        <f>HYPERLINK("https://my.zakupivli.pro/remote/dispatcher/state_purchase_lot_view/1289007", "UA-2024-05-20-010833-a-L1")</f>
        <v>UA-2024-05-20-010833-a-L1</v>
      </c>
      <c r="D82" s="1" t="s">
        <v>1362</v>
      </c>
      <c r="E82" s="1" t="s">
        <v>1361</v>
      </c>
      <c r="F82" s="1" t="s">
        <v>603</v>
      </c>
      <c r="G82" s="1" t="s">
        <v>975</v>
      </c>
      <c r="H82" s="1" t="s">
        <v>1185</v>
      </c>
      <c r="I82" s="1" t="s">
        <v>2094</v>
      </c>
      <c r="J82" s="1" t="s">
        <v>1145</v>
      </c>
      <c r="K82" s="1" t="s">
        <v>947</v>
      </c>
      <c r="L82" s="1" t="s">
        <v>1533</v>
      </c>
      <c r="M82" s="1" t="s">
        <v>1533</v>
      </c>
      <c r="N82" s="1" t="s">
        <v>110</v>
      </c>
      <c r="O82" s="1" t="s">
        <v>110</v>
      </c>
      <c r="P82" s="1" t="s">
        <v>110</v>
      </c>
      <c r="Q82" s="5">
        <v>45432</v>
      </c>
      <c r="R82" s="1" t="s">
        <v>636</v>
      </c>
      <c r="S82" s="1" t="s">
        <v>640</v>
      </c>
      <c r="T82" s="5">
        <v>45432</v>
      </c>
      <c r="U82" s="5">
        <v>45440</v>
      </c>
      <c r="V82" s="1" t="s">
        <v>2147</v>
      </c>
      <c r="W82" s="4">
        <v>1</v>
      </c>
      <c r="X82" s="6">
        <v>244760</v>
      </c>
      <c r="Y82" s="6">
        <v>244760</v>
      </c>
      <c r="Z82" s="1">
        <v>1</v>
      </c>
      <c r="AA82" s="6">
        <v>244760</v>
      </c>
      <c r="AB82" s="1" t="s">
        <v>2167</v>
      </c>
      <c r="AC82" s="6">
        <v>1223.8</v>
      </c>
      <c r="AD82" s="1" t="s">
        <v>1100</v>
      </c>
      <c r="AE82" s="1" t="s">
        <v>2094</v>
      </c>
      <c r="AF82" s="1" t="s">
        <v>1186</v>
      </c>
      <c r="AG82" s="1" t="s">
        <v>1522</v>
      </c>
      <c r="AH82" s="6">
        <v>242799.06</v>
      </c>
      <c r="AI82" s="6">
        <v>242799.06</v>
      </c>
      <c r="AJ82" s="1" t="s">
        <v>2045</v>
      </c>
      <c r="AK82" s="6">
        <v>1960.9400000000023</v>
      </c>
      <c r="AL82" s="6">
        <v>8.0116849158359312E-3</v>
      </c>
      <c r="AM82" s="1"/>
      <c r="AN82" s="1"/>
      <c r="AO82" s="1"/>
      <c r="AP82" s="1"/>
      <c r="AQ82" s="1"/>
      <c r="AR82" s="1"/>
      <c r="AS82" s="2"/>
      <c r="AT82" s="7">
        <v>45441.465713903934</v>
      </c>
      <c r="AU82" s="1"/>
      <c r="AV82" s="1"/>
      <c r="AW82" s="1" t="s">
        <v>2153</v>
      </c>
      <c r="AX82" s="7">
        <v>45447.001980023844</v>
      </c>
      <c r="AY82" s="1"/>
      <c r="AZ82" s="1"/>
      <c r="BA82" s="1"/>
      <c r="BB82" s="5">
        <v>45627</v>
      </c>
      <c r="BC82" s="1" t="s">
        <v>109</v>
      </c>
      <c r="BD82" s="1" t="s">
        <v>109</v>
      </c>
      <c r="BE82" s="1"/>
      <c r="BF82" s="1"/>
      <c r="BG82" s="1"/>
      <c r="BH82" s="1"/>
      <c r="BI82" s="1" t="s">
        <v>927</v>
      </c>
    </row>
    <row r="83" spans="1:61" x14ac:dyDescent="0.25">
      <c r="A83" s="4">
        <v>78</v>
      </c>
      <c r="B83" s="2" t="str">
        <f>HYPERLINK("https://my.zakupivli.pro/remote/dispatcher/state_purchase_view/51115871", "UA-2024-05-20-011070-a")</f>
        <v>UA-2024-05-20-011070-a</v>
      </c>
      <c r="C83" s="2" t="str">
        <f>HYPERLINK("https://my.zakupivli.pro/remote/dispatcher/state_purchase_lot_view/1289036", "UA-2024-05-20-011070-a-L1")</f>
        <v>UA-2024-05-20-011070-a-L1</v>
      </c>
      <c r="D83" s="1" t="s">
        <v>1365</v>
      </c>
      <c r="E83" s="1" t="s">
        <v>1364</v>
      </c>
      <c r="F83" s="1" t="s">
        <v>603</v>
      </c>
      <c r="G83" s="1" t="s">
        <v>975</v>
      </c>
      <c r="H83" s="1" t="s">
        <v>1185</v>
      </c>
      <c r="I83" s="1" t="s">
        <v>2094</v>
      </c>
      <c r="J83" s="1" t="s">
        <v>1145</v>
      </c>
      <c r="K83" s="1" t="s">
        <v>947</v>
      </c>
      <c r="L83" s="1" t="s">
        <v>1533</v>
      </c>
      <c r="M83" s="1" t="s">
        <v>1533</v>
      </c>
      <c r="N83" s="1" t="s">
        <v>110</v>
      </c>
      <c r="O83" s="1" t="s">
        <v>110</v>
      </c>
      <c r="P83" s="1" t="s">
        <v>110</v>
      </c>
      <c r="Q83" s="5">
        <v>45432</v>
      </c>
      <c r="R83" s="1" t="s">
        <v>636</v>
      </c>
      <c r="S83" s="1" t="s">
        <v>640</v>
      </c>
      <c r="T83" s="5">
        <v>45432</v>
      </c>
      <c r="U83" s="5">
        <v>45440</v>
      </c>
      <c r="V83" s="1" t="s">
        <v>2147</v>
      </c>
      <c r="W83" s="4">
        <v>1</v>
      </c>
      <c r="X83" s="6">
        <v>746189</v>
      </c>
      <c r="Y83" s="6">
        <v>746189</v>
      </c>
      <c r="Z83" s="1">
        <v>1</v>
      </c>
      <c r="AA83" s="6">
        <v>746189</v>
      </c>
      <c r="AB83" s="1" t="s">
        <v>2167</v>
      </c>
      <c r="AC83" s="6">
        <v>3730.95</v>
      </c>
      <c r="AD83" s="1" t="s">
        <v>1100</v>
      </c>
      <c r="AE83" s="1" t="s">
        <v>2094</v>
      </c>
      <c r="AF83" s="1" t="s">
        <v>1186</v>
      </c>
      <c r="AG83" s="1" t="s">
        <v>1522</v>
      </c>
      <c r="AH83" s="6">
        <v>740447.45</v>
      </c>
      <c r="AI83" s="6">
        <v>740447.45</v>
      </c>
      <c r="AJ83" s="1" t="s">
        <v>2045</v>
      </c>
      <c r="AK83" s="6">
        <v>5741.5500000000466</v>
      </c>
      <c r="AL83" s="6">
        <v>7.6944983107497516E-3</v>
      </c>
      <c r="AM83" s="1"/>
      <c r="AN83" s="1"/>
      <c r="AO83" s="1"/>
      <c r="AP83" s="1"/>
      <c r="AQ83" s="1"/>
      <c r="AR83" s="1"/>
      <c r="AS83" s="2"/>
      <c r="AT83" s="7">
        <v>45441.48455648918</v>
      </c>
      <c r="AU83" s="1"/>
      <c r="AV83" s="1"/>
      <c r="AW83" s="1" t="s">
        <v>2153</v>
      </c>
      <c r="AX83" s="7">
        <v>45447.003067807927</v>
      </c>
      <c r="AY83" s="1"/>
      <c r="AZ83" s="1"/>
      <c r="BA83" s="1"/>
      <c r="BB83" s="5">
        <v>45627</v>
      </c>
      <c r="BC83" s="1" t="s">
        <v>109</v>
      </c>
      <c r="BD83" s="1" t="s">
        <v>109</v>
      </c>
      <c r="BE83" s="1"/>
      <c r="BF83" s="1"/>
      <c r="BG83" s="1"/>
      <c r="BH83" s="1"/>
      <c r="BI83" s="1" t="s">
        <v>927</v>
      </c>
    </row>
    <row r="84" spans="1:61" x14ac:dyDescent="0.25">
      <c r="A84" s="4">
        <v>79</v>
      </c>
      <c r="B84" s="2" t="str">
        <f>HYPERLINK("https://my.zakupivli.pro/remote/dispatcher/state_purchase_view/51116858", "UA-2024-05-20-011434-a")</f>
        <v>UA-2024-05-20-011434-a</v>
      </c>
      <c r="C84" s="2" t="str">
        <f>HYPERLINK("https://my.zakupivli.pro/remote/dispatcher/state_purchase_lot_view/1289077", "UA-2024-05-20-011434-a-L1")</f>
        <v>UA-2024-05-20-011434-a-L1</v>
      </c>
      <c r="D84" s="1" t="s">
        <v>1357</v>
      </c>
      <c r="E84" s="1" t="s">
        <v>1356</v>
      </c>
      <c r="F84" s="1" t="s">
        <v>603</v>
      </c>
      <c r="G84" s="1" t="s">
        <v>975</v>
      </c>
      <c r="H84" s="1" t="s">
        <v>1185</v>
      </c>
      <c r="I84" s="1" t="s">
        <v>2094</v>
      </c>
      <c r="J84" s="1" t="s">
        <v>1145</v>
      </c>
      <c r="K84" s="1" t="s">
        <v>947</v>
      </c>
      <c r="L84" s="1" t="s">
        <v>1533</v>
      </c>
      <c r="M84" s="1" t="s">
        <v>1533</v>
      </c>
      <c r="N84" s="1" t="s">
        <v>110</v>
      </c>
      <c r="O84" s="1" t="s">
        <v>110</v>
      </c>
      <c r="P84" s="1" t="s">
        <v>110</v>
      </c>
      <c r="Q84" s="5">
        <v>45432</v>
      </c>
      <c r="R84" s="1" t="s">
        <v>636</v>
      </c>
      <c r="S84" s="1" t="s">
        <v>640</v>
      </c>
      <c r="T84" s="5">
        <v>45432</v>
      </c>
      <c r="U84" s="5">
        <v>45440</v>
      </c>
      <c r="V84" s="1" t="s">
        <v>2147</v>
      </c>
      <c r="W84" s="4">
        <v>1</v>
      </c>
      <c r="X84" s="6">
        <v>733731</v>
      </c>
      <c r="Y84" s="6">
        <v>733731</v>
      </c>
      <c r="Z84" s="1">
        <v>1</v>
      </c>
      <c r="AA84" s="6">
        <v>733731</v>
      </c>
      <c r="AB84" s="1" t="s">
        <v>2167</v>
      </c>
      <c r="AC84" s="6">
        <v>3668.66</v>
      </c>
      <c r="AD84" s="1" t="s">
        <v>1100</v>
      </c>
      <c r="AE84" s="1" t="s">
        <v>2094</v>
      </c>
      <c r="AF84" s="1" t="s">
        <v>1186</v>
      </c>
      <c r="AG84" s="1" t="s">
        <v>1522</v>
      </c>
      <c r="AH84" s="6">
        <v>728060.14</v>
      </c>
      <c r="AI84" s="6">
        <v>728060.14</v>
      </c>
      <c r="AJ84" s="1" t="s">
        <v>2045</v>
      </c>
      <c r="AK84" s="6">
        <v>5670.859999999986</v>
      </c>
      <c r="AL84" s="6">
        <v>7.7287997917492735E-3</v>
      </c>
      <c r="AM84" s="1"/>
      <c r="AN84" s="1"/>
      <c r="AO84" s="1"/>
      <c r="AP84" s="1"/>
      <c r="AQ84" s="1"/>
      <c r="AR84" s="1"/>
      <c r="AS84" s="2"/>
      <c r="AT84" s="7">
        <v>45441.479453889988</v>
      </c>
      <c r="AU84" s="1"/>
      <c r="AV84" s="1"/>
      <c r="AW84" s="1" t="s">
        <v>2153</v>
      </c>
      <c r="AX84" s="7">
        <v>45447.002813193001</v>
      </c>
      <c r="AY84" s="1"/>
      <c r="AZ84" s="1"/>
      <c r="BA84" s="1"/>
      <c r="BB84" s="5">
        <v>45627</v>
      </c>
      <c r="BC84" s="1" t="s">
        <v>109</v>
      </c>
      <c r="BD84" s="1" t="s">
        <v>109</v>
      </c>
      <c r="BE84" s="1"/>
      <c r="BF84" s="1"/>
      <c r="BG84" s="1"/>
      <c r="BH84" s="1"/>
      <c r="BI84" s="1" t="s">
        <v>927</v>
      </c>
    </row>
    <row r="85" spans="1:61" x14ac:dyDescent="0.25">
      <c r="A85" s="4">
        <v>80</v>
      </c>
      <c r="B85" s="2" t="str">
        <f>HYPERLINK("https://my.zakupivli.pro/remote/dispatcher/state_purchase_view/51117353", "UA-2024-05-20-011653-a")</f>
        <v>UA-2024-05-20-011653-a</v>
      </c>
      <c r="C85" s="2" t="str">
        <f>HYPERLINK("https://my.zakupivli.pro/remote/dispatcher/state_purchase_lot_view/1289123", "UA-2024-05-20-011653-a-L1")</f>
        <v>UA-2024-05-20-011653-a-L1</v>
      </c>
      <c r="D85" s="1" t="s">
        <v>1255</v>
      </c>
      <c r="E85" s="1" t="s">
        <v>1253</v>
      </c>
      <c r="F85" s="1" t="s">
        <v>603</v>
      </c>
      <c r="G85" s="1" t="s">
        <v>975</v>
      </c>
      <c r="H85" s="1" t="s">
        <v>1185</v>
      </c>
      <c r="I85" s="1" t="s">
        <v>2094</v>
      </c>
      <c r="J85" s="1" t="s">
        <v>1145</v>
      </c>
      <c r="K85" s="1" t="s">
        <v>947</v>
      </c>
      <c r="L85" s="1" t="s">
        <v>1533</v>
      </c>
      <c r="M85" s="1" t="s">
        <v>1533</v>
      </c>
      <c r="N85" s="1" t="s">
        <v>110</v>
      </c>
      <c r="O85" s="1" t="s">
        <v>110</v>
      </c>
      <c r="P85" s="1" t="s">
        <v>110</v>
      </c>
      <c r="Q85" s="5">
        <v>45432</v>
      </c>
      <c r="R85" s="1" t="s">
        <v>636</v>
      </c>
      <c r="S85" s="1" t="s">
        <v>640</v>
      </c>
      <c r="T85" s="5">
        <v>45432</v>
      </c>
      <c r="U85" s="5">
        <v>45440</v>
      </c>
      <c r="V85" s="1" t="s">
        <v>2147</v>
      </c>
      <c r="W85" s="4">
        <v>1</v>
      </c>
      <c r="X85" s="6">
        <v>415794</v>
      </c>
      <c r="Y85" s="6">
        <v>415794</v>
      </c>
      <c r="Z85" s="1">
        <v>1</v>
      </c>
      <c r="AA85" s="6">
        <v>415794</v>
      </c>
      <c r="AB85" s="1" t="s">
        <v>2167</v>
      </c>
      <c r="AC85" s="6">
        <v>2078.9699999999998</v>
      </c>
      <c r="AD85" s="1" t="s">
        <v>1100</v>
      </c>
      <c r="AE85" s="1" t="s">
        <v>2094</v>
      </c>
      <c r="AF85" s="1" t="s">
        <v>1186</v>
      </c>
      <c r="AG85" s="1" t="s">
        <v>1522</v>
      </c>
      <c r="AH85" s="6">
        <v>412616.68</v>
      </c>
      <c r="AI85" s="6">
        <v>412616.68</v>
      </c>
      <c r="AJ85" s="1" t="s">
        <v>2045</v>
      </c>
      <c r="AK85" s="6">
        <v>3177.320000000007</v>
      </c>
      <c r="AL85" s="6">
        <v>7.6415725094638376E-3</v>
      </c>
      <c r="AM85" s="1"/>
      <c r="AN85" s="1"/>
      <c r="AO85" s="1"/>
      <c r="AP85" s="1"/>
      <c r="AQ85" s="1"/>
      <c r="AR85" s="1"/>
      <c r="AS85" s="2"/>
      <c r="AT85" s="7">
        <v>45441.496681180732</v>
      </c>
      <c r="AU85" s="1"/>
      <c r="AV85" s="1"/>
      <c r="AW85" s="1" t="s">
        <v>2153</v>
      </c>
      <c r="AX85" s="7">
        <v>45447.001146777453</v>
      </c>
      <c r="AY85" s="1"/>
      <c r="AZ85" s="1"/>
      <c r="BA85" s="1"/>
      <c r="BB85" s="5">
        <v>45627</v>
      </c>
      <c r="BC85" s="1" t="s">
        <v>109</v>
      </c>
      <c r="BD85" s="1" t="s">
        <v>109</v>
      </c>
      <c r="BE85" s="1"/>
      <c r="BF85" s="1"/>
      <c r="BG85" s="1"/>
      <c r="BH85" s="1"/>
      <c r="BI85" s="1" t="s">
        <v>927</v>
      </c>
    </row>
    <row r="86" spans="1:61" x14ac:dyDescent="0.25">
      <c r="A86" s="4">
        <v>81</v>
      </c>
      <c r="B86" s="2" t="str">
        <f>HYPERLINK("https://my.zakupivli.pro/remote/dispatcher/state_purchase_view/51117614", "UA-2024-05-20-011789-a")</f>
        <v>UA-2024-05-20-011789-a</v>
      </c>
      <c r="C86" s="2" t="str">
        <f>HYPERLINK("https://my.zakupivli.pro/remote/dispatcher/state_purchase_lot_view/1289159", "UA-2024-05-20-011789-a-L1")</f>
        <v>UA-2024-05-20-011789-a-L1</v>
      </c>
      <c r="D86" s="1" t="s">
        <v>1250</v>
      </c>
      <c r="E86" s="1" t="s">
        <v>1249</v>
      </c>
      <c r="F86" s="1" t="s">
        <v>603</v>
      </c>
      <c r="G86" s="1" t="s">
        <v>975</v>
      </c>
      <c r="H86" s="1" t="s">
        <v>1185</v>
      </c>
      <c r="I86" s="1" t="s">
        <v>2094</v>
      </c>
      <c r="J86" s="1" t="s">
        <v>1145</v>
      </c>
      <c r="K86" s="1" t="s">
        <v>947</v>
      </c>
      <c r="L86" s="1" t="s">
        <v>1533</v>
      </c>
      <c r="M86" s="1" t="s">
        <v>1533</v>
      </c>
      <c r="N86" s="1" t="s">
        <v>110</v>
      </c>
      <c r="O86" s="1" t="s">
        <v>110</v>
      </c>
      <c r="P86" s="1" t="s">
        <v>110</v>
      </c>
      <c r="Q86" s="5">
        <v>45432</v>
      </c>
      <c r="R86" s="1" t="s">
        <v>636</v>
      </c>
      <c r="S86" s="1" t="s">
        <v>640</v>
      </c>
      <c r="T86" s="5">
        <v>45432</v>
      </c>
      <c r="U86" s="5">
        <v>45440</v>
      </c>
      <c r="V86" s="1" t="s">
        <v>2147</v>
      </c>
      <c r="W86" s="4">
        <v>1</v>
      </c>
      <c r="X86" s="6">
        <v>688339</v>
      </c>
      <c r="Y86" s="6">
        <v>688339</v>
      </c>
      <c r="Z86" s="1">
        <v>1</v>
      </c>
      <c r="AA86" s="6">
        <v>688339</v>
      </c>
      <c r="AB86" s="1" t="s">
        <v>2167</v>
      </c>
      <c r="AC86" s="6">
        <v>3441.7</v>
      </c>
      <c r="AD86" s="1" t="s">
        <v>1100</v>
      </c>
      <c r="AE86" s="1" t="s">
        <v>2094</v>
      </c>
      <c r="AF86" s="1" t="s">
        <v>1186</v>
      </c>
      <c r="AG86" s="1" t="s">
        <v>1522</v>
      </c>
      <c r="AH86" s="6">
        <v>682984.03</v>
      </c>
      <c r="AI86" s="6">
        <v>682984.03</v>
      </c>
      <c r="AJ86" s="1" t="s">
        <v>2045</v>
      </c>
      <c r="AK86" s="6">
        <v>5354.9699999999721</v>
      </c>
      <c r="AL86" s="6">
        <v>7.7795533886645561E-3</v>
      </c>
      <c r="AM86" s="1"/>
      <c r="AN86" s="1"/>
      <c r="AO86" s="1"/>
      <c r="AP86" s="1"/>
      <c r="AQ86" s="1"/>
      <c r="AR86" s="1"/>
      <c r="AS86" s="2"/>
      <c r="AT86" s="7">
        <v>45441.48842256498</v>
      </c>
      <c r="AU86" s="1"/>
      <c r="AV86" s="1"/>
      <c r="AW86" s="1" t="s">
        <v>2153</v>
      </c>
      <c r="AX86" s="7">
        <v>45447.001991913276</v>
      </c>
      <c r="AY86" s="1"/>
      <c r="AZ86" s="1"/>
      <c r="BA86" s="1"/>
      <c r="BB86" s="5">
        <v>45627</v>
      </c>
      <c r="BC86" s="1" t="s">
        <v>109</v>
      </c>
      <c r="BD86" s="1" t="s">
        <v>109</v>
      </c>
      <c r="BE86" s="1"/>
      <c r="BF86" s="1"/>
      <c r="BG86" s="1"/>
      <c r="BH86" s="1"/>
      <c r="BI86" s="1" t="s">
        <v>927</v>
      </c>
    </row>
    <row r="87" spans="1:61" x14ac:dyDescent="0.25">
      <c r="A87" s="4">
        <v>82</v>
      </c>
      <c r="B87" s="2" t="str">
        <f>HYPERLINK("https://my.zakupivli.pro/remote/dispatcher/state_purchase_view/50921730", "UA-2024-05-09-011704-a")</f>
        <v>UA-2024-05-09-011704-a</v>
      </c>
      <c r="C87" s="2" t="str">
        <f>HYPERLINK("https://my.zakupivli.pro/remote/dispatcher/state_purchase_lot_view/1280683", "UA-2024-05-09-011704-a-L1")</f>
        <v>UA-2024-05-09-011704-a-L1</v>
      </c>
      <c r="D87" s="1" t="s">
        <v>1750</v>
      </c>
      <c r="E87" s="1" t="s">
        <v>1749</v>
      </c>
      <c r="F87" s="1" t="s">
        <v>603</v>
      </c>
      <c r="G87" s="1" t="s">
        <v>1051</v>
      </c>
      <c r="H87" s="1" t="s">
        <v>1185</v>
      </c>
      <c r="I87" s="1" t="s">
        <v>2094</v>
      </c>
      <c r="J87" s="1" t="s">
        <v>1145</v>
      </c>
      <c r="K87" s="1" t="s">
        <v>947</v>
      </c>
      <c r="L87" s="1" t="s">
        <v>1533</v>
      </c>
      <c r="M87" s="1" t="s">
        <v>1533</v>
      </c>
      <c r="N87" s="1" t="s">
        <v>110</v>
      </c>
      <c r="O87" s="1" t="s">
        <v>110</v>
      </c>
      <c r="P87" s="1" t="s">
        <v>110</v>
      </c>
      <c r="Q87" s="5">
        <v>45421</v>
      </c>
      <c r="R87" s="1" t="s">
        <v>632</v>
      </c>
      <c r="S87" s="1" t="s">
        <v>634</v>
      </c>
      <c r="T87" s="5">
        <v>45421</v>
      </c>
      <c r="U87" s="5">
        <v>45429</v>
      </c>
      <c r="V87" s="1" t="s">
        <v>2147</v>
      </c>
      <c r="W87" s="4">
        <v>1</v>
      </c>
      <c r="X87" s="6">
        <v>735499</v>
      </c>
      <c r="Y87" s="6">
        <v>735499</v>
      </c>
      <c r="Z87" s="1">
        <v>1</v>
      </c>
      <c r="AA87" s="6">
        <v>735499</v>
      </c>
      <c r="AB87" s="1" t="s">
        <v>2167</v>
      </c>
      <c r="AC87" s="6">
        <v>3677.5</v>
      </c>
      <c r="AD87" s="1" t="s">
        <v>1100</v>
      </c>
      <c r="AE87" s="1" t="s">
        <v>2094</v>
      </c>
      <c r="AF87" s="1" t="s">
        <v>1186</v>
      </c>
      <c r="AG87" s="1" t="s">
        <v>1522</v>
      </c>
      <c r="AH87" s="6">
        <v>735484.01</v>
      </c>
      <c r="AI87" s="6">
        <v>735484.01</v>
      </c>
      <c r="AJ87" s="1" t="s">
        <v>2121</v>
      </c>
      <c r="AK87" s="6">
        <v>14.989999999990687</v>
      </c>
      <c r="AL87" s="6">
        <v>2.0380721115855612E-5</v>
      </c>
      <c r="AM87" s="1" t="s">
        <v>2121</v>
      </c>
      <c r="AN87" s="1" t="s">
        <v>815</v>
      </c>
      <c r="AO87" s="1" t="s">
        <v>1122</v>
      </c>
      <c r="AP87" s="1" t="s">
        <v>55</v>
      </c>
      <c r="AQ87" s="6">
        <v>14.989999999990687</v>
      </c>
      <c r="AR87" s="6">
        <v>2.0380721115855612E-5</v>
      </c>
      <c r="AS87" s="2"/>
      <c r="AT87" s="7">
        <v>45433.639394734273</v>
      </c>
      <c r="AU87" s="1" t="s">
        <v>641</v>
      </c>
      <c r="AV87" s="1" t="s">
        <v>646</v>
      </c>
      <c r="AW87" s="1" t="s">
        <v>2151</v>
      </c>
      <c r="AX87" s="7">
        <v>45439.609535690499</v>
      </c>
      <c r="AY87" s="1" t="s">
        <v>762</v>
      </c>
      <c r="AZ87" s="6">
        <v>735484.01</v>
      </c>
      <c r="BA87" s="1"/>
      <c r="BB87" s="5">
        <v>45596</v>
      </c>
      <c r="BC87" s="5">
        <v>45439</v>
      </c>
      <c r="BD87" s="5">
        <v>45439</v>
      </c>
      <c r="BE87" s="7">
        <v>45657</v>
      </c>
      <c r="BF87" s="1" t="s">
        <v>2170</v>
      </c>
      <c r="BG87" s="1"/>
      <c r="BH87" s="1"/>
      <c r="BI87" s="1" t="s">
        <v>816</v>
      </c>
    </row>
    <row r="88" spans="1:61" x14ac:dyDescent="0.25">
      <c r="A88" s="4">
        <v>83</v>
      </c>
      <c r="B88" s="2" t="str">
        <f>HYPERLINK("https://my.zakupivli.pro/remote/dispatcher/state_purchase_view/50918113", "UA-2024-05-09-010045-a")</f>
        <v>UA-2024-05-09-010045-a</v>
      </c>
      <c r="C88" s="2" t="str">
        <f>HYPERLINK("https://my.zakupivli.pro/remote/dispatcher/state_purchase_lot_view/1280400", "UA-2024-05-09-010045-a-L1")</f>
        <v>UA-2024-05-09-010045-a-L1</v>
      </c>
      <c r="D88" s="1" t="s">
        <v>1866</v>
      </c>
      <c r="E88" s="1" t="s">
        <v>1865</v>
      </c>
      <c r="F88" s="1" t="s">
        <v>603</v>
      </c>
      <c r="G88" s="1" t="s">
        <v>1075</v>
      </c>
      <c r="H88" s="1" t="s">
        <v>1185</v>
      </c>
      <c r="I88" s="1" t="s">
        <v>2094</v>
      </c>
      <c r="J88" s="1" t="s">
        <v>1145</v>
      </c>
      <c r="K88" s="1" t="s">
        <v>947</v>
      </c>
      <c r="L88" s="1" t="s">
        <v>1533</v>
      </c>
      <c r="M88" s="1" t="s">
        <v>1533</v>
      </c>
      <c r="N88" s="1" t="s">
        <v>110</v>
      </c>
      <c r="O88" s="1" t="s">
        <v>110</v>
      </c>
      <c r="P88" s="1" t="s">
        <v>110</v>
      </c>
      <c r="Q88" s="5">
        <v>45421</v>
      </c>
      <c r="R88" s="1" t="s">
        <v>632</v>
      </c>
      <c r="S88" s="1" t="s">
        <v>634</v>
      </c>
      <c r="T88" s="5">
        <v>45421</v>
      </c>
      <c r="U88" s="5">
        <v>45429</v>
      </c>
      <c r="V88" s="1" t="s">
        <v>2148</v>
      </c>
      <c r="W88" s="4">
        <v>0</v>
      </c>
      <c r="X88" s="6">
        <v>1144686</v>
      </c>
      <c r="Y88" s="6">
        <v>1144686</v>
      </c>
      <c r="Z88" s="1">
        <v>1</v>
      </c>
      <c r="AA88" s="6">
        <v>1144686</v>
      </c>
      <c r="AB88" s="1" t="s">
        <v>2167</v>
      </c>
      <c r="AC88" s="6">
        <v>5723.43</v>
      </c>
      <c r="AD88" s="1" t="s">
        <v>1100</v>
      </c>
      <c r="AE88" s="1" t="s">
        <v>2094</v>
      </c>
      <c r="AF88" s="1" t="s">
        <v>1186</v>
      </c>
      <c r="AG88" s="1" t="s">
        <v>1522</v>
      </c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2"/>
      <c r="AT88" s="1"/>
      <c r="AU88" s="1"/>
      <c r="AV88" s="1"/>
      <c r="AW88" s="1" t="s">
        <v>2171</v>
      </c>
      <c r="AX88" s="7">
        <v>45421.667365878777</v>
      </c>
      <c r="AY88" s="1"/>
      <c r="AZ88" s="1"/>
      <c r="BA88" s="1"/>
      <c r="BB88" s="5">
        <v>45657</v>
      </c>
      <c r="BC88" s="1" t="s">
        <v>109</v>
      </c>
      <c r="BD88" s="1" t="s">
        <v>109</v>
      </c>
      <c r="BE88" s="1"/>
      <c r="BF88" s="1"/>
      <c r="BG88" s="1"/>
      <c r="BH88" s="1"/>
      <c r="BI88" s="1"/>
    </row>
    <row r="89" spans="1:61" x14ac:dyDescent="0.25">
      <c r="A89" s="4">
        <v>84</v>
      </c>
      <c r="B89" s="2" t="str">
        <f>HYPERLINK("https://my.zakupivli.pro/remote/dispatcher/state_purchase_view/50889229", "UA-2024-05-08-009511-a")</f>
        <v>UA-2024-05-08-009511-a</v>
      </c>
      <c r="C89" s="2" t="str">
        <f>HYPERLINK("https://my.zakupivli.pro/remote/dispatcher/state_purchase_lot_view/1279157", "UA-2024-05-08-009511-a-L1")</f>
        <v>UA-2024-05-08-009511-a-L1</v>
      </c>
      <c r="D89" s="1" t="s">
        <v>1336</v>
      </c>
      <c r="E89" s="1" t="s">
        <v>1335</v>
      </c>
      <c r="F89" s="1" t="s">
        <v>603</v>
      </c>
      <c r="G89" s="1" t="s">
        <v>994</v>
      </c>
      <c r="H89" s="1" t="s">
        <v>1185</v>
      </c>
      <c r="I89" s="1" t="s">
        <v>2094</v>
      </c>
      <c r="J89" s="1" t="s">
        <v>1145</v>
      </c>
      <c r="K89" s="1" t="s">
        <v>947</v>
      </c>
      <c r="L89" s="1" t="s">
        <v>1533</v>
      </c>
      <c r="M89" s="1" t="s">
        <v>1533</v>
      </c>
      <c r="N89" s="1" t="s">
        <v>110</v>
      </c>
      <c r="O89" s="1" t="s">
        <v>110</v>
      </c>
      <c r="P89" s="1" t="s">
        <v>110</v>
      </c>
      <c r="Q89" s="5">
        <v>45420</v>
      </c>
      <c r="R89" s="1" t="s">
        <v>631</v>
      </c>
      <c r="S89" s="1" t="s">
        <v>633</v>
      </c>
      <c r="T89" s="5">
        <v>45420</v>
      </c>
      <c r="U89" s="5">
        <v>45428</v>
      </c>
      <c r="V89" s="1" t="s">
        <v>2147</v>
      </c>
      <c r="W89" s="4">
        <v>1</v>
      </c>
      <c r="X89" s="6">
        <v>207300</v>
      </c>
      <c r="Y89" s="6">
        <v>207300</v>
      </c>
      <c r="Z89" s="1">
        <v>1</v>
      </c>
      <c r="AA89" s="6">
        <v>207300</v>
      </c>
      <c r="AB89" s="1" t="s">
        <v>2167</v>
      </c>
      <c r="AC89" s="6">
        <v>1036.5</v>
      </c>
      <c r="AD89" s="1" t="s">
        <v>1100</v>
      </c>
      <c r="AE89" s="1" t="s">
        <v>2094</v>
      </c>
      <c r="AF89" s="1" t="s">
        <v>1186</v>
      </c>
      <c r="AG89" s="1" t="s">
        <v>1522</v>
      </c>
      <c r="AH89" s="6">
        <v>199900</v>
      </c>
      <c r="AI89" s="6">
        <v>199900</v>
      </c>
      <c r="AJ89" s="1" t="s">
        <v>2048</v>
      </c>
      <c r="AK89" s="6">
        <v>7400</v>
      </c>
      <c r="AL89" s="6">
        <v>3.569705740472745E-2</v>
      </c>
      <c r="AM89" s="1" t="s">
        <v>2048</v>
      </c>
      <c r="AN89" s="1" t="s">
        <v>831</v>
      </c>
      <c r="AO89" s="1" t="s">
        <v>1099</v>
      </c>
      <c r="AP89" s="1" t="s">
        <v>88</v>
      </c>
      <c r="AQ89" s="6">
        <v>7400</v>
      </c>
      <c r="AR89" s="6">
        <v>3.569705740472745E-2</v>
      </c>
      <c r="AS89" s="2"/>
      <c r="AT89" s="7">
        <v>45428.660118748565</v>
      </c>
      <c r="AU89" s="1" t="s">
        <v>638</v>
      </c>
      <c r="AV89" s="1" t="s">
        <v>644</v>
      </c>
      <c r="AW89" s="1" t="s">
        <v>2151</v>
      </c>
      <c r="AX89" s="7">
        <v>45434.545572243624</v>
      </c>
      <c r="AY89" s="1" t="s">
        <v>757</v>
      </c>
      <c r="AZ89" s="6">
        <v>199900</v>
      </c>
      <c r="BA89" s="1"/>
      <c r="BB89" s="5">
        <v>45505</v>
      </c>
      <c r="BC89" s="5">
        <v>45434</v>
      </c>
      <c r="BD89" s="5">
        <v>45434</v>
      </c>
      <c r="BE89" s="7">
        <v>45657</v>
      </c>
      <c r="BF89" s="1" t="s">
        <v>2170</v>
      </c>
      <c r="BG89" s="1"/>
      <c r="BH89" s="1"/>
      <c r="BI89" s="1" t="s">
        <v>832</v>
      </c>
    </row>
    <row r="90" spans="1:61" x14ac:dyDescent="0.25">
      <c r="A90" s="4">
        <v>85</v>
      </c>
      <c r="B90" s="2" t="str">
        <f>HYPERLINK("https://my.zakupivli.pro/remote/dispatcher/state_purchase_view/50892354", "UA-2024-05-08-010878-a")</f>
        <v>UA-2024-05-08-010878-a</v>
      </c>
      <c r="C90" s="2" t="str">
        <f>HYPERLINK("https://my.zakupivli.pro/remote/dispatcher/state_purchase_lot_view/1279339", "UA-2024-05-08-010878-a-L1")</f>
        <v>UA-2024-05-08-010878-a-L1</v>
      </c>
      <c r="D90" s="1" t="s">
        <v>1334</v>
      </c>
      <c r="E90" s="1" t="s">
        <v>1333</v>
      </c>
      <c r="F90" s="1" t="s">
        <v>603</v>
      </c>
      <c r="G90" s="1" t="s">
        <v>994</v>
      </c>
      <c r="H90" s="1" t="s">
        <v>1185</v>
      </c>
      <c r="I90" s="1" t="s">
        <v>2094</v>
      </c>
      <c r="J90" s="1" t="s">
        <v>1145</v>
      </c>
      <c r="K90" s="1" t="s">
        <v>947</v>
      </c>
      <c r="L90" s="1" t="s">
        <v>1533</v>
      </c>
      <c r="M90" s="1" t="s">
        <v>1533</v>
      </c>
      <c r="N90" s="1" t="s">
        <v>110</v>
      </c>
      <c r="O90" s="1" t="s">
        <v>110</v>
      </c>
      <c r="P90" s="1" t="s">
        <v>110</v>
      </c>
      <c r="Q90" s="5">
        <v>45420</v>
      </c>
      <c r="R90" s="1" t="s">
        <v>631</v>
      </c>
      <c r="S90" s="1" t="s">
        <v>633</v>
      </c>
      <c r="T90" s="5">
        <v>45420</v>
      </c>
      <c r="U90" s="5">
        <v>45428</v>
      </c>
      <c r="V90" s="1" t="s">
        <v>2147</v>
      </c>
      <c r="W90" s="4">
        <v>1</v>
      </c>
      <c r="X90" s="6">
        <v>275588</v>
      </c>
      <c r="Y90" s="6">
        <v>275588</v>
      </c>
      <c r="Z90" s="1">
        <v>1</v>
      </c>
      <c r="AA90" s="6">
        <v>275588</v>
      </c>
      <c r="AB90" s="1" t="s">
        <v>2167</v>
      </c>
      <c r="AC90" s="6">
        <v>1377.94</v>
      </c>
      <c r="AD90" s="1" t="s">
        <v>1100</v>
      </c>
      <c r="AE90" s="1" t="s">
        <v>2094</v>
      </c>
      <c r="AF90" s="1" t="s">
        <v>1186</v>
      </c>
      <c r="AG90" s="1" t="s">
        <v>1522</v>
      </c>
      <c r="AH90" s="6">
        <v>260000</v>
      </c>
      <c r="AI90" s="6">
        <v>260000</v>
      </c>
      <c r="AJ90" s="1" t="s">
        <v>2048</v>
      </c>
      <c r="AK90" s="6">
        <v>15588</v>
      </c>
      <c r="AL90" s="6">
        <v>5.6562695037519775E-2</v>
      </c>
      <c r="AM90" s="1" t="s">
        <v>2048</v>
      </c>
      <c r="AN90" s="1" t="s">
        <v>831</v>
      </c>
      <c r="AO90" s="1" t="s">
        <v>1099</v>
      </c>
      <c r="AP90" s="1" t="s">
        <v>88</v>
      </c>
      <c r="AQ90" s="6">
        <v>15588</v>
      </c>
      <c r="AR90" s="6">
        <v>5.6562695037519775E-2</v>
      </c>
      <c r="AS90" s="2"/>
      <c r="AT90" s="7">
        <v>45428.657550071897</v>
      </c>
      <c r="AU90" s="1" t="s">
        <v>638</v>
      </c>
      <c r="AV90" s="1" t="s">
        <v>644</v>
      </c>
      <c r="AW90" s="1" t="s">
        <v>2151</v>
      </c>
      <c r="AX90" s="7">
        <v>45434.543083334735</v>
      </c>
      <c r="AY90" s="1" t="s">
        <v>740</v>
      </c>
      <c r="AZ90" s="6">
        <v>260000</v>
      </c>
      <c r="BA90" s="1"/>
      <c r="BB90" s="5">
        <v>45505</v>
      </c>
      <c r="BC90" s="5">
        <v>45434</v>
      </c>
      <c r="BD90" s="5">
        <v>45434</v>
      </c>
      <c r="BE90" s="7">
        <v>45657</v>
      </c>
      <c r="BF90" s="1" t="s">
        <v>2170</v>
      </c>
      <c r="BG90" s="1"/>
      <c r="BH90" s="1" t="s">
        <v>2111</v>
      </c>
      <c r="BI90" s="1" t="s">
        <v>832</v>
      </c>
    </row>
    <row r="91" spans="1:61" x14ac:dyDescent="0.25">
      <c r="A91" s="4">
        <v>86</v>
      </c>
      <c r="B91" s="2" t="str">
        <f>HYPERLINK("https://my.zakupivli.pro/remote/dispatcher/state_purchase_view/50890871", "UA-2024-05-08-010189-a")</f>
        <v>UA-2024-05-08-010189-a</v>
      </c>
      <c r="C91" s="2" t="str">
        <f>HYPERLINK("https://my.zakupivli.pro/remote/dispatcher/state_purchase_lot_view/1279249", "UA-2024-05-08-010189-a-L1")</f>
        <v>UA-2024-05-08-010189-a-L1</v>
      </c>
      <c r="D91" s="1" t="s">
        <v>1330</v>
      </c>
      <c r="E91" s="1" t="s">
        <v>1329</v>
      </c>
      <c r="F91" s="1" t="s">
        <v>603</v>
      </c>
      <c r="G91" s="1" t="s">
        <v>994</v>
      </c>
      <c r="H91" s="1" t="s">
        <v>1185</v>
      </c>
      <c r="I91" s="1" t="s">
        <v>2094</v>
      </c>
      <c r="J91" s="1" t="s">
        <v>1145</v>
      </c>
      <c r="K91" s="1" t="s">
        <v>947</v>
      </c>
      <c r="L91" s="1" t="s">
        <v>1533</v>
      </c>
      <c r="M91" s="1" t="s">
        <v>1533</v>
      </c>
      <c r="N91" s="1" t="s">
        <v>110</v>
      </c>
      <c r="O91" s="1" t="s">
        <v>110</v>
      </c>
      <c r="P91" s="1" t="s">
        <v>110</v>
      </c>
      <c r="Q91" s="5">
        <v>45420</v>
      </c>
      <c r="R91" s="1" t="s">
        <v>631</v>
      </c>
      <c r="S91" s="1" t="s">
        <v>633</v>
      </c>
      <c r="T91" s="5">
        <v>45420</v>
      </c>
      <c r="U91" s="5">
        <v>45428</v>
      </c>
      <c r="V91" s="1" t="s">
        <v>2147</v>
      </c>
      <c r="W91" s="4">
        <v>1</v>
      </c>
      <c r="X91" s="6">
        <v>392081</v>
      </c>
      <c r="Y91" s="6">
        <v>392081</v>
      </c>
      <c r="Z91" s="1">
        <v>1</v>
      </c>
      <c r="AA91" s="6">
        <v>392081</v>
      </c>
      <c r="AB91" s="1" t="s">
        <v>2167</v>
      </c>
      <c r="AC91" s="6">
        <v>1960.41</v>
      </c>
      <c r="AD91" s="1" t="s">
        <v>1100</v>
      </c>
      <c r="AE91" s="1" t="s">
        <v>2094</v>
      </c>
      <c r="AF91" s="1" t="s">
        <v>1186</v>
      </c>
      <c r="AG91" s="1" t="s">
        <v>1522</v>
      </c>
      <c r="AH91" s="6">
        <v>377600</v>
      </c>
      <c r="AI91" s="6">
        <v>377600</v>
      </c>
      <c r="AJ91" s="1" t="s">
        <v>2048</v>
      </c>
      <c r="AK91" s="6">
        <v>14481</v>
      </c>
      <c r="AL91" s="6">
        <v>3.6933694823263558E-2</v>
      </c>
      <c r="AM91" s="1" t="s">
        <v>2048</v>
      </c>
      <c r="AN91" s="1" t="s">
        <v>831</v>
      </c>
      <c r="AO91" s="1" t="s">
        <v>1099</v>
      </c>
      <c r="AP91" s="1" t="s">
        <v>88</v>
      </c>
      <c r="AQ91" s="6">
        <v>14481</v>
      </c>
      <c r="AR91" s="6">
        <v>3.6933694823263558E-2</v>
      </c>
      <c r="AS91" s="2"/>
      <c r="AT91" s="7">
        <v>45428.658891733772</v>
      </c>
      <c r="AU91" s="1" t="s">
        <v>638</v>
      </c>
      <c r="AV91" s="1" t="s">
        <v>644</v>
      </c>
      <c r="AW91" s="1" t="s">
        <v>2151</v>
      </c>
      <c r="AX91" s="7">
        <v>45434.54802808434</v>
      </c>
      <c r="AY91" s="1" t="s">
        <v>728</v>
      </c>
      <c r="AZ91" s="6">
        <v>377600</v>
      </c>
      <c r="BA91" s="1"/>
      <c r="BB91" s="5">
        <v>45505</v>
      </c>
      <c r="BC91" s="5">
        <v>45434</v>
      </c>
      <c r="BD91" s="5">
        <v>45434</v>
      </c>
      <c r="BE91" s="7">
        <v>45657</v>
      </c>
      <c r="BF91" s="1" t="s">
        <v>2170</v>
      </c>
      <c r="BG91" s="1"/>
      <c r="BH91" s="1"/>
      <c r="BI91" s="1" t="s">
        <v>832</v>
      </c>
    </row>
    <row r="92" spans="1:61" x14ac:dyDescent="0.25">
      <c r="A92" s="4">
        <v>87</v>
      </c>
      <c r="B92" s="2" t="str">
        <f>HYPERLINK("https://my.zakupivli.pro/remote/dispatcher/state_purchase_view/50641015", "UA-2024-04-24-013675-a")</f>
        <v>UA-2024-04-24-013675-a</v>
      </c>
      <c r="C92" s="2" t="s">
        <v>1516</v>
      </c>
      <c r="D92" s="1" t="s">
        <v>1277</v>
      </c>
      <c r="E92" s="1" t="s">
        <v>1277</v>
      </c>
      <c r="F92" s="1" t="s">
        <v>603</v>
      </c>
      <c r="G92" s="1" t="s">
        <v>1034</v>
      </c>
      <c r="H92" s="1" t="s">
        <v>1218</v>
      </c>
      <c r="I92" s="1" t="s">
        <v>2094</v>
      </c>
      <c r="J92" s="1" t="s">
        <v>1145</v>
      </c>
      <c r="K92" s="1" t="s">
        <v>947</v>
      </c>
      <c r="L92" s="1" t="s">
        <v>1533</v>
      </c>
      <c r="M92" s="1" t="s">
        <v>1533</v>
      </c>
      <c r="N92" s="1" t="s">
        <v>110</v>
      </c>
      <c r="O92" s="1" t="s">
        <v>110</v>
      </c>
      <c r="P92" s="1" t="s">
        <v>110</v>
      </c>
      <c r="Q92" s="5">
        <v>45406</v>
      </c>
      <c r="R92" s="1"/>
      <c r="S92" s="1"/>
      <c r="T92" s="1"/>
      <c r="U92" s="1"/>
      <c r="V92" s="1" t="s">
        <v>2146</v>
      </c>
      <c r="W92" s="4">
        <v>1</v>
      </c>
      <c r="X92" s="6">
        <v>26486.400000000001</v>
      </c>
      <c r="Y92" s="1" t="s">
        <v>1516</v>
      </c>
      <c r="Z92" s="1">
        <v>1</v>
      </c>
      <c r="AA92" s="6">
        <v>26486.400000000001</v>
      </c>
      <c r="AB92" s="1" t="s">
        <v>2167</v>
      </c>
      <c r="AC92" s="1" t="s">
        <v>2162</v>
      </c>
      <c r="AD92" s="1" t="s">
        <v>1100</v>
      </c>
      <c r="AE92" s="1" t="s">
        <v>2094</v>
      </c>
      <c r="AF92" s="1" t="s">
        <v>1186</v>
      </c>
      <c r="AG92" s="1" t="s">
        <v>1522</v>
      </c>
      <c r="AH92" s="6">
        <v>26486.400000000001</v>
      </c>
      <c r="AI92" s="6">
        <v>26486.400000000001</v>
      </c>
      <c r="AJ92" s="1" t="s">
        <v>1547</v>
      </c>
      <c r="AK92" s="1"/>
      <c r="AL92" s="1"/>
      <c r="AM92" s="1" t="s">
        <v>1547</v>
      </c>
      <c r="AN92" s="1" t="s">
        <v>827</v>
      </c>
      <c r="AO92" s="1"/>
      <c r="AP92" s="1" t="s">
        <v>51</v>
      </c>
      <c r="AQ92" s="1"/>
      <c r="AR92" s="1"/>
      <c r="AS92" s="2"/>
      <c r="AT92" s="1"/>
      <c r="AU92" s="1"/>
      <c r="AV92" s="1"/>
      <c r="AW92" s="1" t="s">
        <v>2152</v>
      </c>
      <c r="AX92" s="7">
        <v>45406.673322905233</v>
      </c>
      <c r="AY92" s="1" t="s">
        <v>291</v>
      </c>
      <c r="AZ92" s="6">
        <v>26486.400000000001</v>
      </c>
      <c r="BA92" s="1"/>
      <c r="BB92" s="5">
        <v>45627</v>
      </c>
      <c r="BC92" s="5">
        <v>45406</v>
      </c>
      <c r="BD92" s="5">
        <v>45406</v>
      </c>
      <c r="BE92" s="7">
        <v>45657</v>
      </c>
      <c r="BF92" s="1" t="s">
        <v>2170</v>
      </c>
      <c r="BG92" s="1"/>
      <c r="BH92" s="1"/>
      <c r="BI92" s="1" t="s">
        <v>108</v>
      </c>
    </row>
    <row r="93" spans="1:61" x14ac:dyDescent="0.25">
      <c r="A93" s="4">
        <v>88</v>
      </c>
      <c r="B93" s="2" t="str">
        <f>HYPERLINK("https://my.zakupivli.pro/remote/dispatcher/state_purchase_view/50641819", "UA-2024-04-24-014081-a")</f>
        <v>UA-2024-04-24-014081-a</v>
      </c>
      <c r="C93" s="2" t="s">
        <v>1516</v>
      </c>
      <c r="D93" s="1" t="s">
        <v>1836</v>
      </c>
      <c r="E93" s="1" t="s">
        <v>1836</v>
      </c>
      <c r="F93" s="1" t="s">
        <v>603</v>
      </c>
      <c r="G93" s="1" t="s">
        <v>1034</v>
      </c>
      <c r="H93" s="1" t="s">
        <v>1218</v>
      </c>
      <c r="I93" s="1" t="s">
        <v>2094</v>
      </c>
      <c r="J93" s="1" t="s">
        <v>1145</v>
      </c>
      <c r="K93" s="1" t="s">
        <v>947</v>
      </c>
      <c r="L93" s="1" t="s">
        <v>1533</v>
      </c>
      <c r="M93" s="1" t="s">
        <v>1533</v>
      </c>
      <c r="N93" s="1" t="s">
        <v>110</v>
      </c>
      <c r="O93" s="1" t="s">
        <v>110</v>
      </c>
      <c r="P93" s="1" t="s">
        <v>110</v>
      </c>
      <c r="Q93" s="5">
        <v>45406</v>
      </c>
      <c r="R93" s="1"/>
      <c r="S93" s="1"/>
      <c r="T93" s="1"/>
      <c r="U93" s="1"/>
      <c r="V93" s="1" t="s">
        <v>2146</v>
      </c>
      <c r="W93" s="4">
        <v>1</v>
      </c>
      <c r="X93" s="6">
        <v>95351.039999999994</v>
      </c>
      <c r="Y93" s="1" t="s">
        <v>1516</v>
      </c>
      <c r="Z93" s="1">
        <v>1</v>
      </c>
      <c r="AA93" s="6">
        <v>95351.039999999994</v>
      </c>
      <c r="AB93" s="1" t="s">
        <v>2167</v>
      </c>
      <c r="AC93" s="1" t="s">
        <v>2162</v>
      </c>
      <c r="AD93" s="1" t="s">
        <v>1100</v>
      </c>
      <c r="AE93" s="1" t="s">
        <v>2094</v>
      </c>
      <c r="AF93" s="1" t="s">
        <v>1186</v>
      </c>
      <c r="AG93" s="1" t="s">
        <v>1522</v>
      </c>
      <c r="AH93" s="6">
        <v>95351.039999999994</v>
      </c>
      <c r="AI93" s="6">
        <v>95351.039999999994</v>
      </c>
      <c r="AJ93" s="1" t="s">
        <v>1547</v>
      </c>
      <c r="AK93" s="1"/>
      <c r="AL93" s="1"/>
      <c r="AM93" s="1" t="s">
        <v>1547</v>
      </c>
      <c r="AN93" s="1" t="s">
        <v>827</v>
      </c>
      <c r="AO93" s="1"/>
      <c r="AP93" s="1" t="s">
        <v>51</v>
      </c>
      <c r="AQ93" s="1"/>
      <c r="AR93" s="1"/>
      <c r="AS93" s="2"/>
      <c r="AT93" s="1"/>
      <c r="AU93" s="1"/>
      <c r="AV93" s="1"/>
      <c r="AW93" s="1" t="s">
        <v>2152</v>
      </c>
      <c r="AX93" s="7">
        <v>45406.684933943878</v>
      </c>
      <c r="AY93" s="1" t="s">
        <v>273</v>
      </c>
      <c r="AZ93" s="6">
        <v>95351.039999999994</v>
      </c>
      <c r="BA93" s="1"/>
      <c r="BB93" s="5">
        <v>45627</v>
      </c>
      <c r="BC93" s="5">
        <v>45406</v>
      </c>
      <c r="BD93" s="5">
        <v>45406</v>
      </c>
      <c r="BE93" s="7">
        <v>45657</v>
      </c>
      <c r="BF93" s="1" t="s">
        <v>2170</v>
      </c>
      <c r="BG93" s="1"/>
      <c r="BH93" s="1"/>
      <c r="BI93" s="1" t="s">
        <v>108</v>
      </c>
    </row>
    <row r="94" spans="1:61" x14ac:dyDescent="0.25">
      <c r="A94" s="4">
        <v>89</v>
      </c>
      <c r="B94" s="2" t="str">
        <f>HYPERLINK("https://my.zakupivli.pro/remote/dispatcher/state_purchase_view/50575600", "UA-2024-04-22-008927-a")</f>
        <v>UA-2024-04-22-008927-a</v>
      </c>
      <c r="C94" s="2" t="str">
        <f>HYPERLINK("https://my.zakupivli.pro/remote/dispatcher/state_purchase_lot_view/1264850", "UA-2024-04-22-008927-a-L1")</f>
        <v>UA-2024-04-22-008927-a-L1</v>
      </c>
      <c r="D94" s="1" t="s">
        <v>1417</v>
      </c>
      <c r="E94" s="1" t="s">
        <v>1416</v>
      </c>
      <c r="F94" s="1" t="s">
        <v>603</v>
      </c>
      <c r="G94" s="1" t="s">
        <v>1034</v>
      </c>
      <c r="H94" s="1" t="s">
        <v>1185</v>
      </c>
      <c r="I94" s="1" t="s">
        <v>2094</v>
      </c>
      <c r="J94" s="1" t="s">
        <v>1145</v>
      </c>
      <c r="K94" s="1" t="s">
        <v>947</v>
      </c>
      <c r="L94" s="1" t="s">
        <v>1533</v>
      </c>
      <c r="M94" s="1" t="s">
        <v>1533</v>
      </c>
      <c r="N94" s="1" t="s">
        <v>110</v>
      </c>
      <c r="O94" s="1" t="s">
        <v>110</v>
      </c>
      <c r="P94" s="1" t="s">
        <v>110</v>
      </c>
      <c r="Q94" s="5">
        <v>45404</v>
      </c>
      <c r="R94" s="1" t="s">
        <v>628</v>
      </c>
      <c r="S94" s="1" t="s">
        <v>629</v>
      </c>
      <c r="T94" s="5">
        <v>45404</v>
      </c>
      <c r="U94" s="5">
        <v>45412</v>
      </c>
      <c r="V94" s="1" t="s">
        <v>2147</v>
      </c>
      <c r="W94" s="4">
        <v>1</v>
      </c>
      <c r="X94" s="6">
        <v>268191</v>
      </c>
      <c r="Y94" s="6">
        <v>268191</v>
      </c>
      <c r="Z94" s="1">
        <v>1</v>
      </c>
      <c r="AA94" s="6">
        <v>268191</v>
      </c>
      <c r="AB94" s="1" t="s">
        <v>2167</v>
      </c>
      <c r="AC94" s="6">
        <v>1340.96</v>
      </c>
      <c r="AD94" s="1" t="s">
        <v>1100</v>
      </c>
      <c r="AE94" s="1" t="s">
        <v>2094</v>
      </c>
      <c r="AF94" s="1" t="s">
        <v>1186</v>
      </c>
      <c r="AG94" s="1" t="s">
        <v>1522</v>
      </c>
      <c r="AH94" s="6">
        <v>254269.44</v>
      </c>
      <c r="AI94" s="6">
        <v>254269.44</v>
      </c>
      <c r="AJ94" s="1" t="s">
        <v>1542</v>
      </c>
      <c r="AK94" s="6">
        <v>13921.559999999998</v>
      </c>
      <c r="AL94" s="6">
        <v>5.1909124467263992E-2</v>
      </c>
      <c r="AM94" s="1" t="s">
        <v>1542</v>
      </c>
      <c r="AN94" s="1" t="s">
        <v>827</v>
      </c>
      <c r="AO94" s="1" t="s">
        <v>1116</v>
      </c>
      <c r="AP94" s="1" t="s">
        <v>51</v>
      </c>
      <c r="AQ94" s="6">
        <v>13921.559999999998</v>
      </c>
      <c r="AR94" s="6">
        <v>5.1909124467263992E-2</v>
      </c>
      <c r="AS94" s="2"/>
      <c r="AT94" s="7">
        <v>45412.711032585721</v>
      </c>
      <c r="AU94" s="1" t="s">
        <v>630</v>
      </c>
      <c r="AV94" s="1" t="s">
        <v>635</v>
      </c>
      <c r="AW94" s="1" t="s">
        <v>2151</v>
      </c>
      <c r="AX94" s="7">
        <v>45421.492204085524</v>
      </c>
      <c r="AY94" s="1" t="s">
        <v>712</v>
      </c>
      <c r="AZ94" s="6">
        <v>254269.44</v>
      </c>
      <c r="BA94" s="1"/>
      <c r="BB94" s="5">
        <v>45627</v>
      </c>
      <c r="BC94" s="5">
        <v>45421</v>
      </c>
      <c r="BD94" s="5">
        <v>45421</v>
      </c>
      <c r="BE94" s="7">
        <v>45657</v>
      </c>
      <c r="BF94" s="1" t="s">
        <v>2170</v>
      </c>
      <c r="BG94" s="1"/>
      <c r="BH94" s="1"/>
      <c r="BI94" s="1" t="s">
        <v>828</v>
      </c>
    </row>
    <row r="95" spans="1:61" x14ac:dyDescent="0.25">
      <c r="A95" s="4">
        <v>90</v>
      </c>
      <c r="B95" s="2" t="str">
        <f>HYPERLINK("https://my.zakupivli.pro/remote/dispatcher/state_purchase_view/50551858", "UA-2024-04-19-011023-a")</f>
        <v>UA-2024-04-19-011023-a</v>
      </c>
      <c r="C95" s="2" t="s">
        <v>1516</v>
      </c>
      <c r="D95" s="1" t="s">
        <v>1570</v>
      </c>
      <c r="E95" s="1" t="s">
        <v>1570</v>
      </c>
      <c r="F95" s="1" t="s">
        <v>603</v>
      </c>
      <c r="G95" s="1" t="s">
        <v>992</v>
      </c>
      <c r="H95" s="1" t="s">
        <v>1218</v>
      </c>
      <c r="I95" s="1" t="s">
        <v>2094</v>
      </c>
      <c r="J95" s="1" t="s">
        <v>1145</v>
      </c>
      <c r="K95" s="1" t="s">
        <v>947</v>
      </c>
      <c r="L95" s="1" t="s">
        <v>1533</v>
      </c>
      <c r="M95" s="1" t="s">
        <v>1533</v>
      </c>
      <c r="N95" s="1" t="s">
        <v>110</v>
      </c>
      <c r="O95" s="1" t="s">
        <v>110</v>
      </c>
      <c r="P95" s="1" t="s">
        <v>110</v>
      </c>
      <c r="Q95" s="5">
        <v>45401</v>
      </c>
      <c r="R95" s="1"/>
      <c r="S95" s="1"/>
      <c r="T95" s="1"/>
      <c r="U95" s="1"/>
      <c r="V95" s="1" t="s">
        <v>2146</v>
      </c>
      <c r="W95" s="4">
        <v>1</v>
      </c>
      <c r="X95" s="6">
        <v>479</v>
      </c>
      <c r="Y95" s="1" t="s">
        <v>1516</v>
      </c>
      <c r="Z95" s="1">
        <v>1</v>
      </c>
      <c r="AA95" s="6">
        <v>479</v>
      </c>
      <c r="AB95" s="1" t="s">
        <v>2167</v>
      </c>
      <c r="AC95" s="1" t="s">
        <v>2162</v>
      </c>
      <c r="AD95" s="1" t="s">
        <v>1100</v>
      </c>
      <c r="AE95" s="1" t="s">
        <v>2094</v>
      </c>
      <c r="AF95" s="1" t="s">
        <v>1186</v>
      </c>
      <c r="AG95" s="1" t="s">
        <v>1522</v>
      </c>
      <c r="AH95" s="6">
        <v>479</v>
      </c>
      <c r="AI95" s="6">
        <v>479</v>
      </c>
      <c r="AJ95" s="1" t="s">
        <v>1472</v>
      </c>
      <c r="AK95" s="1"/>
      <c r="AL95" s="1"/>
      <c r="AM95" s="1" t="s">
        <v>1472</v>
      </c>
      <c r="AN95" s="1" t="s">
        <v>113</v>
      </c>
      <c r="AO95" s="1"/>
      <c r="AP95" s="1" t="s">
        <v>49</v>
      </c>
      <c r="AQ95" s="1"/>
      <c r="AR95" s="1"/>
      <c r="AS95" s="2"/>
      <c r="AT95" s="1"/>
      <c r="AU95" s="1"/>
      <c r="AV95" s="1"/>
      <c r="AW95" s="1" t="s">
        <v>2152</v>
      </c>
      <c r="AX95" s="7">
        <v>45401.699746507882</v>
      </c>
      <c r="AY95" s="1" t="s">
        <v>750</v>
      </c>
      <c r="AZ95" s="6">
        <v>479</v>
      </c>
      <c r="BA95" s="5">
        <v>45401</v>
      </c>
      <c r="BB95" s="5">
        <v>45411</v>
      </c>
      <c r="BC95" s="5">
        <v>45400</v>
      </c>
      <c r="BD95" s="5">
        <v>45400</v>
      </c>
      <c r="BE95" s="7">
        <v>45657</v>
      </c>
      <c r="BF95" s="1" t="s">
        <v>2170</v>
      </c>
      <c r="BG95" s="1"/>
      <c r="BH95" s="1"/>
      <c r="BI95" s="1" t="s">
        <v>108</v>
      </c>
    </row>
    <row r="96" spans="1:61" x14ac:dyDescent="0.25">
      <c r="A96" s="4">
        <v>91</v>
      </c>
      <c r="B96" s="2" t="str">
        <f>HYPERLINK("https://my.zakupivli.pro/remote/dispatcher/state_purchase_view/50389145", "UA-2024-04-12-005341-a")</f>
        <v>UA-2024-04-12-005341-a</v>
      </c>
      <c r="C96" s="2" t="s">
        <v>1516</v>
      </c>
      <c r="D96" s="1" t="s">
        <v>1806</v>
      </c>
      <c r="E96" s="1" t="s">
        <v>1806</v>
      </c>
      <c r="F96" s="1" t="s">
        <v>603</v>
      </c>
      <c r="G96" s="1" t="s">
        <v>1051</v>
      </c>
      <c r="H96" s="1" t="s">
        <v>1218</v>
      </c>
      <c r="I96" s="1" t="s">
        <v>2094</v>
      </c>
      <c r="J96" s="1" t="s">
        <v>1145</v>
      </c>
      <c r="K96" s="1" t="s">
        <v>947</v>
      </c>
      <c r="L96" s="1" t="s">
        <v>1533</v>
      </c>
      <c r="M96" s="1" t="s">
        <v>1533</v>
      </c>
      <c r="N96" s="1" t="s">
        <v>110</v>
      </c>
      <c r="O96" s="1" t="s">
        <v>110</v>
      </c>
      <c r="P96" s="1" t="s">
        <v>110</v>
      </c>
      <c r="Q96" s="5">
        <v>45394</v>
      </c>
      <c r="R96" s="1"/>
      <c r="S96" s="1"/>
      <c r="T96" s="1"/>
      <c r="U96" s="1"/>
      <c r="V96" s="1" t="s">
        <v>2146</v>
      </c>
      <c r="W96" s="4">
        <v>1</v>
      </c>
      <c r="X96" s="6">
        <v>99884.5</v>
      </c>
      <c r="Y96" s="1" t="s">
        <v>1516</v>
      </c>
      <c r="Z96" s="1">
        <v>1</v>
      </c>
      <c r="AA96" s="6">
        <v>99884.5</v>
      </c>
      <c r="AB96" s="1" t="s">
        <v>2167</v>
      </c>
      <c r="AC96" s="1" t="s">
        <v>2162</v>
      </c>
      <c r="AD96" s="1" t="s">
        <v>1100</v>
      </c>
      <c r="AE96" s="1" t="s">
        <v>2094</v>
      </c>
      <c r="AF96" s="1" t="s">
        <v>1186</v>
      </c>
      <c r="AG96" s="1" t="s">
        <v>1522</v>
      </c>
      <c r="AH96" s="6">
        <v>99884.5</v>
      </c>
      <c r="AI96" s="6">
        <v>99884.5</v>
      </c>
      <c r="AJ96" s="1" t="s">
        <v>2086</v>
      </c>
      <c r="AK96" s="1"/>
      <c r="AL96" s="1"/>
      <c r="AM96" s="1" t="s">
        <v>2086</v>
      </c>
      <c r="AN96" s="1" t="s">
        <v>888</v>
      </c>
      <c r="AO96" s="1"/>
      <c r="AP96" s="1" t="s">
        <v>32</v>
      </c>
      <c r="AQ96" s="1"/>
      <c r="AR96" s="1"/>
      <c r="AS96" s="2"/>
      <c r="AT96" s="1"/>
      <c r="AU96" s="1"/>
      <c r="AV96" s="1"/>
      <c r="AW96" s="1" t="s">
        <v>2152</v>
      </c>
      <c r="AX96" s="7">
        <v>45394.510360048982</v>
      </c>
      <c r="AY96" s="1" t="s">
        <v>261</v>
      </c>
      <c r="AZ96" s="6">
        <v>99884.5</v>
      </c>
      <c r="BA96" s="5">
        <v>45393</v>
      </c>
      <c r="BB96" s="5">
        <v>45427</v>
      </c>
      <c r="BC96" s="5">
        <v>45393</v>
      </c>
      <c r="BD96" s="5">
        <v>45393</v>
      </c>
      <c r="BE96" s="7">
        <v>45657</v>
      </c>
      <c r="BF96" s="1" t="s">
        <v>2170</v>
      </c>
      <c r="BG96" s="1"/>
      <c r="BH96" s="1"/>
      <c r="BI96" s="1" t="s">
        <v>108</v>
      </c>
    </row>
    <row r="97" spans="1:61" x14ac:dyDescent="0.25">
      <c r="A97" s="4">
        <v>92</v>
      </c>
      <c r="B97" s="2" t="str">
        <f>HYPERLINK("https://my.zakupivli.pro/remote/dispatcher/state_purchase_view/50345062", "UA-2024-04-10-011227-a")</f>
        <v>UA-2024-04-10-011227-a</v>
      </c>
      <c r="C97" s="2" t="str">
        <f>HYPERLINK("https://my.zakupivli.pro/remote/dispatcher/state_purchase_lot_view/1255071", "UA-2024-04-10-011227-a-L1")</f>
        <v>UA-2024-04-10-011227-a-L1</v>
      </c>
      <c r="D97" s="1" t="s">
        <v>1417</v>
      </c>
      <c r="E97" s="1" t="s">
        <v>1416</v>
      </c>
      <c r="F97" s="1" t="s">
        <v>603</v>
      </c>
      <c r="G97" s="1" t="s">
        <v>1034</v>
      </c>
      <c r="H97" s="1" t="s">
        <v>1185</v>
      </c>
      <c r="I97" s="1" t="s">
        <v>2094</v>
      </c>
      <c r="J97" s="1" t="s">
        <v>1145</v>
      </c>
      <c r="K97" s="1" t="s">
        <v>947</v>
      </c>
      <c r="L97" s="1" t="s">
        <v>1533</v>
      </c>
      <c r="M97" s="1" t="s">
        <v>1533</v>
      </c>
      <c r="N97" s="1" t="s">
        <v>110</v>
      </c>
      <c r="O97" s="1" t="s">
        <v>110</v>
      </c>
      <c r="P97" s="1" t="s">
        <v>110</v>
      </c>
      <c r="Q97" s="5">
        <v>45392</v>
      </c>
      <c r="R97" s="1" t="s">
        <v>626</v>
      </c>
      <c r="S97" s="1" t="s">
        <v>627</v>
      </c>
      <c r="T97" s="5">
        <v>45392</v>
      </c>
      <c r="U97" s="5">
        <v>45400</v>
      </c>
      <c r="V97" s="1" t="s">
        <v>2147</v>
      </c>
      <c r="W97" s="4">
        <v>1</v>
      </c>
      <c r="X97" s="6">
        <v>268191</v>
      </c>
      <c r="Y97" s="6">
        <v>268191</v>
      </c>
      <c r="Z97" s="1">
        <v>1</v>
      </c>
      <c r="AA97" s="6">
        <v>268191</v>
      </c>
      <c r="AB97" s="1" t="s">
        <v>2167</v>
      </c>
      <c r="AC97" s="6">
        <v>1340.96</v>
      </c>
      <c r="AD97" s="1" t="s">
        <v>1100</v>
      </c>
      <c r="AE97" s="1" t="s">
        <v>2094</v>
      </c>
      <c r="AF97" s="1" t="s">
        <v>1186</v>
      </c>
      <c r="AG97" s="1" t="s">
        <v>1522</v>
      </c>
      <c r="AH97" s="6">
        <v>254679.36</v>
      </c>
      <c r="AI97" s="6">
        <v>254679.36</v>
      </c>
      <c r="AJ97" s="1" t="s">
        <v>2052</v>
      </c>
      <c r="AK97" s="6">
        <v>13511.640000000014</v>
      </c>
      <c r="AL97" s="6">
        <v>5.038066154345229E-2</v>
      </c>
      <c r="AM97" s="1"/>
      <c r="AN97" s="1"/>
      <c r="AO97" s="1"/>
      <c r="AP97" s="1"/>
      <c r="AQ97" s="1"/>
      <c r="AR97" s="1"/>
      <c r="AS97" s="2"/>
      <c r="AT97" s="7">
        <v>45404.593308016665</v>
      </c>
      <c r="AU97" s="1"/>
      <c r="AV97" s="1"/>
      <c r="AW97" s="1" t="s">
        <v>2153</v>
      </c>
      <c r="AX97" s="7">
        <v>45410.002465884849</v>
      </c>
      <c r="AY97" s="1"/>
      <c r="AZ97" s="1"/>
      <c r="BA97" s="1"/>
      <c r="BB97" s="5">
        <v>45627</v>
      </c>
      <c r="BC97" s="1" t="s">
        <v>109</v>
      </c>
      <c r="BD97" s="1" t="s">
        <v>109</v>
      </c>
      <c r="BE97" s="1"/>
      <c r="BF97" s="1"/>
      <c r="BG97" s="1"/>
      <c r="BH97" s="1"/>
      <c r="BI97" s="1" t="s">
        <v>944</v>
      </c>
    </row>
    <row r="98" spans="1:61" x14ac:dyDescent="0.25">
      <c r="A98" s="4">
        <v>93</v>
      </c>
      <c r="B98" s="2" t="str">
        <f>HYPERLINK("https://my.zakupivli.pro/remote/dispatcher/state_purchase_view/50312590", "UA-2024-04-09-009767-a")</f>
        <v>UA-2024-04-09-009767-a</v>
      </c>
      <c r="C98" s="2" t="s">
        <v>1516</v>
      </c>
      <c r="D98" s="1" t="s">
        <v>1974</v>
      </c>
      <c r="E98" s="1" t="s">
        <v>1551</v>
      </c>
      <c r="F98" s="1" t="s">
        <v>603</v>
      </c>
      <c r="G98" s="1" t="s">
        <v>285</v>
      </c>
      <c r="H98" s="1" t="s">
        <v>1218</v>
      </c>
      <c r="I98" s="1" t="s">
        <v>2094</v>
      </c>
      <c r="J98" s="1" t="s">
        <v>1145</v>
      </c>
      <c r="K98" s="1" t="s">
        <v>947</v>
      </c>
      <c r="L98" s="1" t="s">
        <v>1533</v>
      </c>
      <c r="M98" s="1" t="s">
        <v>1533</v>
      </c>
      <c r="N98" s="1" t="s">
        <v>110</v>
      </c>
      <c r="O98" s="1" t="s">
        <v>110</v>
      </c>
      <c r="P98" s="1" t="s">
        <v>110</v>
      </c>
      <c r="Q98" s="5">
        <v>45391</v>
      </c>
      <c r="R98" s="1"/>
      <c r="S98" s="1"/>
      <c r="T98" s="1"/>
      <c r="U98" s="1"/>
      <c r="V98" s="1" t="s">
        <v>2146</v>
      </c>
      <c r="W98" s="4">
        <v>1</v>
      </c>
      <c r="X98" s="6">
        <v>4042.5</v>
      </c>
      <c r="Y98" s="1" t="s">
        <v>1516</v>
      </c>
      <c r="Z98" s="1">
        <v>150</v>
      </c>
      <c r="AA98" s="6">
        <v>26.95</v>
      </c>
      <c r="AB98" s="1" t="s">
        <v>2174</v>
      </c>
      <c r="AC98" s="1" t="s">
        <v>2162</v>
      </c>
      <c r="AD98" s="1" t="s">
        <v>1100</v>
      </c>
      <c r="AE98" s="1" t="s">
        <v>1522</v>
      </c>
      <c r="AF98" s="1" t="s">
        <v>1186</v>
      </c>
      <c r="AG98" s="1" t="s">
        <v>1522</v>
      </c>
      <c r="AH98" s="6">
        <v>4042.5</v>
      </c>
      <c r="AI98" s="6">
        <v>26.95</v>
      </c>
      <c r="AJ98" s="1" t="s">
        <v>1514</v>
      </c>
      <c r="AK98" s="1"/>
      <c r="AL98" s="1"/>
      <c r="AM98" s="1" t="s">
        <v>1514</v>
      </c>
      <c r="AN98" s="1" t="s">
        <v>853</v>
      </c>
      <c r="AO98" s="1"/>
      <c r="AP98" s="1" t="s">
        <v>58</v>
      </c>
      <c r="AQ98" s="1"/>
      <c r="AR98" s="1"/>
      <c r="AS98" s="2"/>
      <c r="AT98" s="1"/>
      <c r="AU98" s="1"/>
      <c r="AV98" s="1"/>
      <c r="AW98" s="1" t="s">
        <v>2152</v>
      </c>
      <c r="AX98" s="7">
        <v>45391.654915207502</v>
      </c>
      <c r="AY98" s="1" t="s">
        <v>249</v>
      </c>
      <c r="AZ98" s="6">
        <v>4042.5</v>
      </c>
      <c r="BA98" s="5">
        <v>45391</v>
      </c>
      <c r="BB98" s="5">
        <v>45412</v>
      </c>
      <c r="BC98" s="5">
        <v>45391</v>
      </c>
      <c r="BD98" s="5">
        <v>45391</v>
      </c>
      <c r="BE98" s="7">
        <v>45657</v>
      </c>
      <c r="BF98" s="1" t="s">
        <v>2170</v>
      </c>
      <c r="BG98" s="1"/>
      <c r="BH98" s="1"/>
      <c r="BI98" s="1" t="s">
        <v>108</v>
      </c>
    </row>
    <row r="99" spans="1:61" x14ac:dyDescent="0.25">
      <c r="A99" s="4">
        <v>94</v>
      </c>
      <c r="B99" s="2" t="str">
        <f>HYPERLINK("https://my.zakupivli.pro/remote/dispatcher/state_purchase_view/50170791", "UA-2024-04-02-011113-a")</f>
        <v>UA-2024-04-02-011113-a</v>
      </c>
      <c r="C99" s="2" t="s">
        <v>1516</v>
      </c>
      <c r="D99" s="1" t="s">
        <v>1277</v>
      </c>
      <c r="E99" s="1" t="s">
        <v>1277</v>
      </c>
      <c r="F99" s="1" t="s">
        <v>603</v>
      </c>
      <c r="G99" s="1" t="s">
        <v>1034</v>
      </c>
      <c r="H99" s="1" t="s">
        <v>1218</v>
      </c>
      <c r="I99" s="1" t="s">
        <v>2094</v>
      </c>
      <c r="J99" s="1" t="s">
        <v>1145</v>
      </c>
      <c r="K99" s="1" t="s">
        <v>947</v>
      </c>
      <c r="L99" s="1" t="s">
        <v>1533</v>
      </c>
      <c r="M99" s="1" t="s">
        <v>1533</v>
      </c>
      <c r="N99" s="1" t="s">
        <v>110</v>
      </c>
      <c r="O99" s="1" t="s">
        <v>110</v>
      </c>
      <c r="P99" s="1" t="s">
        <v>110</v>
      </c>
      <c r="Q99" s="5">
        <v>45384</v>
      </c>
      <c r="R99" s="1"/>
      <c r="S99" s="1"/>
      <c r="T99" s="1"/>
      <c r="U99" s="1"/>
      <c r="V99" s="1" t="s">
        <v>2146</v>
      </c>
      <c r="W99" s="4">
        <v>1</v>
      </c>
      <c r="X99" s="6">
        <v>26529.1</v>
      </c>
      <c r="Y99" s="1" t="s">
        <v>1516</v>
      </c>
      <c r="Z99" s="1">
        <v>1</v>
      </c>
      <c r="AA99" s="6">
        <v>26529.1</v>
      </c>
      <c r="AB99" s="1" t="s">
        <v>2167</v>
      </c>
      <c r="AC99" s="1" t="s">
        <v>2162</v>
      </c>
      <c r="AD99" s="1" t="s">
        <v>1100</v>
      </c>
      <c r="AE99" s="1" t="s">
        <v>1522</v>
      </c>
      <c r="AF99" s="1" t="s">
        <v>1186</v>
      </c>
      <c r="AG99" s="1" t="s">
        <v>1522</v>
      </c>
      <c r="AH99" s="6">
        <v>26529.1</v>
      </c>
      <c r="AI99" s="6">
        <v>26529.1</v>
      </c>
      <c r="AJ99" s="1" t="s">
        <v>2091</v>
      </c>
      <c r="AK99" s="1"/>
      <c r="AL99" s="1"/>
      <c r="AM99" s="1" t="s">
        <v>2091</v>
      </c>
      <c r="AN99" s="1" t="s">
        <v>943</v>
      </c>
      <c r="AO99" s="1"/>
      <c r="AP99" s="1" t="s">
        <v>51</v>
      </c>
      <c r="AQ99" s="1"/>
      <c r="AR99" s="1"/>
      <c r="AS99" s="2"/>
      <c r="AT99" s="1"/>
      <c r="AU99" s="1"/>
      <c r="AV99" s="1"/>
      <c r="AW99" s="1" t="s">
        <v>2152</v>
      </c>
      <c r="AX99" s="7">
        <v>45384.705107787486</v>
      </c>
      <c r="AY99" s="1"/>
      <c r="AZ99" s="6">
        <v>26529.1</v>
      </c>
      <c r="BA99" s="1"/>
      <c r="BB99" s="5">
        <v>45627</v>
      </c>
      <c r="BC99" s="5">
        <v>45384</v>
      </c>
      <c r="BD99" s="5">
        <v>45384</v>
      </c>
      <c r="BE99" s="7">
        <v>45405</v>
      </c>
      <c r="BF99" s="1" t="s">
        <v>2170</v>
      </c>
      <c r="BG99" s="1"/>
      <c r="BH99" s="1"/>
      <c r="BI99" s="1" t="s">
        <v>108</v>
      </c>
    </row>
    <row r="100" spans="1:61" x14ac:dyDescent="0.25">
      <c r="A100" s="4">
        <v>95</v>
      </c>
      <c r="B100" s="2" t="str">
        <f>HYPERLINK("https://my.zakupivli.pro/remote/dispatcher/state_purchase_view/50169401", "UA-2024-04-02-010446-a")</f>
        <v>UA-2024-04-02-010446-a</v>
      </c>
      <c r="C100" s="2" t="s">
        <v>1516</v>
      </c>
      <c r="D100" s="1" t="s">
        <v>1836</v>
      </c>
      <c r="E100" s="1" t="s">
        <v>1836</v>
      </c>
      <c r="F100" s="1" t="s">
        <v>603</v>
      </c>
      <c r="G100" s="1" t="s">
        <v>1034</v>
      </c>
      <c r="H100" s="1" t="s">
        <v>1218</v>
      </c>
      <c r="I100" s="1" t="s">
        <v>2094</v>
      </c>
      <c r="J100" s="1" t="s">
        <v>1145</v>
      </c>
      <c r="K100" s="1" t="s">
        <v>947</v>
      </c>
      <c r="L100" s="1" t="s">
        <v>1533</v>
      </c>
      <c r="M100" s="1" t="s">
        <v>1533</v>
      </c>
      <c r="N100" s="1" t="s">
        <v>110</v>
      </c>
      <c r="O100" s="1" t="s">
        <v>110</v>
      </c>
      <c r="P100" s="1" t="s">
        <v>110</v>
      </c>
      <c r="Q100" s="5">
        <v>45384</v>
      </c>
      <c r="R100" s="1"/>
      <c r="S100" s="1"/>
      <c r="T100" s="1"/>
      <c r="U100" s="1"/>
      <c r="V100" s="1" t="s">
        <v>2146</v>
      </c>
      <c r="W100" s="4">
        <v>1</v>
      </c>
      <c r="X100" s="6">
        <v>95504.76</v>
      </c>
      <c r="Y100" s="1" t="s">
        <v>1516</v>
      </c>
      <c r="Z100" s="1">
        <v>1</v>
      </c>
      <c r="AA100" s="6">
        <v>95504.76</v>
      </c>
      <c r="AB100" s="1" t="s">
        <v>2167</v>
      </c>
      <c r="AC100" s="1" t="s">
        <v>2162</v>
      </c>
      <c r="AD100" s="1" t="s">
        <v>1100</v>
      </c>
      <c r="AE100" s="1" t="s">
        <v>1522</v>
      </c>
      <c r="AF100" s="1" t="s">
        <v>1186</v>
      </c>
      <c r="AG100" s="1" t="s">
        <v>1522</v>
      </c>
      <c r="AH100" s="6">
        <v>95504.76</v>
      </c>
      <c r="AI100" s="6">
        <v>95504.76</v>
      </c>
      <c r="AJ100" s="1" t="s">
        <v>2091</v>
      </c>
      <c r="AK100" s="1"/>
      <c r="AL100" s="1"/>
      <c r="AM100" s="1" t="s">
        <v>2091</v>
      </c>
      <c r="AN100" s="1" t="s">
        <v>943</v>
      </c>
      <c r="AO100" s="1"/>
      <c r="AP100" s="1" t="s">
        <v>51</v>
      </c>
      <c r="AQ100" s="1"/>
      <c r="AR100" s="1"/>
      <c r="AS100" s="2"/>
      <c r="AT100" s="1"/>
      <c r="AU100" s="1"/>
      <c r="AV100" s="1"/>
      <c r="AW100" s="1" t="s">
        <v>2152</v>
      </c>
      <c r="AX100" s="7">
        <v>45384.684191060383</v>
      </c>
      <c r="AY100" s="1"/>
      <c r="AZ100" s="6">
        <v>95504.76</v>
      </c>
      <c r="BA100" s="1"/>
      <c r="BB100" s="5">
        <v>45627</v>
      </c>
      <c r="BC100" s="5">
        <v>45384</v>
      </c>
      <c r="BD100" s="5">
        <v>45384</v>
      </c>
      <c r="BE100" s="7">
        <v>45657</v>
      </c>
      <c r="BF100" s="1" t="s">
        <v>2170</v>
      </c>
      <c r="BG100" s="1"/>
      <c r="BH100" s="1"/>
      <c r="BI100" s="1" t="s">
        <v>108</v>
      </c>
    </row>
    <row r="101" spans="1:61" x14ac:dyDescent="0.25">
      <c r="A101" s="4">
        <v>96</v>
      </c>
      <c r="B101" s="2" t="str">
        <f>HYPERLINK("https://my.zakupivli.pro/remote/dispatcher/state_purchase_view/50142660", "UA-2024-04-01-009948-a")</f>
        <v>UA-2024-04-01-009948-a</v>
      </c>
      <c r="C101" s="2" t="s">
        <v>1516</v>
      </c>
      <c r="D101" s="1" t="s">
        <v>1971</v>
      </c>
      <c r="E101" s="1" t="s">
        <v>1207</v>
      </c>
      <c r="F101" s="1" t="s">
        <v>603</v>
      </c>
      <c r="G101" s="1" t="s">
        <v>934</v>
      </c>
      <c r="H101" s="1" t="s">
        <v>1218</v>
      </c>
      <c r="I101" s="1" t="s">
        <v>2094</v>
      </c>
      <c r="J101" s="1" t="s">
        <v>1145</v>
      </c>
      <c r="K101" s="1" t="s">
        <v>947</v>
      </c>
      <c r="L101" s="1" t="s">
        <v>1533</v>
      </c>
      <c r="M101" s="1" t="s">
        <v>1533</v>
      </c>
      <c r="N101" s="1" t="s">
        <v>110</v>
      </c>
      <c r="O101" s="1" t="s">
        <v>110</v>
      </c>
      <c r="P101" s="1" t="s">
        <v>110</v>
      </c>
      <c r="Q101" s="5">
        <v>45383</v>
      </c>
      <c r="R101" s="1"/>
      <c r="S101" s="1"/>
      <c r="T101" s="1"/>
      <c r="U101" s="1"/>
      <c r="V101" s="1" t="s">
        <v>2146</v>
      </c>
      <c r="W101" s="4">
        <v>1</v>
      </c>
      <c r="X101" s="6">
        <v>5929</v>
      </c>
      <c r="Y101" s="1" t="s">
        <v>1516</v>
      </c>
      <c r="Z101" s="1">
        <v>3</v>
      </c>
      <c r="AA101" s="6">
        <v>1976.33</v>
      </c>
      <c r="AB101" s="1" t="s">
        <v>2157</v>
      </c>
      <c r="AC101" s="1" t="s">
        <v>2162</v>
      </c>
      <c r="AD101" s="1" t="s">
        <v>1100</v>
      </c>
      <c r="AE101" s="1" t="s">
        <v>2094</v>
      </c>
      <c r="AF101" s="1" t="s">
        <v>1186</v>
      </c>
      <c r="AG101" s="1" t="s">
        <v>1522</v>
      </c>
      <c r="AH101" s="6">
        <v>5929</v>
      </c>
      <c r="AI101" s="6">
        <v>1976.3333333333333</v>
      </c>
      <c r="AJ101" s="1" t="s">
        <v>2053</v>
      </c>
      <c r="AK101" s="1"/>
      <c r="AL101" s="1"/>
      <c r="AM101" s="1" t="s">
        <v>2053</v>
      </c>
      <c r="AN101" s="1" t="s">
        <v>752</v>
      </c>
      <c r="AO101" s="1"/>
      <c r="AP101" s="1" t="s">
        <v>37</v>
      </c>
      <c r="AQ101" s="1"/>
      <c r="AR101" s="1"/>
      <c r="AS101" s="2"/>
      <c r="AT101" s="1"/>
      <c r="AU101" s="1"/>
      <c r="AV101" s="1"/>
      <c r="AW101" s="1" t="s">
        <v>2152</v>
      </c>
      <c r="AX101" s="7">
        <v>45383.692395739352</v>
      </c>
      <c r="AY101" s="1" t="s">
        <v>1194</v>
      </c>
      <c r="AZ101" s="6">
        <v>5929</v>
      </c>
      <c r="BA101" s="5">
        <v>45383</v>
      </c>
      <c r="BB101" s="5">
        <v>45383</v>
      </c>
      <c r="BC101" s="5">
        <v>45383</v>
      </c>
      <c r="BD101" s="5">
        <v>45383</v>
      </c>
      <c r="BE101" s="7">
        <v>45657</v>
      </c>
      <c r="BF101" s="1" t="s">
        <v>2170</v>
      </c>
      <c r="BG101" s="1"/>
      <c r="BH101" s="1"/>
      <c r="BI101" s="1" t="s">
        <v>108</v>
      </c>
    </row>
    <row r="102" spans="1:61" x14ac:dyDescent="0.25">
      <c r="A102" s="4">
        <v>97</v>
      </c>
      <c r="B102" s="2" t="str">
        <f>HYPERLINK("https://my.zakupivli.pro/remote/dispatcher/state_purchase_view/49973533", "UA-2024-03-22-005439-a")</f>
        <v>UA-2024-03-22-005439-a</v>
      </c>
      <c r="C102" s="2" t="s">
        <v>1516</v>
      </c>
      <c r="D102" s="1" t="s">
        <v>2001</v>
      </c>
      <c r="E102" s="1" t="s">
        <v>1566</v>
      </c>
      <c r="F102" s="1" t="s">
        <v>603</v>
      </c>
      <c r="G102" s="1" t="s">
        <v>726</v>
      </c>
      <c r="H102" s="1" t="s">
        <v>1218</v>
      </c>
      <c r="I102" s="1" t="s">
        <v>2094</v>
      </c>
      <c r="J102" s="1" t="s">
        <v>1145</v>
      </c>
      <c r="K102" s="1" t="s">
        <v>947</v>
      </c>
      <c r="L102" s="1" t="s">
        <v>1533</v>
      </c>
      <c r="M102" s="1" t="s">
        <v>1533</v>
      </c>
      <c r="N102" s="1" t="s">
        <v>110</v>
      </c>
      <c r="O102" s="1" t="s">
        <v>110</v>
      </c>
      <c r="P102" s="1" t="s">
        <v>110</v>
      </c>
      <c r="Q102" s="5">
        <v>45373</v>
      </c>
      <c r="R102" s="1"/>
      <c r="S102" s="1"/>
      <c r="T102" s="1"/>
      <c r="U102" s="1"/>
      <c r="V102" s="1" t="s">
        <v>2146</v>
      </c>
      <c r="W102" s="4">
        <v>1</v>
      </c>
      <c r="X102" s="6">
        <v>1000</v>
      </c>
      <c r="Y102" s="1" t="s">
        <v>1516</v>
      </c>
      <c r="Z102" s="1">
        <v>100</v>
      </c>
      <c r="AA102" s="6">
        <v>10</v>
      </c>
      <c r="AB102" s="1" t="s">
        <v>2157</v>
      </c>
      <c r="AC102" s="1" t="s">
        <v>2162</v>
      </c>
      <c r="AD102" s="1" t="s">
        <v>1100</v>
      </c>
      <c r="AE102" s="1" t="s">
        <v>1522</v>
      </c>
      <c r="AF102" s="1" t="s">
        <v>1186</v>
      </c>
      <c r="AG102" s="1" t="s">
        <v>1522</v>
      </c>
      <c r="AH102" s="6">
        <v>1000</v>
      </c>
      <c r="AI102" s="6">
        <v>10</v>
      </c>
      <c r="AJ102" s="1" t="s">
        <v>2008</v>
      </c>
      <c r="AK102" s="1"/>
      <c r="AL102" s="1"/>
      <c r="AM102" s="1" t="s">
        <v>2008</v>
      </c>
      <c r="AN102" s="1" t="s">
        <v>720</v>
      </c>
      <c r="AO102" s="1"/>
      <c r="AP102" s="1" t="s">
        <v>92</v>
      </c>
      <c r="AQ102" s="1"/>
      <c r="AR102" s="1"/>
      <c r="AS102" s="2"/>
      <c r="AT102" s="1"/>
      <c r="AU102" s="1"/>
      <c r="AV102" s="1"/>
      <c r="AW102" s="1" t="s">
        <v>2152</v>
      </c>
      <c r="AX102" s="7">
        <v>45373.517045425462</v>
      </c>
      <c r="AY102" s="1" t="s">
        <v>208</v>
      </c>
      <c r="AZ102" s="6">
        <v>1000</v>
      </c>
      <c r="BA102" s="5">
        <v>45372</v>
      </c>
      <c r="BB102" s="5">
        <v>45382</v>
      </c>
      <c r="BC102" s="5">
        <v>45372</v>
      </c>
      <c r="BD102" s="5">
        <v>45372</v>
      </c>
      <c r="BE102" s="7">
        <v>45657</v>
      </c>
      <c r="BF102" s="1" t="s">
        <v>2170</v>
      </c>
      <c r="BG102" s="1"/>
      <c r="BH102" s="1"/>
      <c r="BI102" s="1" t="s">
        <v>108</v>
      </c>
    </row>
    <row r="103" spans="1:61" x14ac:dyDescent="0.25">
      <c r="A103" s="4">
        <v>98</v>
      </c>
      <c r="B103" s="2" t="str">
        <f>HYPERLINK("https://my.zakupivli.pro/remote/dispatcher/state_purchase_view/49704925", "UA-2024-03-11-006697-a")</f>
        <v>UA-2024-03-11-006697-a</v>
      </c>
      <c r="C103" s="2" t="s">
        <v>1516</v>
      </c>
      <c r="D103" s="1" t="s">
        <v>1673</v>
      </c>
      <c r="E103" s="1" t="s">
        <v>2098</v>
      </c>
      <c r="F103" s="1" t="s">
        <v>603</v>
      </c>
      <c r="G103" s="1" t="s">
        <v>991</v>
      </c>
      <c r="H103" s="1" t="s">
        <v>1218</v>
      </c>
      <c r="I103" s="1" t="s">
        <v>2094</v>
      </c>
      <c r="J103" s="1" t="s">
        <v>1145</v>
      </c>
      <c r="K103" s="1" t="s">
        <v>947</v>
      </c>
      <c r="L103" s="1" t="s">
        <v>1533</v>
      </c>
      <c r="M103" s="1" t="s">
        <v>1533</v>
      </c>
      <c r="N103" s="1" t="s">
        <v>110</v>
      </c>
      <c r="O103" s="1" t="s">
        <v>110</v>
      </c>
      <c r="P103" s="1" t="s">
        <v>110</v>
      </c>
      <c r="Q103" s="5">
        <v>45362</v>
      </c>
      <c r="R103" s="1"/>
      <c r="S103" s="1"/>
      <c r="T103" s="1"/>
      <c r="U103" s="1"/>
      <c r="V103" s="1" t="s">
        <v>2146</v>
      </c>
      <c r="W103" s="4">
        <v>1</v>
      </c>
      <c r="X103" s="6">
        <v>2000</v>
      </c>
      <c r="Y103" s="1" t="s">
        <v>1516</v>
      </c>
      <c r="Z103" s="1">
        <v>5</v>
      </c>
      <c r="AA103" s="6">
        <v>400</v>
      </c>
      <c r="AB103" s="1" t="s">
        <v>2157</v>
      </c>
      <c r="AC103" s="1" t="s">
        <v>2162</v>
      </c>
      <c r="AD103" s="1" t="s">
        <v>1100</v>
      </c>
      <c r="AE103" s="1" t="s">
        <v>1522</v>
      </c>
      <c r="AF103" s="1" t="s">
        <v>1186</v>
      </c>
      <c r="AG103" s="1" t="s">
        <v>1522</v>
      </c>
      <c r="AH103" s="6">
        <v>2000</v>
      </c>
      <c r="AI103" s="6">
        <v>400</v>
      </c>
      <c r="AJ103" s="1" t="s">
        <v>2026</v>
      </c>
      <c r="AK103" s="1"/>
      <c r="AL103" s="1"/>
      <c r="AM103" s="1" t="s">
        <v>2026</v>
      </c>
      <c r="AN103" s="1" t="s">
        <v>818</v>
      </c>
      <c r="AO103" s="1"/>
      <c r="AP103" s="1" t="s">
        <v>17</v>
      </c>
      <c r="AQ103" s="1"/>
      <c r="AR103" s="1"/>
      <c r="AS103" s="2"/>
      <c r="AT103" s="1"/>
      <c r="AU103" s="1"/>
      <c r="AV103" s="1"/>
      <c r="AW103" s="1" t="s">
        <v>2152</v>
      </c>
      <c r="AX103" s="7">
        <v>45362.598610941066</v>
      </c>
      <c r="AY103" s="1" t="s">
        <v>180</v>
      </c>
      <c r="AZ103" s="6">
        <v>2000</v>
      </c>
      <c r="BA103" s="5">
        <v>45362</v>
      </c>
      <c r="BB103" s="5">
        <v>45382</v>
      </c>
      <c r="BC103" s="5">
        <v>45362</v>
      </c>
      <c r="BD103" s="5">
        <v>45362</v>
      </c>
      <c r="BE103" s="7">
        <v>45657</v>
      </c>
      <c r="BF103" s="1" t="s">
        <v>2170</v>
      </c>
      <c r="BG103" s="1"/>
      <c r="BH103" s="1"/>
      <c r="BI103" s="1" t="s">
        <v>108</v>
      </c>
    </row>
    <row r="104" spans="1:61" x14ac:dyDescent="0.25">
      <c r="A104" s="4">
        <v>99</v>
      </c>
      <c r="B104" s="2" t="str">
        <f>HYPERLINK("https://my.zakupivli.pro/remote/dispatcher/state_purchase_view/49710974", "UA-2024-03-11-009333-a")</f>
        <v>UA-2024-03-11-009333-a</v>
      </c>
      <c r="C104" s="2" t="s">
        <v>1516</v>
      </c>
      <c r="D104" s="1" t="s">
        <v>1674</v>
      </c>
      <c r="E104" s="1" t="s">
        <v>1219</v>
      </c>
      <c r="F104" s="1" t="s">
        <v>603</v>
      </c>
      <c r="G104" s="1" t="s">
        <v>991</v>
      </c>
      <c r="H104" s="1" t="s">
        <v>1218</v>
      </c>
      <c r="I104" s="1" t="s">
        <v>2094</v>
      </c>
      <c r="J104" s="1" t="s">
        <v>1145</v>
      </c>
      <c r="K104" s="1" t="s">
        <v>947</v>
      </c>
      <c r="L104" s="1" t="s">
        <v>1533</v>
      </c>
      <c r="M104" s="1" t="s">
        <v>1533</v>
      </c>
      <c r="N104" s="1" t="s">
        <v>110</v>
      </c>
      <c r="O104" s="1" t="s">
        <v>110</v>
      </c>
      <c r="P104" s="1" t="s">
        <v>110</v>
      </c>
      <c r="Q104" s="5">
        <v>45362</v>
      </c>
      <c r="R104" s="1"/>
      <c r="S104" s="1"/>
      <c r="T104" s="1"/>
      <c r="U104" s="1"/>
      <c r="V104" s="1" t="s">
        <v>2146</v>
      </c>
      <c r="W104" s="4">
        <v>1</v>
      </c>
      <c r="X104" s="6">
        <v>2600</v>
      </c>
      <c r="Y104" s="1" t="s">
        <v>1516</v>
      </c>
      <c r="Z104" s="1">
        <v>2</v>
      </c>
      <c r="AA104" s="6">
        <v>1300</v>
      </c>
      <c r="AB104" s="1" t="s">
        <v>2167</v>
      </c>
      <c r="AC104" s="1" t="s">
        <v>2162</v>
      </c>
      <c r="AD104" s="1" t="s">
        <v>1100</v>
      </c>
      <c r="AE104" s="1" t="s">
        <v>1522</v>
      </c>
      <c r="AF104" s="1" t="s">
        <v>1186</v>
      </c>
      <c r="AG104" s="1" t="s">
        <v>1522</v>
      </c>
      <c r="AH104" s="6">
        <v>2600</v>
      </c>
      <c r="AI104" s="6">
        <v>1300</v>
      </c>
      <c r="AJ104" s="1" t="s">
        <v>2026</v>
      </c>
      <c r="AK104" s="1"/>
      <c r="AL104" s="1"/>
      <c r="AM104" s="1" t="s">
        <v>2026</v>
      </c>
      <c r="AN104" s="1" t="s">
        <v>818</v>
      </c>
      <c r="AO104" s="1"/>
      <c r="AP104" s="1" t="s">
        <v>98</v>
      </c>
      <c r="AQ104" s="1"/>
      <c r="AR104" s="1"/>
      <c r="AS104" s="2"/>
      <c r="AT104" s="1"/>
      <c r="AU104" s="1"/>
      <c r="AV104" s="1"/>
      <c r="AW104" s="1" t="s">
        <v>2152</v>
      </c>
      <c r="AX104" s="7">
        <v>45362.652800474862</v>
      </c>
      <c r="AY104" s="1" t="s">
        <v>166</v>
      </c>
      <c r="AZ104" s="6">
        <v>2600</v>
      </c>
      <c r="BA104" s="5">
        <v>45362</v>
      </c>
      <c r="BB104" s="5">
        <v>45382</v>
      </c>
      <c r="BC104" s="5">
        <v>45362</v>
      </c>
      <c r="BD104" s="5">
        <v>45362</v>
      </c>
      <c r="BE104" s="7">
        <v>45657</v>
      </c>
      <c r="BF104" s="1" t="s">
        <v>2170</v>
      </c>
      <c r="BG104" s="1"/>
      <c r="BH104" s="1"/>
      <c r="BI104" s="1" t="s">
        <v>108</v>
      </c>
    </row>
    <row r="105" spans="1:61" x14ac:dyDescent="0.25">
      <c r="A105" s="4">
        <v>100</v>
      </c>
      <c r="B105" s="2" t="str">
        <f>HYPERLINK("https://my.zakupivli.pro/remote/dispatcher/state_purchase_view/49698268", "UA-2024-03-11-003810-a")</f>
        <v>UA-2024-03-11-003810-a</v>
      </c>
      <c r="C105" s="2" t="s">
        <v>1516</v>
      </c>
      <c r="D105" s="1" t="s">
        <v>2101</v>
      </c>
      <c r="E105" s="1" t="s">
        <v>1202</v>
      </c>
      <c r="F105" s="1" t="s">
        <v>603</v>
      </c>
      <c r="G105" s="1" t="s">
        <v>957</v>
      </c>
      <c r="H105" s="1" t="s">
        <v>1218</v>
      </c>
      <c r="I105" s="1" t="s">
        <v>2094</v>
      </c>
      <c r="J105" s="1" t="s">
        <v>1145</v>
      </c>
      <c r="K105" s="1" t="s">
        <v>947</v>
      </c>
      <c r="L105" s="1" t="s">
        <v>1533</v>
      </c>
      <c r="M105" s="1" t="s">
        <v>1533</v>
      </c>
      <c r="N105" s="1" t="s">
        <v>110</v>
      </c>
      <c r="O105" s="1" t="s">
        <v>110</v>
      </c>
      <c r="P105" s="1" t="s">
        <v>110</v>
      </c>
      <c r="Q105" s="5">
        <v>45362</v>
      </c>
      <c r="R105" s="1"/>
      <c r="S105" s="1"/>
      <c r="T105" s="1"/>
      <c r="U105" s="1"/>
      <c r="V105" s="1" t="s">
        <v>2146</v>
      </c>
      <c r="W105" s="4">
        <v>1</v>
      </c>
      <c r="X105" s="6">
        <v>20000</v>
      </c>
      <c r="Y105" s="1" t="s">
        <v>1516</v>
      </c>
      <c r="Z105" s="1">
        <v>2</v>
      </c>
      <c r="AA105" s="6">
        <v>10000</v>
      </c>
      <c r="AB105" s="1" t="s">
        <v>2157</v>
      </c>
      <c r="AC105" s="1" t="s">
        <v>2162</v>
      </c>
      <c r="AD105" s="1" t="s">
        <v>1100</v>
      </c>
      <c r="AE105" s="1" t="s">
        <v>2094</v>
      </c>
      <c r="AF105" s="1" t="s">
        <v>1186</v>
      </c>
      <c r="AG105" s="1" t="s">
        <v>1522</v>
      </c>
      <c r="AH105" s="6">
        <v>20000</v>
      </c>
      <c r="AI105" s="6">
        <v>10000</v>
      </c>
      <c r="AJ105" s="1" t="s">
        <v>2077</v>
      </c>
      <c r="AK105" s="1"/>
      <c r="AL105" s="1"/>
      <c r="AM105" s="1" t="s">
        <v>2077</v>
      </c>
      <c r="AN105" s="1" t="s">
        <v>840</v>
      </c>
      <c r="AO105" s="1"/>
      <c r="AP105" s="1" t="s">
        <v>38</v>
      </c>
      <c r="AQ105" s="1"/>
      <c r="AR105" s="1"/>
      <c r="AS105" s="2"/>
      <c r="AT105" s="1"/>
      <c r="AU105" s="1"/>
      <c r="AV105" s="1"/>
      <c r="AW105" s="1" t="s">
        <v>2152</v>
      </c>
      <c r="AX105" s="7">
        <v>45362.487384641849</v>
      </c>
      <c r="AY105" s="1" t="s">
        <v>154</v>
      </c>
      <c r="AZ105" s="6">
        <v>20000</v>
      </c>
      <c r="BA105" s="5">
        <v>45362</v>
      </c>
      <c r="BB105" s="5">
        <v>45380</v>
      </c>
      <c r="BC105" s="5">
        <v>45362</v>
      </c>
      <c r="BD105" s="5">
        <v>45362</v>
      </c>
      <c r="BE105" s="7">
        <v>45657</v>
      </c>
      <c r="BF105" s="1" t="s">
        <v>2170</v>
      </c>
      <c r="BG105" s="1"/>
      <c r="BH105" s="1"/>
      <c r="BI105" s="1" t="s">
        <v>108</v>
      </c>
    </row>
    <row r="106" spans="1:61" x14ac:dyDescent="0.25">
      <c r="A106" s="4">
        <v>101</v>
      </c>
      <c r="B106" s="2" t="str">
        <f>HYPERLINK("https://my.zakupivli.pro/remote/dispatcher/state_purchase_view/49482798", "UA-2024-02-28-008296-a")</f>
        <v>UA-2024-02-28-008296-a</v>
      </c>
      <c r="C106" s="2" t="str">
        <f>HYPERLINK("https://my.zakupivli.pro/remote/dispatcher/state_purchase_lot_view/1218584", "UA-2024-02-28-008296-a-L1")</f>
        <v>UA-2024-02-28-008296-a-L1</v>
      </c>
      <c r="D106" s="1" t="s">
        <v>1866</v>
      </c>
      <c r="E106" s="1" t="s">
        <v>1865</v>
      </c>
      <c r="F106" s="1" t="s">
        <v>603</v>
      </c>
      <c r="G106" s="1" t="s">
        <v>1075</v>
      </c>
      <c r="H106" s="1" t="s">
        <v>1185</v>
      </c>
      <c r="I106" s="1" t="s">
        <v>2094</v>
      </c>
      <c r="J106" s="1" t="s">
        <v>1145</v>
      </c>
      <c r="K106" s="1" t="s">
        <v>947</v>
      </c>
      <c r="L106" s="1" t="s">
        <v>1533</v>
      </c>
      <c r="M106" s="1" t="s">
        <v>1533</v>
      </c>
      <c r="N106" s="1" t="s">
        <v>110</v>
      </c>
      <c r="O106" s="1" t="s">
        <v>110</v>
      </c>
      <c r="P106" s="1" t="s">
        <v>110</v>
      </c>
      <c r="Q106" s="5">
        <v>45350</v>
      </c>
      <c r="R106" s="1" t="s">
        <v>620</v>
      </c>
      <c r="S106" s="1" t="s">
        <v>622</v>
      </c>
      <c r="T106" s="5">
        <v>45350</v>
      </c>
      <c r="U106" s="5">
        <v>45358</v>
      </c>
      <c r="V106" s="1" t="s">
        <v>2147</v>
      </c>
      <c r="W106" s="4">
        <v>1</v>
      </c>
      <c r="X106" s="6">
        <v>516645</v>
      </c>
      <c r="Y106" s="6">
        <v>516645</v>
      </c>
      <c r="Z106" s="1">
        <v>1</v>
      </c>
      <c r="AA106" s="6">
        <v>516645</v>
      </c>
      <c r="AB106" s="1" t="s">
        <v>2167</v>
      </c>
      <c r="AC106" s="6">
        <v>2583.23</v>
      </c>
      <c r="AD106" s="1" t="s">
        <v>1100</v>
      </c>
      <c r="AE106" s="1" t="s">
        <v>2094</v>
      </c>
      <c r="AF106" s="1" t="s">
        <v>1186</v>
      </c>
      <c r="AG106" s="1" t="s">
        <v>1522</v>
      </c>
      <c r="AH106" s="6">
        <v>516645</v>
      </c>
      <c r="AI106" s="6">
        <v>516645</v>
      </c>
      <c r="AJ106" s="1" t="s">
        <v>2032</v>
      </c>
      <c r="AK106" s="1"/>
      <c r="AL106" s="1"/>
      <c r="AM106" s="1" t="s">
        <v>2032</v>
      </c>
      <c r="AN106" s="1" t="s">
        <v>968</v>
      </c>
      <c r="AO106" s="1" t="s">
        <v>1106</v>
      </c>
      <c r="AP106" s="1" t="s">
        <v>55</v>
      </c>
      <c r="AQ106" s="1"/>
      <c r="AR106" s="1"/>
      <c r="AS106" s="2"/>
      <c r="AT106" s="7">
        <v>45363.703574404026</v>
      </c>
      <c r="AU106" s="1" t="s">
        <v>624</v>
      </c>
      <c r="AV106" s="1" t="s">
        <v>625</v>
      </c>
      <c r="AW106" s="1" t="s">
        <v>2151</v>
      </c>
      <c r="AX106" s="7">
        <v>45369.54123466515</v>
      </c>
      <c r="AY106" s="1" t="s">
        <v>192</v>
      </c>
      <c r="AZ106" s="6">
        <v>516645</v>
      </c>
      <c r="BA106" s="1"/>
      <c r="BB106" s="5">
        <v>45536</v>
      </c>
      <c r="BC106" s="5">
        <v>45369</v>
      </c>
      <c r="BD106" s="5">
        <v>45369</v>
      </c>
      <c r="BE106" s="7">
        <v>45657</v>
      </c>
      <c r="BF106" s="1" t="s">
        <v>2170</v>
      </c>
      <c r="BG106" s="1"/>
      <c r="BH106" s="1"/>
      <c r="BI106" s="1" t="s">
        <v>969</v>
      </c>
    </row>
    <row r="107" spans="1:61" x14ac:dyDescent="0.25">
      <c r="A107" s="4">
        <v>102</v>
      </c>
      <c r="B107" s="2" t="str">
        <f>HYPERLINK("https://my.zakupivli.pro/remote/dispatcher/state_purchase_view/49458811", "UA-2024-02-27-009515-a")</f>
        <v>UA-2024-02-27-009515-a</v>
      </c>
      <c r="C107" s="2" t="s">
        <v>1516</v>
      </c>
      <c r="D107" s="1" t="s">
        <v>1687</v>
      </c>
      <c r="E107" s="1" t="s">
        <v>1696</v>
      </c>
      <c r="F107" s="1" t="s">
        <v>603</v>
      </c>
      <c r="G107" s="1" t="s">
        <v>990</v>
      </c>
      <c r="H107" s="1" t="s">
        <v>1218</v>
      </c>
      <c r="I107" s="1" t="s">
        <v>2094</v>
      </c>
      <c r="J107" s="1" t="s">
        <v>1145</v>
      </c>
      <c r="K107" s="1" t="s">
        <v>947</v>
      </c>
      <c r="L107" s="1" t="s">
        <v>1533</v>
      </c>
      <c r="M107" s="1" t="s">
        <v>1533</v>
      </c>
      <c r="N107" s="1" t="s">
        <v>110</v>
      </c>
      <c r="O107" s="1" t="s">
        <v>110</v>
      </c>
      <c r="P107" s="1" t="s">
        <v>110</v>
      </c>
      <c r="Q107" s="5">
        <v>45349</v>
      </c>
      <c r="R107" s="1"/>
      <c r="S107" s="1"/>
      <c r="T107" s="1"/>
      <c r="U107" s="1"/>
      <c r="V107" s="1" t="s">
        <v>2146</v>
      </c>
      <c r="W107" s="4">
        <v>1</v>
      </c>
      <c r="X107" s="6">
        <v>720</v>
      </c>
      <c r="Y107" s="1" t="s">
        <v>1516</v>
      </c>
      <c r="Z107" s="1">
        <v>1</v>
      </c>
      <c r="AA107" s="6">
        <v>720</v>
      </c>
      <c r="AB107" s="1" t="s">
        <v>2167</v>
      </c>
      <c r="AC107" s="1" t="s">
        <v>2162</v>
      </c>
      <c r="AD107" s="1" t="s">
        <v>1100</v>
      </c>
      <c r="AE107" s="1" t="s">
        <v>2094</v>
      </c>
      <c r="AF107" s="1" t="s">
        <v>1186</v>
      </c>
      <c r="AG107" s="1" t="s">
        <v>1522</v>
      </c>
      <c r="AH107" s="6">
        <v>720</v>
      </c>
      <c r="AI107" s="6">
        <v>720</v>
      </c>
      <c r="AJ107" s="1" t="s">
        <v>2055</v>
      </c>
      <c r="AK107" s="1"/>
      <c r="AL107" s="1"/>
      <c r="AM107" s="1" t="s">
        <v>2055</v>
      </c>
      <c r="AN107" s="1" t="s">
        <v>961</v>
      </c>
      <c r="AO107" s="1"/>
      <c r="AP107" s="1" t="s">
        <v>102</v>
      </c>
      <c r="AQ107" s="1"/>
      <c r="AR107" s="1"/>
      <c r="AS107" s="2"/>
      <c r="AT107" s="1"/>
      <c r="AU107" s="1"/>
      <c r="AV107" s="1"/>
      <c r="AW107" s="1" t="s">
        <v>2152</v>
      </c>
      <c r="AX107" s="7">
        <v>45349.653554194592</v>
      </c>
      <c r="AY107" s="1" t="s">
        <v>1031</v>
      </c>
      <c r="AZ107" s="6">
        <v>720</v>
      </c>
      <c r="BA107" s="5">
        <v>45348</v>
      </c>
      <c r="BB107" s="5">
        <v>45349</v>
      </c>
      <c r="BC107" s="5">
        <v>45348</v>
      </c>
      <c r="BD107" s="5">
        <v>45348</v>
      </c>
      <c r="BE107" s="7">
        <v>45657</v>
      </c>
      <c r="BF107" s="1" t="s">
        <v>2170</v>
      </c>
      <c r="BG107" s="1"/>
      <c r="BH107" s="1"/>
      <c r="BI107" s="1" t="s">
        <v>108</v>
      </c>
    </row>
    <row r="108" spans="1:61" x14ac:dyDescent="0.25">
      <c r="A108" s="4">
        <v>103</v>
      </c>
      <c r="B108" s="2" t="str">
        <f>HYPERLINK("https://my.zakupivli.pro/remote/dispatcher/state_purchase_view/49451305", "UA-2024-02-27-005882-a")</f>
        <v>UA-2024-02-27-005882-a</v>
      </c>
      <c r="C108" s="2" t="s">
        <v>1516</v>
      </c>
      <c r="D108" s="1" t="s">
        <v>1203</v>
      </c>
      <c r="E108" s="1" t="s">
        <v>1967</v>
      </c>
      <c r="F108" s="1" t="s">
        <v>603</v>
      </c>
      <c r="G108" s="1" t="s">
        <v>854</v>
      </c>
      <c r="H108" s="1" t="s">
        <v>1218</v>
      </c>
      <c r="I108" s="1" t="s">
        <v>2094</v>
      </c>
      <c r="J108" s="1" t="s">
        <v>1145</v>
      </c>
      <c r="K108" s="1" t="s">
        <v>947</v>
      </c>
      <c r="L108" s="1" t="s">
        <v>1533</v>
      </c>
      <c r="M108" s="1" t="s">
        <v>1533</v>
      </c>
      <c r="N108" s="1" t="s">
        <v>110</v>
      </c>
      <c r="O108" s="1" t="s">
        <v>110</v>
      </c>
      <c r="P108" s="1" t="s">
        <v>110</v>
      </c>
      <c r="Q108" s="5">
        <v>45349</v>
      </c>
      <c r="R108" s="1"/>
      <c r="S108" s="1"/>
      <c r="T108" s="1"/>
      <c r="U108" s="1"/>
      <c r="V108" s="1" t="s">
        <v>2146</v>
      </c>
      <c r="W108" s="4">
        <v>1</v>
      </c>
      <c r="X108" s="6">
        <v>4480</v>
      </c>
      <c r="Y108" s="1" t="s">
        <v>1516</v>
      </c>
      <c r="Z108" s="1">
        <v>32</v>
      </c>
      <c r="AA108" s="6">
        <v>140</v>
      </c>
      <c r="AB108" s="1" t="s">
        <v>2175</v>
      </c>
      <c r="AC108" s="1" t="s">
        <v>2162</v>
      </c>
      <c r="AD108" s="1" t="s">
        <v>1100</v>
      </c>
      <c r="AE108" s="1" t="s">
        <v>1522</v>
      </c>
      <c r="AF108" s="1" t="s">
        <v>1186</v>
      </c>
      <c r="AG108" s="1" t="s">
        <v>1522</v>
      </c>
      <c r="AH108" s="6">
        <v>4480</v>
      </c>
      <c r="AI108" s="6">
        <v>140</v>
      </c>
      <c r="AJ108" s="1" t="s">
        <v>2124</v>
      </c>
      <c r="AK108" s="1"/>
      <c r="AL108" s="1"/>
      <c r="AM108" s="1" t="s">
        <v>2124</v>
      </c>
      <c r="AN108" s="1" t="s">
        <v>766</v>
      </c>
      <c r="AO108" s="1"/>
      <c r="AP108" s="1" t="s">
        <v>101</v>
      </c>
      <c r="AQ108" s="1"/>
      <c r="AR108" s="1"/>
      <c r="AS108" s="2"/>
      <c r="AT108" s="1"/>
      <c r="AU108" s="1"/>
      <c r="AV108" s="1"/>
      <c r="AW108" s="1" t="s">
        <v>2152</v>
      </c>
      <c r="AX108" s="7">
        <v>45349.560656053742</v>
      </c>
      <c r="AY108" s="1" t="s">
        <v>1057</v>
      </c>
      <c r="AZ108" s="6">
        <v>4480</v>
      </c>
      <c r="BA108" s="1"/>
      <c r="BB108" s="5">
        <v>45349</v>
      </c>
      <c r="BC108" s="5">
        <v>45348</v>
      </c>
      <c r="BD108" s="5">
        <v>45348</v>
      </c>
      <c r="BE108" s="7">
        <v>45657</v>
      </c>
      <c r="BF108" s="1" t="s">
        <v>2170</v>
      </c>
      <c r="BG108" s="1"/>
      <c r="BH108" s="1"/>
      <c r="BI108" s="1" t="s">
        <v>108</v>
      </c>
    </row>
    <row r="109" spans="1:61" x14ac:dyDescent="0.25">
      <c r="A109" s="4">
        <v>104</v>
      </c>
      <c r="B109" s="2" t="str">
        <f>HYPERLINK("https://my.zakupivli.pro/remote/dispatcher/state_purchase_view/49394023", "UA-2024-02-23-007557-a")</f>
        <v>UA-2024-02-23-007557-a</v>
      </c>
      <c r="C109" s="2" t="s">
        <v>1516</v>
      </c>
      <c r="D109" s="1" t="s">
        <v>1699</v>
      </c>
      <c r="E109" s="1" t="s">
        <v>1697</v>
      </c>
      <c r="F109" s="1" t="s">
        <v>603</v>
      </c>
      <c r="G109" s="1" t="s">
        <v>990</v>
      </c>
      <c r="H109" s="1" t="s">
        <v>1218</v>
      </c>
      <c r="I109" s="1" t="s">
        <v>2094</v>
      </c>
      <c r="J109" s="1" t="s">
        <v>1145</v>
      </c>
      <c r="K109" s="1" t="s">
        <v>947</v>
      </c>
      <c r="L109" s="1" t="s">
        <v>1533</v>
      </c>
      <c r="M109" s="1" t="s">
        <v>1533</v>
      </c>
      <c r="N109" s="1" t="s">
        <v>110</v>
      </c>
      <c r="O109" s="1" t="s">
        <v>110</v>
      </c>
      <c r="P109" s="1" t="s">
        <v>110</v>
      </c>
      <c r="Q109" s="5">
        <v>45345</v>
      </c>
      <c r="R109" s="1"/>
      <c r="S109" s="1"/>
      <c r="T109" s="1"/>
      <c r="U109" s="1"/>
      <c r="V109" s="1" t="s">
        <v>2146</v>
      </c>
      <c r="W109" s="4">
        <v>1</v>
      </c>
      <c r="X109" s="6">
        <v>17448</v>
      </c>
      <c r="Y109" s="1" t="s">
        <v>1516</v>
      </c>
      <c r="Z109" s="1">
        <v>1</v>
      </c>
      <c r="AA109" s="6">
        <v>17448</v>
      </c>
      <c r="AB109" s="1" t="s">
        <v>2167</v>
      </c>
      <c r="AC109" s="1" t="s">
        <v>2162</v>
      </c>
      <c r="AD109" s="1" t="s">
        <v>1100</v>
      </c>
      <c r="AE109" s="1" t="s">
        <v>2094</v>
      </c>
      <c r="AF109" s="1" t="s">
        <v>1186</v>
      </c>
      <c r="AG109" s="1" t="s">
        <v>1522</v>
      </c>
      <c r="AH109" s="6">
        <v>17448</v>
      </c>
      <c r="AI109" s="6">
        <v>17448</v>
      </c>
      <c r="AJ109" s="1" t="s">
        <v>2055</v>
      </c>
      <c r="AK109" s="1"/>
      <c r="AL109" s="1"/>
      <c r="AM109" s="1" t="s">
        <v>2055</v>
      </c>
      <c r="AN109" s="1" t="s">
        <v>961</v>
      </c>
      <c r="AO109" s="1"/>
      <c r="AP109" s="1" t="s">
        <v>102</v>
      </c>
      <c r="AQ109" s="1"/>
      <c r="AR109" s="1"/>
      <c r="AS109" s="2"/>
      <c r="AT109" s="1"/>
      <c r="AU109" s="1"/>
      <c r="AV109" s="1"/>
      <c r="AW109" s="1" t="s">
        <v>2152</v>
      </c>
      <c r="AX109" s="7">
        <v>45345.581038550095</v>
      </c>
      <c r="AY109" s="1" t="s">
        <v>892</v>
      </c>
      <c r="AZ109" s="6">
        <v>17448</v>
      </c>
      <c r="BA109" s="5">
        <v>45343</v>
      </c>
      <c r="BB109" s="5">
        <v>45345</v>
      </c>
      <c r="BC109" s="5">
        <v>45343</v>
      </c>
      <c r="BD109" s="5">
        <v>45343</v>
      </c>
      <c r="BE109" s="7">
        <v>45657</v>
      </c>
      <c r="BF109" s="1" t="s">
        <v>2170</v>
      </c>
      <c r="BG109" s="1"/>
      <c r="BH109" s="1"/>
      <c r="BI109" s="1" t="s">
        <v>108</v>
      </c>
    </row>
    <row r="110" spans="1:61" x14ac:dyDescent="0.25">
      <c r="A110" s="4">
        <v>105</v>
      </c>
      <c r="B110" s="2" t="str">
        <f>HYPERLINK("https://my.zakupivli.pro/remote/dispatcher/state_purchase_view/49308272", "UA-2024-02-20-012907-a")</f>
        <v>UA-2024-02-20-012907-a</v>
      </c>
      <c r="C110" s="2" t="s">
        <v>1516</v>
      </c>
      <c r="D110" s="1" t="s">
        <v>1699</v>
      </c>
      <c r="E110" s="1" t="s">
        <v>1691</v>
      </c>
      <c r="F110" s="1" t="s">
        <v>603</v>
      </c>
      <c r="G110" s="1" t="s">
        <v>990</v>
      </c>
      <c r="H110" s="1" t="s">
        <v>1218</v>
      </c>
      <c r="I110" s="1" t="s">
        <v>2094</v>
      </c>
      <c r="J110" s="1" t="s">
        <v>1145</v>
      </c>
      <c r="K110" s="1" t="s">
        <v>947</v>
      </c>
      <c r="L110" s="1" t="s">
        <v>1533</v>
      </c>
      <c r="M110" s="1" t="s">
        <v>1533</v>
      </c>
      <c r="N110" s="1" t="s">
        <v>110</v>
      </c>
      <c r="O110" s="1" t="s">
        <v>110</v>
      </c>
      <c r="P110" s="1" t="s">
        <v>110</v>
      </c>
      <c r="Q110" s="5">
        <v>45342</v>
      </c>
      <c r="R110" s="1"/>
      <c r="S110" s="1"/>
      <c r="T110" s="1"/>
      <c r="U110" s="1"/>
      <c r="V110" s="1" t="s">
        <v>2146</v>
      </c>
      <c r="W110" s="4">
        <v>1</v>
      </c>
      <c r="X110" s="6">
        <v>38850</v>
      </c>
      <c r="Y110" s="1" t="s">
        <v>1516</v>
      </c>
      <c r="Z110" s="1">
        <v>1</v>
      </c>
      <c r="AA110" s="6">
        <v>38850</v>
      </c>
      <c r="AB110" s="1" t="s">
        <v>2167</v>
      </c>
      <c r="AC110" s="1" t="s">
        <v>2162</v>
      </c>
      <c r="AD110" s="1" t="s">
        <v>1100</v>
      </c>
      <c r="AE110" s="1" t="s">
        <v>2094</v>
      </c>
      <c r="AF110" s="1" t="s">
        <v>1186</v>
      </c>
      <c r="AG110" s="1" t="s">
        <v>1522</v>
      </c>
      <c r="AH110" s="6">
        <v>38850</v>
      </c>
      <c r="AI110" s="6">
        <v>38850</v>
      </c>
      <c r="AJ110" s="1" t="s">
        <v>2085</v>
      </c>
      <c r="AK110" s="1"/>
      <c r="AL110" s="1"/>
      <c r="AM110" s="1" t="s">
        <v>2085</v>
      </c>
      <c r="AN110" s="1" t="s">
        <v>803</v>
      </c>
      <c r="AO110" s="1"/>
      <c r="AP110" s="1" t="s">
        <v>28</v>
      </c>
      <c r="AQ110" s="1"/>
      <c r="AR110" s="1"/>
      <c r="AS110" s="2"/>
      <c r="AT110" s="1"/>
      <c r="AU110" s="1"/>
      <c r="AV110" s="1"/>
      <c r="AW110" s="1" t="s">
        <v>2152</v>
      </c>
      <c r="AX110" s="7">
        <v>45342.717542196842</v>
      </c>
      <c r="AY110" s="1" t="s">
        <v>799</v>
      </c>
      <c r="AZ110" s="6">
        <v>38850</v>
      </c>
      <c r="BA110" s="5">
        <v>45338</v>
      </c>
      <c r="BB110" s="5">
        <v>45344</v>
      </c>
      <c r="BC110" s="5">
        <v>45338</v>
      </c>
      <c r="BD110" s="5">
        <v>45338</v>
      </c>
      <c r="BE110" s="7">
        <v>45657</v>
      </c>
      <c r="BF110" s="1" t="s">
        <v>2170</v>
      </c>
      <c r="BG110" s="1"/>
      <c r="BH110" s="1"/>
      <c r="BI110" s="1" t="s">
        <v>108</v>
      </c>
    </row>
    <row r="111" spans="1:61" x14ac:dyDescent="0.25">
      <c r="A111" s="4">
        <v>106</v>
      </c>
      <c r="B111" s="2" t="str">
        <f>HYPERLINK("https://my.zakupivli.pro/remote/dispatcher/state_purchase_view/49265583", "UA-2024-02-19-008076-a")</f>
        <v>UA-2024-02-19-008076-a</v>
      </c>
      <c r="C111" s="2" t="s">
        <v>1516</v>
      </c>
      <c r="D111" s="1" t="s">
        <v>1704</v>
      </c>
      <c r="E111" s="1" t="s">
        <v>1704</v>
      </c>
      <c r="F111" s="1" t="s">
        <v>603</v>
      </c>
      <c r="G111" s="1" t="s">
        <v>1074</v>
      </c>
      <c r="H111" s="1" t="s">
        <v>1218</v>
      </c>
      <c r="I111" s="1" t="s">
        <v>2094</v>
      </c>
      <c r="J111" s="1" t="s">
        <v>1145</v>
      </c>
      <c r="K111" s="1" t="s">
        <v>947</v>
      </c>
      <c r="L111" s="1" t="s">
        <v>1533</v>
      </c>
      <c r="M111" s="1" t="s">
        <v>1533</v>
      </c>
      <c r="N111" s="1" t="s">
        <v>110</v>
      </c>
      <c r="O111" s="1" t="s">
        <v>110</v>
      </c>
      <c r="P111" s="1" t="s">
        <v>110</v>
      </c>
      <c r="Q111" s="5">
        <v>45341</v>
      </c>
      <c r="R111" s="1"/>
      <c r="S111" s="1"/>
      <c r="T111" s="1"/>
      <c r="U111" s="1"/>
      <c r="V111" s="1" t="s">
        <v>2146</v>
      </c>
      <c r="W111" s="4">
        <v>1</v>
      </c>
      <c r="X111" s="6">
        <v>19912.95</v>
      </c>
      <c r="Y111" s="1" t="s">
        <v>1516</v>
      </c>
      <c r="Z111" s="1">
        <v>116.6</v>
      </c>
      <c r="AA111" s="6">
        <v>170.78</v>
      </c>
      <c r="AB111" s="1" t="s">
        <v>2161</v>
      </c>
      <c r="AC111" s="1" t="s">
        <v>2162</v>
      </c>
      <c r="AD111" s="1" t="s">
        <v>1100</v>
      </c>
      <c r="AE111" s="1" t="s">
        <v>2094</v>
      </c>
      <c r="AF111" s="1" t="s">
        <v>1186</v>
      </c>
      <c r="AG111" s="1" t="s">
        <v>1522</v>
      </c>
      <c r="AH111" s="6">
        <v>19912.95</v>
      </c>
      <c r="AI111" s="6">
        <v>171.66336206896551</v>
      </c>
      <c r="AJ111" s="1" t="s">
        <v>2073</v>
      </c>
      <c r="AK111" s="1"/>
      <c r="AL111" s="1"/>
      <c r="AM111" s="1" t="s">
        <v>2073</v>
      </c>
      <c r="AN111" s="1" t="s">
        <v>933</v>
      </c>
      <c r="AO111" s="1"/>
      <c r="AP111" s="1" t="s">
        <v>64</v>
      </c>
      <c r="AQ111" s="1"/>
      <c r="AR111" s="1"/>
      <c r="AS111" s="2"/>
      <c r="AT111" s="1"/>
      <c r="AU111" s="1"/>
      <c r="AV111" s="1"/>
      <c r="AW111" s="1" t="s">
        <v>2152</v>
      </c>
      <c r="AX111" s="7">
        <v>45341.603518292002</v>
      </c>
      <c r="AY111" s="1" t="s">
        <v>1495</v>
      </c>
      <c r="AZ111" s="6">
        <v>19912.95</v>
      </c>
      <c r="BA111" s="5">
        <v>45292</v>
      </c>
      <c r="BB111" s="5">
        <v>45657</v>
      </c>
      <c r="BC111" s="5">
        <v>45341</v>
      </c>
      <c r="BD111" s="5">
        <v>45292</v>
      </c>
      <c r="BE111" s="7">
        <v>45657</v>
      </c>
      <c r="BF111" s="1" t="s">
        <v>2170</v>
      </c>
      <c r="BG111" s="1"/>
      <c r="BH111" s="1"/>
      <c r="BI111" s="1" t="s">
        <v>108</v>
      </c>
    </row>
    <row r="112" spans="1:61" x14ac:dyDescent="0.25">
      <c r="A112" s="4">
        <v>107</v>
      </c>
      <c r="B112" s="2" t="str">
        <f>HYPERLINK("https://my.zakupivli.pro/remote/dispatcher/state_purchase_view/49276131", "UA-2024-02-19-013007-a")</f>
        <v>UA-2024-02-19-013007-a</v>
      </c>
      <c r="C112" s="2" t="str">
        <f>HYPERLINK("https://my.zakupivli.pro/remote/dispatcher/state_purchase_lot_view/1210057", "UA-2024-02-19-013007-a-L1")</f>
        <v>UA-2024-02-19-013007-a-L1</v>
      </c>
      <c r="D112" s="1" t="s">
        <v>1866</v>
      </c>
      <c r="E112" s="1" t="s">
        <v>1865</v>
      </c>
      <c r="F112" s="1" t="s">
        <v>603</v>
      </c>
      <c r="G112" s="1" t="s">
        <v>1075</v>
      </c>
      <c r="H112" s="1" t="s">
        <v>1185</v>
      </c>
      <c r="I112" s="1" t="s">
        <v>2094</v>
      </c>
      <c r="J112" s="1" t="s">
        <v>1145</v>
      </c>
      <c r="K112" s="1" t="s">
        <v>947</v>
      </c>
      <c r="L112" s="1" t="s">
        <v>1533</v>
      </c>
      <c r="M112" s="1" t="s">
        <v>1533</v>
      </c>
      <c r="N112" s="1" t="s">
        <v>110</v>
      </c>
      <c r="O112" s="1" t="s">
        <v>110</v>
      </c>
      <c r="P112" s="1" t="s">
        <v>110</v>
      </c>
      <c r="Q112" s="5">
        <v>45341</v>
      </c>
      <c r="R112" s="1" t="s">
        <v>616</v>
      </c>
      <c r="S112" s="1" t="s">
        <v>618</v>
      </c>
      <c r="T112" s="5">
        <v>45341</v>
      </c>
      <c r="U112" s="5">
        <v>45349</v>
      </c>
      <c r="V112" s="1" t="s">
        <v>2147</v>
      </c>
      <c r="W112" s="4">
        <v>0</v>
      </c>
      <c r="X112" s="6">
        <v>517691</v>
      </c>
      <c r="Y112" s="6">
        <v>517691</v>
      </c>
      <c r="Z112" s="1">
        <v>1</v>
      </c>
      <c r="AA112" s="6">
        <v>517691</v>
      </c>
      <c r="AB112" s="1" t="s">
        <v>2167</v>
      </c>
      <c r="AC112" s="6">
        <v>2588.46</v>
      </c>
      <c r="AD112" s="1" t="s">
        <v>1100</v>
      </c>
      <c r="AE112" s="1" t="s">
        <v>2094</v>
      </c>
      <c r="AF112" s="1" t="s">
        <v>1186</v>
      </c>
      <c r="AG112" s="1" t="s">
        <v>1522</v>
      </c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2"/>
      <c r="AT112" s="1"/>
      <c r="AU112" s="1"/>
      <c r="AV112" s="1"/>
      <c r="AW112" s="1" t="s">
        <v>2153</v>
      </c>
      <c r="AX112" s="7">
        <v>45349.000463661978</v>
      </c>
      <c r="AY112" s="1"/>
      <c r="AZ112" s="1"/>
      <c r="BA112" s="1"/>
      <c r="BB112" s="5">
        <v>45444</v>
      </c>
      <c r="BC112" s="1" t="s">
        <v>109</v>
      </c>
      <c r="BD112" s="1" t="s">
        <v>109</v>
      </c>
      <c r="BE112" s="1"/>
      <c r="BF112" s="1"/>
      <c r="BG112" s="1"/>
      <c r="BH112" s="1"/>
      <c r="BI112" s="1"/>
    </row>
    <row r="113" spans="1:61" x14ac:dyDescent="0.25">
      <c r="A113" s="4">
        <v>108</v>
      </c>
      <c r="B113" s="2" t="str">
        <f>HYPERLINK("https://my.zakupivli.pro/remote/dispatcher/state_purchase_view/49238713", "UA-2024-02-16-009241-a")</f>
        <v>UA-2024-02-16-009241-a</v>
      </c>
      <c r="C113" s="2" t="s">
        <v>1516</v>
      </c>
      <c r="D113" s="1" t="s">
        <v>1226</v>
      </c>
      <c r="E113" s="1" t="s">
        <v>1225</v>
      </c>
      <c r="F113" s="1" t="s">
        <v>603</v>
      </c>
      <c r="G113" s="1" t="s">
        <v>805</v>
      </c>
      <c r="H113" s="1" t="s">
        <v>1218</v>
      </c>
      <c r="I113" s="1" t="s">
        <v>2094</v>
      </c>
      <c r="J113" s="1" t="s">
        <v>1145</v>
      </c>
      <c r="K113" s="1" t="s">
        <v>947</v>
      </c>
      <c r="L113" s="1" t="s">
        <v>1533</v>
      </c>
      <c r="M113" s="1" t="s">
        <v>1533</v>
      </c>
      <c r="N113" s="1" t="s">
        <v>110</v>
      </c>
      <c r="O113" s="1" t="s">
        <v>110</v>
      </c>
      <c r="P113" s="1" t="s">
        <v>110</v>
      </c>
      <c r="Q113" s="5">
        <v>45338</v>
      </c>
      <c r="R113" s="1"/>
      <c r="S113" s="1"/>
      <c r="T113" s="1"/>
      <c r="U113" s="1"/>
      <c r="V113" s="1" t="s">
        <v>2146</v>
      </c>
      <c r="W113" s="4">
        <v>1</v>
      </c>
      <c r="X113" s="6">
        <v>7140</v>
      </c>
      <c r="Y113" s="1" t="s">
        <v>1516</v>
      </c>
      <c r="Z113" s="1">
        <v>7</v>
      </c>
      <c r="AA113" s="6">
        <v>1020</v>
      </c>
      <c r="AB113" s="1" t="s">
        <v>2175</v>
      </c>
      <c r="AC113" s="1" t="s">
        <v>2162</v>
      </c>
      <c r="AD113" s="1" t="s">
        <v>1100</v>
      </c>
      <c r="AE113" s="1" t="s">
        <v>1522</v>
      </c>
      <c r="AF113" s="1" t="s">
        <v>1186</v>
      </c>
      <c r="AG113" s="1" t="s">
        <v>1522</v>
      </c>
      <c r="AH113" s="6">
        <v>7140</v>
      </c>
      <c r="AI113" s="6">
        <v>1020</v>
      </c>
      <c r="AJ113" s="1" t="s">
        <v>2009</v>
      </c>
      <c r="AK113" s="1"/>
      <c r="AL113" s="1"/>
      <c r="AM113" s="1" t="s">
        <v>2009</v>
      </c>
      <c r="AN113" s="1" t="s">
        <v>847</v>
      </c>
      <c r="AO113" s="1"/>
      <c r="AP113" s="1" t="s">
        <v>40</v>
      </c>
      <c r="AQ113" s="1"/>
      <c r="AR113" s="1"/>
      <c r="AS113" s="2"/>
      <c r="AT113" s="1"/>
      <c r="AU113" s="1"/>
      <c r="AV113" s="1"/>
      <c r="AW113" s="1" t="s">
        <v>2152</v>
      </c>
      <c r="AX113" s="7">
        <v>45338.635279507071</v>
      </c>
      <c r="AY113" s="1" t="s">
        <v>947</v>
      </c>
      <c r="AZ113" s="6">
        <v>7140</v>
      </c>
      <c r="BA113" s="5">
        <v>45335</v>
      </c>
      <c r="BB113" s="5">
        <v>45335</v>
      </c>
      <c r="BC113" s="5">
        <v>45335</v>
      </c>
      <c r="BD113" s="5">
        <v>45335</v>
      </c>
      <c r="BE113" s="7">
        <v>45657</v>
      </c>
      <c r="BF113" s="1" t="s">
        <v>2170</v>
      </c>
      <c r="BG113" s="1"/>
      <c r="BH113" s="1"/>
      <c r="BI113" s="1" t="s">
        <v>108</v>
      </c>
    </row>
    <row r="114" spans="1:61" x14ac:dyDescent="0.25">
      <c r="A114" s="4">
        <v>109</v>
      </c>
      <c r="B114" s="2" t="str">
        <f>HYPERLINK("https://my.zakupivli.pro/remote/dispatcher/state_purchase_view/49151604", "UA-2024-02-13-011647-a")</f>
        <v>UA-2024-02-13-011647-a</v>
      </c>
      <c r="C114" s="2" t="str">
        <f>HYPERLINK("https://my.zakupivli.pro/remote/dispatcher/state_purchase_lot_view/1204900", "UA-2024-02-13-011647-a-L1")</f>
        <v>UA-2024-02-13-011647-a-L1</v>
      </c>
      <c r="D114" s="1" t="s">
        <v>1827</v>
      </c>
      <c r="E114" s="1" t="s">
        <v>1826</v>
      </c>
      <c r="F114" s="1" t="s">
        <v>603</v>
      </c>
      <c r="G114" s="1" t="s">
        <v>1052</v>
      </c>
      <c r="H114" s="1" t="s">
        <v>1185</v>
      </c>
      <c r="I114" s="1" t="s">
        <v>2094</v>
      </c>
      <c r="J114" s="1" t="s">
        <v>1145</v>
      </c>
      <c r="K114" s="1" t="s">
        <v>947</v>
      </c>
      <c r="L114" s="1" t="s">
        <v>1533</v>
      </c>
      <c r="M114" s="1" t="s">
        <v>1533</v>
      </c>
      <c r="N114" s="1" t="s">
        <v>110</v>
      </c>
      <c r="O114" s="1" t="s">
        <v>110</v>
      </c>
      <c r="P114" s="1" t="s">
        <v>110</v>
      </c>
      <c r="Q114" s="5">
        <v>45335</v>
      </c>
      <c r="R114" s="1" t="s">
        <v>614</v>
      </c>
      <c r="S114" s="1" t="s">
        <v>615</v>
      </c>
      <c r="T114" s="5">
        <v>45335</v>
      </c>
      <c r="U114" s="5">
        <v>45343</v>
      </c>
      <c r="V114" s="1" t="s">
        <v>2147</v>
      </c>
      <c r="W114" s="4">
        <v>1</v>
      </c>
      <c r="X114" s="6">
        <v>800000</v>
      </c>
      <c r="Y114" s="6">
        <v>800000</v>
      </c>
      <c r="Z114" s="1">
        <v>1</v>
      </c>
      <c r="AA114" s="6">
        <v>800000</v>
      </c>
      <c r="AB114" s="1" t="s">
        <v>2167</v>
      </c>
      <c r="AC114" s="6">
        <v>4000</v>
      </c>
      <c r="AD114" s="1" t="s">
        <v>1100</v>
      </c>
      <c r="AE114" s="1" t="s">
        <v>2094</v>
      </c>
      <c r="AF114" s="1" t="s">
        <v>1186</v>
      </c>
      <c r="AG114" s="1" t="s">
        <v>1522</v>
      </c>
      <c r="AH114" s="6">
        <v>799964.53</v>
      </c>
      <c r="AI114" s="6">
        <v>799964.53</v>
      </c>
      <c r="AJ114" s="1" t="s">
        <v>2122</v>
      </c>
      <c r="AK114" s="6">
        <v>35.46999999997206</v>
      </c>
      <c r="AL114" s="6">
        <v>4.4337499999965075E-5</v>
      </c>
      <c r="AM114" s="1" t="s">
        <v>2122</v>
      </c>
      <c r="AN114" s="1" t="s">
        <v>225</v>
      </c>
      <c r="AO114" s="1" t="s">
        <v>1128</v>
      </c>
      <c r="AP114" s="1" t="s">
        <v>24</v>
      </c>
      <c r="AQ114" s="6">
        <v>35.46999999997206</v>
      </c>
      <c r="AR114" s="6">
        <v>4.4337499999965075E-5</v>
      </c>
      <c r="AS114" s="2"/>
      <c r="AT114" s="7">
        <v>45343.667647288741</v>
      </c>
      <c r="AU114" s="1" t="s">
        <v>619</v>
      </c>
      <c r="AV114" s="1" t="s">
        <v>623</v>
      </c>
      <c r="AW114" s="1" t="s">
        <v>2151</v>
      </c>
      <c r="AX114" s="7">
        <v>45349.611558706121</v>
      </c>
      <c r="AY114" s="1" t="s">
        <v>1071</v>
      </c>
      <c r="AZ114" s="6">
        <v>799964.53</v>
      </c>
      <c r="BA114" s="1"/>
      <c r="BB114" s="5">
        <v>45367</v>
      </c>
      <c r="BC114" s="5">
        <v>45349</v>
      </c>
      <c r="BD114" s="5">
        <v>45349</v>
      </c>
      <c r="BE114" s="7">
        <v>45657</v>
      </c>
      <c r="BF114" s="1" t="s">
        <v>2170</v>
      </c>
      <c r="BG114" s="1"/>
      <c r="BH114" s="1"/>
      <c r="BI114" s="1" t="s">
        <v>226</v>
      </c>
    </row>
    <row r="115" spans="1:61" x14ac:dyDescent="0.25">
      <c r="A115" s="4">
        <v>110</v>
      </c>
      <c r="B115" s="2" t="str">
        <f>HYPERLINK("https://my.zakupivli.pro/remote/dispatcher/state_purchase_view/49015454", "UA-2024-02-07-012622-a")</f>
        <v>UA-2024-02-07-012622-a</v>
      </c>
      <c r="C115" s="2" t="str">
        <f>HYPERLINK("https://my.zakupivli.pro/remote/dispatcher/state_purchase_lot_view/1199912", "UA-2024-02-07-012622-a-L1")</f>
        <v>UA-2024-02-07-012622-a-L1</v>
      </c>
      <c r="D115" s="1" t="s">
        <v>1809</v>
      </c>
      <c r="E115" s="1" t="s">
        <v>1808</v>
      </c>
      <c r="F115" s="1" t="s">
        <v>603</v>
      </c>
      <c r="G115" s="1" t="s">
        <v>1074</v>
      </c>
      <c r="H115" s="1" t="s">
        <v>1185</v>
      </c>
      <c r="I115" s="1" t="s">
        <v>2094</v>
      </c>
      <c r="J115" s="1" t="s">
        <v>1145</v>
      </c>
      <c r="K115" s="1" t="s">
        <v>947</v>
      </c>
      <c r="L115" s="1" t="s">
        <v>1533</v>
      </c>
      <c r="M115" s="1" t="s">
        <v>1533</v>
      </c>
      <c r="N115" s="1" t="s">
        <v>110</v>
      </c>
      <c r="O115" s="1" t="s">
        <v>110</v>
      </c>
      <c r="P115" s="1" t="s">
        <v>110</v>
      </c>
      <c r="Q115" s="5">
        <v>45329</v>
      </c>
      <c r="R115" s="1" t="s">
        <v>611</v>
      </c>
      <c r="S115" s="1" t="s">
        <v>613</v>
      </c>
      <c r="T115" s="5">
        <v>45329</v>
      </c>
      <c r="U115" s="5">
        <v>45337</v>
      </c>
      <c r="V115" s="1" t="s">
        <v>2147</v>
      </c>
      <c r="W115" s="4">
        <v>1</v>
      </c>
      <c r="X115" s="6">
        <v>199750</v>
      </c>
      <c r="Y115" s="6">
        <v>199750</v>
      </c>
      <c r="Z115" s="1">
        <v>1</v>
      </c>
      <c r="AA115" s="6">
        <v>199750</v>
      </c>
      <c r="AB115" s="1" t="s">
        <v>2167</v>
      </c>
      <c r="AC115" s="6">
        <v>998.75</v>
      </c>
      <c r="AD115" s="1" t="s">
        <v>1100</v>
      </c>
      <c r="AE115" s="1" t="s">
        <v>2094</v>
      </c>
      <c r="AF115" s="1" t="s">
        <v>1186</v>
      </c>
      <c r="AG115" s="1" t="s">
        <v>1522</v>
      </c>
      <c r="AH115" s="6">
        <v>199750</v>
      </c>
      <c r="AI115" s="6">
        <v>199750</v>
      </c>
      <c r="AJ115" s="1" t="s">
        <v>2122</v>
      </c>
      <c r="AK115" s="1"/>
      <c r="AL115" s="1"/>
      <c r="AM115" s="1" t="s">
        <v>2122</v>
      </c>
      <c r="AN115" s="1" t="s">
        <v>225</v>
      </c>
      <c r="AO115" s="1" t="s">
        <v>1128</v>
      </c>
      <c r="AP115" s="1" t="s">
        <v>24</v>
      </c>
      <c r="AQ115" s="1"/>
      <c r="AR115" s="1"/>
      <c r="AS115" s="2"/>
      <c r="AT115" s="7">
        <v>45338.602960921067</v>
      </c>
      <c r="AU115" s="1" t="s">
        <v>617</v>
      </c>
      <c r="AV115" s="1" t="s">
        <v>621</v>
      </c>
      <c r="AW115" s="1" t="s">
        <v>2151</v>
      </c>
      <c r="AX115" s="7">
        <v>45344.440250154294</v>
      </c>
      <c r="AY115" s="1" t="s">
        <v>987</v>
      </c>
      <c r="AZ115" s="6">
        <v>199750</v>
      </c>
      <c r="BA115" s="1"/>
      <c r="BB115" s="5">
        <v>45646</v>
      </c>
      <c r="BC115" s="5">
        <v>45344</v>
      </c>
      <c r="BD115" s="5">
        <v>45344</v>
      </c>
      <c r="BE115" s="7">
        <v>45657</v>
      </c>
      <c r="BF115" s="1" t="s">
        <v>2170</v>
      </c>
      <c r="BG115" s="1"/>
      <c r="BH115" s="1"/>
      <c r="BI115" s="1" t="s">
        <v>226</v>
      </c>
    </row>
    <row r="116" spans="1:61" x14ac:dyDescent="0.25">
      <c r="A116" s="4">
        <v>111</v>
      </c>
      <c r="B116" s="2" t="str">
        <f>HYPERLINK("https://my.zakupivli.pro/remote/dispatcher/state_purchase_view/49009480", "UA-2024-02-07-009989-a")</f>
        <v>UA-2024-02-07-009989-a</v>
      </c>
      <c r="C116" s="2" t="str">
        <f>HYPERLINK("https://my.zakupivli.pro/remote/dispatcher/state_purchase_lot_view/1199681", "UA-2024-02-07-009989-a-L1")</f>
        <v>UA-2024-02-07-009989-a-L1</v>
      </c>
      <c r="D116" s="1" t="s">
        <v>1805</v>
      </c>
      <c r="E116" s="1" t="s">
        <v>1804</v>
      </c>
      <c r="F116" s="1" t="s">
        <v>603</v>
      </c>
      <c r="G116" s="1" t="s">
        <v>1074</v>
      </c>
      <c r="H116" s="1" t="s">
        <v>1185</v>
      </c>
      <c r="I116" s="1" t="s">
        <v>2094</v>
      </c>
      <c r="J116" s="1" t="s">
        <v>1145</v>
      </c>
      <c r="K116" s="1" t="s">
        <v>947</v>
      </c>
      <c r="L116" s="1" t="s">
        <v>1533</v>
      </c>
      <c r="M116" s="1" t="s">
        <v>1533</v>
      </c>
      <c r="N116" s="1" t="s">
        <v>110</v>
      </c>
      <c r="O116" s="1" t="s">
        <v>110</v>
      </c>
      <c r="P116" s="1" t="s">
        <v>110</v>
      </c>
      <c r="Q116" s="5">
        <v>45329</v>
      </c>
      <c r="R116" s="1" t="s">
        <v>611</v>
      </c>
      <c r="S116" s="1" t="s">
        <v>613</v>
      </c>
      <c r="T116" s="5">
        <v>45329</v>
      </c>
      <c r="U116" s="5">
        <v>45337</v>
      </c>
      <c r="V116" s="1" t="s">
        <v>2147</v>
      </c>
      <c r="W116" s="4">
        <v>1</v>
      </c>
      <c r="X116" s="6">
        <v>499610</v>
      </c>
      <c r="Y116" s="6">
        <v>499610</v>
      </c>
      <c r="Z116" s="1">
        <v>1</v>
      </c>
      <c r="AA116" s="6">
        <v>499610</v>
      </c>
      <c r="AB116" s="1" t="s">
        <v>2167</v>
      </c>
      <c r="AC116" s="6">
        <v>2498.0500000000002</v>
      </c>
      <c r="AD116" s="1" t="s">
        <v>1100</v>
      </c>
      <c r="AE116" s="1" t="s">
        <v>2094</v>
      </c>
      <c r="AF116" s="1" t="s">
        <v>1186</v>
      </c>
      <c r="AG116" s="1" t="s">
        <v>1522</v>
      </c>
      <c r="AH116" s="6">
        <v>499610</v>
      </c>
      <c r="AI116" s="6">
        <v>499610</v>
      </c>
      <c r="AJ116" s="1" t="s">
        <v>2122</v>
      </c>
      <c r="AK116" s="1"/>
      <c r="AL116" s="1"/>
      <c r="AM116" s="1" t="s">
        <v>2122</v>
      </c>
      <c r="AN116" s="1" t="s">
        <v>225</v>
      </c>
      <c r="AO116" s="1" t="s">
        <v>1128</v>
      </c>
      <c r="AP116" s="1" t="s">
        <v>24</v>
      </c>
      <c r="AQ116" s="1"/>
      <c r="AR116" s="1"/>
      <c r="AS116" s="2"/>
      <c r="AT116" s="7">
        <v>45338.605455890807</v>
      </c>
      <c r="AU116" s="1" t="s">
        <v>617</v>
      </c>
      <c r="AV116" s="1" t="s">
        <v>621</v>
      </c>
      <c r="AW116" s="1" t="s">
        <v>2151</v>
      </c>
      <c r="AX116" s="7">
        <v>45344.442323353935</v>
      </c>
      <c r="AY116" s="1" t="s">
        <v>1007</v>
      </c>
      <c r="AZ116" s="6">
        <v>499610</v>
      </c>
      <c r="BA116" s="1"/>
      <c r="BB116" s="5">
        <v>45646</v>
      </c>
      <c r="BC116" s="5">
        <v>45344</v>
      </c>
      <c r="BD116" s="5">
        <v>45344</v>
      </c>
      <c r="BE116" s="7">
        <v>45657</v>
      </c>
      <c r="BF116" s="1" t="s">
        <v>2170</v>
      </c>
      <c r="BG116" s="1"/>
      <c r="BH116" s="1"/>
      <c r="BI116" s="1" t="s">
        <v>226</v>
      </c>
    </row>
    <row r="117" spans="1:61" x14ac:dyDescent="0.25">
      <c r="A117" s="4">
        <v>112</v>
      </c>
      <c r="B117" s="2" t="str">
        <f>HYPERLINK("https://my.zakupivli.pro/remote/dispatcher/state_purchase_view/48891427", "UA-2024-02-02-005787-a")</f>
        <v>UA-2024-02-02-005787-a</v>
      </c>
      <c r="C117" s="2" t="s">
        <v>1516</v>
      </c>
      <c r="D117" s="1" t="s">
        <v>1709</v>
      </c>
      <c r="E117" s="1" t="s">
        <v>1659</v>
      </c>
      <c r="F117" s="1" t="s">
        <v>603</v>
      </c>
      <c r="G117" s="1" t="s">
        <v>1021</v>
      </c>
      <c r="H117" s="1" t="s">
        <v>1218</v>
      </c>
      <c r="I117" s="1" t="s">
        <v>2094</v>
      </c>
      <c r="J117" s="1" t="s">
        <v>1145</v>
      </c>
      <c r="K117" s="1" t="s">
        <v>947</v>
      </c>
      <c r="L117" s="1" t="s">
        <v>1533</v>
      </c>
      <c r="M117" s="1" t="s">
        <v>1533</v>
      </c>
      <c r="N117" s="1" t="s">
        <v>110</v>
      </c>
      <c r="O117" s="1" t="s">
        <v>110</v>
      </c>
      <c r="P117" s="1" t="s">
        <v>110</v>
      </c>
      <c r="Q117" s="5">
        <v>45324</v>
      </c>
      <c r="R117" s="1"/>
      <c r="S117" s="1"/>
      <c r="T117" s="1"/>
      <c r="U117" s="1"/>
      <c r="V117" s="1" t="s">
        <v>2146</v>
      </c>
      <c r="W117" s="4">
        <v>1</v>
      </c>
      <c r="X117" s="6">
        <v>90000</v>
      </c>
      <c r="Y117" s="1" t="s">
        <v>1516</v>
      </c>
      <c r="Z117" s="1">
        <v>1</v>
      </c>
      <c r="AA117" s="6">
        <v>90000</v>
      </c>
      <c r="AB117" s="1" t="s">
        <v>2167</v>
      </c>
      <c r="AC117" s="1" t="s">
        <v>2162</v>
      </c>
      <c r="AD117" s="1" t="s">
        <v>1100</v>
      </c>
      <c r="AE117" s="1" t="s">
        <v>2094</v>
      </c>
      <c r="AF117" s="1" t="s">
        <v>1186</v>
      </c>
      <c r="AG117" s="1" t="s">
        <v>1522</v>
      </c>
      <c r="AH117" s="6">
        <v>90000</v>
      </c>
      <c r="AI117" s="6">
        <v>90000</v>
      </c>
      <c r="AJ117" s="1" t="s">
        <v>1147</v>
      </c>
      <c r="AK117" s="1"/>
      <c r="AL117" s="1"/>
      <c r="AM117" s="1" t="s">
        <v>1147</v>
      </c>
      <c r="AN117" s="1" t="s">
        <v>706</v>
      </c>
      <c r="AO117" s="1"/>
      <c r="AP117" s="1" t="s">
        <v>77</v>
      </c>
      <c r="AQ117" s="1"/>
      <c r="AR117" s="1"/>
      <c r="AS117" s="2"/>
      <c r="AT117" s="1"/>
      <c r="AU117" s="1"/>
      <c r="AV117" s="1"/>
      <c r="AW117" s="1" t="s">
        <v>2152</v>
      </c>
      <c r="AX117" s="7">
        <v>45324.504703704573</v>
      </c>
      <c r="AY117" s="1" t="s">
        <v>1067</v>
      </c>
      <c r="AZ117" s="6">
        <v>90000</v>
      </c>
      <c r="BA117" s="5">
        <v>45292</v>
      </c>
      <c r="BB117" s="5">
        <v>45657</v>
      </c>
      <c r="BC117" s="5">
        <v>45322</v>
      </c>
      <c r="BD117" s="5">
        <v>45292</v>
      </c>
      <c r="BE117" s="7">
        <v>45657</v>
      </c>
      <c r="BF117" s="1" t="s">
        <v>2170</v>
      </c>
      <c r="BG117" s="1"/>
      <c r="BH117" s="1"/>
      <c r="BI117" s="1" t="s">
        <v>108</v>
      </c>
    </row>
    <row r="118" spans="1:61" x14ac:dyDescent="0.25">
      <c r="A118" s="4">
        <v>113</v>
      </c>
      <c r="B118" s="2" t="str">
        <f>HYPERLINK("https://my.zakupivli.pro/remote/dispatcher/state_purchase_view/48905864", "UA-2024-02-02-012961-a")</f>
        <v>UA-2024-02-02-012961-a</v>
      </c>
      <c r="C118" s="2" t="s">
        <v>1516</v>
      </c>
      <c r="D118" s="1" t="s">
        <v>2095</v>
      </c>
      <c r="E118" s="1" t="s">
        <v>2095</v>
      </c>
      <c r="F118" s="1" t="s">
        <v>603</v>
      </c>
      <c r="G118" s="1" t="s">
        <v>145</v>
      </c>
      <c r="H118" s="1" t="s">
        <v>1218</v>
      </c>
      <c r="I118" s="1" t="s">
        <v>2094</v>
      </c>
      <c r="J118" s="1" t="s">
        <v>1145</v>
      </c>
      <c r="K118" s="1" t="s">
        <v>947</v>
      </c>
      <c r="L118" s="1" t="s">
        <v>1533</v>
      </c>
      <c r="M118" s="1" t="s">
        <v>1533</v>
      </c>
      <c r="N118" s="1" t="s">
        <v>110</v>
      </c>
      <c r="O118" s="1" t="s">
        <v>110</v>
      </c>
      <c r="P118" s="1" t="s">
        <v>110</v>
      </c>
      <c r="Q118" s="5">
        <v>45324</v>
      </c>
      <c r="R118" s="1"/>
      <c r="S118" s="1"/>
      <c r="T118" s="1"/>
      <c r="U118" s="1"/>
      <c r="V118" s="1" t="s">
        <v>2146</v>
      </c>
      <c r="W118" s="4">
        <v>1</v>
      </c>
      <c r="X118" s="6">
        <v>1688930.93</v>
      </c>
      <c r="Y118" s="1" t="s">
        <v>1516</v>
      </c>
      <c r="Z118" s="1">
        <v>480.81799999999998</v>
      </c>
      <c r="AA118" s="6">
        <v>3512.62</v>
      </c>
      <c r="AB118" s="1" t="s">
        <v>2150</v>
      </c>
      <c r="AC118" s="1" t="s">
        <v>2162</v>
      </c>
      <c r="AD118" s="1" t="s">
        <v>1100</v>
      </c>
      <c r="AE118" s="1" t="s">
        <v>2094</v>
      </c>
      <c r="AF118" s="1" t="s">
        <v>1186</v>
      </c>
      <c r="AG118" s="1" t="s">
        <v>1522</v>
      </c>
      <c r="AH118" s="6">
        <v>1688930.93</v>
      </c>
      <c r="AI118" s="6">
        <v>3518.6061041666667</v>
      </c>
      <c r="AJ118" s="1" t="s">
        <v>2063</v>
      </c>
      <c r="AK118" s="1"/>
      <c r="AL118" s="1"/>
      <c r="AM118" s="1" t="s">
        <v>2063</v>
      </c>
      <c r="AN118" s="1" t="s">
        <v>908</v>
      </c>
      <c r="AO118" s="1"/>
      <c r="AP118" s="1" t="s">
        <v>48</v>
      </c>
      <c r="AQ118" s="1"/>
      <c r="AR118" s="1"/>
      <c r="AS118" s="2"/>
      <c r="AT118" s="1"/>
      <c r="AU118" s="1"/>
      <c r="AV118" s="1"/>
      <c r="AW118" s="1" t="s">
        <v>2152</v>
      </c>
      <c r="AX118" s="7">
        <v>45324.681902545904</v>
      </c>
      <c r="AY118" s="1" t="s">
        <v>1152</v>
      </c>
      <c r="AZ118" s="6">
        <v>1688930.93</v>
      </c>
      <c r="BA118" s="5">
        <v>45292</v>
      </c>
      <c r="BB118" s="5">
        <v>45657</v>
      </c>
      <c r="BC118" s="5">
        <v>45324</v>
      </c>
      <c r="BD118" s="5">
        <v>45292</v>
      </c>
      <c r="BE118" s="7">
        <v>45657</v>
      </c>
      <c r="BF118" s="1" t="s">
        <v>2170</v>
      </c>
      <c r="BG118" s="1"/>
      <c r="BH118" s="1"/>
      <c r="BI118" s="1" t="s">
        <v>108</v>
      </c>
    </row>
    <row r="119" spans="1:61" x14ac:dyDescent="0.25">
      <c r="A119" s="4">
        <v>114</v>
      </c>
      <c r="B119" s="2" t="str">
        <f>HYPERLINK("https://my.zakupivli.pro/remote/dispatcher/state_purchase_view/48897681", "UA-2024-02-02-008614-a")</f>
        <v>UA-2024-02-02-008614-a</v>
      </c>
      <c r="C119" s="2" t="str">
        <f>HYPERLINK("https://my.zakupivli.pro/remote/dispatcher/state_purchase_lot_view/1195719", "UA-2024-02-02-008614-a-L1")</f>
        <v>UA-2024-02-02-008614-a-L1</v>
      </c>
      <c r="D119" s="1" t="s">
        <v>1827</v>
      </c>
      <c r="E119" s="1" t="s">
        <v>1826</v>
      </c>
      <c r="F119" s="1" t="s">
        <v>603</v>
      </c>
      <c r="G119" s="1" t="s">
        <v>1052</v>
      </c>
      <c r="H119" s="1" t="s">
        <v>1185</v>
      </c>
      <c r="I119" s="1" t="s">
        <v>2094</v>
      </c>
      <c r="J119" s="1" t="s">
        <v>1145</v>
      </c>
      <c r="K119" s="1" t="s">
        <v>947</v>
      </c>
      <c r="L119" s="1" t="s">
        <v>1533</v>
      </c>
      <c r="M119" s="1" t="s">
        <v>1533</v>
      </c>
      <c r="N119" s="1" t="s">
        <v>110</v>
      </c>
      <c r="O119" s="1" t="s">
        <v>110</v>
      </c>
      <c r="P119" s="1" t="s">
        <v>110</v>
      </c>
      <c r="Q119" s="5">
        <v>45324</v>
      </c>
      <c r="R119" s="1" t="s">
        <v>610</v>
      </c>
      <c r="S119" s="1" t="s">
        <v>612</v>
      </c>
      <c r="T119" s="5">
        <v>45324</v>
      </c>
      <c r="U119" s="5">
        <v>45334</v>
      </c>
      <c r="V119" s="1" t="s">
        <v>2147</v>
      </c>
      <c r="W119" s="4">
        <v>1</v>
      </c>
      <c r="X119" s="6">
        <v>800000</v>
      </c>
      <c r="Y119" s="6">
        <v>800000</v>
      </c>
      <c r="Z119" s="1">
        <v>1</v>
      </c>
      <c r="AA119" s="6">
        <v>800000</v>
      </c>
      <c r="AB119" s="1" t="s">
        <v>2167</v>
      </c>
      <c r="AC119" s="6">
        <v>4000</v>
      </c>
      <c r="AD119" s="1" t="s">
        <v>1100</v>
      </c>
      <c r="AE119" s="1" t="s">
        <v>2094</v>
      </c>
      <c r="AF119" s="1" t="s">
        <v>1186</v>
      </c>
      <c r="AG119" s="1" t="s">
        <v>1522</v>
      </c>
      <c r="AH119" s="6">
        <v>799964.53</v>
      </c>
      <c r="AI119" s="6">
        <v>799964.53</v>
      </c>
      <c r="AJ119" s="1" t="s">
        <v>2122</v>
      </c>
      <c r="AK119" s="6">
        <v>35.46999999997206</v>
      </c>
      <c r="AL119" s="6">
        <v>4.4337499999965075E-5</v>
      </c>
      <c r="AM119" s="1"/>
      <c r="AN119" s="1"/>
      <c r="AO119" s="1"/>
      <c r="AP119" s="1"/>
      <c r="AQ119" s="1"/>
      <c r="AR119" s="1"/>
      <c r="AS119" s="2"/>
      <c r="AT119" s="7">
        <v>45335.5607631483</v>
      </c>
      <c r="AU119" s="1"/>
      <c r="AV119" s="1"/>
      <c r="AW119" s="1" t="s">
        <v>2153</v>
      </c>
      <c r="AX119" s="7">
        <v>45341.00332253558</v>
      </c>
      <c r="AY119" s="1"/>
      <c r="AZ119" s="1"/>
      <c r="BA119" s="1"/>
      <c r="BB119" s="5">
        <v>45367</v>
      </c>
      <c r="BC119" s="1" t="s">
        <v>109</v>
      </c>
      <c r="BD119" s="1" t="s">
        <v>109</v>
      </c>
      <c r="BE119" s="1"/>
      <c r="BF119" s="1"/>
      <c r="BG119" s="1"/>
      <c r="BH119" s="1"/>
      <c r="BI119" s="1" t="s">
        <v>226</v>
      </c>
    </row>
    <row r="120" spans="1:61" x14ac:dyDescent="0.25">
      <c r="A120" s="4">
        <v>115</v>
      </c>
      <c r="B120" s="2" t="str">
        <f>HYPERLINK("https://my.zakupivli.pro/remote/dispatcher/state_purchase_view/48887466", "UA-2024-02-02-003906-a")</f>
        <v>UA-2024-02-02-003906-a</v>
      </c>
      <c r="C120" s="2" t="s">
        <v>1516</v>
      </c>
      <c r="D120" s="1" t="s">
        <v>1656</v>
      </c>
      <c r="E120" s="1" t="s">
        <v>1657</v>
      </c>
      <c r="F120" s="1" t="s">
        <v>603</v>
      </c>
      <c r="G120" s="1" t="s">
        <v>1046</v>
      </c>
      <c r="H120" s="1" t="s">
        <v>1218</v>
      </c>
      <c r="I120" s="1" t="s">
        <v>2094</v>
      </c>
      <c r="J120" s="1" t="s">
        <v>1145</v>
      </c>
      <c r="K120" s="1" t="s">
        <v>947</v>
      </c>
      <c r="L120" s="1" t="s">
        <v>1533</v>
      </c>
      <c r="M120" s="1" t="s">
        <v>1533</v>
      </c>
      <c r="N120" s="1" t="s">
        <v>110</v>
      </c>
      <c r="O120" s="1" t="s">
        <v>110</v>
      </c>
      <c r="P120" s="1" t="s">
        <v>110</v>
      </c>
      <c r="Q120" s="5">
        <v>45324</v>
      </c>
      <c r="R120" s="1"/>
      <c r="S120" s="1"/>
      <c r="T120" s="1"/>
      <c r="U120" s="1"/>
      <c r="V120" s="1" t="s">
        <v>2146</v>
      </c>
      <c r="W120" s="4">
        <v>1</v>
      </c>
      <c r="X120" s="6">
        <v>3850</v>
      </c>
      <c r="Y120" s="1" t="s">
        <v>1516</v>
      </c>
      <c r="Z120" s="1">
        <v>1</v>
      </c>
      <c r="AA120" s="6">
        <v>3850</v>
      </c>
      <c r="AB120" s="1" t="s">
        <v>2167</v>
      </c>
      <c r="AC120" s="1" t="s">
        <v>2162</v>
      </c>
      <c r="AD120" s="1" t="s">
        <v>1100</v>
      </c>
      <c r="AE120" s="1" t="s">
        <v>1522</v>
      </c>
      <c r="AF120" s="1" t="s">
        <v>1186</v>
      </c>
      <c r="AG120" s="1" t="s">
        <v>1522</v>
      </c>
      <c r="AH120" s="6">
        <v>3850</v>
      </c>
      <c r="AI120" s="6">
        <v>3850</v>
      </c>
      <c r="AJ120" s="1" t="s">
        <v>2070</v>
      </c>
      <c r="AK120" s="1"/>
      <c r="AL120" s="1"/>
      <c r="AM120" s="1" t="s">
        <v>2070</v>
      </c>
      <c r="AN120" s="1" t="s">
        <v>829</v>
      </c>
      <c r="AO120" s="1"/>
      <c r="AP120" s="1" t="s">
        <v>60</v>
      </c>
      <c r="AQ120" s="1"/>
      <c r="AR120" s="1"/>
      <c r="AS120" s="2"/>
      <c r="AT120" s="1"/>
      <c r="AU120" s="1"/>
      <c r="AV120" s="1"/>
      <c r="AW120" s="1" t="s">
        <v>2152</v>
      </c>
      <c r="AX120" s="7">
        <v>45324.465765681656</v>
      </c>
      <c r="AY120" s="1" t="s">
        <v>981</v>
      </c>
      <c r="AZ120" s="6">
        <v>3850</v>
      </c>
      <c r="BA120" s="5">
        <v>45323</v>
      </c>
      <c r="BB120" s="5">
        <v>45657</v>
      </c>
      <c r="BC120" s="5">
        <v>45323</v>
      </c>
      <c r="BD120" s="5">
        <v>45323</v>
      </c>
      <c r="BE120" s="7">
        <v>45657</v>
      </c>
      <c r="BF120" s="1" t="s">
        <v>2170</v>
      </c>
      <c r="BG120" s="1"/>
      <c r="BH120" s="1"/>
      <c r="BI120" s="1" t="s">
        <v>108</v>
      </c>
    </row>
    <row r="121" spans="1:61" x14ac:dyDescent="0.25">
      <c r="A121" s="4">
        <v>116</v>
      </c>
      <c r="B121" s="2" t="str">
        <f>HYPERLINK("https://my.zakupivli.pro/remote/dispatcher/state_purchase_view/48875107", "UA-2024-02-01-014782-a")</f>
        <v>UA-2024-02-01-014782-a</v>
      </c>
      <c r="C121" s="2" t="s">
        <v>1516</v>
      </c>
      <c r="D121" s="1" t="s">
        <v>1705</v>
      </c>
      <c r="E121" s="1" t="s">
        <v>1705</v>
      </c>
      <c r="F121" s="1" t="s">
        <v>603</v>
      </c>
      <c r="G121" s="1" t="s">
        <v>1073</v>
      </c>
      <c r="H121" s="1" t="s">
        <v>1218</v>
      </c>
      <c r="I121" s="1" t="s">
        <v>2094</v>
      </c>
      <c r="J121" s="1" t="s">
        <v>1145</v>
      </c>
      <c r="K121" s="1" t="s">
        <v>947</v>
      </c>
      <c r="L121" s="1" t="s">
        <v>1533</v>
      </c>
      <c r="M121" s="1" t="s">
        <v>1533</v>
      </c>
      <c r="N121" s="1" t="s">
        <v>110</v>
      </c>
      <c r="O121" s="1" t="s">
        <v>110</v>
      </c>
      <c r="P121" s="1" t="s">
        <v>110</v>
      </c>
      <c r="Q121" s="5">
        <v>45323</v>
      </c>
      <c r="R121" s="1"/>
      <c r="S121" s="1"/>
      <c r="T121" s="1"/>
      <c r="U121" s="1"/>
      <c r="V121" s="1" t="s">
        <v>2146</v>
      </c>
      <c r="W121" s="4">
        <v>1</v>
      </c>
      <c r="X121" s="6">
        <v>9649.2000000000007</v>
      </c>
      <c r="Y121" s="1" t="s">
        <v>1516</v>
      </c>
      <c r="Z121" s="1">
        <v>731</v>
      </c>
      <c r="AA121" s="6">
        <v>13.2</v>
      </c>
      <c r="AB121" s="1" t="s">
        <v>2161</v>
      </c>
      <c r="AC121" s="1" t="s">
        <v>2162</v>
      </c>
      <c r="AD121" s="1" t="s">
        <v>1100</v>
      </c>
      <c r="AE121" s="1" t="s">
        <v>2094</v>
      </c>
      <c r="AF121" s="1" t="s">
        <v>1186</v>
      </c>
      <c r="AG121" s="1" t="s">
        <v>1522</v>
      </c>
      <c r="AH121" s="6">
        <v>9649.2000000000007</v>
      </c>
      <c r="AI121" s="6">
        <v>13.200000000000001</v>
      </c>
      <c r="AJ121" s="1" t="s">
        <v>1472</v>
      </c>
      <c r="AK121" s="1"/>
      <c r="AL121" s="1"/>
      <c r="AM121" s="1" t="s">
        <v>1472</v>
      </c>
      <c r="AN121" s="1" t="s">
        <v>113</v>
      </c>
      <c r="AO121" s="1"/>
      <c r="AP121" s="1" t="s">
        <v>31</v>
      </c>
      <c r="AQ121" s="1"/>
      <c r="AR121" s="1"/>
      <c r="AS121" s="2"/>
      <c r="AT121" s="1"/>
      <c r="AU121" s="1"/>
      <c r="AV121" s="1"/>
      <c r="AW121" s="1" t="s">
        <v>2152</v>
      </c>
      <c r="AX121" s="7">
        <v>45323.726956012048</v>
      </c>
      <c r="AY121" s="1" t="s">
        <v>900</v>
      </c>
      <c r="AZ121" s="6">
        <v>9649.2000000000007</v>
      </c>
      <c r="BA121" s="5">
        <v>45292</v>
      </c>
      <c r="BB121" s="5">
        <v>45657</v>
      </c>
      <c r="BC121" s="5">
        <v>45323</v>
      </c>
      <c r="BD121" s="5">
        <v>45292</v>
      </c>
      <c r="BE121" s="7">
        <v>45657</v>
      </c>
      <c r="BF121" s="1" t="s">
        <v>2170</v>
      </c>
      <c r="BG121" s="1"/>
      <c r="BH121" s="1"/>
      <c r="BI121" s="1" t="s">
        <v>108</v>
      </c>
    </row>
    <row r="122" spans="1:61" x14ac:dyDescent="0.25">
      <c r="A122" s="4">
        <v>117</v>
      </c>
      <c r="B122" s="2" t="str">
        <f>HYPERLINK("https://my.zakupivli.pro/remote/dispatcher/state_purchase_view/48874515", "UA-2024-02-01-014544-a")</f>
        <v>UA-2024-02-01-014544-a</v>
      </c>
      <c r="C122" s="2" t="s">
        <v>1516</v>
      </c>
      <c r="D122" s="1" t="s">
        <v>1706</v>
      </c>
      <c r="E122" s="1" t="s">
        <v>1706</v>
      </c>
      <c r="F122" s="1" t="s">
        <v>603</v>
      </c>
      <c r="G122" s="1" t="s">
        <v>1023</v>
      </c>
      <c r="H122" s="1" t="s">
        <v>1218</v>
      </c>
      <c r="I122" s="1" t="s">
        <v>2094</v>
      </c>
      <c r="J122" s="1" t="s">
        <v>1145</v>
      </c>
      <c r="K122" s="1" t="s">
        <v>947</v>
      </c>
      <c r="L122" s="1" t="s">
        <v>1533</v>
      </c>
      <c r="M122" s="1" t="s">
        <v>1533</v>
      </c>
      <c r="N122" s="1" t="s">
        <v>110</v>
      </c>
      <c r="O122" s="1" t="s">
        <v>110</v>
      </c>
      <c r="P122" s="1" t="s">
        <v>110</v>
      </c>
      <c r="Q122" s="5">
        <v>45323</v>
      </c>
      <c r="R122" s="1"/>
      <c r="S122" s="1"/>
      <c r="T122" s="1"/>
      <c r="U122" s="1"/>
      <c r="V122" s="1" t="s">
        <v>2146</v>
      </c>
      <c r="W122" s="4">
        <v>1</v>
      </c>
      <c r="X122" s="6">
        <v>13274.96</v>
      </c>
      <c r="Y122" s="1" t="s">
        <v>1516</v>
      </c>
      <c r="Z122" s="1">
        <v>731</v>
      </c>
      <c r="AA122" s="6">
        <v>18.16</v>
      </c>
      <c r="AB122" s="1" t="s">
        <v>2161</v>
      </c>
      <c r="AC122" s="1" t="s">
        <v>2162</v>
      </c>
      <c r="AD122" s="1" t="s">
        <v>1100</v>
      </c>
      <c r="AE122" s="1" t="s">
        <v>2094</v>
      </c>
      <c r="AF122" s="1" t="s">
        <v>1186</v>
      </c>
      <c r="AG122" s="1" t="s">
        <v>1522</v>
      </c>
      <c r="AH122" s="6">
        <v>13274.96</v>
      </c>
      <c r="AI122" s="6">
        <v>18.16</v>
      </c>
      <c r="AJ122" s="1" t="s">
        <v>1472</v>
      </c>
      <c r="AK122" s="1"/>
      <c r="AL122" s="1"/>
      <c r="AM122" s="1" t="s">
        <v>1472</v>
      </c>
      <c r="AN122" s="1" t="s">
        <v>113</v>
      </c>
      <c r="AO122" s="1"/>
      <c r="AP122" s="1" t="s">
        <v>31</v>
      </c>
      <c r="AQ122" s="1"/>
      <c r="AR122" s="1"/>
      <c r="AS122" s="2"/>
      <c r="AT122" s="1"/>
      <c r="AU122" s="1"/>
      <c r="AV122" s="1"/>
      <c r="AW122" s="1" t="s">
        <v>2152</v>
      </c>
      <c r="AX122" s="7">
        <v>45323.716610670686</v>
      </c>
      <c r="AY122" s="1" t="s">
        <v>899</v>
      </c>
      <c r="AZ122" s="6">
        <v>13274.96</v>
      </c>
      <c r="BA122" s="5">
        <v>45292</v>
      </c>
      <c r="BB122" s="5">
        <v>45657</v>
      </c>
      <c r="BC122" s="5">
        <v>45323</v>
      </c>
      <c r="BD122" s="5">
        <v>45292</v>
      </c>
      <c r="BE122" s="7">
        <v>45657</v>
      </c>
      <c r="BF122" s="1" t="s">
        <v>2170</v>
      </c>
      <c r="BG122" s="1"/>
      <c r="BH122" s="1"/>
      <c r="BI122" s="1" t="s">
        <v>108</v>
      </c>
    </row>
    <row r="123" spans="1:61" x14ac:dyDescent="0.25">
      <c r="A123" s="4">
        <v>118</v>
      </c>
      <c r="B123" s="2" t="str">
        <f>HYPERLINK("https://my.zakupivli.pro/remote/dispatcher/state_purchase_view/48778927", "UA-2024-01-30-002777-a")</f>
        <v>UA-2024-01-30-002777-a</v>
      </c>
      <c r="C123" s="2" t="s">
        <v>1516</v>
      </c>
      <c r="D123" s="1" t="s">
        <v>1585</v>
      </c>
      <c r="E123" s="1" t="s">
        <v>1583</v>
      </c>
      <c r="F123" s="1" t="s">
        <v>603</v>
      </c>
      <c r="G123" s="1" t="s">
        <v>1039</v>
      </c>
      <c r="H123" s="1" t="s">
        <v>1218</v>
      </c>
      <c r="I123" s="1" t="s">
        <v>2094</v>
      </c>
      <c r="J123" s="1" t="s">
        <v>1145</v>
      </c>
      <c r="K123" s="1" t="s">
        <v>947</v>
      </c>
      <c r="L123" s="1" t="s">
        <v>1533</v>
      </c>
      <c r="M123" s="1" t="s">
        <v>1533</v>
      </c>
      <c r="N123" s="1" t="s">
        <v>110</v>
      </c>
      <c r="O123" s="1" t="s">
        <v>110</v>
      </c>
      <c r="P123" s="1" t="s">
        <v>110</v>
      </c>
      <c r="Q123" s="5">
        <v>45321</v>
      </c>
      <c r="R123" s="1"/>
      <c r="S123" s="1"/>
      <c r="T123" s="1"/>
      <c r="U123" s="1"/>
      <c r="V123" s="1" t="s">
        <v>2146</v>
      </c>
      <c r="W123" s="4">
        <v>1</v>
      </c>
      <c r="X123" s="6">
        <v>42912</v>
      </c>
      <c r="Y123" s="1" t="s">
        <v>1516</v>
      </c>
      <c r="Z123" s="1">
        <v>72</v>
      </c>
      <c r="AA123" s="6">
        <v>596</v>
      </c>
      <c r="AB123" s="1" t="s">
        <v>2157</v>
      </c>
      <c r="AC123" s="1" t="s">
        <v>2162</v>
      </c>
      <c r="AD123" s="1" t="s">
        <v>1100</v>
      </c>
      <c r="AE123" s="1" t="s">
        <v>1522</v>
      </c>
      <c r="AF123" s="1" t="s">
        <v>1186</v>
      </c>
      <c r="AG123" s="1" t="s">
        <v>1522</v>
      </c>
      <c r="AH123" s="6">
        <v>42912</v>
      </c>
      <c r="AI123" s="6">
        <v>596</v>
      </c>
      <c r="AJ123" s="1" t="s">
        <v>1135</v>
      </c>
      <c r="AK123" s="1"/>
      <c r="AL123" s="1"/>
      <c r="AM123" s="1" t="s">
        <v>1135</v>
      </c>
      <c r="AN123" s="1" t="s">
        <v>791</v>
      </c>
      <c r="AO123" s="1"/>
      <c r="AP123" s="1" t="s">
        <v>62</v>
      </c>
      <c r="AQ123" s="1"/>
      <c r="AR123" s="1"/>
      <c r="AS123" s="2"/>
      <c r="AT123" s="1"/>
      <c r="AU123" s="1"/>
      <c r="AV123" s="1"/>
      <c r="AW123" s="1" t="s">
        <v>2152</v>
      </c>
      <c r="AX123" s="7">
        <v>45321.436984725675</v>
      </c>
      <c r="AY123" s="1" t="s">
        <v>1089</v>
      </c>
      <c r="AZ123" s="6">
        <v>42912</v>
      </c>
      <c r="BA123" s="5">
        <v>45292</v>
      </c>
      <c r="BB123" s="5">
        <v>45657</v>
      </c>
      <c r="BC123" s="5">
        <v>45320</v>
      </c>
      <c r="BD123" s="5">
        <v>45292</v>
      </c>
      <c r="BE123" s="7">
        <v>45657</v>
      </c>
      <c r="BF123" s="1" t="s">
        <v>2170</v>
      </c>
      <c r="BG123" s="1"/>
      <c r="BH123" s="1"/>
      <c r="BI123" s="1" t="s">
        <v>108</v>
      </c>
    </row>
    <row r="124" spans="1:61" x14ac:dyDescent="0.25">
      <c r="A124" s="4">
        <v>119</v>
      </c>
      <c r="B124" s="2" t="str">
        <f>HYPERLINK("https://my.zakupivli.pro/remote/dispatcher/state_purchase_view/48763652", "UA-2024-01-30-006712-a")</f>
        <v>UA-2024-01-30-006712-a</v>
      </c>
      <c r="C124" s="2" t="s">
        <v>1516</v>
      </c>
      <c r="D124" s="1" t="s">
        <v>1143</v>
      </c>
      <c r="E124" s="1" t="s">
        <v>1143</v>
      </c>
      <c r="F124" s="1" t="s">
        <v>603</v>
      </c>
      <c r="G124" s="1" t="s">
        <v>1039</v>
      </c>
      <c r="H124" s="1" t="s">
        <v>1218</v>
      </c>
      <c r="I124" s="1" t="s">
        <v>2094</v>
      </c>
      <c r="J124" s="1" t="s">
        <v>1145</v>
      </c>
      <c r="K124" s="1" t="s">
        <v>947</v>
      </c>
      <c r="L124" s="1" t="s">
        <v>1533</v>
      </c>
      <c r="M124" s="1" t="s">
        <v>1533</v>
      </c>
      <c r="N124" s="1" t="s">
        <v>110</v>
      </c>
      <c r="O124" s="1" t="s">
        <v>110</v>
      </c>
      <c r="P124" s="1" t="s">
        <v>110</v>
      </c>
      <c r="Q124" s="5">
        <v>45321</v>
      </c>
      <c r="R124" s="1"/>
      <c r="S124" s="1"/>
      <c r="T124" s="1"/>
      <c r="U124" s="1"/>
      <c r="V124" s="1" t="s">
        <v>2146</v>
      </c>
      <c r="W124" s="4">
        <v>1</v>
      </c>
      <c r="X124" s="6">
        <v>2700</v>
      </c>
      <c r="Y124" s="1" t="s">
        <v>1516</v>
      </c>
      <c r="Z124" s="1">
        <v>1</v>
      </c>
      <c r="AA124" s="6">
        <v>2700</v>
      </c>
      <c r="AB124" s="1" t="s">
        <v>2167</v>
      </c>
      <c r="AC124" s="1" t="s">
        <v>2162</v>
      </c>
      <c r="AD124" s="1" t="s">
        <v>1100</v>
      </c>
      <c r="AE124" s="1" t="s">
        <v>1522</v>
      </c>
      <c r="AF124" s="1" t="s">
        <v>1186</v>
      </c>
      <c r="AG124" s="1" t="s">
        <v>1522</v>
      </c>
      <c r="AH124" s="6">
        <v>2700</v>
      </c>
      <c r="AI124" s="6">
        <v>2700</v>
      </c>
      <c r="AJ124" s="1" t="s">
        <v>1167</v>
      </c>
      <c r="AK124" s="1"/>
      <c r="AL124" s="1"/>
      <c r="AM124" s="1" t="s">
        <v>1167</v>
      </c>
      <c r="AN124" s="1" t="s">
        <v>843</v>
      </c>
      <c r="AO124" s="1"/>
      <c r="AP124" s="1" t="s">
        <v>86</v>
      </c>
      <c r="AQ124" s="1"/>
      <c r="AR124" s="1"/>
      <c r="AS124" s="2"/>
      <c r="AT124" s="1"/>
      <c r="AU124" s="1"/>
      <c r="AV124" s="1"/>
      <c r="AW124" s="1" t="s">
        <v>2152</v>
      </c>
      <c r="AX124" s="7">
        <v>45321.530331222995</v>
      </c>
      <c r="AY124" s="1" t="s">
        <v>1094</v>
      </c>
      <c r="AZ124" s="6">
        <v>2700</v>
      </c>
      <c r="BA124" s="5">
        <v>45317</v>
      </c>
      <c r="BB124" s="5">
        <v>45657</v>
      </c>
      <c r="BC124" s="5">
        <v>45317</v>
      </c>
      <c r="BD124" s="5">
        <v>45317</v>
      </c>
      <c r="BE124" s="7">
        <v>45657</v>
      </c>
      <c r="BF124" s="1" t="s">
        <v>2170</v>
      </c>
      <c r="BG124" s="1"/>
      <c r="BH124" s="1"/>
      <c r="BI124" s="1" t="s">
        <v>108</v>
      </c>
    </row>
    <row r="125" spans="1:61" x14ac:dyDescent="0.25">
      <c r="A125" s="4">
        <v>120</v>
      </c>
      <c r="B125" s="2" t="str">
        <f>HYPERLINK("https://my.zakupivli.pro/remote/dispatcher/state_purchase_view/48759409", "UA-2024-01-29-010997-a")</f>
        <v>UA-2024-01-29-010997-a</v>
      </c>
      <c r="C125" s="2" t="s">
        <v>1516</v>
      </c>
      <c r="D125" s="1" t="s">
        <v>1717</v>
      </c>
      <c r="E125" s="1" t="s">
        <v>1717</v>
      </c>
      <c r="F125" s="1" t="s">
        <v>603</v>
      </c>
      <c r="G125" s="1" t="s">
        <v>1056</v>
      </c>
      <c r="H125" s="1" t="s">
        <v>1218</v>
      </c>
      <c r="I125" s="1" t="s">
        <v>2094</v>
      </c>
      <c r="J125" s="1" t="s">
        <v>1145</v>
      </c>
      <c r="K125" s="1" t="s">
        <v>947</v>
      </c>
      <c r="L125" s="1" t="s">
        <v>1533</v>
      </c>
      <c r="M125" s="1" t="s">
        <v>1533</v>
      </c>
      <c r="N125" s="1" t="s">
        <v>110</v>
      </c>
      <c r="O125" s="1" t="s">
        <v>110</v>
      </c>
      <c r="P125" s="1" t="s">
        <v>110</v>
      </c>
      <c r="Q125" s="5">
        <v>45320</v>
      </c>
      <c r="R125" s="1"/>
      <c r="S125" s="1"/>
      <c r="T125" s="1"/>
      <c r="U125" s="1"/>
      <c r="V125" s="1" t="s">
        <v>2146</v>
      </c>
      <c r="W125" s="4">
        <v>1</v>
      </c>
      <c r="X125" s="6">
        <v>4200</v>
      </c>
      <c r="Y125" s="1" t="s">
        <v>1516</v>
      </c>
      <c r="Z125" s="1">
        <v>1</v>
      </c>
      <c r="AA125" s="6">
        <v>4200</v>
      </c>
      <c r="AB125" s="1" t="s">
        <v>2167</v>
      </c>
      <c r="AC125" s="1" t="s">
        <v>2162</v>
      </c>
      <c r="AD125" s="1" t="s">
        <v>1100</v>
      </c>
      <c r="AE125" s="1" t="s">
        <v>2094</v>
      </c>
      <c r="AF125" s="1" t="s">
        <v>1186</v>
      </c>
      <c r="AG125" s="1" t="s">
        <v>1522</v>
      </c>
      <c r="AH125" s="6">
        <v>4200</v>
      </c>
      <c r="AI125" s="6">
        <v>4200</v>
      </c>
      <c r="AJ125" s="1" t="s">
        <v>2107</v>
      </c>
      <c r="AK125" s="1"/>
      <c r="AL125" s="1"/>
      <c r="AM125" s="1" t="s">
        <v>2107</v>
      </c>
      <c r="AN125" s="1" t="s">
        <v>895</v>
      </c>
      <c r="AO125" s="1"/>
      <c r="AP125" s="1" t="s">
        <v>36</v>
      </c>
      <c r="AQ125" s="1"/>
      <c r="AR125" s="1"/>
      <c r="AS125" s="2"/>
      <c r="AT125" s="1"/>
      <c r="AU125" s="1"/>
      <c r="AV125" s="1"/>
      <c r="AW125" s="1" t="s">
        <v>2152</v>
      </c>
      <c r="AX125" s="7">
        <v>45320.629644527035</v>
      </c>
      <c r="AY125" s="1" t="s">
        <v>1062</v>
      </c>
      <c r="AZ125" s="6">
        <v>4200</v>
      </c>
      <c r="BA125" s="5">
        <v>45292</v>
      </c>
      <c r="BB125" s="5">
        <v>45657</v>
      </c>
      <c r="BC125" s="5">
        <v>45317</v>
      </c>
      <c r="BD125" s="5">
        <v>45292</v>
      </c>
      <c r="BE125" s="7">
        <v>45657</v>
      </c>
      <c r="BF125" s="1" t="s">
        <v>2170</v>
      </c>
      <c r="BG125" s="1"/>
      <c r="BH125" s="1"/>
      <c r="BI125" s="1" t="s">
        <v>108</v>
      </c>
    </row>
    <row r="126" spans="1:61" x14ac:dyDescent="0.25">
      <c r="A126" s="4">
        <v>121</v>
      </c>
      <c r="B126" s="2" t="str">
        <f>HYPERLINK("https://my.zakupivli.pro/remote/dispatcher/state_purchase_view/48756590", "UA-2024-01-29-009704-a")</f>
        <v>UA-2024-01-29-009704-a</v>
      </c>
      <c r="C126" s="2" t="s">
        <v>1516</v>
      </c>
      <c r="D126" s="1" t="s">
        <v>1664</v>
      </c>
      <c r="E126" s="1" t="s">
        <v>1664</v>
      </c>
      <c r="F126" s="1" t="s">
        <v>603</v>
      </c>
      <c r="G126" s="1" t="s">
        <v>1039</v>
      </c>
      <c r="H126" s="1" t="s">
        <v>1218</v>
      </c>
      <c r="I126" s="1" t="s">
        <v>2094</v>
      </c>
      <c r="J126" s="1" t="s">
        <v>1145</v>
      </c>
      <c r="K126" s="1" t="s">
        <v>947</v>
      </c>
      <c r="L126" s="1" t="s">
        <v>1533</v>
      </c>
      <c r="M126" s="1" t="s">
        <v>1533</v>
      </c>
      <c r="N126" s="1" t="s">
        <v>110</v>
      </c>
      <c r="O126" s="1" t="s">
        <v>110</v>
      </c>
      <c r="P126" s="1" t="s">
        <v>110</v>
      </c>
      <c r="Q126" s="5">
        <v>45320</v>
      </c>
      <c r="R126" s="1"/>
      <c r="S126" s="1"/>
      <c r="T126" s="1"/>
      <c r="U126" s="1"/>
      <c r="V126" s="1" t="s">
        <v>2146</v>
      </c>
      <c r="W126" s="4">
        <v>1</v>
      </c>
      <c r="X126" s="6">
        <v>13200</v>
      </c>
      <c r="Y126" s="1" t="s">
        <v>1516</v>
      </c>
      <c r="Z126" s="1">
        <v>1</v>
      </c>
      <c r="AA126" s="6">
        <v>13200</v>
      </c>
      <c r="AB126" s="1" t="s">
        <v>2167</v>
      </c>
      <c r="AC126" s="1" t="s">
        <v>2162</v>
      </c>
      <c r="AD126" s="1" t="s">
        <v>1100</v>
      </c>
      <c r="AE126" s="1" t="s">
        <v>1522</v>
      </c>
      <c r="AF126" s="1" t="s">
        <v>1186</v>
      </c>
      <c r="AG126" s="1" t="s">
        <v>1522</v>
      </c>
      <c r="AH126" s="6">
        <v>13200</v>
      </c>
      <c r="AI126" s="6">
        <v>13200</v>
      </c>
      <c r="AJ126" s="1" t="s">
        <v>2089</v>
      </c>
      <c r="AK126" s="1"/>
      <c r="AL126" s="1"/>
      <c r="AM126" s="1" t="s">
        <v>2089</v>
      </c>
      <c r="AN126" s="1" t="s">
        <v>857</v>
      </c>
      <c r="AO126" s="1"/>
      <c r="AP126" s="1" t="s">
        <v>26</v>
      </c>
      <c r="AQ126" s="1"/>
      <c r="AR126" s="1"/>
      <c r="AS126" s="2"/>
      <c r="AT126" s="1"/>
      <c r="AU126" s="1"/>
      <c r="AV126" s="1"/>
      <c r="AW126" s="1" t="s">
        <v>2152</v>
      </c>
      <c r="AX126" s="7">
        <v>45320.606592479839</v>
      </c>
      <c r="AY126" s="1" t="s">
        <v>740</v>
      </c>
      <c r="AZ126" s="6">
        <v>13200</v>
      </c>
      <c r="BA126" s="5">
        <v>45292</v>
      </c>
      <c r="BB126" s="5">
        <v>45657</v>
      </c>
      <c r="BC126" s="5">
        <v>45316</v>
      </c>
      <c r="BD126" s="5">
        <v>45292</v>
      </c>
      <c r="BE126" s="7">
        <v>45657</v>
      </c>
      <c r="BF126" s="1" t="s">
        <v>2170</v>
      </c>
      <c r="BG126" s="1"/>
      <c r="BH126" s="1"/>
      <c r="BI126" s="1" t="s">
        <v>108</v>
      </c>
    </row>
    <row r="127" spans="1:61" x14ac:dyDescent="0.25">
      <c r="A127" s="4">
        <v>122</v>
      </c>
      <c r="B127" s="2" t="str">
        <f>HYPERLINK("https://my.zakupivli.pro/remote/dispatcher/state_purchase_view/48685988", "UA-2024-01-25-013282-a")</f>
        <v>UA-2024-01-25-013282-a</v>
      </c>
      <c r="C127" s="2" t="s">
        <v>1516</v>
      </c>
      <c r="D127" s="1" t="s">
        <v>1671</v>
      </c>
      <c r="E127" s="1" t="s">
        <v>1220</v>
      </c>
      <c r="F127" s="1" t="s">
        <v>603</v>
      </c>
      <c r="G127" s="1" t="s">
        <v>991</v>
      </c>
      <c r="H127" s="1" t="s">
        <v>1218</v>
      </c>
      <c r="I127" s="1" t="s">
        <v>2094</v>
      </c>
      <c r="J127" s="1" t="s">
        <v>1145</v>
      </c>
      <c r="K127" s="1" t="s">
        <v>947</v>
      </c>
      <c r="L127" s="1" t="s">
        <v>1533</v>
      </c>
      <c r="M127" s="1" t="s">
        <v>1533</v>
      </c>
      <c r="N127" s="1" t="s">
        <v>110</v>
      </c>
      <c r="O127" s="1" t="s">
        <v>110</v>
      </c>
      <c r="P127" s="1" t="s">
        <v>110</v>
      </c>
      <c r="Q127" s="5">
        <v>45316</v>
      </c>
      <c r="R127" s="1"/>
      <c r="S127" s="1"/>
      <c r="T127" s="1"/>
      <c r="U127" s="1"/>
      <c r="V127" s="1" t="s">
        <v>2146</v>
      </c>
      <c r="W127" s="4">
        <v>1</v>
      </c>
      <c r="X127" s="6">
        <v>39600</v>
      </c>
      <c r="Y127" s="1" t="s">
        <v>1516</v>
      </c>
      <c r="Z127" s="1">
        <v>198</v>
      </c>
      <c r="AA127" s="6">
        <v>200</v>
      </c>
      <c r="AB127" s="1" t="s">
        <v>2157</v>
      </c>
      <c r="AC127" s="1" t="s">
        <v>2162</v>
      </c>
      <c r="AD127" s="1" t="s">
        <v>1100</v>
      </c>
      <c r="AE127" s="1" t="s">
        <v>1522</v>
      </c>
      <c r="AF127" s="1" t="s">
        <v>1186</v>
      </c>
      <c r="AG127" s="1" t="s">
        <v>1522</v>
      </c>
      <c r="AH127" s="6">
        <v>39600</v>
      </c>
      <c r="AI127" s="6">
        <v>200</v>
      </c>
      <c r="AJ127" s="1" t="s">
        <v>2026</v>
      </c>
      <c r="AK127" s="1"/>
      <c r="AL127" s="1"/>
      <c r="AM127" s="1" t="s">
        <v>2026</v>
      </c>
      <c r="AN127" s="1" t="s">
        <v>818</v>
      </c>
      <c r="AO127" s="1"/>
      <c r="AP127" s="1" t="s">
        <v>98</v>
      </c>
      <c r="AQ127" s="1"/>
      <c r="AR127" s="1"/>
      <c r="AS127" s="2"/>
      <c r="AT127" s="1"/>
      <c r="AU127" s="1"/>
      <c r="AV127" s="1"/>
      <c r="AW127" s="1" t="s">
        <v>2152</v>
      </c>
      <c r="AX127" s="7">
        <v>45316.671356103041</v>
      </c>
      <c r="AY127" s="1" t="s">
        <v>289</v>
      </c>
      <c r="AZ127" s="6">
        <v>39600</v>
      </c>
      <c r="BA127" s="5">
        <v>45316</v>
      </c>
      <c r="BB127" s="5">
        <v>45646</v>
      </c>
      <c r="BC127" s="5">
        <v>45316</v>
      </c>
      <c r="BD127" s="5">
        <v>45316</v>
      </c>
      <c r="BE127" s="7">
        <v>45657</v>
      </c>
      <c r="BF127" s="1" t="s">
        <v>2170</v>
      </c>
      <c r="BG127" s="1"/>
      <c r="BH127" s="1"/>
      <c r="BI127" s="1" t="s">
        <v>108</v>
      </c>
    </row>
    <row r="128" spans="1:61" x14ac:dyDescent="0.25">
      <c r="A128" s="4">
        <v>123</v>
      </c>
      <c r="B128" s="2" t="str">
        <f>HYPERLINK("https://my.zakupivli.pro/remote/dispatcher/state_purchase_view/48580410", "UA-2024-01-23-002874-a")</f>
        <v>UA-2024-01-23-002874-a</v>
      </c>
      <c r="C128" s="2" t="s">
        <v>1516</v>
      </c>
      <c r="D128" s="1" t="s">
        <v>1710</v>
      </c>
      <c r="E128" s="1" t="s">
        <v>1712</v>
      </c>
      <c r="F128" s="1" t="s">
        <v>603</v>
      </c>
      <c r="G128" s="1" t="s">
        <v>1046</v>
      </c>
      <c r="H128" s="1" t="s">
        <v>1218</v>
      </c>
      <c r="I128" s="1" t="s">
        <v>2094</v>
      </c>
      <c r="J128" s="1" t="s">
        <v>1145</v>
      </c>
      <c r="K128" s="1" t="s">
        <v>947</v>
      </c>
      <c r="L128" s="1" t="s">
        <v>1533</v>
      </c>
      <c r="M128" s="1" t="s">
        <v>1533</v>
      </c>
      <c r="N128" s="1" t="s">
        <v>110</v>
      </c>
      <c r="O128" s="1" t="s">
        <v>110</v>
      </c>
      <c r="P128" s="1" t="s">
        <v>110</v>
      </c>
      <c r="Q128" s="5">
        <v>45314</v>
      </c>
      <c r="R128" s="1"/>
      <c r="S128" s="1"/>
      <c r="T128" s="1"/>
      <c r="U128" s="1"/>
      <c r="V128" s="1" t="s">
        <v>2146</v>
      </c>
      <c r="W128" s="4">
        <v>1</v>
      </c>
      <c r="X128" s="6">
        <v>3000</v>
      </c>
      <c r="Y128" s="1" t="s">
        <v>1516</v>
      </c>
      <c r="Z128" s="1">
        <v>1</v>
      </c>
      <c r="AA128" s="6">
        <v>3000</v>
      </c>
      <c r="AB128" s="1" t="s">
        <v>2167</v>
      </c>
      <c r="AC128" s="1" t="s">
        <v>2162</v>
      </c>
      <c r="AD128" s="1" t="s">
        <v>1100</v>
      </c>
      <c r="AE128" s="1" t="s">
        <v>1522</v>
      </c>
      <c r="AF128" s="1" t="s">
        <v>1186</v>
      </c>
      <c r="AG128" s="1" t="s">
        <v>1522</v>
      </c>
      <c r="AH128" s="6">
        <v>3000</v>
      </c>
      <c r="AI128" s="6">
        <v>3000</v>
      </c>
      <c r="AJ128" s="1" t="s">
        <v>2070</v>
      </c>
      <c r="AK128" s="1"/>
      <c r="AL128" s="1"/>
      <c r="AM128" s="1" t="s">
        <v>2070</v>
      </c>
      <c r="AN128" s="1" t="s">
        <v>829</v>
      </c>
      <c r="AO128" s="1"/>
      <c r="AP128" s="1" t="s">
        <v>60</v>
      </c>
      <c r="AQ128" s="1"/>
      <c r="AR128" s="1"/>
      <c r="AS128" s="2"/>
      <c r="AT128" s="1"/>
      <c r="AU128" s="1"/>
      <c r="AV128" s="1"/>
      <c r="AW128" s="1" t="s">
        <v>2152</v>
      </c>
      <c r="AX128" s="7">
        <v>45314.435153087339</v>
      </c>
      <c r="AY128" s="1" t="s">
        <v>982</v>
      </c>
      <c r="AZ128" s="6">
        <v>3000</v>
      </c>
      <c r="BA128" s="5">
        <v>45292</v>
      </c>
      <c r="BB128" s="5">
        <v>45657</v>
      </c>
      <c r="BC128" s="5">
        <v>45309</v>
      </c>
      <c r="BD128" s="5">
        <v>45292</v>
      </c>
      <c r="BE128" s="7">
        <v>45657</v>
      </c>
      <c r="BF128" s="1" t="s">
        <v>2170</v>
      </c>
      <c r="BG128" s="1"/>
      <c r="BH128" s="1"/>
      <c r="BI128" s="1" t="s">
        <v>108</v>
      </c>
    </row>
    <row r="129" spans="1:61" x14ac:dyDescent="0.25">
      <c r="A129" s="4">
        <v>124</v>
      </c>
      <c r="B129" s="2" t="str">
        <f>HYPERLINK("https://my.zakupivli.pro/remote/dispatcher/state_purchase_view/48194241", "UA-2024-01-05-002477-a")</f>
        <v>UA-2024-01-05-002477-a</v>
      </c>
      <c r="C129" s="2" t="str">
        <f>HYPERLINK("https://my.zakupivli.pro/remote/dispatcher/state_purchase_lot_view/1170375", "UA-2024-01-05-002477-a-L1")</f>
        <v>UA-2024-01-05-002477-a-L1</v>
      </c>
      <c r="D129" s="1" t="s">
        <v>1855</v>
      </c>
      <c r="E129" s="1" t="s">
        <v>1854</v>
      </c>
      <c r="F129" s="1" t="s">
        <v>603</v>
      </c>
      <c r="G129" s="1" t="s">
        <v>1076</v>
      </c>
      <c r="H129" s="1" t="s">
        <v>1185</v>
      </c>
      <c r="I129" s="1" t="s">
        <v>2094</v>
      </c>
      <c r="J129" s="1" t="s">
        <v>1145</v>
      </c>
      <c r="K129" s="1" t="s">
        <v>947</v>
      </c>
      <c r="L129" s="1" t="s">
        <v>1533</v>
      </c>
      <c r="M129" s="1" t="s">
        <v>1533</v>
      </c>
      <c r="N129" s="1" t="s">
        <v>110</v>
      </c>
      <c r="O129" s="1" t="s">
        <v>110</v>
      </c>
      <c r="P129" s="1" t="s">
        <v>110</v>
      </c>
      <c r="Q129" s="5">
        <v>45296</v>
      </c>
      <c r="R129" s="1" t="s">
        <v>604</v>
      </c>
      <c r="S129" s="1" t="s">
        <v>605</v>
      </c>
      <c r="T129" s="5">
        <v>45296</v>
      </c>
      <c r="U129" s="5">
        <v>45305</v>
      </c>
      <c r="V129" s="1" t="s">
        <v>2147</v>
      </c>
      <c r="W129" s="4">
        <v>1</v>
      </c>
      <c r="X129" s="6">
        <v>299897</v>
      </c>
      <c r="Y129" s="6">
        <v>299897</v>
      </c>
      <c r="Z129" s="1">
        <v>1</v>
      </c>
      <c r="AA129" s="6">
        <v>299897</v>
      </c>
      <c r="AB129" s="1" t="s">
        <v>2167</v>
      </c>
      <c r="AC129" s="6">
        <v>1499.49</v>
      </c>
      <c r="AD129" s="1" t="s">
        <v>1100</v>
      </c>
      <c r="AE129" s="1" t="s">
        <v>2094</v>
      </c>
      <c r="AF129" s="1" t="s">
        <v>1186</v>
      </c>
      <c r="AG129" s="1" t="s">
        <v>1522</v>
      </c>
      <c r="AH129" s="6">
        <v>299883.03999999998</v>
      </c>
      <c r="AI129" s="6">
        <v>299883.03999999998</v>
      </c>
      <c r="AJ129" s="1" t="s">
        <v>2121</v>
      </c>
      <c r="AK129" s="6">
        <v>13.960000000020955</v>
      </c>
      <c r="AL129" s="6">
        <v>4.6549315264977492E-5</v>
      </c>
      <c r="AM129" s="1" t="s">
        <v>2121</v>
      </c>
      <c r="AN129" s="1" t="s">
        <v>815</v>
      </c>
      <c r="AO129" s="1" t="s">
        <v>1122</v>
      </c>
      <c r="AP129" s="1" t="s">
        <v>55</v>
      </c>
      <c r="AQ129" s="6">
        <v>13.960000000020955</v>
      </c>
      <c r="AR129" s="6">
        <v>4.6549315264977492E-5</v>
      </c>
      <c r="AS129" s="2"/>
      <c r="AT129" s="7">
        <v>45307.710187602075</v>
      </c>
      <c r="AU129" s="1" t="s">
        <v>607</v>
      </c>
      <c r="AV129" s="1" t="s">
        <v>609</v>
      </c>
      <c r="AW129" s="1" t="s">
        <v>2151</v>
      </c>
      <c r="AX129" s="7">
        <v>45313.467199900682</v>
      </c>
      <c r="AY129" s="1" t="s">
        <v>152</v>
      </c>
      <c r="AZ129" s="6">
        <v>299883.03999999998</v>
      </c>
      <c r="BA129" s="1"/>
      <c r="BB129" s="5">
        <v>45657</v>
      </c>
      <c r="BC129" s="5">
        <v>45313</v>
      </c>
      <c r="BD129" s="5">
        <v>45313</v>
      </c>
      <c r="BE129" s="7">
        <v>45657</v>
      </c>
      <c r="BF129" s="1" t="s">
        <v>2170</v>
      </c>
      <c r="BG129" s="1"/>
      <c r="BH129" s="1"/>
      <c r="BI129" s="1" t="s">
        <v>816</v>
      </c>
    </row>
    <row r="130" spans="1:61" x14ac:dyDescent="0.25">
      <c r="A130" s="4">
        <v>125</v>
      </c>
      <c r="B130" s="2" t="str">
        <f>HYPERLINK("https://my.zakupivli.pro/remote/dispatcher/state_purchase_view/48202283", "UA-2024-01-05-005784-a")</f>
        <v>UA-2024-01-05-005784-a</v>
      </c>
      <c r="C130" s="2" t="str">
        <f>HYPERLINK("https://my.zakupivli.pro/remote/dispatcher/state_purchase_lot_view/1171064", "UA-2024-01-05-005784-a-L1")</f>
        <v>UA-2024-01-05-005784-a-L1</v>
      </c>
      <c r="D130" s="1" t="s">
        <v>1211</v>
      </c>
      <c r="E130" s="1" t="s">
        <v>1210</v>
      </c>
      <c r="F130" s="1" t="s">
        <v>603</v>
      </c>
      <c r="G130" s="1" t="s">
        <v>144</v>
      </c>
      <c r="H130" s="1" t="s">
        <v>1185</v>
      </c>
      <c r="I130" s="1" t="s">
        <v>2094</v>
      </c>
      <c r="J130" s="1" t="s">
        <v>1145</v>
      </c>
      <c r="K130" s="1" t="s">
        <v>947</v>
      </c>
      <c r="L130" s="1" t="s">
        <v>1533</v>
      </c>
      <c r="M130" s="1" t="s">
        <v>1533</v>
      </c>
      <c r="N130" s="1" t="s">
        <v>110</v>
      </c>
      <c r="O130" s="1" t="s">
        <v>110</v>
      </c>
      <c r="P130" s="1" t="s">
        <v>110</v>
      </c>
      <c r="Q130" s="5">
        <v>45296</v>
      </c>
      <c r="R130" s="1" t="s">
        <v>604</v>
      </c>
      <c r="S130" s="1" t="s">
        <v>606</v>
      </c>
      <c r="T130" s="5">
        <v>45296</v>
      </c>
      <c r="U130" s="5">
        <v>45306</v>
      </c>
      <c r="V130" s="1" t="s">
        <v>2147</v>
      </c>
      <c r="W130" s="4">
        <v>1</v>
      </c>
      <c r="X130" s="6">
        <v>469300</v>
      </c>
      <c r="Y130" s="6">
        <v>469300</v>
      </c>
      <c r="Z130" s="1">
        <v>61750</v>
      </c>
      <c r="AA130" s="6">
        <v>7.6</v>
      </c>
      <c r="AB130" s="1" t="s">
        <v>1485</v>
      </c>
      <c r="AC130" s="6">
        <v>2346.5</v>
      </c>
      <c r="AD130" s="1" t="s">
        <v>1100</v>
      </c>
      <c r="AE130" s="1" t="s">
        <v>2094</v>
      </c>
      <c r="AF130" s="1" t="s">
        <v>1186</v>
      </c>
      <c r="AG130" s="1" t="s">
        <v>1522</v>
      </c>
      <c r="AH130" s="6">
        <v>459420</v>
      </c>
      <c r="AI130" s="6">
        <v>7.44</v>
      </c>
      <c r="AJ130" s="1" t="s">
        <v>2068</v>
      </c>
      <c r="AK130" s="6">
        <v>9880</v>
      </c>
      <c r="AL130" s="6">
        <v>2.1052631578947368E-2</v>
      </c>
      <c r="AM130" s="1" t="s">
        <v>2068</v>
      </c>
      <c r="AN130" s="1" t="s">
        <v>922</v>
      </c>
      <c r="AO130" s="1" t="s">
        <v>1119</v>
      </c>
      <c r="AP130" s="1" t="s">
        <v>868</v>
      </c>
      <c r="AQ130" s="6">
        <v>9880</v>
      </c>
      <c r="AR130" s="6">
        <v>2.1052631578947368E-2</v>
      </c>
      <c r="AS130" s="2"/>
      <c r="AT130" s="7">
        <v>45308.515175850473</v>
      </c>
      <c r="AU130" s="1" t="s">
        <v>608</v>
      </c>
      <c r="AV130" s="1" t="s">
        <v>610</v>
      </c>
      <c r="AW130" s="1" t="s">
        <v>2151</v>
      </c>
      <c r="AX130" s="7">
        <v>45316.629333544086</v>
      </c>
      <c r="AY130" s="1" t="s">
        <v>1017</v>
      </c>
      <c r="AZ130" s="6">
        <v>459420</v>
      </c>
      <c r="BA130" s="5">
        <v>45323</v>
      </c>
      <c r="BB130" s="5">
        <v>45657</v>
      </c>
      <c r="BC130" s="5">
        <v>45316</v>
      </c>
      <c r="BD130" s="5">
        <v>45316</v>
      </c>
      <c r="BE130" s="7">
        <v>45657</v>
      </c>
      <c r="BF130" s="1" t="s">
        <v>2170</v>
      </c>
      <c r="BG130" s="1"/>
      <c r="BH130" s="1"/>
      <c r="BI130" s="1" t="s">
        <v>925</v>
      </c>
    </row>
    <row r="131" spans="1:61" x14ac:dyDescent="0.25">
      <c r="A131" s="4">
        <v>126</v>
      </c>
      <c r="B131" s="2" t="str">
        <f>HYPERLINK("https://my.zakupivli.pro/remote/dispatcher/state_purchase_view/48184347", "UA-2024-01-04-005500-a")</f>
        <v>UA-2024-01-04-005500-a</v>
      </c>
      <c r="C131" s="2" t="s">
        <v>1516</v>
      </c>
      <c r="D131" s="1" t="s">
        <v>1906</v>
      </c>
      <c r="E131" s="1" t="s">
        <v>1906</v>
      </c>
      <c r="F131" s="1" t="s">
        <v>603</v>
      </c>
      <c r="G131" s="1" t="s">
        <v>1024</v>
      </c>
      <c r="H131" s="1" t="s">
        <v>1218</v>
      </c>
      <c r="I131" s="1" t="s">
        <v>2094</v>
      </c>
      <c r="J131" s="1" t="s">
        <v>1145</v>
      </c>
      <c r="K131" s="1" t="s">
        <v>947</v>
      </c>
      <c r="L131" s="1" t="s">
        <v>1533</v>
      </c>
      <c r="M131" s="1" t="s">
        <v>1533</v>
      </c>
      <c r="N131" s="1" t="s">
        <v>110</v>
      </c>
      <c r="O131" s="1" t="s">
        <v>110</v>
      </c>
      <c r="P131" s="1" t="s">
        <v>110</v>
      </c>
      <c r="Q131" s="5">
        <v>45295</v>
      </c>
      <c r="R131" s="1"/>
      <c r="S131" s="1"/>
      <c r="T131" s="1"/>
      <c r="U131" s="1"/>
      <c r="V131" s="1" t="s">
        <v>2146</v>
      </c>
      <c r="W131" s="4">
        <v>1</v>
      </c>
      <c r="X131" s="6">
        <v>7718</v>
      </c>
      <c r="Y131" s="1" t="s">
        <v>1516</v>
      </c>
      <c r="Z131" s="1">
        <v>33621</v>
      </c>
      <c r="AA131" s="6">
        <v>0.23</v>
      </c>
      <c r="AB131" s="1" t="s">
        <v>2155</v>
      </c>
      <c r="AC131" s="1" t="s">
        <v>2162</v>
      </c>
      <c r="AD131" s="1" t="s">
        <v>1100</v>
      </c>
      <c r="AE131" s="1" t="s">
        <v>2094</v>
      </c>
      <c r="AF131" s="1" t="s">
        <v>1186</v>
      </c>
      <c r="AG131" s="1" t="s">
        <v>1522</v>
      </c>
      <c r="AH131" s="6">
        <v>7718</v>
      </c>
      <c r="AI131" s="6">
        <v>0.22955890663573361</v>
      </c>
      <c r="AJ131" s="1" t="s">
        <v>1146</v>
      </c>
      <c r="AK131" s="1"/>
      <c r="AL131" s="1"/>
      <c r="AM131" s="1" t="s">
        <v>1146</v>
      </c>
      <c r="AN131" s="1" t="s">
        <v>733</v>
      </c>
      <c r="AO131" s="1"/>
      <c r="AP131" s="1" t="s">
        <v>46</v>
      </c>
      <c r="AQ131" s="1"/>
      <c r="AR131" s="1"/>
      <c r="AS131" s="2"/>
      <c r="AT131" s="1"/>
      <c r="AU131" s="1"/>
      <c r="AV131" s="1"/>
      <c r="AW131" s="1" t="s">
        <v>2152</v>
      </c>
      <c r="AX131" s="7">
        <v>45295.666454908911</v>
      </c>
      <c r="AY131" s="1" t="s">
        <v>168</v>
      </c>
      <c r="AZ131" s="6">
        <v>7718</v>
      </c>
      <c r="BA131" s="5">
        <v>45292</v>
      </c>
      <c r="BB131" s="5">
        <v>45657</v>
      </c>
      <c r="BC131" s="5">
        <v>45295</v>
      </c>
      <c r="BD131" s="5">
        <v>45292</v>
      </c>
      <c r="BE131" s="7">
        <v>45657</v>
      </c>
      <c r="BF131" s="1" t="s">
        <v>2170</v>
      </c>
      <c r="BG131" s="1"/>
      <c r="BH131" s="1"/>
      <c r="BI131" s="1" t="s">
        <v>108</v>
      </c>
    </row>
    <row r="132" spans="1:61" hidden="1" x14ac:dyDescent="0.25">
      <c r="A132" s="4">
        <v>127</v>
      </c>
      <c r="B132" s="2" t="str">
        <f>HYPERLINK("https://my.zakupivli.pro/remote/dispatcher/state_purchase_view/47947834", "UA-2023-12-22-006995-a")</f>
        <v>UA-2023-12-22-006995-a</v>
      </c>
      <c r="C132" s="2" t="s">
        <v>1516</v>
      </c>
      <c r="D132" s="1" t="s">
        <v>1222</v>
      </c>
      <c r="E132" s="1" t="s">
        <v>1156</v>
      </c>
      <c r="F132" s="1" t="s">
        <v>487</v>
      </c>
      <c r="G132" s="1" t="s">
        <v>842</v>
      </c>
      <c r="H132" s="1" t="s">
        <v>1218</v>
      </c>
      <c r="I132" s="1" t="s">
        <v>2094</v>
      </c>
      <c r="J132" s="1" t="s">
        <v>1145</v>
      </c>
      <c r="K132" s="1" t="s">
        <v>947</v>
      </c>
      <c r="L132" s="1" t="s">
        <v>1533</v>
      </c>
      <c r="M132" s="1" t="s">
        <v>1533</v>
      </c>
      <c r="N132" s="1" t="s">
        <v>110</v>
      </c>
      <c r="O132" s="1" t="s">
        <v>110</v>
      </c>
      <c r="P132" s="1" t="s">
        <v>110</v>
      </c>
      <c r="Q132" s="5">
        <v>45282</v>
      </c>
      <c r="R132" s="1"/>
      <c r="S132" s="1"/>
      <c r="T132" s="1"/>
      <c r="U132" s="1"/>
      <c r="V132" s="1" t="s">
        <v>2146</v>
      </c>
      <c r="W132" s="4">
        <v>1</v>
      </c>
      <c r="X132" s="6">
        <v>6200</v>
      </c>
      <c r="Y132" s="1" t="s">
        <v>1516</v>
      </c>
      <c r="Z132" s="1">
        <v>4</v>
      </c>
      <c r="AA132" s="6">
        <v>1550</v>
      </c>
      <c r="AB132" s="1" t="s">
        <v>2175</v>
      </c>
      <c r="AC132" s="1" t="s">
        <v>2162</v>
      </c>
      <c r="AD132" s="1" t="s">
        <v>1100</v>
      </c>
      <c r="AE132" s="1" t="s">
        <v>1522</v>
      </c>
      <c r="AF132" s="1" t="s">
        <v>1186</v>
      </c>
      <c r="AG132" s="1" t="s">
        <v>1522</v>
      </c>
      <c r="AH132" s="6">
        <v>6200</v>
      </c>
      <c r="AI132" s="6">
        <v>1550</v>
      </c>
      <c r="AJ132" s="1" t="s">
        <v>2136</v>
      </c>
      <c r="AK132" s="1"/>
      <c r="AL132" s="1"/>
      <c r="AM132" s="1" t="s">
        <v>2136</v>
      </c>
      <c r="AN132" s="1" t="s">
        <v>768</v>
      </c>
      <c r="AO132" s="1"/>
      <c r="AP132" s="1" t="s">
        <v>93</v>
      </c>
      <c r="AQ132" s="1"/>
      <c r="AR132" s="1"/>
      <c r="AS132" s="2"/>
      <c r="AT132" s="1"/>
      <c r="AU132" s="1"/>
      <c r="AV132" s="1"/>
      <c r="AW132" s="1" t="s">
        <v>2152</v>
      </c>
      <c r="AX132" s="7">
        <v>45282.500804766947</v>
      </c>
      <c r="AY132" s="1" t="s">
        <v>754</v>
      </c>
      <c r="AZ132" s="6">
        <v>6200</v>
      </c>
      <c r="BA132" s="5">
        <v>45281</v>
      </c>
      <c r="BB132" s="5">
        <v>45281</v>
      </c>
      <c r="BC132" s="5">
        <v>45281</v>
      </c>
      <c r="BD132" s="5">
        <v>45281</v>
      </c>
      <c r="BE132" s="7">
        <v>45291</v>
      </c>
      <c r="BF132" s="1" t="s">
        <v>2170</v>
      </c>
      <c r="BG132" s="1"/>
      <c r="BH132" s="1"/>
      <c r="BI132" s="1" t="s">
        <v>108</v>
      </c>
    </row>
    <row r="133" spans="1:61" hidden="1" x14ac:dyDescent="0.25">
      <c r="A133" s="4">
        <v>128</v>
      </c>
      <c r="B133" s="2" t="str">
        <f>HYPERLINK("https://my.zakupivli.pro/remote/dispatcher/state_purchase_view/47960175", "UA-2023-12-22-012772-a")</f>
        <v>UA-2023-12-22-012772-a</v>
      </c>
      <c r="C133" s="2" t="s">
        <v>1516</v>
      </c>
      <c r="D133" s="1" t="s">
        <v>1221</v>
      </c>
      <c r="E133" s="1" t="s">
        <v>2139</v>
      </c>
      <c r="F133" s="1" t="s">
        <v>487</v>
      </c>
      <c r="G133" s="1" t="s">
        <v>841</v>
      </c>
      <c r="H133" s="1" t="s">
        <v>1218</v>
      </c>
      <c r="I133" s="1" t="s">
        <v>2094</v>
      </c>
      <c r="J133" s="1" t="s">
        <v>1145</v>
      </c>
      <c r="K133" s="1" t="s">
        <v>947</v>
      </c>
      <c r="L133" s="1" t="s">
        <v>1533</v>
      </c>
      <c r="M133" s="1" t="s">
        <v>1533</v>
      </c>
      <c r="N133" s="1" t="s">
        <v>110</v>
      </c>
      <c r="O133" s="1" t="s">
        <v>110</v>
      </c>
      <c r="P133" s="1" t="s">
        <v>110</v>
      </c>
      <c r="Q133" s="5">
        <v>45282</v>
      </c>
      <c r="R133" s="1"/>
      <c r="S133" s="1"/>
      <c r="T133" s="1"/>
      <c r="U133" s="1"/>
      <c r="V133" s="1" t="s">
        <v>2146</v>
      </c>
      <c r="W133" s="4">
        <v>1</v>
      </c>
      <c r="X133" s="6">
        <v>2030</v>
      </c>
      <c r="Y133" s="1" t="s">
        <v>1516</v>
      </c>
      <c r="Z133" s="1" t="s">
        <v>2157</v>
      </c>
      <c r="AA133" s="1" t="s">
        <v>2157</v>
      </c>
      <c r="AB133" s="1" t="s">
        <v>2157</v>
      </c>
      <c r="AC133" s="1" t="s">
        <v>2162</v>
      </c>
      <c r="AD133" s="1" t="s">
        <v>1100</v>
      </c>
      <c r="AE133" s="1" t="s">
        <v>1522</v>
      </c>
      <c r="AF133" s="1" t="s">
        <v>1186</v>
      </c>
      <c r="AG133" s="1" t="s">
        <v>1522</v>
      </c>
      <c r="AH133" s="6">
        <v>2030</v>
      </c>
      <c r="AI133" s="1" t="s">
        <v>2157</v>
      </c>
      <c r="AJ133" s="1" t="s">
        <v>2136</v>
      </c>
      <c r="AK133" s="1"/>
      <c r="AL133" s="1"/>
      <c r="AM133" s="1" t="s">
        <v>2136</v>
      </c>
      <c r="AN133" s="1" t="s">
        <v>768</v>
      </c>
      <c r="AO133" s="1"/>
      <c r="AP133" s="1" t="s">
        <v>93</v>
      </c>
      <c r="AQ133" s="1"/>
      <c r="AR133" s="1"/>
      <c r="AS133" s="2"/>
      <c r="AT133" s="1"/>
      <c r="AU133" s="1"/>
      <c r="AV133" s="1"/>
      <c r="AW133" s="1" t="s">
        <v>2152</v>
      </c>
      <c r="AX133" s="7">
        <v>45282.612591638899</v>
      </c>
      <c r="AY133" s="1" t="s">
        <v>758</v>
      </c>
      <c r="AZ133" s="6">
        <v>2030</v>
      </c>
      <c r="BA133" s="5">
        <v>45281</v>
      </c>
      <c r="BB133" s="5">
        <v>45281</v>
      </c>
      <c r="BC133" s="5">
        <v>45281</v>
      </c>
      <c r="BD133" s="5">
        <v>45281</v>
      </c>
      <c r="BE133" s="7">
        <v>45291</v>
      </c>
      <c r="BF133" s="1" t="s">
        <v>2170</v>
      </c>
      <c r="BG133" s="1"/>
      <c r="BH133" s="1"/>
      <c r="BI133" s="1" t="s">
        <v>108</v>
      </c>
    </row>
    <row r="134" spans="1:61" hidden="1" x14ac:dyDescent="0.25">
      <c r="A134" s="4">
        <v>129</v>
      </c>
      <c r="B134" s="2" t="str">
        <f>HYPERLINK("https://my.zakupivli.pro/remote/dispatcher/state_purchase_view/47957616", "UA-2023-12-22-011535-a")</f>
        <v>UA-2023-12-22-011535-a</v>
      </c>
      <c r="C134" s="2" t="s">
        <v>1516</v>
      </c>
      <c r="D134" s="1" t="s">
        <v>1221</v>
      </c>
      <c r="E134" s="1" t="s">
        <v>1501</v>
      </c>
      <c r="F134" s="1" t="s">
        <v>487</v>
      </c>
      <c r="G134" s="1" t="s">
        <v>756</v>
      </c>
      <c r="H134" s="1" t="s">
        <v>1218</v>
      </c>
      <c r="I134" s="1" t="s">
        <v>2094</v>
      </c>
      <c r="J134" s="1" t="s">
        <v>1145</v>
      </c>
      <c r="K134" s="1" t="s">
        <v>947</v>
      </c>
      <c r="L134" s="1" t="s">
        <v>1533</v>
      </c>
      <c r="M134" s="1" t="s">
        <v>1533</v>
      </c>
      <c r="N134" s="1" t="s">
        <v>110</v>
      </c>
      <c r="O134" s="1" t="s">
        <v>110</v>
      </c>
      <c r="P134" s="1" t="s">
        <v>110</v>
      </c>
      <c r="Q134" s="5">
        <v>45282</v>
      </c>
      <c r="R134" s="1"/>
      <c r="S134" s="1"/>
      <c r="T134" s="1"/>
      <c r="U134" s="1"/>
      <c r="V134" s="1" t="s">
        <v>2146</v>
      </c>
      <c r="W134" s="4">
        <v>1</v>
      </c>
      <c r="X134" s="6">
        <v>2570</v>
      </c>
      <c r="Y134" s="1" t="s">
        <v>1516</v>
      </c>
      <c r="Z134" s="1">
        <v>8</v>
      </c>
      <c r="AA134" s="6">
        <v>321.25</v>
      </c>
      <c r="AB134" s="1" t="s">
        <v>2157</v>
      </c>
      <c r="AC134" s="1" t="s">
        <v>2162</v>
      </c>
      <c r="AD134" s="1" t="s">
        <v>1100</v>
      </c>
      <c r="AE134" s="1" t="s">
        <v>1522</v>
      </c>
      <c r="AF134" s="1" t="s">
        <v>1186</v>
      </c>
      <c r="AG134" s="1" t="s">
        <v>1522</v>
      </c>
      <c r="AH134" s="6">
        <v>2570</v>
      </c>
      <c r="AI134" s="6">
        <v>321.25</v>
      </c>
      <c r="AJ134" s="1" t="s">
        <v>2136</v>
      </c>
      <c r="AK134" s="1"/>
      <c r="AL134" s="1"/>
      <c r="AM134" s="1" t="s">
        <v>2136</v>
      </c>
      <c r="AN134" s="1" t="s">
        <v>768</v>
      </c>
      <c r="AO134" s="1"/>
      <c r="AP134" s="1" t="s">
        <v>93</v>
      </c>
      <c r="AQ134" s="1"/>
      <c r="AR134" s="1"/>
      <c r="AS134" s="2"/>
      <c r="AT134" s="1"/>
      <c r="AU134" s="1"/>
      <c r="AV134" s="1"/>
      <c r="AW134" s="1" t="s">
        <v>2152</v>
      </c>
      <c r="AX134" s="7">
        <v>45282.600008738053</v>
      </c>
      <c r="AY134" s="1" t="s">
        <v>759</v>
      </c>
      <c r="AZ134" s="6">
        <v>2570</v>
      </c>
      <c r="BA134" s="5">
        <v>45281</v>
      </c>
      <c r="BB134" s="5">
        <v>45281</v>
      </c>
      <c r="BC134" s="5">
        <v>45281</v>
      </c>
      <c r="BD134" s="5">
        <v>45281</v>
      </c>
      <c r="BE134" s="7">
        <v>45291</v>
      </c>
      <c r="BF134" s="1" t="s">
        <v>2170</v>
      </c>
      <c r="BG134" s="1"/>
      <c r="BH134" s="1"/>
      <c r="BI134" s="1" t="s">
        <v>108</v>
      </c>
    </row>
    <row r="135" spans="1:61" hidden="1" x14ac:dyDescent="0.25">
      <c r="A135" s="4">
        <v>130</v>
      </c>
      <c r="B135" s="2" t="str">
        <f>HYPERLINK("https://my.zakupivli.pro/remote/dispatcher/state_purchase_view/47956201", "UA-2023-12-22-010875-a")</f>
        <v>UA-2023-12-22-010875-a</v>
      </c>
      <c r="C135" s="2" t="s">
        <v>1516</v>
      </c>
      <c r="D135" s="1" t="s">
        <v>1221</v>
      </c>
      <c r="E135" s="1" t="s">
        <v>2139</v>
      </c>
      <c r="F135" s="1" t="s">
        <v>487</v>
      </c>
      <c r="G135" s="1" t="s">
        <v>841</v>
      </c>
      <c r="H135" s="1" t="s">
        <v>1218</v>
      </c>
      <c r="I135" s="1" t="s">
        <v>2094</v>
      </c>
      <c r="J135" s="1" t="s">
        <v>1145</v>
      </c>
      <c r="K135" s="1" t="s">
        <v>947</v>
      </c>
      <c r="L135" s="1" t="s">
        <v>1533</v>
      </c>
      <c r="M135" s="1" t="s">
        <v>1533</v>
      </c>
      <c r="N135" s="1" t="s">
        <v>110</v>
      </c>
      <c r="O135" s="1" t="s">
        <v>110</v>
      </c>
      <c r="P135" s="1" t="s">
        <v>110</v>
      </c>
      <c r="Q135" s="5">
        <v>45282</v>
      </c>
      <c r="R135" s="1"/>
      <c r="S135" s="1"/>
      <c r="T135" s="1"/>
      <c r="U135" s="1"/>
      <c r="V135" s="1" t="s">
        <v>2146</v>
      </c>
      <c r="W135" s="4">
        <v>1</v>
      </c>
      <c r="X135" s="6">
        <v>2030</v>
      </c>
      <c r="Y135" s="1" t="s">
        <v>1516</v>
      </c>
      <c r="Z135" s="1" t="s">
        <v>2157</v>
      </c>
      <c r="AA135" s="1" t="s">
        <v>2157</v>
      </c>
      <c r="AB135" s="1" t="s">
        <v>2157</v>
      </c>
      <c r="AC135" s="1" t="s">
        <v>2162</v>
      </c>
      <c r="AD135" s="1" t="s">
        <v>1100</v>
      </c>
      <c r="AE135" s="1" t="s">
        <v>1522</v>
      </c>
      <c r="AF135" s="1" t="s">
        <v>1186</v>
      </c>
      <c r="AG135" s="1" t="s">
        <v>1522</v>
      </c>
      <c r="AH135" s="6">
        <v>2030</v>
      </c>
      <c r="AI135" s="1" t="s">
        <v>2157</v>
      </c>
      <c r="AJ135" s="1" t="s">
        <v>2136</v>
      </c>
      <c r="AK135" s="1"/>
      <c r="AL135" s="1"/>
      <c r="AM135" s="1" t="s">
        <v>2136</v>
      </c>
      <c r="AN135" s="1" t="s">
        <v>768</v>
      </c>
      <c r="AO135" s="1"/>
      <c r="AP135" s="1" t="s">
        <v>93</v>
      </c>
      <c r="AQ135" s="1"/>
      <c r="AR135" s="1"/>
      <c r="AS135" s="2"/>
      <c r="AT135" s="1"/>
      <c r="AU135" s="1"/>
      <c r="AV135" s="1"/>
      <c r="AW135" s="1" t="s">
        <v>2152</v>
      </c>
      <c r="AX135" s="7">
        <v>45282.581626898354</v>
      </c>
      <c r="AY135" s="1" t="s">
        <v>758</v>
      </c>
      <c r="AZ135" s="6">
        <v>2030</v>
      </c>
      <c r="BA135" s="5">
        <v>45281</v>
      </c>
      <c r="BB135" s="5">
        <v>45281</v>
      </c>
      <c r="BC135" s="5">
        <v>45281</v>
      </c>
      <c r="BD135" s="5">
        <v>45281</v>
      </c>
      <c r="BE135" s="7">
        <v>45291</v>
      </c>
      <c r="BF135" s="1" t="s">
        <v>2170</v>
      </c>
      <c r="BG135" s="1"/>
      <c r="BH135" s="1"/>
      <c r="BI135" s="1" t="s">
        <v>108</v>
      </c>
    </row>
    <row r="136" spans="1:61" hidden="1" x14ac:dyDescent="0.25">
      <c r="A136" s="4">
        <v>131</v>
      </c>
      <c r="B136" s="2" t="str">
        <f>HYPERLINK("https://my.zakupivli.pro/remote/dispatcher/state_purchase_view/47955223", "UA-2023-12-22-010477-a")</f>
        <v>UA-2023-12-22-010477-a</v>
      </c>
      <c r="C136" s="2" t="s">
        <v>1516</v>
      </c>
      <c r="D136" s="1" t="s">
        <v>1509</v>
      </c>
      <c r="E136" s="1" t="s">
        <v>1508</v>
      </c>
      <c r="F136" s="1" t="s">
        <v>487</v>
      </c>
      <c r="G136" s="1" t="s">
        <v>889</v>
      </c>
      <c r="H136" s="1" t="s">
        <v>1218</v>
      </c>
      <c r="I136" s="1" t="s">
        <v>2094</v>
      </c>
      <c r="J136" s="1" t="s">
        <v>1145</v>
      </c>
      <c r="K136" s="1" t="s">
        <v>947</v>
      </c>
      <c r="L136" s="1" t="s">
        <v>1533</v>
      </c>
      <c r="M136" s="1" t="s">
        <v>1533</v>
      </c>
      <c r="N136" s="1" t="s">
        <v>110</v>
      </c>
      <c r="O136" s="1" t="s">
        <v>110</v>
      </c>
      <c r="P136" s="1" t="s">
        <v>110</v>
      </c>
      <c r="Q136" s="5">
        <v>45282</v>
      </c>
      <c r="R136" s="1"/>
      <c r="S136" s="1"/>
      <c r="T136" s="1"/>
      <c r="U136" s="1"/>
      <c r="V136" s="1" t="s">
        <v>2146</v>
      </c>
      <c r="W136" s="4">
        <v>1</v>
      </c>
      <c r="X136" s="6">
        <v>14888</v>
      </c>
      <c r="Y136" s="1" t="s">
        <v>1516</v>
      </c>
      <c r="Z136" s="1" t="s">
        <v>2157</v>
      </c>
      <c r="AA136" s="1" t="s">
        <v>2157</v>
      </c>
      <c r="AB136" s="1" t="s">
        <v>2157</v>
      </c>
      <c r="AC136" s="1" t="s">
        <v>2162</v>
      </c>
      <c r="AD136" s="1" t="s">
        <v>1100</v>
      </c>
      <c r="AE136" s="1" t="s">
        <v>1522</v>
      </c>
      <c r="AF136" s="1" t="s">
        <v>1186</v>
      </c>
      <c r="AG136" s="1" t="s">
        <v>1522</v>
      </c>
      <c r="AH136" s="6">
        <v>14888</v>
      </c>
      <c r="AI136" s="1" t="s">
        <v>2157</v>
      </c>
      <c r="AJ136" s="1" t="s">
        <v>2141</v>
      </c>
      <c r="AK136" s="1"/>
      <c r="AL136" s="1"/>
      <c r="AM136" s="1" t="s">
        <v>2141</v>
      </c>
      <c r="AN136" s="1" t="s">
        <v>769</v>
      </c>
      <c r="AO136" s="1"/>
      <c r="AP136" s="1" t="s">
        <v>100</v>
      </c>
      <c r="AQ136" s="1"/>
      <c r="AR136" s="1"/>
      <c r="AS136" s="2"/>
      <c r="AT136" s="1"/>
      <c r="AU136" s="1"/>
      <c r="AV136" s="1"/>
      <c r="AW136" s="1" t="s">
        <v>2152</v>
      </c>
      <c r="AX136" s="7">
        <v>45282.576123784886</v>
      </c>
      <c r="AY136" s="1" t="s">
        <v>760</v>
      </c>
      <c r="AZ136" s="6">
        <v>14888</v>
      </c>
      <c r="BA136" s="5">
        <v>45281</v>
      </c>
      <c r="BB136" s="5">
        <v>45281</v>
      </c>
      <c r="BC136" s="5">
        <v>45281</v>
      </c>
      <c r="BD136" s="5">
        <v>45281</v>
      </c>
      <c r="BE136" s="7">
        <v>45291</v>
      </c>
      <c r="BF136" s="1" t="s">
        <v>2170</v>
      </c>
      <c r="BG136" s="1"/>
      <c r="BH136" s="1"/>
      <c r="BI136" s="1" t="s">
        <v>108</v>
      </c>
    </row>
    <row r="137" spans="1:61" hidden="1" x14ac:dyDescent="0.25">
      <c r="A137" s="4">
        <v>132</v>
      </c>
      <c r="B137" s="2" t="str">
        <f>HYPERLINK("https://my.zakupivli.pro/remote/dispatcher/state_purchase_view/47911056", "UA-2023-12-21-015139-a")</f>
        <v>UA-2023-12-21-015139-a</v>
      </c>
      <c r="C137" s="2" t="s">
        <v>1516</v>
      </c>
      <c r="D137" s="1" t="s">
        <v>1475</v>
      </c>
      <c r="E137" s="1" t="s">
        <v>2133</v>
      </c>
      <c r="F137" s="1" t="s">
        <v>487</v>
      </c>
      <c r="G137" s="1" t="s">
        <v>804</v>
      </c>
      <c r="H137" s="1" t="s">
        <v>1218</v>
      </c>
      <c r="I137" s="1" t="s">
        <v>2094</v>
      </c>
      <c r="J137" s="1" t="s">
        <v>1145</v>
      </c>
      <c r="K137" s="1" t="s">
        <v>947</v>
      </c>
      <c r="L137" s="1" t="s">
        <v>1533</v>
      </c>
      <c r="M137" s="1" t="s">
        <v>1533</v>
      </c>
      <c r="N137" s="1" t="s">
        <v>110</v>
      </c>
      <c r="O137" s="1" t="s">
        <v>110</v>
      </c>
      <c r="P137" s="1" t="s">
        <v>110</v>
      </c>
      <c r="Q137" s="5">
        <v>45281</v>
      </c>
      <c r="R137" s="1"/>
      <c r="S137" s="1"/>
      <c r="T137" s="1"/>
      <c r="U137" s="1"/>
      <c r="V137" s="1" t="s">
        <v>2146</v>
      </c>
      <c r="W137" s="4">
        <v>1</v>
      </c>
      <c r="X137" s="6">
        <v>11161.56</v>
      </c>
      <c r="Y137" s="1" t="s">
        <v>1516</v>
      </c>
      <c r="Z137" s="1" t="s">
        <v>2157</v>
      </c>
      <c r="AA137" s="1" t="s">
        <v>2157</v>
      </c>
      <c r="AB137" s="1" t="s">
        <v>2157</v>
      </c>
      <c r="AC137" s="1" t="s">
        <v>2162</v>
      </c>
      <c r="AD137" s="1" t="s">
        <v>1100</v>
      </c>
      <c r="AE137" s="1" t="s">
        <v>2094</v>
      </c>
      <c r="AF137" s="1" t="s">
        <v>1186</v>
      </c>
      <c r="AG137" s="1" t="s">
        <v>1522</v>
      </c>
      <c r="AH137" s="6">
        <v>11161.56</v>
      </c>
      <c r="AI137" s="1" t="s">
        <v>2157</v>
      </c>
      <c r="AJ137" s="1" t="s">
        <v>2059</v>
      </c>
      <c r="AK137" s="1"/>
      <c r="AL137" s="1"/>
      <c r="AM137" s="1" t="s">
        <v>2059</v>
      </c>
      <c r="AN137" s="1" t="s">
        <v>881</v>
      </c>
      <c r="AO137" s="1"/>
      <c r="AP137" s="1" t="s">
        <v>41</v>
      </c>
      <c r="AQ137" s="1"/>
      <c r="AR137" s="1"/>
      <c r="AS137" s="2"/>
      <c r="AT137" s="1"/>
      <c r="AU137" s="1"/>
      <c r="AV137" s="1"/>
      <c r="AW137" s="1" t="s">
        <v>2152</v>
      </c>
      <c r="AX137" s="7">
        <v>45281.634575433927</v>
      </c>
      <c r="AY137" s="1" t="s">
        <v>753</v>
      </c>
      <c r="AZ137" s="6">
        <v>11161.56</v>
      </c>
      <c r="BA137" s="5">
        <v>45281</v>
      </c>
      <c r="BB137" s="5">
        <v>45281</v>
      </c>
      <c r="BC137" s="5">
        <v>45281</v>
      </c>
      <c r="BD137" s="5">
        <v>45281</v>
      </c>
      <c r="BE137" s="7">
        <v>45291</v>
      </c>
      <c r="BF137" s="1" t="s">
        <v>2170</v>
      </c>
      <c r="BG137" s="1"/>
      <c r="BH137" s="1"/>
      <c r="BI137" s="1" t="s">
        <v>108</v>
      </c>
    </row>
    <row r="138" spans="1:61" hidden="1" x14ac:dyDescent="0.25">
      <c r="A138" s="4">
        <v>133</v>
      </c>
      <c r="B138" s="2" t="str">
        <f>HYPERLINK("https://my.zakupivli.pro/remote/dispatcher/state_purchase_view/47922268", "UA-2023-12-21-019808-a")</f>
        <v>UA-2023-12-21-019808-a</v>
      </c>
      <c r="C138" s="2" t="s">
        <v>1516</v>
      </c>
      <c r="D138" s="1" t="s">
        <v>1527</v>
      </c>
      <c r="E138" s="1" t="s">
        <v>1527</v>
      </c>
      <c r="F138" s="1" t="s">
        <v>487</v>
      </c>
      <c r="G138" s="1" t="s">
        <v>972</v>
      </c>
      <c r="H138" s="1" t="s">
        <v>1218</v>
      </c>
      <c r="I138" s="1" t="s">
        <v>2094</v>
      </c>
      <c r="J138" s="1" t="s">
        <v>1145</v>
      </c>
      <c r="K138" s="1" t="s">
        <v>947</v>
      </c>
      <c r="L138" s="1" t="s">
        <v>1533</v>
      </c>
      <c r="M138" s="1" t="s">
        <v>1533</v>
      </c>
      <c r="N138" s="1" t="s">
        <v>110</v>
      </c>
      <c r="O138" s="1" t="s">
        <v>110</v>
      </c>
      <c r="P138" s="1" t="s">
        <v>110</v>
      </c>
      <c r="Q138" s="5">
        <v>45281</v>
      </c>
      <c r="R138" s="1"/>
      <c r="S138" s="1"/>
      <c r="T138" s="1"/>
      <c r="U138" s="1"/>
      <c r="V138" s="1" t="s">
        <v>2146</v>
      </c>
      <c r="W138" s="4">
        <v>1</v>
      </c>
      <c r="X138" s="6">
        <v>42350</v>
      </c>
      <c r="Y138" s="1" t="s">
        <v>1516</v>
      </c>
      <c r="Z138" s="1">
        <v>1</v>
      </c>
      <c r="AA138" s="6">
        <v>42350</v>
      </c>
      <c r="AB138" s="1" t="s">
        <v>2167</v>
      </c>
      <c r="AC138" s="1" t="s">
        <v>2162</v>
      </c>
      <c r="AD138" s="1" t="s">
        <v>1100</v>
      </c>
      <c r="AE138" s="1" t="s">
        <v>1522</v>
      </c>
      <c r="AF138" s="1" t="s">
        <v>1186</v>
      </c>
      <c r="AG138" s="1" t="s">
        <v>1522</v>
      </c>
      <c r="AH138" s="6">
        <v>42350</v>
      </c>
      <c r="AI138" s="6">
        <v>42350</v>
      </c>
      <c r="AJ138" s="1" t="s">
        <v>2084</v>
      </c>
      <c r="AK138" s="1"/>
      <c r="AL138" s="1"/>
      <c r="AM138" s="1" t="s">
        <v>2084</v>
      </c>
      <c r="AN138" s="1" t="s">
        <v>913</v>
      </c>
      <c r="AO138" s="1"/>
      <c r="AP138" s="1" t="s">
        <v>44</v>
      </c>
      <c r="AQ138" s="1"/>
      <c r="AR138" s="1"/>
      <c r="AS138" s="2"/>
      <c r="AT138" s="1"/>
      <c r="AU138" s="1"/>
      <c r="AV138" s="1"/>
      <c r="AW138" s="1" t="s">
        <v>2152</v>
      </c>
      <c r="AX138" s="7">
        <v>45281.701009491633</v>
      </c>
      <c r="AY138" s="1" t="s">
        <v>754</v>
      </c>
      <c r="AZ138" s="6">
        <v>42350</v>
      </c>
      <c r="BA138" s="5">
        <v>45281</v>
      </c>
      <c r="BB138" s="5">
        <v>45282</v>
      </c>
      <c r="BC138" s="5">
        <v>45281</v>
      </c>
      <c r="BD138" s="5">
        <v>45281</v>
      </c>
      <c r="BE138" s="7">
        <v>45291</v>
      </c>
      <c r="BF138" s="1" t="s">
        <v>2170</v>
      </c>
      <c r="BG138" s="1"/>
      <c r="BH138" s="1"/>
      <c r="BI138" s="1" t="s">
        <v>108</v>
      </c>
    </row>
    <row r="139" spans="1:61" hidden="1" x14ac:dyDescent="0.25">
      <c r="A139" s="4">
        <v>134</v>
      </c>
      <c r="B139" s="2" t="str">
        <f>HYPERLINK("https://my.zakupivli.pro/remote/dispatcher/state_purchase_view/47913903", "UA-2023-12-21-016049-a")</f>
        <v>UA-2023-12-21-016049-a</v>
      </c>
      <c r="C139" s="2" t="s">
        <v>1516</v>
      </c>
      <c r="D139" s="1" t="s">
        <v>1555</v>
      </c>
      <c r="E139" s="1" t="s">
        <v>1553</v>
      </c>
      <c r="F139" s="1" t="s">
        <v>487</v>
      </c>
      <c r="G139" s="1" t="s">
        <v>804</v>
      </c>
      <c r="H139" s="1" t="s">
        <v>1218</v>
      </c>
      <c r="I139" s="1" t="s">
        <v>2094</v>
      </c>
      <c r="J139" s="1" t="s">
        <v>1145</v>
      </c>
      <c r="K139" s="1" t="s">
        <v>947</v>
      </c>
      <c r="L139" s="1" t="s">
        <v>1533</v>
      </c>
      <c r="M139" s="1" t="s">
        <v>1533</v>
      </c>
      <c r="N139" s="1" t="s">
        <v>110</v>
      </c>
      <c r="O139" s="1" t="s">
        <v>110</v>
      </c>
      <c r="P139" s="1" t="s">
        <v>110</v>
      </c>
      <c r="Q139" s="5">
        <v>45281</v>
      </c>
      <c r="R139" s="1"/>
      <c r="S139" s="1"/>
      <c r="T139" s="1"/>
      <c r="U139" s="1"/>
      <c r="V139" s="1" t="s">
        <v>2146</v>
      </c>
      <c r="W139" s="4">
        <v>1</v>
      </c>
      <c r="X139" s="6">
        <v>38448.06</v>
      </c>
      <c r="Y139" s="1" t="s">
        <v>1516</v>
      </c>
      <c r="Z139" s="1">
        <v>217</v>
      </c>
      <c r="AA139" s="6">
        <v>177.18</v>
      </c>
      <c r="AB139" s="1" t="s">
        <v>2166</v>
      </c>
      <c r="AC139" s="1" t="s">
        <v>2162</v>
      </c>
      <c r="AD139" s="1" t="s">
        <v>1100</v>
      </c>
      <c r="AE139" s="1" t="s">
        <v>1522</v>
      </c>
      <c r="AF139" s="1" t="s">
        <v>1186</v>
      </c>
      <c r="AG139" s="1" t="s">
        <v>1522</v>
      </c>
      <c r="AH139" s="6">
        <v>38448.06</v>
      </c>
      <c r="AI139" s="6">
        <v>177.17999999999998</v>
      </c>
      <c r="AJ139" s="1" t="s">
        <v>2059</v>
      </c>
      <c r="AK139" s="1"/>
      <c r="AL139" s="1"/>
      <c r="AM139" s="1" t="s">
        <v>2059</v>
      </c>
      <c r="AN139" s="1" t="s">
        <v>881</v>
      </c>
      <c r="AO139" s="1"/>
      <c r="AP139" s="1" t="s">
        <v>41</v>
      </c>
      <c r="AQ139" s="1"/>
      <c r="AR139" s="1"/>
      <c r="AS139" s="2"/>
      <c r="AT139" s="1"/>
      <c r="AU139" s="1"/>
      <c r="AV139" s="1"/>
      <c r="AW139" s="1" t="s">
        <v>2152</v>
      </c>
      <c r="AX139" s="7">
        <v>45281.646476668298</v>
      </c>
      <c r="AY139" s="1" t="s">
        <v>751</v>
      </c>
      <c r="AZ139" s="6">
        <v>38448.06</v>
      </c>
      <c r="BA139" s="5">
        <v>45281</v>
      </c>
      <c r="BB139" s="5">
        <v>45281</v>
      </c>
      <c r="BC139" s="5">
        <v>45281</v>
      </c>
      <c r="BD139" s="5">
        <v>45281</v>
      </c>
      <c r="BE139" s="7">
        <v>45291</v>
      </c>
      <c r="BF139" s="1" t="s">
        <v>2170</v>
      </c>
      <c r="BG139" s="1"/>
      <c r="BH139" s="1"/>
      <c r="BI139" s="1" t="s">
        <v>108</v>
      </c>
    </row>
    <row r="140" spans="1:61" hidden="1" x14ac:dyDescent="0.25">
      <c r="A140" s="4">
        <v>135</v>
      </c>
      <c r="B140" s="2" t="str">
        <f>HYPERLINK("https://my.zakupivli.pro/remote/dispatcher/state_purchase_view/47905785", "UA-2023-12-21-012130-a")</f>
        <v>UA-2023-12-21-012130-a</v>
      </c>
      <c r="C140" s="2" t="s">
        <v>1516</v>
      </c>
      <c r="D140" s="1" t="s">
        <v>1163</v>
      </c>
      <c r="E140" s="1" t="s">
        <v>1163</v>
      </c>
      <c r="F140" s="1" t="s">
        <v>487</v>
      </c>
      <c r="G140" s="1" t="s">
        <v>143</v>
      </c>
      <c r="H140" s="1" t="s">
        <v>1218</v>
      </c>
      <c r="I140" s="1" t="s">
        <v>2094</v>
      </c>
      <c r="J140" s="1" t="s">
        <v>1145</v>
      </c>
      <c r="K140" s="1" t="s">
        <v>947</v>
      </c>
      <c r="L140" s="1" t="s">
        <v>1533</v>
      </c>
      <c r="M140" s="1" t="s">
        <v>1533</v>
      </c>
      <c r="N140" s="1" t="s">
        <v>110</v>
      </c>
      <c r="O140" s="1" t="s">
        <v>110</v>
      </c>
      <c r="P140" s="1" t="s">
        <v>110</v>
      </c>
      <c r="Q140" s="5">
        <v>45281</v>
      </c>
      <c r="R140" s="1"/>
      <c r="S140" s="1"/>
      <c r="T140" s="1"/>
      <c r="U140" s="1"/>
      <c r="V140" s="1" t="s">
        <v>2146</v>
      </c>
      <c r="W140" s="4">
        <v>1</v>
      </c>
      <c r="X140" s="6">
        <v>49637.5</v>
      </c>
      <c r="Y140" s="1" t="s">
        <v>1516</v>
      </c>
      <c r="Z140" s="1">
        <v>1045</v>
      </c>
      <c r="AA140" s="6">
        <v>47.5</v>
      </c>
      <c r="AB140" s="1" t="s">
        <v>2158</v>
      </c>
      <c r="AC140" s="1" t="s">
        <v>2162</v>
      </c>
      <c r="AD140" s="1" t="s">
        <v>1100</v>
      </c>
      <c r="AE140" s="1" t="s">
        <v>2094</v>
      </c>
      <c r="AF140" s="1" t="s">
        <v>1186</v>
      </c>
      <c r="AG140" s="1" t="s">
        <v>1522</v>
      </c>
      <c r="AH140" s="6">
        <v>49637.5</v>
      </c>
      <c r="AI140" s="6">
        <v>47.5</v>
      </c>
      <c r="AJ140" s="1" t="s">
        <v>2041</v>
      </c>
      <c r="AK140" s="1"/>
      <c r="AL140" s="1"/>
      <c r="AM140" s="1" t="s">
        <v>2041</v>
      </c>
      <c r="AN140" s="1" t="s">
        <v>960</v>
      </c>
      <c r="AO140" s="1"/>
      <c r="AP140" s="1" t="s">
        <v>65</v>
      </c>
      <c r="AQ140" s="1"/>
      <c r="AR140" s="1"/>
      <c r="AS140" s="2"/>
      <c r="AT140" s="1"/>
      <c r="AU140" s="1"/>
      <c r="AV140" s="1"/>
      <c r="AW140" s="1" t="s">
        <v>2152</v>
      </c>
      <c r="AX140" s="7">
        <v>45281.591724098842</v>
      </c>
      <c r="AY140" s="1" t="s">
        <v>111</v>
      </c>
      <c r="AZ140" s="6">
        <v>49637.5</v>
      </c>
      <c r="BA140" s="5">
        <v>45281</v>
      </c>
      <c r="BB140" s="5">
        <v>45281</v>
      </c>
      <c r="BC140" s="5">
        <v>45281</v>
      </c>
      <c r="BD140" s="5">
        <v>45281</v>
      </c>
      <c r="BE140" s="7">
        <v>45291</v>
      </c>
      <c r="BF140" s="1" t="s">
        <v>2170</v>
      </c>
      <c r="BG140" s="1"/>
      <c r="BH140" s="1"/>
      <c r="BI140" s="1" t="s">
        <v>108</v>
      </c>
    </row>
    <row r="141" spans="1:61" hidden="1" x14ac:dyDescent="0.25">
      <c r="A141" s="4">
        <v>136</v>
      </c>
      <c r="B141" s="2" t="str">
        <f>HYPERLINK("https://my.zakupivli.pro/remote/dispatcher/state_purchase_view/47847514", "UA-2023-12-20-011044-a")</f>
        <v>UA-2023-12-20-011044-a</v>
      </c>
      <c r="C141" s="2" t="s">
        <v>1516</v>
      </c>
      <c r="D141" s="1" t="s">
        <v>2102</v>
      </c>
      <c r="E141" s="1" t="s">
        <v>1489</v>
      </c>
      <c r="F141" s="1" t="s">
        <v>487</v>
      </c>
      <c r="G141" s="1" t="s">
        <v>879</v>
      </c>
      <c r="H141" s="1" t="s">
        <v>1218</v>
      </c>
      <c r="I141" s="1" t="s">
        <v>2094</v>
      </c>
      <c r="J141" s="1" t="s">
        <v>1145</v>
      </c>
      <c r="K141" s="1" t="s">
        <v>947</v>
      </c>
      <c r="L141" s="1" t="s">
        <v>1533</v>
      </c>
      <c r="M141" s="1" t="s">
        <v>1533</v>
      </c>
      <c r="N141" s="1" t="s">
        <v>110</v>
      </c>
      <c r="O141" s="1" t="s">
        <v>110</v>
      </c>
      <c r="P141" s="1" t="s">
        <v>110</v>
      </c>
      <c r="Q141" s="5">
        <v>45280</v>
      </c>
      <c r="R141" s="1"/>
      <c r="S141" s="1"/>
      <c r="T141" s="1"/>
      <c r="U141" s="1"/>
      <c r="V141" s="1" t="s">
        <v>2146</v>
      </c>
      <c r="W141" s="4">
        <v>1</v>
      </c>
      <c r="X141" s="6">
        <v>49875</v>
      </c>
      <c r="Y141" s="1" t="s">
        <v>1516</v>
      </c>
      <c r="Z141" s="1">
        <v>14</v>
      </c>
      <c r="AA141" s="6">
        <v>3562.5</v>
      </c>
      <c r="AB141" s="1" t="s">
        <v>2157</v>
      </c>
      <c r="AC141" s="1" t="s">
        <v>2162</v>
      </c>
      <c r="AD141" s="1" t="s">
        <v>1100</v>
      </c>
      <c r="AE141" s="1" t="s">
        <v>1522</v>
      </c>
      <c r="AF141" s="1" t="s">
        <v>1186</v>
      </c>
      <c r="AG141" s="1" t="s">
        <v>1522</v>
      </c>
      <c r="AH141" s="6">
        <v>49875</v>
      </c>
      <c r="AI141" s="6">
        <v>3562.5</v>
      </c>
      <c r="AJ141" s="1" t="s">
        <v>2084</v>
      </c>
      <c r="AK141" s="1"/>
      <c r="AL141" s="1"/>
      <c r="AM141" s="1" t="s">
        <v>2084</v>
      </c>
      <c r="AN141" s="1" t="s">
        <v>913</v>
      </c>
      <c r="AO141" s="1"/>
      <c r="AP141" s="1" t="s">
        <v>44</v>
      </c>
      <c r="AQ141" s="1"/>
      <c r="AR141" s="1"/>
      <c r="AS141" s="2"/>
      <c r="AT141" s="1"/>
      <c r="AU141" s="1"/>
      <c r="AV141" s="1"/>
      <c r="AW141" s="1" t="s">
        <v>2152</v>
      </c>
      <c r="AX141" s="7">
        <v>45280.5639350208</v>
      </c>
      <c r="AY141" s="1" t="s">
        <v>748</v>
      </c>
      <c r="AZ141" s="6">
        <v>49875</v>
      </c>
      <c r="BA141" s="5">
        <v>45280</v>
      </c>
      <c r="BB141" s="5">
        <v>45282</v>
      </c>
      <c r="BC141" s="5">
        <v>45280</v>
      </c>
      <c r="BD141" s="5">
        <v>45280</v>
      </c>
      <c r="BE141" s="7">
        <v>45291</v>
      </c>
      <c r="BF141" s="1" t="s">
        <v>2170</v>
      </c>
      <c r="BG141" s="1"/>
      <c r="BH141" s="1"/>
      <c r="BI141" s="1" t="s">
        <v>108</v>
      </c>
    </row>
    <row r="142" spans="1:61" hidden="1" x14ac:dyDescent="0.25">
      <c r="A142" s="4">
        <v>137</v>
      </c>
      <c r="B142" s="2" t="str">
        <f>HYPERLINK("https://my.zakupivli.pro/remote/dispatcher/state_purchase_view/47864423", "UA-2023-12-20-019039-a")</f>
        <v>UA-2023-12-20-019039-a</v>
      </c>
      <c r="C142" s="2" t="s">
        <v>1516</v>
      </c>
      <c r="D142" s="1" t="s">
        <v>1668</v>
      </c>
      <c r="E142" s="1" t="s">
        <v>2099</v>
      </c>
      <c r="F142" s="1" t="s">
        <v>487</v>
      </c>
      <c r="G142" s="1" t="s">
        <v>991</v>
      </c>
      <c r="H142" s="1" t="s">
        <v>1218</v>
      </c>
      <c r="I142" s="1" t="s">
        <v>2094</v>
      </c>
      <c r="J142" s="1" t="s">
        <v>1145</v>
      </c>
      <c r="K142" s="1" t="s">
        <v>947</v>
      </c>
      <c r="L142" s="1" t="s">
        <v>1533</v>
      </c>
      <c r="M142" s="1" t="s">
        <v>1533</v>
      </c>
      <c r="N142" s="1" t="s">
        <v>110</v>
      </c>
      <c r="O142" s="1" t="s">
        <v>110</v>
      </c>
      <c r="P142" s="1" t="s">
        <v>110</v>
      </c>
      <c r="Q142" s="5">
        <v>45280</v>
      </c>
      <c r="R142" s="1"/>
      <c r="S142" s="1"/>
      <c r="T142" s="1"/>
      <c r="U142" s="1"/>
      <c r="V142" s="1" t="s">
        <v>2146</v>
      </c>
      <c r="W142" s="4">
        <v>1</v>
      </c>
      <c r="X142" s="6">
        <v>1100</v>
      </c>
      <c r="Y142" s="1" t="s">
        <v>1516</v>
      </c>
      <c r="Z142" s="1">
        <v>4</v>
      </c>
      <c r="AA142" s="6">
        <v>275</v>
      </c>
      <c r="AB142" s="1" t="s">
        <v>2157</v>
      </c>
      <c r="AC142" s="1" t="s">
        <v>2162</v>
      </c>
      <c r="AD142" s="1" t="s">
        <v>1100</v>
      </c>
      <c r="AE142" s="1" t="s">
        <v>1522</v>
      </c>
      <c r="AF142" s="1" t="s">
        <v>1186</v>
      </c>
      <c r="AG142" s="1" t="s">
        <v>1522</v>
      </c>
      <c r="AH142" s="6">
        <v>1100</v>
      </c>
      <c r="AI142" s="6">
        <v>275</v>
      </c>
      <c r="AJ142" s="1" t="s">
        <v>2026</v>
      </c>
      <c r="AK142" s="1"/>
      <c r="AL142" s="1"/>
      <c r="AM142" s="1" t="s">
        <v>2026</v>
      </c>
      <c r="AN142" s="1" t="s">
        <v>818</v>
      </c>
      <c r="AO142" s="1"/>
      <c r="AP142" s="1" t="s">
        <v>98</v>
      </c>
      <c r="AQ142" s="1"/>
      <c r="AR142" s="1"/>
      <c r="AS142" s="2"/>
      <c r="AT142" s="1"/>
      <c r="AU142" s="1"/>
      <c r="AV142" s="1"/>
      <c r="AW142" s="1" t="s">
        <v>2152</v>
      </c>
      <c r="AX142" s="7">
        <v>45280.685911788438</v>
      </c>
      <c r="AY142" s="1" t="s">
        <v>749</v>
      </c>
      <c r="AZ142" s="6">
        <v>1100</v>
      </c>
      <c r="BA142" s="5">
        <v>45280</v>
      </c>
      <c r="BB142" s="5">
        <v>45282</v>
      </c>
      <c r="BC142" s="5">
        <v>45280</v>
      </c>
      <c r="BD142" s="5">
        <v>45280</v>
      </c>
      <c r="BE142" s="7">
        <v>45291</v>
      </c>
      <c r="BF142" s="1" t="s">
        <v>2170</v>
      </c>
      <c r="BG142" s="1"/>
      <c r="BH142" s="1"/>
      <c r="BI142" s="1" t="s">
        <v>108</v>
      </c>
    </row>
    <row r="143" spans="1:61" hidden="1" x14ac:dyDescent="0.25">
      <c r="A143" s="4">
        <v>138</v>
      </c>
      <c r="B143" s="2" t="str">
        <f>HYPERLINK("https://my.zakupivli.pro/remote/dispatcher/state_purchase_view/47788776", "UA-2023-12-19-008987-a")</f>
        <v>UA-2023-12-19-008987-a</v>
      </c>
      <c r="C143" s="2" t="s">
        <v>1516</v>
      </c>
      <c r="D143" s="1" t="s">
        <v>1575</v>
      </c>
      <c r="E143" s="1" t="s">
        <v>1575</v>
      </c>
      <c r="F143" s="1" t="s">
        <v>487</v>
      </c>
      <c r="G143" s="1" t="s">
        <v>1035</v>
      </c>
      <c r="H143" s="1" t="s">
        <v>1218</v>
      </c>
      <c r="I143" s="1" t="s">
        <v>2094</v>
      </c>
      <c r="J143" s="1" t="s">
        <v>1145</v>
      </c>
      <c r="K143" s="1" t="s">
        <v>947</v>
      </c>
      <c r="L143" s="1" t="s">
        <v>1533</v>
      </c>
      <c r="M143" s="1" t="s">
        <v>1533</v>
      </c>
      <c r="N143" s="1" t="s">
        <v>110</v>
      </c>
      <c r="O143" s="1" t="s">
        <v>110</v>
      </c>
      <c r="P143" s="1" t="s">
        <v>110</v>
      </c>
      <c r="Q143" s="5">
        <v>45279</v>
      </c>
      <c r="R143" s="1"/>
      <c r="S143" s="1"/>
      <c r="T143" s="1"/>
      <c r="U143" s="1"/>
      <c r="V143" s="1" t="s">
        <v>2146</v>
      </c>
      <c r="W143" s="4">
        <v>1</v>
      </c>
      <c r="X143" s="6">
        <v>1422.98</v>
      </c>
      <c r="Y143" s="1" t="s">
        <v>1516</v>
      </c>
      <c r="Z143" s="1">
        <v>1</v>
      </c>
      <c r="AA143" s="6">
        <v>1422.98</v>
      </c>
      <c r="AB143" s="1" t="s">
        <v>2167</v>
      </c>
      <c r="AC143" s="1" t="s">
        <v>2162</v>
      </c>
      <c r="AD143" s="1" t="s">
        <v>1100</v>
      </c>
      <c r="AE143" s="1" t="s">
        <v>1522</v>
      </c>
      <c r="AF143" s="1" t="s">
        <v>1186</v>
      </c>
      <c r="AG143" s="1" t="s">
        <v>1522</v>
      </c>
      <c r="AH143" s="6">
        <v>1422.98</v>
      </c>
      <c r="AI143" s="6">
        <v>1422.98</v>
      </c>
      <c r="AJ143" s="1" t="s">
        <v>1498</v>
      </c>
      <c r="AK143" s="1"/>
      <c r="AL143" s="1"/>
      <c r="AM143" s="1" t="s">
        <v>1498</v>
      </c>
      <c r="AN143" s="1" t="s">
        <v>785</v>
      </c>
      <c r="AO143" s="1"/>
      <c r="AP143" s="1" t="s">
        <v>81</v>
      </c>
      <c r="AQ143" s="1"/>
      <c r="AR143" s="1"/>
      <c r="AS143" s="2"/>
      <c r="AT143" s="1"/>
      <c r="AU143" s="1"/>
      <c r="AV143" s="1"/>
      <c r="AW143" s="1" t="s">
        <v>2152</v>
      </c>
      <c r="AX143" s="7">
        <v>45279.518265317201</v>
      </c>
      <c r="AY143" s="1" t="s">
        <v>744</v>
      </c>
      <c r="AZ143" s="6">
        <v>1422.98</v>
      </c>
      <c r="BA143" s="5">
        <v>45278</v>
      </c>
      <c r="BB143" s="5">
        <v>45282</v>
      </c>
      <c r="BC143" s="5">
        <v>45278</v>
      </c>
      <c r="BD143" s="5">
        <v>45278</v>
      </c>
      <c r="BE143" s="7">
        <v>45291</v>
      </c>
      <c r="BF143" s="1" t="s">
        <v>2170</v>
      </c>
      <c r="BG143" s="1"/>
      <c r="BH143" s="1"/>
      <c r="BI143" s="1" t="s">
        <v>108</v>
      </c>
    </row>
    <row r="144" spans="1:61" hidden="1" x14ac:dyDescent="0.25">
      <c r="A144" s="4">
        <v>139</v>
      </c>
      <c r="B144" s="2" t="str">
        <f>HYPERLINK("https://my.zakupivli.pro/remote/dispatcher/state_purchase_view/47788476", "UA-2023-12-19-008816-a")</f>
        <v>UA-2023-12-19-008816-a</v>
      </c>
      <c r="C144" s="2" t="s">
        <v>1516</v>
      </c>
      <c r="D144" s="1" t="s">
        <v>1571</v>
      </c>
      <c r="E144" s="1" t="s">
        <v>1571</v>
      </c>
      <c r="F144" s="1" t="s">
        <v>487</v>
      </c>
      <c r="G144" s="1" t="s">
        <v>1035</v>
      </c>
      <c r="H144" s="1" t="s">
        <v>1218</v>
      </c>
      <c r="I144" s="1" t="s">
        <v>2094</v>
      </c>
      <c r="J144" s="1" t="s">
        <v>1145</v>
      </c>
      <c r="K144" s="1" t="s">
        <v>947</v>
      </c>
      <c r="L144" s="1" t="s">
        <v>1533</v>
      </c>
      <c r="M144" s="1" t="s">
        <v>1533</v>
      </c>
      <c r="N144" s="1" t="s">
        <v>110</v>
      </c>
      <c r="O144" s="1" t="s">
        <v>110</v>
      </c>
      <c r="P144" s="1" t="s">
        <v>110</v>
      </c>
      <c r="Q144" s="5">
        <v>45279</v>
      </c>
      <c r="R144" s="1"/>
      <c r="S144" s="1"/>
      <c r="T144" s="1"/>
      <c r="U144" s="1"/>
      <c r="V144" s="1" t="s">
        <v>2146</v>
      </c>
      <c r="W144" s="4">
        <v>1</v>
      </c>
      <c r="X144" s="6">
        <v>980.18</v>
      </c>
      <c r="Y144" s="1" t="s">
        <v>1516</v>
      </c>
      <c r="Z144" s="1">
        <v>1</v>
      </c>
      <c r="AA144" s="6">
        <v>980.18</v>
      </c>
      <c r="AB144" s="1" t="s">
        <v>2167</v>
      </c>
      <c r="AC144" s="1" t="s">
        <v>2162</v>
      </c>
      <c r="AD144" s="1" t="s">
        <v>1100</v>
      </c>
      <c r="AE144" s="1" t="s">
        <v>1522</v>
      </c>
      <c r="AF144" s="1" t="s">
        <v>1186</v>
      </c>
      <c r="AG144" s="1" t="s">
        <v>1522</v>
      </c>
      <c r="AH144" s="6">
        <v>980.18</v>
      </c>
      <c r="AI144" s="6">
        <v>980.18</v>
      </c>
      <c r="AJ144" s="1" t="s">
        <v>1498</v>
      </c>
      <c r="AK144" s="1"/>
      <c r="AL144" s="1"/>
      <c r="AM144" s="1" t="s">
        <v>1498</v>
      </c>
      <c r="AN144" s="1" t="s">
        <v>785</v>
      </c>
      <c r="AO144" s="1"/>
      <c r="AP144" s="1" t="s">
        <v>81</v>
      </c>
      <c r="AQ144" s="1"/>
      <c r="AR144" s="1"/>
      <c r="AS144" s="2"/>
      <c r="AT144" s="1"/>
      <c r="AU144" s="1"/>
      <c r="AV144" s="1"/>
      <c r="AW144" s="1" t="s">
        <v>2152</v>
      </c>
      <c r="AX144" s="7">
        <v>45279.518928269725</v>
      </c>
      <c r="AY144" s="1" t="s">
        <v>747</v>
      </c>
      <c r="AZ144" s="6">
        <v>980.18</v>
      </c>
      <c r="BA144" s="5">
        <v>45278</v>
      </c>
      <c r="BB144" s="5">
        <v>45282</v>
      </c>
      <c r="BC144" s="5">
        <v>45278</v>
      </c>
      <c r="BD144" s="5">
        <v>45278</v>
      </c>
      <c r="BE144" s="7">
        <v>45291</v>
      </c>
      <c r="BF144" s="1" t="s">
        <v>2170</v>
      </c>
      <c r="BG144" s="1"/>
      <c r="BH144" s="1"/>
      <c r="BI144" s="1" t="s">
        <v>108</v>
      </c>
    </row>
    <row r="145" spans="1:61" hidden="1" x14ac:dyDescent="0.25">
      <c r="A145" s="4">
        <v>140</v>
      </c>
      <c r="B145" s="2" t="str">
        <f>HYPERLINK("https://my.zakupivli.pro/remote/dispatcher/state_purchase_view/47691872", "UA-2023-12-15-015533-a")</f>
        <v>UA-2023-12-15-015533-a</v>
      </c>
      <c r="C145" s="2" t="s">
        <v>1516</v>
      </c>
      <c r="D145" s="1" t="s">
        <v>1868</v>
      </c>
      <c r="E145" s="1" t="s">
        <v>1868</v>
      </c>
      <c r="F145" s="1" t="s">
        <v>487</v>
      </c>
      <c r="G145" s="1" t="s">
        <v>972</v>
      </c>
      <c r="H145" s="1" t="s">
        <v>1218</v>
      </c>
      <c r="I145" s="1" t="s">
        <v>2094</v>
      </c>
      <c r="J145" s="1" t="s">
        <v>1145</v>
      </c>
      <c r="K145" s="1" t="s">
        <v>947</v>
      </c>
      <c r="L145" s="1" t="s">
        <v>1533</v>
      </c>
      <c r="M145" s="1" t="s">
        <v>1533</v>
      </c>
      <c r="N145" s="1" t="s">
        <v>110</v>
      </c>
      <c r="O145" s="1" t="s">
        <v>110</v>
      </c>
      <c r="P145" s="1" t="s">
        <v>110</v>
      </c>
      <c r="Q145" s="5">
        <v>45275</v>
      </c>
      <c r="R145" s="1"/>
      <c r="S145" s="1"/>
      <c r="T145" s="1"/>
      <c r="U145" s="1"/>
      <c r="V145" s="1" t="s">
        <v>2146</v>
      </c>
      <c r="W145" s="4">
        <v>1</v>
      </c>
      <c r="X145" s="6">
        <v>108203.54</v>
      </c>
      <c r="Y145" s="1" t="s">
        <v>1516</v>
      </c>
      <c r="Z145" s="1">
        <v>1</v>
      </c>
      <c r="AA145" s="6">
        <v>108203.54</v>
      </c>
      <c r="AB145" s="1" t="s">
        <v>2167</v>
      </c>
      <c r="AC145" s="1" t="s">
        <v>2162</v>
      </c>
      <c r="AD145" s="1" t="s">
        <v>1100</v>
      </c>
      <c r="AE145" s="1" t="s">
        <v>1522</v>
      </c>
      <c r="AF145" s="1" t="s">
        <v>1186</v>
      </c>
      <c r="AG145" s="1" t="s">
        <v>1522</v>
      </c>
      <c r="AH145" s="6">
        <v>108203.54</v>
      </c>
      <c r="AI145" s="6">
        <v>108203.54</v>
      </c>
      <c r="AJ145" s="1" t="s">
        <v>2084</v>
      </c>
      <c r="AK145" s="1"/>
      <c r="AL145" s="1"/>
      <c r="AM145" s="1" t="s">
        <v>2084</v>
      </c>
      <c r="AN145" s="1" t="s">
        <v>913</v>
      </c>
      <c r="AO145" s="1"/>
      <c r="AP145" s="1" t="s">
        <v>44</v>
      </c>
      <c r="AQ145" s="1"/>
      <c r="AR145" s="1"/>
      <c r="AS145" s="2"/>
      <c r="AT145" s="1"/>
      <c r="AU145" s="1"/>
      <c r="AV145" s="1"/>
      <c r="AW145" s="1" t="s">
        <v>2152</v>
      </c>
      <c r="AX145" s="7">
        <v>45275.635080171167</v>
      </c>
      <c r="AY145" s="1" t="s">
        <v>743</v>
      </c>
      <c r="AZ145" s="6">
        <v>108203.54</v>
      </c>
      <c r="BA145" s="5">
        <v>45275</v>
      </c>
      <c r="BB145" s="5">
        <v>45282</v>
      </c>
      <c r="BC145" s="5">
        <v>45275</v>
      </c>
      <c r="BD145" s="5">
        <v>45275</v>
      </c>
      <c r="BE145" s="7">
        <v>45291</v>
      </c>
      <c r="BF145" s="1" t="s">
        <v>2170</v>
      </c>
      <c r="BG145" s="1"/>
      <c r="BH145" s="1"/>
      <c r="BI145" s="1" t="s">
        <v>108</v>
      </c>
    </row>
    <row r="146" spans="1:61" hidden="1" x14ac:dyDescent="0.25">
      <c r="A146" s="4">
        <v>141</v>
      </c>
      <c r="B146" s="2" t="str">
        <f>HYPERLINK("https://my.zakupivli.pro/remote/dispatcher/state_purchase_view/47691330", "UA-2023-12-15-015165-a")</f>
        <v>UA-2023-12-15-015165-a</v>
      </c>
      <c r="C146" s="2" t="s">
        <v>1516</v>
      </c>
      <c r="D146" s="1" t="s">
        <v>1762</v>
      </c>
      <c r="E146" s="1" t="s">
        <v>1762</v>
      </c>
      <c r="F146" s="1" t="s">
        <v>487</v>
      </c>
      <c r="G146" s="1" t="s">
        <v>966</v>
      </c>
      <c r="H146" s="1" t="s">
        <v>1218</v>
      </c>
      <c r="I146" s="1" t="s">
        <v>2094</v>
      </c>
      <c r="J146" s="1" t="s">
        <v>1145</v>
      </c>
      <c r="K146" s="1" t="s">
        <v>947</v>
      </c>
      <c r="L146" s="1" t="s">
        <v>1533</v>
      </c>
      <c r="M146" s="1" t="s">
        <v>1533</v>
      </c>
      <c r="N146" s="1" t="s">
        <v>110</v>
      </c>
      <c r="O146" s="1" t="s">
        <v>110</v>
      </c>
      <c r="P146" s="1" t="s">
        <v>110</v>
      </c>
      <c r="Q146" s="5">
        <v>45275</v>
      </c>
      <c r="R146" s="1"/>
      <c r="S146" s="1"/>
      <c r="T146" s="1"/>
      <c r="U146" s="1"/>
      <c r="V146" s="1" t="s">
        <v>2146</v>
      </c>
      <c r="W146" s="4">
        <v>1</v>
      </c>
      <c r="X146" s="6">
        <v>74317.2</v>
      </c>
      <c r="Y146" s="1" t="s">
        <v>1516</v>
      </c>
      <c r="Z146" s="1">
        <v>1</v>
      </c>
      <c r="AA146" s="6">
        <v>74317.2</v>
      </c>
      <c r="AB146" s="1" t="s">
        <v>2167</v>
      </c>
      <c r="AC146" s="1" t="s">
        <v>2162</v>
      </c>
      <c r="AD146" s="1" t="s">
        <v>1100</v>
      </c>
      <c r="AE146" s="1" t="s">
        <v>1522</v>
      </c>
      <c r="AF146" s="1" t="s">
        <v>1186</v>
      </c>
      <c r="AG146" s="1" t="s">
        <v>1522</v>
      </c>
      <c r="AH146" s="6">
        <v>74317.2</v>
      </c>
      <c r="AI146" s="6">
        <v>74317.2</v>
      </c>
      <c r="AJ146" s="1" t="s">
        <v>1192</v>
      </c>
      <c r="AK146" s="1"/>
      <c r="AL146" s="1"/>
      <c r="AM146" s="1" t="s">
        <v>1192</v>
      </c>
      <c r="AN146" s="1" t="s">
        <v>808</v>
      </c>
      <c r="AO146" s="1"/>
      <c r="AP146" s="1" t="s">
        <v>43</v>
      </c>
      <c r="AQ146" s="1"/>
      <c r="AR146" s="1"/>
      <c r="AS146" s="2"/>
      <c r="AT146" s="1"/>
      <c r="AU146" s="1"/>
      <c r="AV146" s="1"/>
      <c r="AW146" s="1" t="s">
        <v>2152</v>
      </c>
      <c r="AX146" s="7">
        <v>45275.630500702318</v>
      </c>
      <c r="AY146" s="1" t="s">
        <v>741</v>
      </c>
      <c r="AZ146" s="6">
        <v>74317.2</v>
      </c>
      <c r="BA146" s="5">
        <v>45275</v>
      </c>
      <c r="BB146" s="5">
        <v>45282</v>
      </c>
      <c r="BC146" s="5">
        <v>45275</v>
      </c>
      <c r="BD146" s="5">
        <v>45275</v>
      </c>
      <c r="BE146" s="7">
        <v>45291</v>
      </c>
      <c r="BF146" s="1" t="s">
        <v>2170</v>
      </c>
      <c r="BG146" s="1"/>
      <c r="BH146" s="1"/>
      <c r="BI146" s="1" t="s">
        <v>108</v>
      </c>
    </row>
    <row r="147" spans="1:61" hidden="1" x14ac:dyDescent="0.25">
      <c r="A147" s="4">
        <v>142</v>
      </c>
      <c r="B147" s="2" t="str">
        <f>HYPERLINK("https://my.zakupivli.pro/remote/dispatcher/state_purchase_view/47458358", "UA-2023-12-11-004926-a")</f>
        <v>UA-2023-12-11-004926-a</v>
      </c>
      <c r="C147" s="2" t="s">
        <v>1516</v>
      </c>
      <c r="D147" s="1" t="s">
        <v>1529</v>
      </c>
      <c r="E147" s="1" t="s">
        <v>1530</v>
      </c>
      <c r="F147" s="1" t="s">
        <v>487</v>
      </c>
      <c r="G147" s="1" t="s">
        <v>1026</v>
      </c>
      <c r="H147" s="1" t="s">
        <v>1218</v>
      </c>
      <c r="I147" s="1" t="s">
        <v>2094</v>
      </c>
      <c r="J147" s="1" t="s">
        <v>1145</v>
      </c>
      <c r="K147" s="1" t="s">
        <v>947</v>
      </c>
      <c r="L147" s="1" t="s">
        <v>1533</v>
      </c>
      <c r="M147" s="1" t="s">
        <v>1533</v>
      </c>
      <c r="N147" s="1" t="s">
        <v>110</v>
      </c>
      <c r="O147" s="1" t="s">
        <v>110</v>
      </c>
      <c r="P147" s="1" t="s">
        <v>110</v>
      </c>
      <c r="Q147" s="5">
        <v>45271</v>
      </c>
      <c r="R147" s="1"/>
      <c r="S147" s="1"/>
      <c r="T147" s="1"/>
      <c r="U147" s="1"/>
      <c r="V147" s="1" t="s">
        <v>2146</v>
      </c>
      <c r="W147" s="4">
        <v>1</v>
      </c>
      <c r="X147" s="6">
        <v>3363</v>
      </c>
      <c r="Y147" s="1" t="s">
        <v>1516</v>
      </c>
      <c r="Z147" s="1">
        <v>3</v>
      </c>
      <c r="AA147" s="6">
        <v>1121</v>
      </c>
      <c r="AB147" s="1" t="s">
        <v>2157</v>
      </c>
      <c r="AC147" s="1" t="s">
        <v>2162</v>
      </c>
      <c r="AD147" s="1" t="s">
        <v>1100</v>
      </c>
      <c r="AE147" s="1" t="s">
        <v>1522</v>
      </c>
      <c r="AF147" s="1" t="s">
        <v>1186</v>
      </c>
      <c r="AG147" s="1" t="s">
        <v>1522</v>
      </c>
      <c r="AH147" s="6">
        <v>3363</v>
      </c>
      <c r="AI147" s="6">
        <v>1121</v>
      </c>
      <c r="AJ147" s="1" t="s">
        <v>1545</v>
      </c>
      <c r="AK147" s="1"/>
      <c r="AL147" s="1"/>
      <c r="AM147" s="1" t="s">
        <v>1545</v>
      </c>
      <c r="AN147" s="1" t="s">
        <v>710</v>
      </c>
      <c r="AO147" s="1"/>
      <c r="AP147" s="1" t="s">
        <v>45</v>
      </c>
      <c r="AQ147" s="1"/>
      <c r="AR147" s="1"/>
      <c r="AS147" s="2"/>
      <c r="AT147" s="1"/>
      <c r="AU147" s="1"/>
      <c r="AV147" s="1"/>
      <c r="AW147" s="1" t="s">
        <v>2152</v>
      </c>
      <c r="AX147" s="7">
        <v>45271.46141636293</v>
      </c>
      <c r="AY147" s="1" t="s">
        <v>175</v>
      </c>
      <c r="AZ147" s="6">
        <v>3363</v>
      </c>
      <c r="BA147" s="5">
        <v>45268</v>
      </c>
      <c r="BB147" s="5">
        <v>45268</v>
      </c>
      <c r="BC147" s="5">
        <v>45268</v>
      </c>
      <c r="BD147" s="5">
        <v>45268</v>
      </c>
      <c r="BE147" s="7">
        <v>45291</v>
      </c>
      <c r="BF147" s="1" t="s">
        <v>2170</v>
      </c>
      <c r="BG147" s="1"/>
      <c r="BH147" s="1"/>
      <c r="BI147" s="1" t="s">
        <v>108</v>
      </c>
    </row>
    <row r="148" spans="1:61" hidden="1" x14ac:dyDescent="0.25">
      <c r="A148" s="4">
        <v>143</v>
      </c>
      <c r="B148" s="2" t="str">
        <f>HYPERLINK("https://my.zakupivli.pro/remote/dispatcher/state_purchase_view/47412461", "UA-2023-12-08-009400-a")</f>
        <v>UA-2023-12-08-009400-a</v>
      </c>
      <c r="C148" s="2" t="s">
        <v>1516</v>
      </c>
      <c r="D148" s="1" t="s">
        <v>1224</v>
      </c>
      <c r="E148" s="1" t="s">
        <v>2019</v>
      </c>
      <c r="F148" s="1" t="s">
        <v>487</v>
      </c>
      <c r="G148" s="1" t="s">
        <v>852</v>
      </c>
      <c r="H148" s="1" t="s">
        <v>1218</v>
      </c>
      <c r="I148" s="1" t="s">
        <v>2094</v>
      </c>
      <c r="J148" s="1" t="s">
        <v>1145</v>
      </c>
      <c r="K148" s="1" t="s">
        <v>947</v>
      </c>
      <c r="L148" s="1" t="s">
        <v>1533</v>
      </c>
      <c r="M148" s="1" t="s">
        <v>1533</v>
      </c>
      <c r="N148" s="1" t="s">
        <v>110</v>
      </c>
      <c r="O148" s="1" t="s">
        <v>110</v>
      </c>
      <c r="P148" s="1" t="s">
        <v>110</v>
      </c>
      <c r="Q148" s="5">
        <v>45268</v>
      </c>
      <c r="R148" s="1"/>
      <c r="S148" s="1"/>
      <c r="T148" s="1"/>
      <c r="U148" s="1"/>
      <c r="V148" s="1" t="s">
        <v>2146</v>
      </c>
      <c r="W148" s="4">
        <v>1</v>
      </c>
      <c r="X148" s="6">
        <v>13955</v>
      </c>
      <c r="Y148" s="1" t="s">
        <v>1516</v>
      </c>
      <c r="Z148" s="1">
        <v>10</v>
      </c>
      <c r="AA148" s="6">
        <v>1395.5</v>
      </c>
      <c r="AB148" s="1" t="s">
        <v>2157</v>
      </c>
      <c r="AC148" s="1" t="s">
        <v>2162</v>
      </c>
      <c r="AD148" s="1" t="s">
        <v>1100</v>
      </c>
      <c r="AE148" s="1" t="s">
        <v>1522</v>
      </c>
      <c r="AF148" s="1" t="s">
        <v>1186</v>
      </c>
      <c r="AG148" s="1" t="s">
        <v>1522</v>
      </c>
      <c r="AH148" s="6">
        <v>13955</v>
      </c>
      <c r="AI148" s="6">
        <v>1395.5</v>
      </c>
      <c r="AJ148" s="1" t="s">
        <v>1488</v>
      </c>
      <c r="AK148" s="1"/>
      <c r="AL148" s="1"/>
      <c r="AM148" s="1" t="s">
        <v>1488</v>
      </c>
      <c r="AN148" s="1" t="s">
        <v>772</v>
      </c>
      <c r="AO148" s="1"/>
      <c r="AP148" s="1" t="s">
        <v>21</v>
      </c>
      <c r="AQ148" s="1"/>
      <c r="AR148" s="1"/>
      <c r="AS148" s="2"/>
      <c r="AT148" s="1"/>
      <c r="AU148" s="1"/>
      <c r="AV148" s="1"/>
      <c r="AW148" s="1" t="s">
        <v>2152</v>
      </c>
      <c r="AX148" s="7">
        <v>45268.53163390074</v>
      </c>
      <c r="AY148" s="1" t="s">
        <v>734</v>
      </c>
      <c r="AZ148" s="6">
        <v>13955</v>
      </c>
      <c r="BA148" s="5">
        <v>45268</v>
      </c>
      <c r="BB148" s="5">
        <v>45282</v>
      </c>
      <c r="BC148" s="5">
        <v>45268</v>
      </c>
      <c r="BD148" s="5">
        <v>45268</v>
      </c>
      <c r="BE148" s="7">
        <v>45291</v>
      </c>
      <c r="BF148" s="1" t="s">
        <v>2170</v>
      </c>
      <c r="BG148" s="1"/>
      <c r="BH148" s="1"/>
      <c r="BI148" s="1" t="s">
        <v>108</v>
      </c>
    </row>
    <row r="149" spans="1:61" hidden="1" x14ac:dyDescent="0.25">
      <c r="A149" s="4">
        <v>144</v>
      </c>
      <c r="B149" s="2" t="str">
        <f>HYPERLINK("https://my.zakupivli.pro/remote/dispatcher/state_purchase_view/47418811", "UA-2023-12-08-012270-a")</f>
        <v>UA-2023-12-08-012270-a</v>
      </c>
      <c r="C149" s="2" t="s">
        <v>1516</v>
      </c>
      <c r="D149" s="1" t="s">
        <v>1425</v>
      </c>
      <c r="E149" s="1" t="s">
        <v>1425</v>
      </c>
      <c r="F149" s="1" t="s">
        <v>487</v>
      </c>
      <c r="G149" s="1" t="s">
        <v>1035</v>
      </c>
      <c r="H149" s="1" t="s">
        <v>1218</v>
      </c>
      <c r="I149" s="1" t="s">
        <v>2094</v>
      </c>
      <c r="J149" s="1" t="s">
        <v>1145</v>
      </c>
      <c r="K149" s="1" t="s">
        <v>947</v>
      </c>
      <c r="L149" s="1" t="s">
        <v>1533</v>
      </c>
      <c r="M149" s="1" t="s">
        <v>1533</v>
      </c>
      <c r="N149" s="1" t="s">
        <v>110</v>
      </c>
      <c r="O149" s="1" t="s">
        <v>110</v>
      </c>
      <c r="P149" s="1" t="s">
        <v>110</v>
      </c>
      <c r="Q149" s="5">
        <v>45268</v>
      </c>
      <c r="R149" s="1"/>
      <c r="S149" s="1"/>
      <c r="T149" s="1"/>
      <c r="U149" s="1"/>
      <c r="V149" s="1" t="s">
        <v>2146</v>
      </c>
      <c r="W149" s="4">
        <v>1</v>
      </c>
      <c r="X149" s="6">
        <v>432.69</v>
      </c>
      <c r="Y149" s="1" t="s">
        <v>1516</v>
      </c>
      <c r="Z149" s="1">
        <v>1</v>
      </c>
      <c r="AA149" s="6">
        <v>432.69</v>
      </c>
      <c r="AB149" s="1" t="s">
        <v>2167</v>
      </c>
      <c r="AC149" s="1" t="s">
        <v>2162</v>
      </c>
      <c r="AD149" s="1" t="s">
        <v>1100</v>
      </c>
      <c r="AE149" s="1" t="s">
        <v>1522</v>
      </c>
      <c r="AF149" s="1" t="s">
        <v>1186</v>
      </c>
      <c r="AG149" s="1" t="s">
        <v>1522</v>
      </c>
      <c r="AH149" s="6">
        <v>432.69</v>
      </c>
      <c r="AI149" s="6">
        <v>432.69</v>
      </c>
      <c r="AJ149" s="1" t="s">
        <v>1498</v>
      </c>
      <c r="AK149" s="1"/>
      <c r="AL149" s="1"/>
      <c r="AM149" s="1" t="s">
        <v>1498</v>
      </c>
      <c r="AN149" s="1" t="s">
        <v>785</v>
      </c>
      <c r="AO149" s="1"/>
      <c r="AP149" s="1" t="s">
        <v>81</v>
      </c>
      <c r="AQ149" s="1"/>
      <c r="AR149" s="1"/>
      <c r="AS149" s="2"/>
      <c r="AT149" s="1"/>
      <c r="AU149" s="1"/>
      <c r="AV149" s="1"/>
      <c r="AW149" s="1" t="s">
        <v>2152</v>
      </c>
      <c r="AX149" s="7">
        <v>45268.587753617612</v>
      </c>
      <c r="AY149" s="1" t="s">
        <v>738</v>
      </c>
      <c r="AZ149" s="6">
        <v>432.69</v>
      </c>
      <c r="BA149" s="5">
        <v>45268</v>
      </c>
      <c r="BB149" s="5">
        <v>45282</v>
      </c>
      <c r="BC149" s="5">
        <v>45268</v>
      </c>
      <c r="BD149" s="5">
        <v>45268</v>
      </c>
      <c r="BE149" s="7">
        <v>45291</v>
      </c>
      <c r="BF149" s="1" t="s">
        <v>2170</v>
      </c>
      <c r="BG149" s="1"/>
      <c r="BH149" s="1"/>
      <c r="BI149" s="1" t="s">
        <v>108</v>
      </c>
    </row>
    <row r="150" spans="1:61" hidden="1" x14ac:dyDescent="0.25">
      <c r="A150" s="4">
        <v>145</v>
      </c>
      <c r="B150" s="2" t="str">
        <f>HYPERLINK("https://my.zakupivli.pro/remote/dispatcher/state_purchase_view/47427602", "UA-2023-12-08-016081-a")</f>
        <v>UA-2023-12-08-016081-a</v>
      </c>
      <c r="C150" s="2" t="s">
        <v>1516</v>
      </c>
      <c r="D150" s="1" t="s">
        <v>1572</v>
      </c>
      <c r="E150" s="1" t="s">
        <v>1572</v>
      </c>
      <c r="F150" s="1" t="s">
        <v>487</v>
      </c>
      <c r="G150" s="1" t="s">
        <v>1035</v>
      </c>
      <c r="H150" s="1" t="s">
        <v>1218</v>
      </c>
      <c r="I150" s="1" t="s">
        <v>2094</v>
      </c>
      <c r="J150" s="1" t="s">
        <v>1145</v>
      </c>
      <c r="K150" s="1" t="s">
        <v>947</v>
      </c>
      <c r="L150" s="1" t="s">
        <v>1533</v>
      </c>
      <c r="M150" s="1" t="s">
        <v>1533</v>
      </c>
      <c r="N150" s="1" t="s">
        <v>110</v>
      </c>
      <c r="O150" s="1" t="s">
        <v>110</v>
      </c>
      <c r="P150" s="1" t="s">
        <v>110</v>
      </c>
      <c r="Q150" s="5">
        <v>45268</v>
      </c>
      <c r="R150" s="1"/>
      <c r="S150" s="1"/>
      <c r="T150" s="1"/>
      <c r="U150" s="1"/>
      <c r="V150" s="1" t="s">
        <v>2146</v>
      </c>
      <c r="W150" s="4">
        <v>1</v>
      </c>
      <c r="X150" s="6">
        <v>12111.01</v>
      </c>
      <c r="Y150" s="1" t="s">
        <v>1516</v>
      </c>
      <c r="Z150" s="1">
        <v>1</v>
      </c>
      <c r="AA150" s="6">
        <v>12111.01</v>
      </c>
      <c r="AB150" s="1" t="s">
        <v>2167</v>
      </c>
      <c r="AC150" s="1" t="s">
        <v>2162</v>
      </c>
      <c r="AD150" s="1" t="s">
        <v>1100</v>
      </c>
      <c r="AE150" s="1" t="s">
        <v>1522</v>
      </c>
      <c r="AF150" s="1" t="s">
        <v>1186</v>
      </c>
      <c r="AG150" s="1" t="s">
        <v>1522</v>
      </c>
      <c r="AH150" s="6">
        <v>12111.01</v>
      </c>
      <c r="AI150" s="6">
        <v>12111.01</v>
      </c>
      <c r="AJ150" s="1" t="s">
        <v>1498</v>
      </c>
      <c r="AK150" s="1"/>
      <c r="AL150" s="1"/>
      <c r="AM150" s="1" t="s">
        <v>1498</v>
      </c>
      <c r="AN150" s="1" t="s">
        <v>785</v>
      </c>
      <c r="AO150" s="1"/>
      <c r="AP150" s="1" t="s">
        <v>81</v>
      </c>
      <c r="AQ150" s="1"/>
      <c r="AR150" s="1"/>
      <c r="AS150" s="2"/>
      <c r="AT150" s="1"/>
      <c r="AU150" s="1"/>
      <c r="AV150" s="1"/>
      <c r="AW150" s="1" t="s">
        <v>2152</v>
      </c>
      <c r="AX150" s="7">
        <v>45268.64042764419</v>
      </c>
      <c r="AY150" s="1" t="s">
        <v>735</v>
      </c>
      <c r="AZ150" s="6">
        <v>12111.01</v>
      </c>
      <c r="BA150" s="5">
        <v>45268</v>
      </c>
      <c r="BB150" s="5">
        <v>45282</v>
      </c>
      <c r="BC150" s="5">
        <v>45268</v>
      </c>
      <c r="BD150" s="5">
        <v>45268</v>
      </c>
      <c r="BE150" s="7">
        <v>45291</v>
      </c>
      <c r="BF150" s="1" t="s">
        <v>2170</v>
      </c>
      <c r="BG150" s="1"/>
      <c r="BH150" s="1"/>
      <c r="BI150" s="1" t="s">
        <v>108</v>
      </c>
    </row>
    <row r="151" spans="1:61" hidden="1" x14ac:dyDescent="0.25">
      <c r="A151" s="4">
        <v>146</v>
      </c>
      <c r="B151" s="2" t="str">
        <f>HYPERLINK("https://my.zakupivli.pro/remote/dispatcher/state_purchase_view/47425747", "UA-2023-12-08-015287-a")</f>
        <v>UA-2023-12-08-015287-a</v>
      </c>
      <c r="C151" s="2" t="s">
        <v>1516</v>
      </c>
      <c r="D151" s="1" t="s">
        <v>1573</v>
      </c>
      <c r="E151" s="1" t="s">
        <v>1573</v>
      </c>
      <c r="F151" s="1" t="s">
        <v>487</v>
      </c>
      <c r="G151" s="1" t="s">
        <v>1035</v>
      </c>
      <c r="H151" s="1" t="s">
        <v>1218</v>
      </c>
      <c r="I151" s="1" t="s">
        <v>2094</v>
      </c>
      <c r="J151" s="1" t="s">
        <v>1145</v>
      </c>
      <c r="K151" s="1" t="s">
        <v>947</v>
      </c>
      <c r="L151" s="1" t="s">
        <v>1533</v>
      </c>
      <c r="M151" s="1" t="s">
        <v>1533</v>
      </c>
      <c r="N151" s="1" t="s">
        <v>110</v>
      </c>
      <c r="O151" s="1" t="s">
        <v>110</v>
      </c>
      <c r="P151" s="1" t="s">
        <v>110</v>
      </c>
      <c r="Q151" s="5">
        <v>45268</v>
      </c>
      <c r="R151" s="1"/>
      <c r="S151" s="1"/>
      <c r="T151" s="1"/>
      <c r="U151" s="1"/>
      <c r="V151" s="1" t="s">
        <v>2146</v>
      </c>
      <c r="W151" s="4">
        <v>1</v>
      </c>
      <c r="X151" s="6">
        <v>1271.95</v>
      </c>
      <c r="Y151" s="1" t="s">
        <v>1516</v>
      </c>
      <c r="Z151" s="1">
        <v>1</v>
      </c>
      <c r="AA151" s="6">
        <v>1271.95</v>
      </c>
      <c r="AB151" s="1" t="s">
        <v>2167</v>
      </c>
      <c r="AC151" s="1" t="s">
        <v>2162</v>
      </c>
      <c r="AD151" s="1" t="s">
        <v>1100</v>
      </c>
      <c r="AE151" s="1" t="s">
        <v>1522</v>
      </c>
      <c r="AF151" s="1" t="s">
        <v>1186</v>
      </c>
      <c r="AG151" s="1" t="s">
        <v>1522</v>
      </c>
      <c r="AH151" s="6">
        <v>1271.95</v>
      </c>
      <c r="AI151" s="6">
        <v>1271.95</v>
      </c>
      <c r="AJ151" s="1" t="s">
        <v>1498</v>
      </c>
      <c r="AK151" s="1"/>
      <c r="AL151" s="1"/>
      <c r="AM151" s="1" t="s">
        <v>1498</v>
      </c>
      <c r="AN151" s="1" t="s">
        <v>785</v>
      </c>
      <c r="AO151" s="1"/>
      <c r="AP151" s="1" t="s">
        <v>81</v>
      </c>
      <c r="AQ151" s="1"/>
      <c r="AR151" s="1"/>
      <c r="AS151" s="2"/>
      <c r="AT151" s="1"/>
      <c r="AU151" s="1"/>
      <c r="AV151" s="1"/>
      <c r="AW151" s="1" t="s">
        <v>2152</v>
      </c>
      <c r="AX151" s="7">
        <v>45268.63151298758</v>
      </c>
      <c r="AY151" s="1" t="s">
        <v>736</v>
      </c>
      <c r="AZ151" s="6">
        <v>1271.95</v>
      </c>
      <c r="BA151" s="5">
        <v>45268</v>
      </c>
      <c r="BB151" s="5">
        <v>45282</v>
      </c>
      <c r="BC151" s="5">
        <v>45268</v>
      </c>
      <c r="BD151" s="5">
        <v>45268</v>
      </c>
      <c r="BE151" s="7">
        <v>45291</v>
      </c>
      <c r="BF151" s="1" t="s">
        <v>2170</v>
      </c>
      <c r="BG151" s="1"/>
      <c r="BH151" s="1"/>
      <c r="BI151" s="1" t="s">
        <v>108</v>
      </c>
    </row>
    <row r="152" spans="1:61" hidden="1" x14ac:dyDescent="0.25">
      <c r="A152" s="4">
        <v>147</v>
      </c>
      <c r="B152" s="2" t="str">
        <f>HYPERLINK("https://my.zakupivli.pro/remote/dispatcher/state_purchase_view/47423630", "UA-2023-12-08-014246-a")</f>
        <v>UA-2023-12-08-014246-a</v>
      </c>
      <c r="C152" s="2" t="s">
        <v>1516</v>
      </c>
      <c r="D152" s="1" t="s">
        <v>1574</v>
      </c>
      <c r="E152" s="1" t="s">
        <v>1574</v>
      </c>
      <c r="F152" s="1" t="s">
        <v>487</v>
      </c>
      <c r="G152" s="1" t="s">
        <v>1035</v>
      </c>
      <c r="H152" s="1" t="s">
        <v>1218</v>
      </c>
      <c r="I152" s="1" t="s">
        <v>2094</v>
      </c>
      <c r="J152" s="1" t="s">
        <v>1145</v>
      </c>
      <c r="K152" s="1" t="s">
        <v>947</v>
      </c>
      <c r="L152" s="1" t="s">
        <v>1533</v>
      </c>
      <c r="M152" s="1" t="s">
        <v>1533</v>
      </c>
      <c r="N152" s="1" t="s">
        <v>110</v>
      </c>
      <c r="O152" s="1" t="s">
        <v>110</v>
      </c>
      <c r="P152" s="1" t="s">
        <v>110</v>
      </c>
      <c r="Q152" s="5">
        <v>45268</v>
      </c>
      <c r="R152" s="1"/>
      <c r="S152" s="1"/>
      <c r="T152" s="1"/>
      <c r="U152" s="1"/>
      <c r="V152" s="1" t="s">
        <v>2146</v>
      </c>
      <c r="W152" s="4">
        <v>1</v>
      </c>
      <c r="X152" s="6">
        <v>360.35</v>
      </c>
      <c r="Y152" s="1" t="s">
        <v>1516</v>
      </c>
      <c r="Z152" s="1">
        <v>1</v>
      </c>
      <c r="AA152" s="6">
        <v>360.35</v>
      </c>
      <c r="AB152" s="1" t="s">
        <v>2167</v>
      </c>
      <c r="AC152" s="1" t="s">
        <v>2162</v>
      </c>
      <c r="AD152" s="1" t="s">
        <v>1100</v>
      </c>
      <c r="AE152" s="1" t="s">
        <v>1522</v>
      </c>
      <c r="AF152" s="1" t="s">
        <v>1186</v>
      </c>
      <c r="AG152" s="1" t="s">
        <v>1522</v>
      </c>
      <c r="AH152" s="6">
        <v>360.35</v>
      </c>
      <c r="AI152" s="6">
        <v>360.35</v>
      </c>
      <c r="AJ152" s="1" t="s">
        <v>1498</v>
      </c>
      <c r="AK152" s="1"/>
      <c r="AL152" s="1"/>
      <c r="AM152" s="1" t="s">
        <v>1498</v>
      </c>
      <c r="AN152" s="1" t="s">
        <v>785</v>
      </c>
      <c r="AO152" s="1"/>
      <c r="AP152" s="1" t="s">
        <v>81</v>
      </c>
      <c r="AQ152" s="1"/>
      <c r="AR152" s="1"/>
      <c r="AS152" s="2"/>
      <c r="AT152" s="1"/>
      <c r="AU152" s="1"/>
      <c r="AV152" s="1"/>
      <c r="AW152" s="1" t="s">
        <v>2152</v>
      </c>
      <c r="AX152" s="7">
        <v>45268.616640386826</v>
      </c>
      <c r="AY152" s="1" t="s">
        <v>737</v>
      </c>
      <c r="AZ152" s="6">
        <v>360.35</v>
      </c>
      <c r="BA152" s="5">
        <v>45268</v>
      </c>
      <c r="BB152" s="5">
        <v>45282</v>
      </c>
      <c r="BC152" s="5">
        <v>45268</v>
      </c>
      <c r="BD152" s="5">
        <v>45268</v>
      </c>
      <c r="BE152" s="7">
        <v>45291</v>
      </c>
      <c r="BF152" s="1" t="s">
        <v>2170</v>
      </c>
      <c r="BG152" s="1"/>
      <c r="BH152" s="1"/>
      <c r="BI152" s="1" t="s">
        <v>108</v>
      </c>
    </row>
    <row r="153" spans="1:61" hidden="1" x14ac:dyDescent="0.25">
      <c r="A153" s="4">
        <v>148</v>
      </c>
      <c r="B153" s="2" t="str">
        <f>HYPERLINK("https://my.zakupivli.pro/remote/dispatcher/state_purchase_view/47422090", "UA-2023-12-08-013633-a")</f>
        <v>UA-2023-12-08-013633-a</v>
      </c>
      <c r="C153" s="2" t="s">
        <v>1516</v>
      </c>
      <c r="D153" s="1" t="s">
        <v>1424</v>
      </c>
      <c r="E153" s="1" t="s">
        <v>1424</v>
      </c>
      <c r="F153" s="1" t="s">
        <v>487</v>
      </c>
      <c r="G153" s="1" t="s">
        <v>1035</v>
      </c>
      <c r="H153" s="1" t="s">
        <v>1218</v>
      </c>
      <c r="I153" s="1" t="s">
        <v>2094</v>
      </c>
      <c r="J153" s="1" t="s">
        <v>1145</v>
      </c>
      <c r="K153" s="1" t="s">
        <v>947</v>
      </c>
      <c r="L153" s="1" t="s">
        <v>1533</v>
      </c>
      <c r="M153" s="1" t="s">
        <v>1533</v>
      </c>
      <c r="N153" s="1" t="s">
        <v>110</v>
      </c>
      <c r="O153" s="1" t="s">
        <v>110</v>
      </c>
      <c r="P153" s="1" t="s">
        <v>110</v>
      </c>
      <c r="Q153" s="5">
        <v>45268</v>
      </c>
      <c r="R153" s="1"/>
      <c r="S153" s="1"/>
      <c r="T153" s="1"/>
      <c r="U153" s="1"/>
      <c r="V153" s="1" t="s">
        <v>2146</v>
      </c>
      <c r="W153" s="4">
        <v>1</v>
      </c>
      <c r="X153" s="6">
        <v>1435.41</v>
      </c>
      <c r="Y153" s="1" t="s">
        <v>1516</v>
      </c>
      <c r="Z153" s="1">
        <v>1</v>
      </c>
      <c r="AA153" s="6">
        <v>1435.41</v>
      </c>
      <c r="AB153" s="1" t="s">
        <v>2167</v>
      </c>
      <c r="AC153" s="1" t="s">
        <v>2162</v>
      </c>
      <c r="AD153" s="1" t="s">
        <v>1100</v>
      </c>
      <c r="AE153" s="1" t="s">
        <v>1522</v>
      </c>
      <c r="AF153" s="1" t="s">
        <v>1186</v>
      </c>
      <c r="AG153" s="1" t="s">
        <v>1522</v>
      </c>
      <c r="AH153" s="6">
        <v>1435.41</v>
      </c>
      <c r="AI153" s="6">
        <v>1435.41</v>
      </c>
      <c r="AJ153" s="1" t="s">
        <v>1498</v>
      </c>
      <c r="AK153" s="1"/>
      <c r="AL153" s="1"/>
      <c r="AM153" s="1" t="s">
        <v>1498</v>
      </c>
      <c r="AN153" s="1" t="s">
        <v>785</v>
      </c>
      <c r="AO153" s="1"/>
      <c r="AP153" s="1" t="s">
        <v>81</v>
      </c>
      <c r="AQ153" s="1"/>
      <c r="AR153" s="1"/>
      <c r="AS153" s="2"/>
      <c r="AT153" s="1"/>
      <c r="AU153" s="1"/>
      <c r="AV153" s="1"/>
      <c r="AW153" s="1" t="s">
        <v>2152</v>
      </c>
      <c r="AX153" s="7">
        <v>45268.607250252084</v>
      </c>
      <c r="AY153" s="1" t="s">
        <v>739</v>
      </c>
      <c r="AZ153" s="6">
        <v>1435.41</v>
      </c>
      <c r="BA153" s="5">
        <v>45268</v>
      </c>
      <c r="BB153" s="5">
        <v>45282</v>
      </c>
      <c r="BC153" s="5">
        <v>45268</v>
      </c>
      <c r="BD153" s="5">
        <v>45268</v>
      </c>
      <c r="BE153" s="7">
        <v>45291</v>
      </c>
      <c r="BF153" s="1" t="s">
        <v>2170</v>
      </c>
      <c r="BG153" s="1"/>
      <c r="BH153" s="1"/>
      <c r="BI153" s="1" t="s">
        <v>108</v>
      </c>
    </row>
    <row r="154" spans="1:61" hidden="1" x14ac:dyDescent="0.25">
      <c r="A154" s="4">
        <v>149</v>
      </c>
      <c r="B154" s="2" t="str">
        <f>HYPERLINK("https://my.zakupivli.pro/remote/dispatcher/state_purchase_view/47319195", "UA-2023-12-06-010844-a")</f>
        <v>UA-2023-12-06-010844-a</v>
      </c>
      <c r="C154" s="2" t="s">
        <v>1516</v>
      </c>
      <c r="D154" s="1" t="s">
        <v>1429</v>
      </c>
      <c r="E154" s="1" t="s">
        <v>1429</v>
      </c>
      <c r="F154" s="1" t="s">
        <v>487</v>
      </c>
      <c r="G154" s="1" t="s">
        <v>1035</v>
      </c>
      <c r="H154" s="1" t="s">
        <v>1218</v>
      </c>
      <c r="I154" s="1" t="s">
        <v>2094</v>
      </c>
      <c r="J154" s="1" t="s">
        <v>1145</v>
      </c>
      <c r="K154" s="1" t="s">
        <v>947</v>
      </c>
      <c r="L154" s="1" t="s">
        <v>1533</v>
      </c>
      <c r="M154" s="1" t="s">
        <v>1533</v>
      </c>
      <c r="N154" s="1" t="s">
        <v>110</v>
      </c>
      <c r="O154" s="1" t="s">
        <v>110</v>
      </c>
      <c r="P154" s="1" t="s">
        <v>110</v>
      </c>
      <c r="Q154" s="5">
        <v>45266</v>
      </c>
      <c r="R154" s="1"/>
      <c r="S154" s="1"/>
      <c r="T154" s="1"/>
      <c r="U154" s="1"/>
      <c r="V154" s="1" t="s">
        <v>2146</v>
      </c>
      <c r="W154" s="4">
        <v>1</v>
      </c>
      <c r="X154" s="6">
        <v>4701.1899999999996</v>
      </c>
      <c r="Y154" s="1" t="s">
        <v>1516</v>
      </c>
      <c r="Z154" s="1">
        <v>1</v>
      </c>
      <c r="AA154" s="6">
        <v>4701.1899999999996</v>
      </c>
      <c r="AB154" s="1" t="s">
        <v>2167</v>
      </c>
      <c r="AC154" s="1" t="s">
        <v>2162</v>
      </c>
      <c r="AD154" s="1" t="s">
        <v>1100</v>
      </c>
      <c r="AE154" s="1" t="s">
        <v>1522</v>
      </c>
      <c r="AF154" s="1" t="s">
        <v>1186</v>
      </c>
      <c r="AG154" s="1" t="s">
        <v>1522</v>
      </c>
      <c r="AH154" s="6">
        <v>4701.1899999999996</v>
      </c>
      <c r="AI154" s="6">
        <v>4701.1899999999996</v>
      </c>
      <c r="AJ154" s="1" t="s">
        <v>1498</v>
      </c>
      <c r="AK154" s="1"/>
      <c r="AL154" s="1"/>
      <c r="AM154" s="1" t="s">
        <v>1498</v>
      </c>
      <c r="AN154" s="1" t="s">
        <v>785</v>
      </c>
      <c r="AO154" s="1"/>
      <c r="AP154" s="1" t="s">
        <v>81</v>
      </c>
      <c r="AQ154" s="1"/>
      <c r="AR154" s="1"/>
      <c r="AS154" s="2"/>
      <c r="AT154" s="1"/>
      <c r="AU154" s="1"/>
      <c r="AV154" s="1"/>
      <c r="AW154" s="1" t="s">
        <v>2152</v>
      </c>
      <c r="AX154" s="7">
        <v>45266.585754067906</v>
      </c>
      <c r="AY154" s="1" t="s">
        <v>729</v>
      </c>
      <c r="AZ154" s="6">
        <v>4701.1899999999996</v>
      </c>
      <c r="BA154" s="5">
        <v>45265</v>
      </c>
      <c r="BB154" s="5">
        <v>45282</v>
      </c>
      <c r="BC154" s="5">
        <v>45265</v>
      </c>
      <c r="BD154" s="5">
        <v>45265</v>
      </c>
      <c r="BE154" s="7">
        <v>45291</v>
      </c>
      <c r="BF154" s="1" t="s">
        <v>2170</v>
      </c>
      <c r="BG154" s="1"/>
      <c r="BH154" s="1"/>
      <c r="BI154" s="1" t="s">
        <v>108</v>
      </c>
    </row>
    <row r="155" spans="1:61" hidden="1" x14ac:dyDescent="0.25">
      <c r="A155" s="4">
        <v>150</v>
      </c>
      <c r="B155" s="2" t="str">
        <f>HYPERLINK("https://my.zakupivli.pro/remote/dispatcher/state_purchase_view/47318777", "UA-2023-12-06-010729-a")</f>
        <v>UA-2023-12-06-010729-a</v>
      </c>
      <c r="C155" s="2" t="s">
        <v>1516</v>
      </c>
      <c r="D155" s="1" t="s">
        <v>1430</v>
      </c>
      <c r="E155" s="1" t="s">
        <v>1430</v>
      </c>
      <c r="F155" s="1" t="s">
        <v>487</v>
      </c>
      <c r="G155" s="1" t="s">
        <v>1035</v>
      </c>
      <c r="H155" s="1" t="s">
        <v>1218</v>
      </c>
      <c r="I155" s="1" t="s">
        <v>2094</v>
      </c>
      <c r="J155" s="1" t="s">
        <v>1145</v>
      </c>
      <c r="K155" s="1" t="s">
        <v>947</v>
      </c>
      <c r="L155" s="1" t="s">
        <v>1533</v>
      </c>
      <c r="M155" s="1" t="s">
        <v>1533</v>
      </c>
      <c r="N155" s="1" t="s">
        <v>110</v>
      </c>
      <c r="O155" s="1" t="s">
        <v>110</v>
      </c>
      <c r="P155" s="1" t="s">
        <v>110</v>
      </c>
      <c r="Q155" s="5">
        <v>45266</v>
      </c>
      <c r="R155" s="1"/>
      <c r="S155" s="1"/>
      <c r="T155" s="1"/>
      <c r="U155" s="1"/>
      <c r="V155" s="1" t="s">
        <v>2146</v>
      </c>
      <c r="W155" s="4">
        <v>1</v>
      </c>
      <c r="X155" s="6">
        <v>5006.5200000000004</v>
      </c>
      <c r="Y155" s="1" t="s">
        <v>1516</v>
      </c>
      <c r="Z155" s="1">
        <v>1</v>
      </c>
      <c r="AA155" s="6">
        <v>5006.5200000000004</v>
      </c>
      <c r="AB155" s="1" t="s">
        <v>2167</v>
      </c>
      <c r="AC155" s="1" t="s">
        <v>2162</v>
      </c>
      <c r="AD155" s="1" t="s">
        <v>1100</v>
      </c>
      <c r="AE155" s="1" t="s">
        <v>1522</v>
      </c>
      <c r="AF155" s="1" t="s">
        <v>1186</v>
      </c>
      <c r="AG155" s="1" t="s">
        <v>1522</v>
      </c>
      <c r="AH155" s="6">
        <v>5006.5200000000004</v>
      </c>
      <c r="AI155" s="6">
        <v>5006.5200000000004</v>
      </c>
      <c r="AJ155" s="1" t="s">
        <v>1498</v>
      </c>
      <c r="AK155" s="1"/>
      <c r="AL155" s="1"/>
      <c r="AM155" s="1" t="s">
        <v>1498</v>
      </c>
      <c r="AN155" s="1" t="s">
        <v>785</v>
      </c>
      <c r="AO155" s="1"/>
      <c r="AP155" s="1" t="s">
        <v>81</v>
      </c>
      <c r="AQ155" s="1"/>
      <c r="AR155" s="1"/>
      <c r="AS155" s="2"/>
      <c r="AT155" s="1"/>
      <c r="AU155" s="1"/>
      <c r="AV155" s="1"/>
      <c r="AW155" s="1" t="s">
        <v>2152</v>
      </c>
      <c r="AX155" s="7">
        <v>45266.583790179073</v>
      </c>
      <c r="AY155" s="1" t="s">
        <v>730</v>
      </c>
      <c r="AZ155" s="6">
        <v>5006.5200000000004</v>
      </c>
      <c r="BA155" s="5">
        <v>45265</v>
      </c>
      <c r="BB155" s="5">
        <v>45282</v>
      </c>
      <c r="BC155" s="5">
        <v>45265</v>
      </c>
      <c r="BD155" s="5">
        <v>45265</v>
      </c>
      <c r="BE155" s="7">
        <v>45291</v>
      </c>
      <c r="BF155" s="1" t="s">
        <v>2170</v>
      </c>
      <c r="BG155" s="1"/>
      <c r="BH155" s="1"/>
      <c r="BI155" s="1" t="s">
        <v>108</v>
      </c>
    </row>
    <row r="156" spans="1:61" hidden="1" x14ac:dyDescent="0.25">
      <c r="A156" s="4">
        <v>151</v>
      </c>
      <c r="B156" s="2" t="str">
        <f>HYPERLINK("https://my.zakupivli.pro/remote/dispatcher/state_purchase_view/47318550", "UA-2023-12-06-010587-a")</f>
        <v>UA-2023-12-06-010587-a</v>
      </c>
      <c r="C156" s="2" t="s">
        <v>1516</v>
      </c>
      <c r="D156" s="1" t="s">
        <v>1431</v>
      </c>
      <c r="E156" s="1" t="s">
        <v>1431</v>
      </c>
      <c r="F156" s="1" t="s">
        <v>487</v>
      </c>
      <c r="G156" s="1" t="s">
        <v>1035</v>
      </c>
      <c r="H156" s="1" t="s">
        <v>1218</v>
      </c>
      <c r="I156" s="1" t="s">
        <v>2094</v>
      </c>
      <c r="J156" s="1" t="s">
        <v>1145</v>
      </c>
      <c r="K156" s="1" t="s">
        <v>947</v>
      </c>
      <c r="L156" s="1" t="s">
        <v>1533</v>
      </c>
      <c r="M156" s="1" t="s">
        <v>1533</v>
      </c>
      <c r="N156" s="1" t="s">
        <v>110</v>
      </c>
      <c r="O156" s="1" t="s">
        <v>110</v>
      </c>
      <c r="P156" s="1" t="s">
        <v>110</v>
      </c>
      <c r="Q156" s="5">
        <v>45266</v>
      </c>
      <c r="R156" s="1"/>
      <c r="S156" s="1"/>
      <c r="T156" s="1"/>
      <c r="U156" s="1"/>
      <c r="V156" s="1" t="s">
        <v>2146</v>
      </c>
      <c r="W156" s="4">
        <v>1</v>
      </c>
      <c r="X156" s="6">
        <v>5228.2299999999996</v>
      </c>
      <c r="Y156" s="1" t="s">
        <v>1516</v>
      </c>
      <c r="Z156" s="1">
        <v>1</v>
      </c>
      <c r="AA156" s="6">
        <v>5228.2299999999996</v>
      </c>
      <c r="AB156" s="1" t="s">
        <v>2167</v>
      </c>
      <c r="AC156" s="1" t="s">
        <v>2162</v>
      </c>
      <c r="AD156" s="1" t="s">
        <v>1100</v>
      </c>
      <c r="AE156" s="1" t="s">
        <v>1522</v>
      </c>
      <c r="AF156" s="1" t="s">
        <v>1186</v>
      </c>
      <c r="AG156" s="1" t="s">
        <v>1522</v>
      </c>
      <c r="AH156" s="6">
        <v>5228.2299999999996</v>
      </c>
      <c r="AI156" s="6">
        <v>5228.2299999999996</v>
      </c>
      <c r="AJ156" s="1" t="s">
        <v>1498</v>
      </c>
      <c r="AK156" s="1"/>
      <c r="AL156" s="1"/>
      <c r="AM156" s="1" t="s">
        <v>1498</v>
      </c>
      <c r="AN156" s="1" t="s">
        <v>785</v>
      </c>
      <c r="AO156" s="1"/>
      <c r="AP156" s="1" t="s">
        <v>81</v>
      </c>
      <c r="AQ156" s="1"/>
      <c r="AR156" s="1"/>
      <c r="AS156" s="2"/>
      <c r="AT156" s="1"/>
      <c r="AU156" s="1"/>
      <c r="AV156" s="1"/>
      <c r="AW156" s="1" t="s">
        <v>2152</v>
      </c>
      <c r="AX156" s="7">
        <v>45266.580935062062</v>
      </c>
      <c r="AY156" s="1" t="s">
        <v>727</v>
      </c>
      <c r="AZ156" s="6">
        <v>5228.2299999999996</v>
      </c>
      <c r="BA156" s="5">
        <v>45265</v>
      </c>
      <c r="BB156" s="5">
        <v>45282</v>
      </c>
      <c r="BC156" s="5">
        <v>45265</v>
      </c>
      <c r="BD156" s="5">
        <v>45265</v>
      </c>
      <c r="BE156" s="7">
        <v>45291</v>
      </c>
      <c r="BF156" s="1" t="s">
        <v>2170</v>
      </c>
      <c r="BG156" s="1"/>
      <c r="BH156" s="1"/>
      <c r="BI156" s="1" t="s">
        <v>108</v>
      </c>
    </row>
    <row r="157" spans="1:61" hidden="1" x14ac:dyDescent="0.25">
      <c r="A157" s="4">
        <v>152</v>
      </c>
      <c r="B157" s="2" t="str">
        <f>HYPERLINK("https://my.zakupivli.pro/remote/dispatcher/state_purchase_view/47318318", "UA-2023-12-06-010452-a")</f>
        <v>UA-2023-12-06-010452-a</v>
      </c>
      <c r="C157" s="2" t="s">
        <v>1516</v>
      </c>
      <c r="D157" s="1" t="s">
        <v>1428</v>
      </c>
      <c r="E157" s="1" t="s">
        <v>1428</v>
      </c>
      <c r="F157" s="1" t="s">
        <v>487</v>
      </c>
      <c r="G157" s="1" t="s">
        <v>1035</v>
      </c>
      <c r="H157" s="1" t="s">
        <v>1218</v>
      </c>
      <c r="I157" s="1" t="s">
        <v>2094</v>
      </c>
      <c r="J157" s="1" t="s">
        <v>1145</v>
      </c>
      <c r="K157" s="1" t="s">
        <v>947</v>
      </c>
      <c r="L157" s="1" t="s">
        <v>1533</v>
      </c>
      <c r="M157" s="1" t="s">
        <v>1533</v>
      </c>
      <c r="N157" s="1" t="s">
        <v>110</v>
      </c>
      <c r="O157" s="1" t="s">
        <v>110</v>
      </c>
      <c r="P157" s="1" t="s">
        <v>110</v>
      </c>
      <c r="Q157" s="5">
        <v>45266</v>
      </c>
      <c r="R157" s="1"/>
      <c r="S157" s="1"/>
      <c r="T157" s="1"/>
      <c r="U157" s="1"/>
      <c r="V157" s="1" t="s">
        <v>2146</v>
      </c>
      <c r="W157" s="4">
        <v>1</v>
      </c>
      <c r="X157" s="6">
        <v>15637.5</v>
      </c>
      <c r="Y157" s="1" t="s">
        <v>1516</v>
      </c>
      <c r="Z157" s="1">
        <v>1</v>
      </c>
      <c r="AA157" s="6">
        <v>15637.5</v>
      </c>
      <c r="AB157" s="1" t="s">
        <v>2167</v>
      </c>
      <c r="AC157" s="1" t="s">
        <v>2162</v>
      </c>
      <c r="AD157" s="1" t="s">
        <v>1100</v>
      </c>
      <c r="AE157" s="1" t="s">
        <v>1522</v>
      </c>
      <c r="AF157" s="1" t="s">
        <v>1186</v>
      </c>
      <c r="AG157" s="1" t="s">
        <v>1522</v>
      </c>
      <c r="AH157" s="6">
        <v>15637.5</v>
      </c>
      <c r="AI157" s="6">
        <v>15637.5</v>
      </c>
      <c r="AJ157" s="1" t="s">
        <v>1498</v>
      </c>
      <c r="AK157" s="1"/>
      <c r="AL157" s="1"/>
      <c r="AM157" s="1" t="s">
        <v>1498</v>
      </c>
      <c r="AN157" s="1" t="s">
        <v>785</v>
      </c>
      <c r="AO157" s="1"/>
      <c r="AP157" s="1" t="s">
        <v>81</v>
      </c>
      <c r="AQ157" s="1"/>
      <c r="AR157" s="1"/>
      <c r="AS157" s="2"/>
      <c r="AT157" s="1"/>
      <c r="AU157" s="1"/>
      <c r="AV157" s="1"/>
      <c r="AW157" s="1" t="s">
        <v>2152</v>
      </c>
      <c r="AX157" s="7">
        <v>45266.581546668218</v>
      </c>
      <c r="AY157" s="1" t="s">
        <v>725</v>
      </c>
      <c r="AZ157" s="6">
        <v>15637.5</v>
      </c>
      <c r="BA157" s="5">
        <v>45265</v>
      </c>
      <c r="BB157" s="5">
        <v>45282</v>
      </c>
      <c r="BC157" s="5">
        <v>45265</v>
      </c>
      <c r="BD157" s="5">
        <v>45265</v>
      </c>
      <c r="BE157" s="7">
        <v>45291</v>
      </c>
      <c r="BF157" s="1" t="s">
        <v>2170</v>
      </c>
      <c r="BG157" s="1"/>
      <c r="BH157" s="1"/>
      <c r="BI157" s="1" t="s">
        <v>108</v>
      </c>
    </row>
    <row r="158" spans="1:61" hidden="1" x14ac:dyDescent="0.25">
      <c r="A158" s="4">
        <v>153</v>
      </c>
      <c r="B158" s="2" t="str">
        <f>HYPERLINK("https://my.zakupivli.pro/remote/dispatcher/state_purchase_view/47167856", "UA-2023-12-01-006184-a")</f>
        <v>UA-2023-12-01-006184-a</v>
      </c>
      <c r="C158" s="2" t="s">
        <v>1516</v>
      </c>
      <c r="D158" s="1" t="s">
        <v>1802</v>
      </c>
      <c r="E158" s="1" t="s">
        <v>1802</v>
      </c>
      <c r="F158" s="1" t="s">
        <v>487</v>
      </c>
      <c r="G158" s="1" t="s">
        <v>966</v>
      </c>
      <c r="H158" s="1" t="s">
        <v>1218</v>
      </c>
      <c r="I158" s="1" t="s">
        <v>2094</v>
      </c>
      <c r="J158" s="1" t="s">
        <v>1145</v>
      </c>
      <c r="K158" s="1" t="s">
        <v>947</v>
      </c>
      <c r="L158" s="1" t="s">
        <v>1533</v>
      </c>
      <c r="M158" s="1" t="s">
        <v>1533</v>
      </c>
      <c r="N158" s="1" t="s">
        <v>110</v>
      </c>
      <c r="O158" s="1" t="s">
        <v>110</v>
      </c>
      <c r="P158" s="1" t="s">
        <v>110</v>
      </c>
      <c r="Q158" s="5">
        <v>45261</v>
      </c>
      <c r="R158" s="1"/>
      <c r="S158" s="1"/>
      <c r="T158" s="1"/>
      <c r="U158" s="1"/>
      <c r="V158" s="1" t="s">
        <v>2146</v>
      </c>
      <c r="W158" s="4">
        <v>1</v>
      </c>
      <c r="X158" s="6">
        <v>97591.02</v>
      </c>
      <c r="Y158" s="1" t="s">
        <v>1516</v>
      </c>
      <c r="Z158" s="1">
        <v>1</v>
      </c>
      <c r="AA158" s="6">
        <v>97591.02</v>
      </c>
      <c r="AB158" s="1" t="s">
        <v>2167</v>
      </c>
      <c r="AC158" s="1" t="s">
        <v>2162</v>
      </c>
      <c r="AD158" s="1" t="s">
        <v>1100</v>
      </c>
      <c r="AE158" s="1" t="s">
        <v>1522</v>
      </c>
      <c r="AF158" s="1" t="s">
        <v>1186</v>
      </c>
      <c r="AG158" s="1" t="s">
        <v>1522</v>
      </c>
      <c r="AH158" s="6">
        <v>97591.02</v>
      </c>
      <c r="AI158" s="6">
        <v>97591.02</v>
      </c>
      <c r="AJ158" s="1" t="s">
        <v>1192</v>
      </c>
      <c r="AK158" s="1"/>
      <c r="AL158" s="1"/>
      <c r="AM158" s="1" t="s">
        <v>1192</v>
      </c>
      <c r="AN158" s="1" t="s">
        <v>808</v>
      </c>
      <c r="AO158" s="1"/>
      <c r="AP158" s="1" t="s">
        <v>43</v>
      </c>
      <c r="AQ158" s="1"/>
      <c r="AR158" s="1"/>
      <c r="AS158" s="2"/>
      <c r="AT158" s="1"/>
      <c r="AU158" s="1"/>
      <c r="AV158" s="1"/>
      <c r="AW158" s="1" t="s">
        <v>2152</v>
      </c>
      <c r="AX158" s="7">
        <v>45261.508144602951</v>
      </c>
      <c r="AY158" s="1" t="s">
        <v>713</v>
      </c>
      <c r="AZ158" s="6">
        <v>97591.02</v>
      </c>
      <c r="BA158" s="5">
        <v>45260</v>
      </c>
      <c r="BB158" s="5">
        <v>45282</v>
      </c>
      <c r="BC158" s="5">
        <v>45260</v>
      </c>
      <c r="BD158" s="5">
        <v>45260</v>
      </c>
      <c r="BE158" s="7">
        <v>45291</v>
      </c>
      <c r="BF158" s="1" t="s">
        <v>2170</v>
      </c>
      <c r="BG158" s="1"/>
      <c r="BH158" s="1"/>
      <c r="BI158" s="1" t="s">
        <v>108</v>
      </c>
    </row>
    <row r="159" spans="1:61" hidden="1" x14ac:dyDescent="0.25">
      <c r="A159" s="4">
        <v>154</v>
      </c>
      <c r="B159" s="2" t="str">
        <f>HYPERLINK("https://my.zakupivli.pro/remote/dispatcher/state_purchase_view/47181063", "UA-2023-12-01-011948-a")</f>
        <v>UA-2023-12-01-011948-a</v>
      </c>
      <c r="C159" s="2" t="s">
        <v>1516</v>
      </c>
      <c r="D159" s="1" t="s">
        <v>1278</v>
      </c>
      <c r="E159" s="1" t="s">
        <v>1278</v>
      </c>
      <c r="F159" s="1" t="s">
        <v>487</v>
      </c>
      <c r="G159" s="1" t="s">
        <v>1035</v>
      </c>
      <c r="H159" s="1" t="s">
        <v>1218</v>
      </c>
      <c r="I159" s="1" t="s">
        <v>2094</v>
      </c>
      <c r="J159" s="1" t="s">
        <v>1145</v>
      </c>
      <c r="K159" s="1" t="s">
        <v>947</v>
      </c>
      <c r="L159" s="1" t="s">
        <v>1533</v>
      </c>
      <c r="M159" s="1" t="s">
        <v>1533</v>
      </c>
      <c r="N159" s="1" t="s">
        <v>110</v>
      </c>
      <c r="O159" s="1" t="s">
        <v>110</v>
      </c>
      <c r="P159" s="1" t="s">
        <v>110</v>
      </c>
      <c r="Q159" s="5">
        <v>45261</v>
      </c>
      <c r="R159" s="1"/>
      <c r="S159" s="1"/>
      <c r="T159" s="1"/>
      <c r="U159" s="1"/>
      <c r="V159" s="1" t="s">
        <v>2146</v>
      </c>
      <c r="W159" s="4">
        <v>1</v>
      </c>
      <c r="X159" s="6">
        <v>1819.56</v>
      </c>
      <c r="Y159" s="1" t="s">
        <v>1516</v>
      </c>
      <c r="Z159" s="1">
        <v>1</v>
      </c>
      <c r="AA159" s="6">
        <v>1819.56</v>
      </c>
      <c r="AB159" s="1" t="s">
        <v>2167</v>
      </c>
      <c r="AC159" s="1" t="s">
        <v>2162</v>
      </c>
      <c r="AD159" s="1" t="s">
        <v>1100</v>
      </c>
      <c r="AE159" s="1" t="s">
        <v>1522</v>
      </c>
      <c r="AF159" s="1" t="s">
        <v>1186</v>
      </c>
      <c r="AG159" s="1" t="s">
        <v>1522</v>
      </c>
      <c r="AH159" s="6">
        <v>1819.56</v>
      </c>
      <c r="AI159" s="6">
        <v>1819.56</v>
      </c>
      <c r="AJ159" s="1" t="s">
        <v>1498</v>
      </c>
      <c r="AK159" s="1"/>
      <c r="AL159" s="1"/>
      <c r="AM159" s="1" t="s">
        <v>1498</v>
      </c>
      <c r="AN159" s="1" t="s">
        <v>785</v>
      </c>
      <c r="AO159" s="1"/>
      <c r="AP159" s="1" t="s">
        <v>81</v>
      </c>
      <c r="AQ159" s="1"/>
      <c r="AR159" s="1"/>
      <c r="AS159" s="2"/>
      <c r="AT159" s="1"/>
      <c r="AU159" s="1"/>
      <c r="AV159" s="1"/>
      <c r="AW159" s="1" t="s">
        <v>2152</v>
      </c>
      <c r="AX159" s="7">
        <v>45261.628024387508</v>
      </c>
      <c r="AY159" s="1" t="s">
        <v>715</v>
      </c>
      <c r="AZ159" s="6">
        <v>1819.56</v>
      </c>
      <c r="BA159" s="5">
        <v>45261</v>
      </c>
      <c r="BB159" s="5">
        <v>45282</v>
      </c>
      <c r="BC159" s="5">
        <v>45261</v>
      </c>
      <c r="BD159" s="5">
        <v>45261</v>
      </c>
      <c r="BE159" s="7">
        <v>45291</v>
      </c>
      <c r="BF159" s="1" t="s">
        <v>2170</v>
      </c>
      <c r="BG159" s="1"/>
      <c r="BH159" s="1"/>
      <c r="BI159" s="1" t="s">
        <v>108</v>
      </c>
    </row>
    <row r="160" spans="1:61" hidden="1" x14ac:dyDescent="0.25">
      <c r="A160" s="4">
        <v>155</v>
      </c>
      <c r="B160" s="2" t="str">
        <f>HYPERLINK("https://my.zakupivli.pro/remote/dispatcher/state_purchase_view/47177834", "UA-2023-12-01-010550-a")</f>
        <v>UA-2023-12-01-010550-a</v>
      </c>
      <c r="C160" s="2" t="s">
        <v>1516</v>
      </c>
      <c r="D160" s="1" t="s">
        <v>1576</v>
      </c>
      <c r="E160" s="1" t="s">
        <v>1576</v>
      </c>
      <c r="F160" s="1" t="s">
        <v>487</v>
      </c>
      <c r="G160" s="1" t="s">
        <v>1035</v>
      </c>
      <c r="H160" s="1" t="s">
        <v>1218</v>
      </c>
      <c r="I160" s="1" t="s">
        <v>2094</v>
      </c>
      <c r="J160" s="1" t="s">
        <v>1145</v>
      </c>
      <c r="K160" s="1" t="s">
        <v>947</v>
      </c>
      <c r="L160" s="1" t="s">
        <v>1533</v>
      </c>
      <c r="M160" s="1" t="s">
        <v>1533</v>
      </c>
      <c r="N160" s="1" t="s">
        <v>110</v>
      </c>
      <c r="O160" s="1" t="s">
        <v>110</v>
      </c>
      <c r="P160" s="1" t="s">
        <v>110</v>
      </c>
      <c r="Q160" s="5">
        <v>45261</v>
      </c>
      <c r="R160" s="1"/>
      <c r="S160" s="1"/>
      <c r="T160" s="1"/>
      <c r="U160" s="1"/>
      <c r="V160" s="1" t="s">
        <v>2146</v>
      </c>
      <c r="W160" s="4">
        <v>1</v>
      </c>
      <c r="X160" s="6">
        <v>5647.94</v>
      </c>
      <c r="Y160" s="1" t="s">
        <v>1516</v>
      </c>
      <c r="Z160" s="1">
        <v>1</v>
      </c>
      <c r="AA160" s="6">
        <v>5647.94</v>
      </c>
      <c r="AB160" s="1" t="s">
        <v>2167</v>
      </c>
      <c r="AC160" s="1" t="s">
        <v>2162</v>
      </c>
      <c r="AD160" s="1" t="s">
        <v>1100</v>
      </c>
      <c r="AE160" s="1" t="s">
        <v>1522</v>
      </c>
      <c r="AF160" s="1" t="s">
        <v>1186</v>
      </c>
      <c r="AG160" s="1" t="s">
        <v>1522</v>
      </c>
      <c r="AH160" s="6">
        <v>5647.94</v>
      </c>
      <c r="AI160" s="6">
        <v>5647.94</v>
      </c>
      <c r="AJ160" s="1" t="s">
        <v>1498</v>
      </c>
      <c r="AK160" s="1"/>
      <c r="AL160" s="1"/>
      <c r="AM160" s="1" t="s">
        <v>1498</v>
      </c>
      <c r="AN160" s="1" t="s">
        <v>785</v>
      </c>
      <c r="AO160" s="1"/>
      <c r="AP160" s="1" t="s">
        <v>81</v>
      </c>
      <c r="AQ160" s="1"/>
      <c r="AR160" s="1"/>
      <c r="AS160" s="2"/>
      <c r="AT160" s="1"/>
      <c r="AU160" s="1"/>
      <c r="AV160" s="1"/>
      <c r="AW160" s="1" t="s">
        <v>2152</v>
      </c>
      <c r="AX160" s="7">
        <v>45261.614285406635</v>
      </c>
      <c r="AY160" s="1" t="s">
        <v>714</v>
      </c>
      <c r="AZ160" s="6">
        <v>5647.94</v>
      </c>
      <c r="BA160" s="5">
        <v>45261</v>
      </c>
      <c r="BB160" s="5">
        <v>45282</v>
      </c>
      <c r="BC160" s="5">
        <v>45261</v>
      </c>
      <c r="BD160" s="5">
        <v>45261</v>
      </c>
      <c r="BE160" s="7">
        <v>45291</v>
      </c>
      <c r="BF160" s="1" t="s">
        <v>2170</v>
      </c>
      <c r="BG160" s="1"/>
      <c r="BH160" s="1"/>
      <c r="BI160" s="1" t="s">
        <v>108</v>
      </c>
    </row>
    <row r="161" spans="1:61" hidden="1" x14ac:dyDescent="0.25">
      <c r="A161" s="4">
        <v>156</v>
      </c>
      <c r="B161" s="2" t="str">
        <f>HYPERLINK("https://my.zakupivli.pro/remote/dispatcher/state_purchase_view/47168969", "UA-2023-12-01-006746-a")</f>
        <v>UA-2023-12-01-006746-a</v>
      </c>
      <c r="C161" s="2" t="s">
        <v>1516</v>
      </c>
      <c r="D161" s="1" t="s">
        <v>1438</v>
      </c>
      <c r="E161" s="1" t="s">
        <v>1438</v>
      </c>
      <c r="F161" s="1" t="s">
        <v>487</v>
      </c>
      <c r="G161" s="1" t="s">
        <v>971</v>
      </c>
      <c r="H161" s="1" t="s">
        <v>1218</v>
      </c>
      <c r="I161" s="1" t="s">
        <v>2094</v>
      </c>
      <c r="J161" s="1" t="s">
        <v>1145</v>
      </c>
      <c r="K161" s="1" t="s">
        <v>947</v>
      </c>
      <c r="L161" s="1" t="s">
        <v>1533</v>
      </c>
      <c r="M161" s="1" t="s">
        <v>1533</v>
      </c>
      <c r="N161" s="1" t="s">
        <v>110</v>
      </c>
      <c r="O161" s="1" t="s">
        <v>110</v>
      </c>
      <c r="P161" s="1" t="s">
        <v>110</v>
      </c>
      <c r="Q161" s="5">
        <v>45261</v>
      </c>
      <c r="R161" s="1"/>
      <c r="S161" s="1"/>
      <c r="T161" s="1"/>
      <c r="U161" s="1"/>
      <c r="V161" s="1" t="s">
        <v>2146</v>
      </c>
      <c r="W161" s="4">
        <v>1</v>
      </c>
      <c r="X161" s="6">
        <v>109245.79</v>
      </c>
      <c r="Y161" s="1" t="s">
        <v>1516</v>
      </c>
      <c r="Z161" s="1">
        <v>1</v>
      </c>
      <c r="AA161" s="6">
        <v>109245.79</v>
      </c>
      <c r="AB161" s="1" t="s">
        <v>2167</v>
      </c>
      <c r="AC161" s="1" t="s">
        <v>2162</v>
      </c>
      <c r="AD161" s="1" t="s">
        <v>1100</v>
      </c>
      <c r="AE161" s="1" t="s">
        <v>1522</v>
      </c>
      <c r="AF161" s="1" t="s">
        <v>1186</v>
      </c>
      <c r="AG161" s="1" t="s">
        <v>1522</v>
      </c>
      <c r="AH161" s="6">
        <v>109245.79</v>
      </c>
      <c r="AI161" s="6">
        <v>109245.79</v>
      </c>
      <c r="AJ161" s="1" t="s">
        <v>1192</v>
      </c>
      <c r="AK161" s="1"/>
      <c r="AL161" s="1"/>
      <c r="AM161" s="1" t="s">
        <v>1192</v>
      </c>
      <c r="AN161" s="1" t="s">
        <v>808</v>
      </c>
      <c r="AO161" s="1"/>
      <c r="AP161" s="1" t="s">
        <v>43</v>
      </c>
      <c r="AQ161" s="1"/>
      <c r="AR161" s="1"/>
      <c r="AS161" s="2"/>
      <c r="AT161" s="1"/>
      <c r="AU161" s="1"/>
      <c r="AV161" s="1"/>
      <c r="AW161" s="1" t="s">
        <v>2152</v>
      </c>
      <c r="AX161" s="7">
        <v>45261.522137417058</v>
      </c>
      <c r="AY161" s="1" t="s">
        <v>711</v>
      </c>
      <c r="AZ161" s="6">
        <v>109245.79</v>
      </c>
      <c r="BA161" s="5">
        <v>45260</v>
      </c>
      <c r="BB161" s="5">
        <v>45282</v>
      </c>
      <c r="BC161" s="5">
        <v>45260</v>
      </c>
      <c r="BD161" s="5">
        <v>45260</v>
      </c>
      <c r="BE161" s="7">
        <v>45291</v>
      </c>
      <c r="BF161" s="1" t="s">
        <v>2170</v>
      </c>
      <c r="BG161" s="1"/>
      <c r="BH161" s="1"/>
      <c r="BI161" s="1" t="s">
        <v>108</v>
      </c>
    </row>
    <row r="162" spans="1:61" hidden="1" x14ac:dyDescent="0.25">
      <c r="A162" s="4">
        <v>157</v>
      </c>
      <c r="B162" s="2" t="str">
        <f>HYPERLINK("https://my.zakupivli.pro/remote/dispatcher/state_purchase_view/47100846", "UA-2023-11-29-012381-a")</f>
        <v>UA-2023-11-29-012381-a</v>
      </c>
      <c r="C162" s="2" t="s">
        <v>1516</v>
      </c>
      <c r="D162" s="1" t="s">
        <v>1867</v>
      </c>
      <c r="E162" s="1" t="s">
        <v>1867</v>
      </c>
      <c r="F162" s="1" t="s">
        <v>487</v>
      </c>
      <c r="G162" s="1" t="s">
        <v>972</v>
      </c>
      <c r="H162" s="1" t="s">
        <v>1218</v>
      </c>
      <c r="I162" s="1" t="s">
        <v>2094</v>
      </c>
      <c r="J162" s="1" t="s">
        <v>1145</v>
      </c>
      <c r="K162" s="1" t="s">
        <v>947</v>
      </c>
      <c r="L162" s="1" t="s">
        <v>1533</v>
      </c>
      <c r="M162" s="1" t="s">
        <v>1533</v>
      </c>
      <c r="N162" s="1" t="s">
        <v>110</v>
      </c>
      <c r="O162" s="1" t="s">
        <v>110</v>
      </c>
      <c r="P162" s="1" t="s">
        <v>110</v>
      </c>
      <c r="Q162" s="5">
        <v>45259</v>
      </c>
      <c r="R162" s="1"/>
      <c r="S162" s="1"/>
      <c r="T162" s="1"/>
      <c r="U162" s="1"/>
      <c r="V162" s="1" t="s">
        <v>2146</v>
      </c>
      <c r="W162" s="4">
        <v>1</v>
      </c>
      <c r="X162" s="6">
        <v>27401.279999999999</v>
      </c>
      <c r="Y162" s="1" t="s">
        <v>1516</v>
      </c>
      <c r="Z162" s="1">
        <v>1</v>
      </c>
      <c r="AA162" s="6">
        <v>27401.279999999999</v>
      </c>
      <c r="AB162" s="1" t="s">
        <v>2167</v>
      </c>
      <c r="AC162" s="1" t="s">
        <v>2162</v>
      </c>
      <c r="AD162" s="1" t="s">
        <v>1100</v>
      </c>
      <c r="AE162" s="1" t="s">
        <v>1522</v>
      </c>
      <c r="AF162" s="1" t="s">
        <v>1186</v>
      </c>
      <c r="AG162" s="1" t="s">
        <v>1522</v>
      </c>
      <c r="AH162" s="6">
        <v>27401.279999999999</v>
      </c>
      <c r="AI162" s="6">
        <v>27401.279999999999</v>
      </c>
      <c r="AJ162" s="1" t="s">
        <v>2046</v>
      </c>
      <c r="AK162" s="1"/>
      <c r="AL162" s="1"/>
      <c r="AM162" s="1" t="s">
        <v>2046</v>
      </c>
      <c r="AN162" s="1" t="s">
        <v>745</v>
      </c>
      <c r="AO162" s="1"/>
      <c r="AP162" s="1" t="s">
        <v>99</v>
      </c>
      <c r="AQ162" s="1"/>
      <c r="AR162" s="1"/>
      <c r="AS162" s="2"/>
      <c r="AT162" s="1"/>
      <c r="AU162" s="1"/>
      <c r="AV162" s="1"/>
      <c r="AW162" s="1" t="s">
        <v>2152</v>
      </c>
      <c r="AX162" s="7">
        <v>45259.61329966793</v>
      </c>
      <c r="AY162" s="1" t="s">
        <v>709</v>
      </c>
      <c r="AZ162" s="6">
        <v>27401.279999999999</v>
      </c>
      <c r="BA162" s="5">
        <v>45259</v>
      </c>
      <c r="BB162" s="5">
        <v>45282</v>
      </c>
      <c r="BC162" s="5">
        <v>45259</v>
      </c>
      <c r="BD162" s="5">
        <v>45259</v>
      </c>
      <c r="BE162" s="7">
        <v>45291</v>
      </c>
      <c r="BF162" s="1" t="s">
        <v>2170</v>
      </c>
      <c r="BG162" s="1"/>
      <c r="BH162" s="1"/>
      <c r="BI162" s="1" t="s">
        <v>108</v>
      </c>
    </row>
    <row r="163" spans="1:61" hidden="1" x14ac:dyDescent="0.25">
      <c r="A163" s="4">
        <v>158</v>
      </c>
      <c r="B163" s="2" t="str">
        <f>HYPERLINK("https://my.zakupivli.pro/remote/dispatcher/state_purchase_view/47094885", "UA-2023-11-29-009508-a")</f>
        <v>UA-2023-11-29-009508-a</v>
      </c>
      <c r="C163" s="2" t="s">
        <v>1516</v>
      </c>
      <c r="D163" s="1" t="s">
        <v>1439</v>
      </c>
      <c r="E163" s="1" t="s">
        <v>1439</v>
      </c>
      <c r="F163" s="1" t="s">
        <v>487</v>
      </c>
      <c r="G163" s="1" t="s">
        <v>973</v>
      </c>
      <c r="H163" s="1" t="s">
        <v>1218</v>
      </c>
      <c r="I163" s="1" t="s">
        <v>2094</v>
      </c>
      <c r="J163" s="1" t="s">
        <v>1145</v>
      </c>
      <c r="K163" s="1" t="s">
        <v>947</v>
      </c>
      <c r="L163" s="1" t="s">
        <v>1533</v>
      </c>
      <c r="M163" s="1" t="s">
        <v>1533</v>
      </c>
      <c r="N163" s="1" t="s">
        <v>110</v>
      </c>
      <c r="O163" s="1" t="s">
        <v>110</v>
      </c>
      <c r="P163" s="1" t="s">
        <v>110</v>
      </c>
      <c r="Q163" s="5">
        <v>45259</v>
      </c>
      <c r="R163" s="1"/>
      <c r="S163" s="1"/>
      <c r="T163" s="1"/>
      <c r="U163" s="1"/>
      <c r="V163" s="1" t="s">
        <v>2146</v>
      </c>
      <c r="W163" s="4">
        <v>1</v>
      </c>
      <c r="X163" s="6">
        <v>31795.53</v>
      </c>
      <c r="Y163" s="1" t="s">
        <v>1516</v>
      </c>
      <c r="Z163" s="1">
        <v>1</v>
      </c>
      <c r="AA163" s="6">
        <v>31795.53</v>
      </c>
      <c r="AB163" s="1" t="s">
        <v>2167</v>
      </c>
      <c r="AC163" s="1" t="s">
        <v>2162</v>
      </c>
      <c r="AD163" s="1" t="s">
        <v>1100</v>
      </c>
      <c r="AE163" s="1" t="s">
        <v>1522</v>
      </c>
      <c r="AF163" s="1" t="s">
        <v>1186</v>
      </c>
      <c r="AG163" s="1" t="s">
        <v>1522</v>
      </c>
      <c r="AH163" s="6">
        <v>31795.53</v>
      </c>
      <c r="AI163" s="6">
        <v>31795.53</v>
      </c>
      <c r="AJ163" s="1" t="s">
        <v>2046</v>
      </c>
      <c r="AK163" s="1"/>
      <c r="AL163" s="1"/>
      <c r="AM163" s="1" t="s">
        <v>2046</v>
      </c>
      <c r="AN163" s="1" t="s">
        <v>745</v>
      </c>
      <c r="AO163" s="1"/>
      <c r="AP163" s="1" t="s">
        <v>99</v>
      </c>
      <c r="AQ163" s="1"/>
      <c r="AR163" s="1"/>
      <c r="AS163" s="2"/>
      <c r="AT163" s="1"/>
      <c r="AU163" s="1"/>
      <c r="AV163" s="1"/>
      <c r="AW163" s="1" t="s">
        <v>2152</v>
      </c>
      <c r="AX163" s="7">
        <v>45259.545494750681</v>
      </c>
      <c r="AY163" s="1" t="s">
        <v>708</v>
      </c>
      <c r="AZ163" s="6">
        <v>31795.53</v>
      </c>
      <c r="BA163" s="5">
        <v>45259</v>
      </c>
      <c r="BB163" s="5">
        <v>45282</v>
      </c>
      <c r="BC163" s="5">
        <v>45259</v>
      </c>
      <c r="BD163" s="5">
        <v>45259</v>
      </c>
      <c r="BE163" s="7">
        <v>45291</v>
      </c>
      <c r="BF163" s="1" t="s">
        <v>2170</v>
      </c>
      <c r="BG163" s="1"/>
      <c r="BH163" s="1"/>
      <c r="BI163" s="1" t="s">
        <v>108</v>
      </c>
    </row>
    <row r="164" spans="1:61" hidden="1" x14ac:dyDescent="0.25">
      <c r="A164" s="4">
        <v>159</v>
      </c>
      <c r="B164" s="2" t="str">
        <f>HYPERLINK("https://my.zakupivli.pro/remote/dispatcher/state_purchase_view/46968047", "UA-2023-11-24-007669-a")</f>
        <v>UA-2023-11-24-007669-a</v>
      </c>
      <c r="C164" s="2" t="s">
        <v>1516</v>
      </c>
      <c r="D164" s="1" t="s">
        <v>1163</v>
      </c>
      <c r="E164" s="1" t="s">
        <v>1163</v>
      </c>
      <c r="F164" s="1" t="s">
        <v>487</v>
      </c>
      <c r="G164" s="1" t="s">
        <v>143</v>
      </c>
      <c r="H164" s="1" t="s">
        <v>1218</v>
      </c>
      <c r="I164" s="1" t="s">
        <v>2094</v>
      </c>
      <c r="J164" s="1" t="s">
        <v>1145</v>
      </c>
      <c r="K164" s="1" t="s">
        <v>947</v>
      </c>
      <c r="L164" s="1" t="s">
        <v>1533</v>
      </c>
      <c r="M164" s="1" t="s">
        <v>1533</v>
      </c>
      <c r="N164" s="1" t="s">
        <v>110</v>
      </c>
      <c r="O164" s="1" t="s">
        <v>110</v>
      </c>
      <c r="P164" s="1" t="s">
        <v>110</v>
      </c>
      <c r="Q164" s="5">
        <v>45254</v>
      </c>
      <c r="R164" s="1"/>
      <c r="S164" s="1"/>
      <c r="T164" s="1"/>
      <c r="U164" s="1"/>
      <c r="V164" s="1" t="s">
        <v>2146</v>
      </c>
      <c r="W164" s="4">
        <v>1</v>
      </c>
      <c r="X164" s="6">
        <v>49755</v>
      </c>
      <c r="Y164" s="1" t="s">
        <v>1516</v>
      </c>
      <c r="Z164" s="1">
        <v>930</v>
      </c>
      <c r="AA164" s="6">
        <v>53.5</v>
      </c>
      <c r="AB164" s="1" t="s">
        <v>2158</v>
      </c>
      <c r="AC164" s="1" t="s">
        <v>2162</v>
      </c>
      <c r="AD164" s="1" t="s">
        <v>1100</v>
      </c>
      <c r="AE164" s="1" t="s">
        <v>2094</v>
      </c>
      <c r="AF164" s="1" t="s">
        <v>1186</v>
      </c>
      <c r="AG164" s="1" t="s">
        <v>1522</v>
      </c>
      <c r="AH164" s="6">
        <v>49755</v>
      </c>
      <c r="AI164" s="6">
        <v>53.5</v>
      </c>
      <c r="AJ164" s="1" t="s">
        <v>2054</v>
      </c>
      <c r="AK164" s="1"/>
      <c r="AL164" s="1"/>
      <c r="AM164" s="1" t="s">
        <v>2054</v>
      </c>
      <c r="AN164" s="1" t="s">
        <v>896</v>
      </c>
      <c r="AO164" s="1"/>
      <c r="AP164" s="1" t="s">
        <v>65</v>
      </c>
      <c r="AQ164" s="1"/>
      <c r="AR164" s="1"/>
      <c r="AS164" s="2"/>
      <c r="AT164" s="1"/>
      <c r="AU164" s="1"/>
      <c r="AV164" s="1"/>
      <c r="AW164" s="1" t="s">
        <v>2152</v>
      </c>
      <c r="AX164" s="7">
        <v>45254.525168402535</v>
      </c>
      <c r="AY164" s="1" t="s">
        <v>115</v>
      </c>
      <c r="AZ164" s="6">
        <v>49755</v>
      </c>
      <c r="BA164" s="5">
        <v>45253</v>
      </c>
      <c r="BB164" s="5">
        <v>45253</v>
      </c>
      <c r="BC164" s="5">
        <v>45253</v>
      </c>
      <c r="BD164" s="5">
        <v>45253</v>
      </c>
      <c r="BE164" s="7">
        <v>45291</v>
      </c>
      <c r="BF164" s="1" t="s">
        <v>2170</v>
      </c>
      <c r="BG164" s="1"/>
      <c r="BH164" s="1"/>
      <c r="BI164" s="1" t="s">
        <v>108</v>
      </c>
    </row>
    <row r="165" spans="1:61" hidden="1" x14ac:dyDescent="0.25">
      <c r="A165" s="4">
        <v>160</v>
      </c>
      <c r="B165" s="2" t="str">
        <f>HYPERLINK("https://my.zakupivli.pro/remote/dispatcher/state_purchase_view/46931344", "UA-2023-11-23-010231-a")</f>
        <v>UA-2023-11-23-010231-a</v>
      </c>
      <c r="C165" s="2" t="s">
        <v>1516</v>
      </c>
      <c r="D165" s="1" t="s">
        <v>1681</v>
      </c>
      <c r="E165" s="1" t="s">
        <v>1681</v>
      </c>
      <c r="F165" s="1" t="s">
        <v>487</v>
      </c>
      <c r="G165" s="1" t="s">
        <v>970</v>
      </c>
      <c r="H165" s="1" t="s">
        <v>1218</v>
      </c>
      <c r="I165" s="1" t="s">
        <v>2094</v>
      </c>
      <c r="J165" s="1" t="s">
        <v>1145</v>
      </c>
      <c r="K165" s="1" t="s">
        <v>947</v>
      </c>
      <c r="L165" s="1" t="s">
        <v>1533</v>
      </c>
      <c r="M165" s="1" t="s">
        <v>1533</v>
      </c>
      <c r="N165" s="1" t="s">
        <v>110</v>
      </c>
      <c r="O165" s="1" t="s">
        <v>110</v>
      </c>
      <c r="P165" s="1" t="s">
        <v>110</v>
      </c>
      <c r="Q165" s="5">
        <v>45253</v>
      </c>
      <c r="R165" s="1"/>
      <c r="S165" s="1"/>
      <c r="T165" s="1"/>
      <c r="U165" s="1"/>
      <c r="V165" s="1" t="s">
        <v>2146</v>
      </c>
      <c r="W165" s="4">
        <v>1</v>
      </c>
      <c r="X165" s="6">
        <v>44374.400000000001</v>
      </c>
      <c r="Y165" s="1" t="s">
        <v>1516</v>
      </c>
      <c r="Z165" s="1">
        <v>1</v>
      </c>
      <c r="AA165" s="6">
        <v>44374.400000000001</v>
      </c>
      <c r="AB165" s="1" t="s">
        <v>2167</v>
      </c>
      <c r="AC165" s="1" t="s">
        <v>2162</v>
      </c>
      <c r="AD165" s="1" t="s">
        <v>1100</v>
      </c>
      <c r="AE165" s="1" t="s">
        <v>1522</v>
      </c>
      <c r="AF165" s="1" t="s">
        <v>1186</v>
      </c>
      <c r="AG165" s="1" t="s">
        <v>1522</v>
      </c>
      <c r="AH165" s="6">
        <v>44374.400000000001</v>
      </c>
      <c r="AI165" s="6">
        <v>44374.400000000001</v>
      </c>
      <c r="AJ165" s="1" t="s">
        <v>1193</v>
      </c>
      <c r="AK165" s="1"/>
      <c r="AL165" s="1"/>
      <c r="AM165" s="1" t="s">
        <v>1193</v>
      </c>
      <c r="AN165" s="1" t="s">
        <v>834</v>
      </c>
      <c r="AO165" s="1"/>
      <c r="AP165" s="1" t="s">
        <v>33</v>
      </c>
      <c r="AQ165" s="1"/>
      <c r="AR165" s="1"/>
      <c r="AS165" s="2"/>
      <c r="AT165" s="1"/>
      <c r="AU165" s="1"/>
      <c r="AV165" s="1"/>
      <c r="AW165" s="1" t="s">
        <v>2152</v>
      </c>
      <c r="AX165" s="7">
        <v>45253.583948102212</v>
      </c>
      <c r="AY165" s="1" t="s">
        <v>705</v>
      </c>
      <c r="AZ165" s="6">
        <v>44374.400000000001</v>
      </c>
      <c r="BA165" s="5">
        <v>45253</v>
      </c>
      <c r="BB165" s="5">
        <v>45282</v>
      </c>
      <c r="BC165" s="5">
        <v>45253</v>
      </c>
      <c r="BD165" s="5">
        <v>45253</v>
      </c>
      <c r="BE165" s="7">
        <v>45291</v>
      </c>
      <c r="BF165" s="1" t="s">
        <v>2170</v>
      </c>
      <c r="BG165" s="1"/>
      <c r="BH165" s="1"/>
      <c r="BI165" s="1" t="s">
        <v>108</v>
      </c>
    </row>
    <row r="166" spans="1:61" hidden="1" x14ac:dyDescent="0.25">
      <c r="A166" s="4">
        <v>161</v>
      </c>
      <c r="B166" s="2" t="str">
        <f>HYPERLINK("https://my.zakupivli.pro/remote/dispatcher/state_purchase_view/46902922", "UA-2023-11-22-017067-a")</f>
        <v>UA-2023-11-22-017067-a</v>
      </c>
      <c r="C166" s="2" t="str">
        <f>HYPERLINK("https://my.zakupivli.pro/remote/dispatcher/state_purchase_lot_view/1115754", "UA-2023-11-22-017067-a-L1")</f>
        <v>UA-2023-11-22-017067-a-L1</v>
      </c>
      <c r="D166" s="1" t="s">
        <v>1775</v>
      </c>
      <c r="E166" s="1" t="s">
        <v>1774</v>
      </c>
      <c r="F166" s="1" t="s">
        <v>487</v>
      </c>
      <c r="G166" s="1" t="s">
        <v>966</v>
      </c>
      <c r="H166" s="1" t="s">
        <v>1185</v>
      </c>
      <c r="I166" s="1" t="s">
        <v>2094</v>
      </c>
      <c r="J166" s="1" t="s">
        <v>1145</v>
      </c>
      <c r="K166" s="1" t="s">
        <v>947</v>
      </c>
      <c r="L166" s="1" t="s">
        <v>1533</v>
      </c>
      <c r="M166" s="1" t="s">
        <v>1533</v>
      </c>
      <c r="N166" s="1" t="s">
        <v>110</v>
      </c>
      <c r="O166" s="1" t="s">
        <v>110</v>
      </c>
      <c r="P166" s="1" t="s">
        <v>110</v>
      </c>
      <c r="Q166" s="5">
        <v>45252</v>
      </c>
      <c r="R166" s="1" t="s">
        <v>594</v>
      </c>
      <c r="S166" s="1" t="s">
        <v>596</v>
      </c>
      <c r="T166" s="5">
        <v>45252</v>
      </c>
      <c r="U166" s="5">
        <v>45260</v>
      </c>
      <c r="V166" s="1" t="s">
        <v>2147</v>
      </c>
      <c r="W166" s="4">
        <v>1</v>
      </c>
      <c r="X166" s="6">
        <v>936113</v>
      </c>
      <c r="Y166" s="6">
        <v>936113</v>
      </c>
      <c r="Z166" s="1">
        <v>1</v>
      </c>
      <c r="AA166" s="6">
        <v>936113</v>
      </c>
      <c r="AB166" s="1" t="s">
        <v>2167</v>
      </c>
      <c r="AC166" s="6">
        <v>9361.1299999999992</v>
      </c>
      <c r="AD166" s="1" t="s">
        <v>1100</v>
      </c>
      <c r="AE166" s="1" t="s">
        <v>2094</v>
      </c>
      <c r="AF166" s="1" t="s">
        <v>1186</v>
      </c>
      <c r="AG166" s="1" t="s">
        <v>1522</v>
      </c>
      <c r="AH166" s="6">
        <v>935226.61</v>
      </c>
      <c r="AI166" s="6">
        <v>935226.61</v>
      </c>
      <c r="AJ166" s="1" t="s">
        <v>2046</v>
      </c>
      <c r="AK166" s="6">
        <v>886.39000000001397</v>
      </c>
      <c r="AL166" s="6">
        <v>9.468835493151083E-4</v>
      </c>
      <c r="AM166" s="1" t="s">
        <v>2046</v>
      </c>
      <c r="AN166" s="1" t="s">
        <v>745</v>
      </c>
      <c r="AO166" s="1" t="s">
        <v>1126</v>
      </c>
      <c r="AP166" s="1" t="s">
        <v>99</v>
      </c>
      <c r="AQ166" s="6">
        <v>886.39000000001397</v>
      </c>
      <c r="AR166" s="6">
        <v>9.468835493151083E-4</v>
      </c>
      <c r="AS166" s="2"/>
      <c r="AT166" s="7">
        <v>45260.637614309038</v>
      </c>
      <c r="AU166" s="1" t="s">
        <v>598</v>
      </c>
      <c r="AV166" s="1" t="s">
        <v>601</v>
      </c>
      <c r="AW166" s="1" t="s">
        <v>2151</v>
      </c>
      <c r="AX166" s="7">
        <v>45266.462473781481</v>
      </c>
      <c r="AY166" s="1" t="s">
        <v>731</v>
      </c>
      <c r="AZ166" s="6">
        <v>935226.61</v>
      </c>
      <c r="BA166" s="1"/>
      <c r="BB166" s="5">
        <v>45282</v>
      </c>
      <c r="BC166" s="5">
        <v>45266</v>
      </c>
      <c r="BD166" s="5">
        <v>45266</v>
      </c>
      <c r="BE166" s="7">
        <v>45291</v>
      </c>
      <c r="BF166" s="1" t="s">
        <v>2170</v>
      </c>
      <c r="BG166" s="1"/>
      <c r="BH166" s="1"/>
      <c r="BI166" s="1" t="s">
        <v>746</v>
      </c>
    </row>
    <row r="167" spans="1:61" hidden="1" x14ac:dyDescent="0.25">
      <c r="A167" s="4">
        <v>162</v>
      </c>
      <c r="B167" s="2" t="str">
        <f>HYPERLINK("https://my.zakupivli.pro/remote/dispatcher/state_purchase_view/46897644", "UA-2023-11-22-015092-a")</f>
        <v>UA-2023-11-22-015092-a</v>
      </c>
      <c r="C167" s="2" t="str">
        <f>HYPERLINK("https://my.zakupivli.pro/remote/dispatcher/state_purchase_lot_view/1115464", "UA-2023-11-22-015092-a-L1")</f>
        <v>UA-2023-11-22-015092-a-L1</v>
      </c>
      <c r="D167" s="1" t="s">
        <v>1857</v>
      </c>
      <c r="E167" s="1" t="s">
        <v>1856</v>
      </c>
      <c r="F167" s="1" t="s">
        <v>487</v>
      </c>
      <c r="G167" s="1" t="s">
        <v>966</v>
      </c>
      <c r="H167" s="1" t="s">
        <v>1185</v>
      </c>
      <c r="I167" s="1" t="s">
        <v>2094</v>
      </c>
      <c r="J167" s="1" t="s">
        <v>1145</v>
      </c>
      <c r="K167" s="1" t="s">
        <v>947</v>
      </c>
      <c r="L167" s="1" t="s">
        <v>1533</v>
      </c>
      <c r="M167" s="1" t="s">
        <v>1533</v>
      </c>
      <c r="N167" s="1" t="s">
        <v>110</v>
      </c>
      <c r="O167" s="1" t="s">
        <v>110</v>
      </c>
      <c r="P167" s="1" t="s">
        <v>110</v>
      </c>
      <c r="Q167" s="5">
        <v>45252</v>
      </c>
      <c r="R167" s="1" t="s">
        <v>594</v>
      </c>
      <c r="S167" s="1" t="s">
        <v>596</v>
      </c>
      <c r="T167" s="5">
        <v>45252</v>
      </c>
      <c r="U167" s="5">
        <v>45260</v>
      </c>
      <c r="V167" s="1" t="s">
        <v>2147</v>
      </c>
      <c r="W167" s="4">
        <v>1</v>
      </c>
      <c r="X167" s="6">
        <v>68450</v>
      </c>
      <c r="Y167" s="6">
        <v>68450</v>
      </c>
      <c r="Z167" s="1">
        <v>1</v>
      </c>
      <c r="AA167" s="6">
        <v>68450</v>
      </c>
      <c r="AB167" s="1" t="s">
        <v>2167</v>
      </c>
      <c r="AC167" s="6">
        <v>345.25</v>
      </c>
      <c r="AD167" s="1" t="s">
        <v>1100</v>
      </c>
      <c r="AE167" s="1" t="s">
        <v>2094</v>
      </c>
      <c r="AF167" s="1" t="s">
        <v>1186</v>
      </c>
      <c r="AG167" s="1" t="s">
        <v>1522</v>
      </c>
      <c r="AH167" s="6">
        <v>67973.38</v>
      </c>
      <c r="AI167" s="6">
        <v>67973.38</v>
      </c>
      <c r="AJ167" s="1" t="s">
        <v>2044</v>
      </c>
      <c r="AK167" s="6">
        <v>476.61999999999534</v>
      </c>
      <c r="AL167" s="6">
        <v>6.9630387143899981E-3</v>
      </c>
      <c r="AM167" s="1" t="s">
        <v>2044</v>
      </c>
      <c r="AN167" s="1" t="s">
        <v>913</v>
      </c>
      <c r="AO167" s="1" t="s">
        <v>1124</v>
      </c>
      <c r="AP167" s="1" t="s">
        <v>44</v>
      </c>
      <c r="AQ167" s="6">
        <v>476.61999999999534</v>
      </c>
      <c r="AR167" s="6">
        <v>6.9630387143899981E-3</v>
      </c>
      <c r="AS167" s="2"/>
      <c r="AT167" s="7">
        <v>45260.677358112756</v>
      </c>
      <c r="AU167" s="1" t="s">
        <v>598</v>
      </c>
      <c r="AV167" s="1" t="s">
        <v>601</v>
      </c>
      <c r="AW167" s="1" t="s">
        <v>2151</v>
      </c>
      <c r="AX167" s="7">
        <v>45266.445320508545</v>
      </c>
      <c r="AY167" s="1" t="s">
        <v>732</v>
      </c>
      <c r="AZ167" s="6">
        <v>67973.38</v>
      </c>
      <c r="BA167" s="1"/>
      <c r="BB167" s="5">
        <v>45282</v>
      </c>
      <c r="BC167" s="5">
        <v>45266</v>
      </c>
      <c r="BD167" s="5">
        <v>45266</v>
      </c>
      <c r="BE167" s="7">
        <v>45291</v>
      </c>
      <c r="BF167" s="1" t="s">
        <v>2170</v>
      </c>
      <c r="BG167" s="1"/>
      <c r="BH167" s="1"/>
      <c r="BI167" s="1" t="s">
        <v>914</v>
      </c>
    </row>
    <row r="168" spans="1:61" hidden="1" x14ac:dyDescent="0.25">
      <c r="A168" s="4">
        <v>163</v>
      </c>
      <c r="B168" s="2" t="str">
        <f>HYPERLINK("https://my.zakupivli.pro/remote/dispatcher/state_purchase_view/46776304", "UA-2023-11-17-014929-a")</f>
        <v>UA-2023-11-17-014929-a</v>
      </c>
      <c r="C168" s="2" t="str">
        <f>HYPERLINK("https://my.zakupivli.pro/remote/dispatcher/state_purchase_lot_view/1110480", "UA-2023-11-17-014929-a-L1")</f>
        <v>UA-2023-11-17-014929-a-L1</v>
      </c>
      <c r="D168" s="1" t="s">
        <v>1352</v>
      </c>
      <c r="E168" s="1" t="s">
        <v>1351</v>
      </c>
      <c r="F168" s="1" t="s">
        <v>487</v>
      </c>
      <c r="G168" s="1" t="s">
        <v>975</v>
      </c>
      <c r="H168" s="1" t="s">
        <v>1185</v>
      </c>
      <c r="I168" s="1" t="s">
        <v>2094</v>
      </c>
      <c r="J168" s="1" t="s">
        <v>1145</v>
      </c>
      <c r="K168" s="1" t="s">
        <v>947</v>
      </c>
      <c r="L168" s="1" t="s">
        <v>1533</v>
      </c>
      <c r="M168" s="1" t="s">
        <v>1533</v>
      </c>
      <c r="N168" s="1" t="s">
        <v>110</v>
      </c>
      <c r="O168" s="1" t="s">
        <v>110</v>
      </c>
      <c r="P168" s="1" t="s">
        <v>110</v>
      </c>
      <c r="Q168" s="5">
        <v>45247</v>
      </c>
      <c r="R168" s="1" t="s">
        <v>591</v>
      </c>
      <c r="S168" s="1" t="s">
        <v>595</v>
      </c>
      <c r="T168" s="5">
        <v>45247</v>
      </c>
      <c r="U168" s="5">
        <v>45257</v>
      </c>
      <c r="V168" s="1" t="s">
        <v>2147</v>
      </c>
      <c r="W168" s="4">
        <v>1</v>
      </c>
      <c r="X168" s="6">
        <v>364787</v>
      </c>
      <c r="Y168" s="6">
        <v>364787</v>
      </c>
      <c r="Z168" s="1">
        <v>1</v>
      </c>
      <c r="AA168" s="6">
        <v>364787</v>
      </c>
      <c r="AB168" s="1" t="s">
        <v>2167</v>
      </c>
      <c r="AC168" s="6">
        <v>3647.87</v>
      </c>
      <c r="AD168" s="1" t="s">
        <v>1100</v>
      </c>
      <c r="AE168" s="1" t="s">
        <v>2094</v>
      </c>
      <c r="AF168" s="1" t="s">
        <v>1186</v>
      </c>
      <c r="AG168" s="1" t="s">
        <v>1522</v>
      </c>
      <c r="AH168" s="6">
        <v>364560.44</v>
      </c>
      <c r="AI168" s="6">
        <v>364560.44</v>
      </c>
      <c r="AJ168" s="1" t="s">
        <v>2046</v>
      </c>
      <c r="AK168" s="6">
        <v>226.55999999999767</v>
      </c>
      <c r="AL168" s="6">
        <v>6.2107476417744517E-4</v>
      </c>
      <c r="AM168" s="1" t="s">
        <v>2046</v>
      </c>
      <c r="AN168" s="1" t="s">
        <v>745</v>
      </c>
      <c r="AO168" s="1" t="s">
        <v>1126</v>
      </c>
      <c r="AP168" s="1" t="s">
        <v>99</v>
      </c>
      <c r="AQ168" s="6">
        <v>226.55999999999767</v>
      </c>
      <c r="AR168" s="6">
        <v>6.2107476417744517E-4</v>
      </c>
      <c r="AS168" s="2"/>
      <c r="AT168" s="7">
        <v>45257.611309345055</v>
      </c>
      <c r="AU168" s="1" t="s">
        <v>597</v>
      </c>
      <c r="AV168" s="1" t="s">
        <v>600</v>
      </c>
      <c r="AW168" s="1" t="s">
        <v>2151</v>
      </c>
      <c r="AX168" s="7">
        <v>45264.509050123983</v>
      </c>
      <c r="AY168" s="1" t="s">
        <v>722</v>
      </c>
      <c r="AZ168" s="6">
        <v>364560.44</v>
      </c>
      <c r="BA168" s="1"/>
      <c r="BB168" s="5">
        <v>45282</v>
      </c>
      <c r="BC168" s="5">
        <v>45264</v>
      </c>
      <c r="BD168" s="5">
        <v>45264</v>
      </c>
      <c r="BE168" s="7">
        <v>45291</v>
      </c>
      <c r="BF168" s="1" t="s">
        <v>2170</v>
      </c>
      <c r="BG168" s="1"/>
      <c r="BH168" s="1"/>
      <c r="BI168" s="1" t="s">
        <v>746</v>
      </c>
    </row>
    <row r="169" spans="1:61" hidden="1" x14ac:dyDescent="0.25">
      <c r="A169" s="4">
        <v>164</v>
      </c>
      <c r="B169" s="2" t="str">
        <f>HYPERLINK("https://my.zakupivli.pro/remote/dispatcher/state_purchase_view/46776841", "UA-2023-11-17-015181-a")</f>
        <v>UA-2023-11-17-015181-a</v>
      </c>
      <c r="C169" s="2" t="str">
        <f>HYPERLINK("https://my.zakupivli.pro/remote/dispatcher/state_purchase_lot_view/1110567", "UA-2023-11-17-015181-a-L1")</f>
        <v>UA-2023-11-17-015181-a-L1</v>
      </c>
      <c r="D169" s="1" t="s">
        <v>1347</v>
      </c>
      <c r="E169" s="1" t="s">
        <v>1346</v>
      </c>
      <c r="F169" s="1" t="s">
        <v>487</v>
      </c>
      <c r="G169" s="1" t="s">
        <v>975</v>
      </c>
      <c r="H169" s="1" t="s">
        <v>1185</v>
      </c>
      <c r="I169" s="1" t="s">
        <v>2094</v>
      </c>
      <c r="J169" s="1" t="s">
        <v>1145</v>
      </c>
      <c r="K169" s="1" t="s">
        <v>947</v>
      </c>
      <c r="L169" s="1" t="s">
        <v>1533</v>
      </c>
      <c r="M169" s="1" t="s">
        <v>1533</v>
      </c>
      <c r="N169" s="1" t="s">
        <v>110</v>
      </c>
      <c r="O169" s="1" t="s">
        <v>110</v>
      </c>
      <c r="P169" s="1" t="s">
        <v>110</v>
      </c>
      <c r="Q169" s="5">
        <v>45247</v>
      </c>
      <c r="R169" s="1" t="s">
        <v>591</v>
      </c>
      <c r="S169" s="1" t="s">
        <v>595</v>
      </c>
      <c r="T169" s="5">
        <v>45247</v>
      </c>
      <c r="U169" s="5">
        <v>45257</v>
      </c>
      <c r="V169" s="1" t="s">
        <v>2147</v>
      </c>
      <c r="W169" s="4">
        <v>1</v>
      </c>
      <c r="X169" s="6">
        <v>388960</v>
      </c>
      <c r="Y169" s="6">
        <v>388960</v>
      </c>
      <c r="Z169" s="1">
        <v>1</v>
      </c>
      <c r="AA169" s="6">
        <v>388960</v>
      </c>
      <c r="AB169" s="1" t="s">
        <v>2167</v>
      </c>
      <c r="AC169" s="6">
        <v>3889.6</v>
      </c>
      <c r="AD169" s="1" t="s">
        <v>1100</v>
      </c>
      <c r="AE169" s="1" t="s">
        <v>2094</v>
      </c>
      <c r="AF169" s="1" t="s">
        <v>1186</v>
      </c>
      <c r="AG169" s="1" t="s">
        <v>1522</v>
      </c>
      <c r="AH169" s="6">
        <v>388245.69</v>
      </c>
      <c r="AI169" s="6">
        <v>388245.69</v>
      </c>
      <c r="AJ169" s="1" t="s">
        <v>2046</v>
      </c>
      <c r="AK169" s="6">
        <v>714.30999999999767</v>
      </c>
      <c r="AL169" s="6">
        <v>1.8364613327848563E-3</v>
      </c>
      <c r="AM169" s="1" t="s">
        <v>2046</v>
      </c>
      <c r="AN169" s="1" t="s">
        <v>745</v>
      </c>
      <c r="AO169" s="1" t="s">
        <v>1126</v>
      </c>
      <c r="AP169" s="1" t="s">
        <v>99</v>
      </c>
      <c r="AQ169" s="6">
        <v>714.30999999999767</v>
      </c>
      <c r="AR169" s="6">
        <v>1.8364613327848563E-3</v>
      </c>
      <c r="AS169" s="2"/>
      <c r="AT169" s="7">
        <v>45257.693410314307</v>
      </c>
      <c r="AU169" s="1" t="s">
        <v>597</v>
      </c>
      <c r="AV169" s="1" t="s">
        <v>600</v>
      </c>
      <c r="AW169" s="1" t="s">
        <v>2151</v>
      </c>
      <c r="AX169" s="7">
        <v>45264.495711444302</v>
      </c>
      <c r="AY169" s="1" t="s">
        <v>723</v>
      </c>
      <c r="AZ169" s="6">
        <v>388245.69</v>
      </c>
      <c r="BA169" s="1"/>
      <c r="BB169" s="5">
        <v>45282</v>
      </c>
      <c r="BC169" s="5">
        <v>45264</v>
      </c>
      <c r="BD169" s="5">
        <v>45264</v>
      </c>
      <c r="BE169" s="7">
        <v>45291</v>
      </c>
      <c r="BF169" s="1" t="s">
        <v>2170</v>
      </c>
      <c r="BG169" s="1"/>
      <c r="BH169" s="1"/>
      <c r="BI169" s="1" t="s">
        <v>746</v>
      </c>
    </row>
    <row r="170" spans="1:61" hidden="1" x14ac:dyDescent="0.25">
      <c r="A170" s="4">
        <v>165</v>
      </c>
      <c r="B170" s="2" t="str">
        <f>HYPERLINK("https://my.zakupivli.pro/remote/dispatcher/state_purchase_view/46776571", "UA-2023-11-17-015045-a")</f>
        <v>UA-2023-11-17-015045-a</v>
      </c>
      <c r="C170" s="2" t="str">
        <f>HYPERLINK("https://my.zakupivli.pro/remote/dispatcher/state_purchase_lot_view/1110501", "UA-2023-11-17-015045-a-L1")</f>
        <v>UA-2023-11-17-015045-a-L1</v>
      </c>
      <c r="D170" s="1" t="s">
        <v>1349</v>
      </c>
      <c r="E170" s="1" t="s">
        <v>1348</v>
      </c>
      <c r="F170" s="1" t="s">
        <v>487</v>
      </c>
      <c r="G170" s="1" t="s">
        <v>975</v>
      </c>
      <c r="H170" s="1" t="s">
        <v>1185</v>
      </c>
      <c r="I170" s="1" t="s">
        <v>2094</v>
      </c>
      <c r="J170" s="1" t="s">
        <v>1145</v>
      </c>
      <c r="K170" s="1" t="s">
        <v>947</v>
      </c>
      <c r="L170" s="1" t="s">
        <v>1533</v>
      </c>
      <c r="M170" s="1" t="s">
        <v>1533</v>
      </c>
      <c r="N170" s="1" t="s">
        <v>110</v>
      </c>
      <c r="O170" s="1" t="s">
        <v>110</v>
      </c>
      <c r="P170" s="1" t="s">
        <v>110</v>
      </c>
      <c r="Q170" s="5">
        <v>45247</v>
      </c>
      <c r="R170" s="1" t="s">
        <v>591</v>
      </c>
      <c r="S170" s="1" t="s">
        <v>595</v>
      </c>
      <c r="T170" s="5">
        <v>45247</v>
      </c>
      <c r="U170" s="5">
        <v>45257</v>
      </c>
      <c r="V170" s="1" t="s">
        <v>2147</v>
      </c>
      <c r="W170" s="4">
        <v>1</v>
      </c>
      <c r="X170" s="6">
        <v>1213596</v>
      </c>
      <c r="Y170" s="6">
        <v>1213596</v>
      </c>
      <c r="Z170" s="1">
        <v>1</v>
      </c>
      <c r="AA170" s="6">
        <v>1213596</v>
      </c>
      <c r="AB170" s="1" t="s">
        <v>2167</v>
      </c>
      <c r="AC170" s="6">
        <v>12135.96</v>
      </c>
      <c r="AD170" s="1" t="s">
        <v>1100</v>
      </c>
      <c r="AE170" s="1" t="s">
        <v>2094</v>
      </c>
      <c r="AF170" s="1" t="s">
        <v>1186</v>
      </c>
      <c r="AG170" s="1" t="s">
        <v>1522</v>
      </c>
      <c r="AH170" s="6">
        <v>1212643.31</v>
      </c>
      <c r="AI170" s="6">
        <v>1212643.31</v>
      </c>
      <c r="AJ170" s="1" t="s">
        <v>2046</v>
      </c>
      <c r="AK170" s="6">
        <v>952.68999999994412</v>
      </c>
      <c r="AL170" s="6">
        <v>7.8501412331611513E-4</v>
      </c>
      <c r="AM170" s="1" t="s">
        <v>2046</v>
      </c>
      <c r="AN170" s="1" t="s">
        <v>745</v>
      </c>
      <c r="AO170" s="1" t="s">
        <v>1126</v>
      </c>
      <c r="AP170" s="1" t="s">
        <v>99</v>
      </c>
      <c r="AQ170" s="6">
        <v>952.68999999994412</v>
      </c>
      <c r="AR170" s="6">
        <v>7.8501412331611513E-4</v>
      </c>
      <c r="AS170" s="2"/>
      <c r="AT170" s="7">
        <v>45257.645543893435</v>
      </c>
      <c r="AU170" s="1" t="s">
        <v>597</v>
      </c>
      <c r="AV170" s="1" t="s">
        <v>600</v>
      </c>
      <c r="AW170" s="1" t="s">
        <v>2151</v>
      </c>
      <c r="AX170" s="7">
        <v>45264.502998998069</v>
      </c>
      <c r="AY170" s="1" t="s">
        <v>719</v>
      </c>
      <c r="AZ170" s="6">
        <v>1212643.31</v>
      </c>
      <c r="BA170" s="1"/>
      <c r="BB170" s="5">
        <v>45282</v>
      </c>
      <c r="BC170" s="5">
        <v>45264</v>
      </c>
      <c r="BD170" s="5">
        <v>45264</v>
      </c>
      <c r="BE170" s="7">
        <v>45291</v>
      </c>
      <c r="BF170" s="1" t="s">
        <v>2170</v>
      </c>
      <c r="BG170" s="1"/>
      <c r="BH170" s="1"/>
      <c r="BI170" s="1" t="s">
        <v>746</v>
      </c>
    </row>
    <row r="171" spans="1:61" hidden="1" x14ac:dyDescent="0.25">
      <c r="A171" s="4">
        <v>166</v>
      </c>
      <c r="B171" s="2" t="str">
        <f>HYPERLINK("https://my.zakupivli.pro/remote/dispatcher/state_purchase_view/46775870", "UA-2023-11-17-014742-a")</f>
        <v>UA-2023-11-17-014742-a</v>
      </c>
      <c r="C171" s="2" t="str">
        <f>HYPERLINK("https://my.zakupivli.pro/remote/dispatcher/state_purchase_lot_view/1110443", "UA-2023-11-17-014742-a-L1")</f>
        <v>UA-2023-11-17-014742-a-L1</v>
      </c>
      <c r="D171" s="1" t="s">
        <v>1354</v>
      </c>
      <c r="E171" s="1" t="s">
        <v>1353</v>
      </c>
      <c r="F171" s="1" t="s">
        <v>487</v>
      </c>
      <c r="G171" s="1" t="s">
        <v>975</v>
      </c>
      <c r="H171" s="1" t="s">
        <v>1185</v>
      </c>
      <c r="I171" s="1" t="s">
        <v>2094</v>
      </c>
      <c r="J171" s="1" t="s">
        <v>1145</v>
      </c>
      <c r="K171" s="1" t="s">
        <v>947</v>
      </c>
      <c r="L171" s="1" t="s">
        <v>1533</v>
      </c>
      <c r="M171" s="1" t="s">
        <v>1533</v>
      </c>
      <c r="N171" s="1" t="s">
        <v>110</v>
      </c>
      <c r="O171" s="1" t="s">
        <v>110</v>
      </c>
      <c r="P171" s="1" t="s">
        <v>110</v>
      </c>
      <c r="Q171" s="5">
        <v>45247</v>
      </c>
      <c r="R171" s="1" t="s">
        <v>591</v>
      </c>
      <c r="S171" s="1" t="s">
        <v>595</v>
      </c>
      <c r="T171" s="5">
        <v>45247</v>
      </c>
      <c r="U171" s="5">
        <v>45257</v>
      </c>
      <c r="V171" s="1" t="s">
        <v>2147</v>
      </c>
      <c r="W171" s="4">
        <v>1</v>
      </c>
      <c r="X171" s="6">
        <v>406365</v>
      </c>
      <c r="Y171" s="6">
        <v>406365</v>
      </c>
      <c r="Z171" s="1">
        <v>1</v>
      </c>
      <c r="AA171" s="6">
        <v>406365</v>
      </c>
      <c r="AB171" s="1" t="s">
        <v>2167</v>
      </c>
      <c r="AC171" s="6">
        <v>4063.65</v>
      </c>
      <c r="AD171" s="1" t="s">
        <v>1100</v>
      </c>
      <c r="AE171" s="1" t="s">
        <v>2094</v>
      </c>
      <c r="AF171" s="1" t="s">
        <v>1186</v>
      </c>
      <c r="AG171" s="1" t="s">
        <v>1522</v>
      </c>
      <c r="AH171" s="6">
        <v>405436.53</v>
      </c>
      <c r="AI171" s="6">
        <v>405436.53</v>
      </c>
      <c r="AJ171" s="1" t="s">
        <v>2046</v>
      </c>
      <c r="AK171" s="6">
        <v>928.46999999997206</v>
      </c>
      <c r="AL171" s="6">
        <v>2.2848178361816892E-3</v>
      </c>
      <c r="AM171" s="1" t="s">
        <v>2046</v>
      </c>
      <c r="AN171" s="1" t="s">
        <v>745</v>
      </c>
      <c r="AO171" s="1" t="s">
        <v>1126</v>
      </c>
      <c r="AP171" s="1" t="s">
        <v>99</v>
      </c>
      <c r="AQ171" s="6">
        <v>928.46999999997206</v>
      </c>
      <c r="AR171" s="6">
        <v>2.2848178361816892E-3</v>
      </c>
      <c r="AS171" s="2"/>
      <c r="AT171" s="7">
        <v>45257.569550051827</v>
      </c>
      <c r="AU171" s="1" t="s">
        <v>597</v>
      </c>
      <c r="AV171" s="1" t="s">
        <v>600</v>
      </c>
      <c r="AW171" s="1" t="s">
        <v>2151</v>
      </c>
      <c r="AX171" s="7">
        <v>45264.509620771409</v>
      </c>
      <c r="AY171" s="1" t="s">
        <v>721</v>
      </c>
      <c r="AZ171" s="6">
        <v>405436.53</v>
      </c>
      <c r="BA171" s="1"/>
      <c r="BB171" s="5">
        <v>45282</v>
      </c>
      <c r="BC171" s="5">
        <v>45264</v>
      </c>
      <c r="BD171" s="5">
        <v>45264</v>
      </c>
      <c r="BE171" s="7">
        <v>45291</v>
      </c>
      <c r="BF171" s="1" t="s">
        <v>2170</v>
      </c>
      <c r="BG171" s="1"/>
      <c r="BH171" s="1"/>
      <c r="BI171" s="1" t="s">
        <v>746</v>
      </c>
    </row>
    <row r="172" spans="1:61" hidden="1" x14ac:dyDescent="0.25">
      <c r="A172" s="4">
        <v>167</v>
      </c>
      <c r="B172" s="2" t="str">
        <f>HYPERLINK("https://my.zakupivli.pro/remote/dispatcher/state_purchase_view/46680434", "UA-2023-11-15-008407-a")</f>
        <v>UA-2023-11-15-008407-a</v>
      </c>
      <c r="C172" s="2" t="s">
        <v>1516</v>
      </c>
      <c r="D172" s="1" t="s">
        <v>1441</v>
      </c>
      <c r="E172" s="1" t="s">
        <v>1441</v>
      </c>
      <c r="F172" s="1" t="s">
        <v>487</v>
      </c>
      <c r="G172" s="1" t="s">
        <v>1035</v>
      </c>
      <c r="H172" s="1" t="s">
        <v>1218</v>
      </c>
      <c r="I172" s="1" t="s">
        <v>2094</v>
      </c>
      <c r="J172" s="1" t="s">
        <v>1145</v>
      </c>
      <c r="K172" s="1" t="s">
        <v>947</v>
      </c>
      <c r="L172" s="1" t="s">
        <v>1533</v>
      </c>
      <c r="M172" s="1" t="s">
        <v>1533</v>
      </c>
      <c r="N172" s="1" t="s">
        <v>110</v>
      </c>
      <c r="O172" s="1" t="s">
        <v>110</v>
      </c>
      <c r="P172" s="1" t="s">
        <v>110</v>
      </c>
      <c r="Q172" s="5">
        <v>45245</v>
      </c>
      <c r="R172" s="1"/>
      <c r="S172" s="1"/>
      <c r="T172" s="1"/>
      <c r="U172" s="1"/>
      <c r="V172" s="1" t="s">
        <v>2146</v>
      </c>
      <c r="W172" s="4">
        <v>1</v>
      </c>
      <c r="X172" s="6">
        <v>4352.78</v>
      </c>
      <c r="Y172" s="1" t="s">
        <v>1516</v>
      </c>
      <c r="Z172" s="1">
        <v>1</v>
      </c>
      <c r="AA172" s="6">
        <v>4352.78</v>
      </c>
      <c r="AB172" s="1" t="s">
        <v>2167</v>
      </c>
      <c r="AC172" s="1" t="s">
        <v>2162</v>
      </c>
      <c r="AD172" s="1" t="s">
        <v>1100</v>
      </c>
      <c r="AE172" s="1" t="s">
        <v>1522</v>
      </c>
      <c r="AF172" s="1" t="s">
        <v>1186</v>
      </c>
      <c r="AG172" s="1" t="s">
        <v>1522</v>
      </c>
      <c r="AH172" s="6">
        <v>4352.78</v>
      </c>
      <c r="AI172" s="6">
        <v>4352.78</v>
      </c>
      <c r="AJ172" s="1" t="s">
        <v>1498</v>
      </c>
      <c r="AK172" s="1"/>
      <c r="AL172" s="1"/>
      <c r="AM172" s="1" t="s">
        <v>1498</v>
      </c>
      <c r="AN172" s="1" t="s">
        <v>785</v>
      </c>
      <c r="AO172" s="1"/>
      <c r="AP172" s="1" t="s">
        <v>81</v>
      </c>
      <c r="AQ172" s="1"/>
      <c r="AR172" s="1"/>
      <c r="AS172" s="2"/>
      <c r="AT172" s="1"/>
      <c r="AU172" s="1"/>
      <c r="AV172" s="1"/>
      <c r="AW172" s="1" t="s">
        <v>2152</v>
      </c>
      <c r="AX172" s="7">
        <v>45245.557010596807</v>
      </c>
      <c r="AY172" s="1" t="s">
        <v>704</v>
      </c>
      <c r="AZ172" s="6">
        <v>4352.78</v>
      </c>
      <c r="BA172" s="5">
        <v>45244</v>
      </c>
      <c r="BB172" s="5">
        <v>45282</v>
      </c>
      <c r="BC172" s="5">
        <v>45244</v>
      </c>
      <c r="BD172" s="5">
        <v>45244</v>
      </c>
      <c r="BE172" s="7">
        <v>45291</v>
      </c>
      <c r="BF172" s="1" t="s">
        <v>2170</v>
      </c>
      <c r="BG172" s="1"/>
      <c r="BH172" s="1"/>
      <c r="BI172" s="1" t="s">
        <v>108</v>
      </c>
    </row>
    <row r="173" spans="1:61" hidden="1" x14ac:dyDescent="0.25">
      <c r="A173" s="4">
        <v>168</v>
      </c>
      <c r="B173" s="2" t="str">
        <f>HYPERLINK("https://my.zakupivli.pro/remote/dispatcher/state_purchase_view/46697342", "UA-2023-11-15-015918-a")</f>
        <v>UA-2023-11-15-015918-a</v>
      </c>
      <c r="C173" s="2" t="str">
        <f>HYPERLINK("https://my.zakupivli.pro/remote/dispatcher/state_purchase_lot_view/1107100", "UA-2023-11-15-015918-a-L1")</f>
        <v>UA-2023-11-15-015918-a-L1</v>
      </c>
      <c r="D173" s="1" t="s">
        <v>1827</v>
      </c>
      <c r="E173" s="1" t="s">
        <v>1826</v>
      </c>
      <c r="F173" s="1" t="s">
        <v>487</v>
      </c>
      <c r="G173" s="1" t="s">
        <v>1052</v>
      </c>
      <c r="H173" s="1" t="s">
        <v>1185</v>
      </c>
      <c r="I173" s="1" t="s">
        <v>2094</v>
      </c>
      <c r="J173" s="1" t="s">
        <v>1145</v>
      </c>
      <c r="K173" s="1" t="s">
        <v>947</v>
      </c>
      <c r="L173" s="1" t="s">
        <v>1533</v>
      </c>
      <c r="M173" s="1" t="s">
        <v>1533</v>
      </c>
      <c r="N173" s="1" t="s">
        <v>110</v>
      </c>
      <c r="O173" s="1" t="s">
        <v>110</v>
      </c>
      <c r="P173" s="1" t="s">
        <v>110</v>
      </c>
      <c r="Q173" s="5">
        <v>45245</v>
      </c>
      <c r="R173" s="1" t="s">
        <v>590</v>
      </c>
      <c r="S173" s="1" t="s">
        <v>593</v>
      </c>
      <c r="T173" s="5">
        <v>45245</v>
      </c>
      <c r="U173" s="5">
        <v>45253</v>
      </c>
      <c r="V173" s="1" t="s">
        <v>2147</v>
      </c>
      <c r="W173" s="4">
        <v>1</v>
      </c>
      <c r="X173" s="6">
        <v>499986</v>
      </c>
      <c r="Y173" s="6">
        <v>499986</v>
      </c>
      <c r="Z173" s="1">
        <v>1</v>
      </c>
      <c r="AA173" s="6">
        <v>499986</v>
      </c>
      <c r="AB173" s="1" t="s">
        <v>2167</v>
      </c>
      <c r="AC173" s="6">
        <v>4999.8599999999997</v>
      </c>
      <c r="AD173" s="1" t="s">
        <v>1100</v>
      </c>
      <c r="AE173" s="1" t="s">
        <v>2094</v>
      </c>
      <c r="AF173" s="1" t="s">
        <v>1186</v>
      </c>
      <c r="AG173" s="1" t="s">
        <v>1522</v>
      </c>
      <c r="AH173" s="6">
        <v>499173.48</v>
      </c>
      <c r="AI173" s="6">
        <v>499173.48</v>
      </c>
      <c r="AJ173" s="1" t="s">
        <v>2122</v>
      </c>
      <c r="AK173" s="6">
        <v>812.52000000001863</v>
      </c>
      <c r="AL173" s="6">
        <v>1.6250855023941043E-3</v>
      </c>
      <c r="AM173" s="1" t="s">
        <v>2122</v>
      </c>
      <c r="AN173" s="1" t="s">
        <v>225</v>
      </c>
      <c r="AO173" s="1" t="s">
        <v>1128</v>
      </c>
      <c r="AP173" s="1" t="s">
        <v>24</v>
      </c>
      <c r="AQ173" s="6">
        <v>812.52000000001863</v>
      </c>
      <c r="AR173" s="6">
        <v>1.6250855023941043E-3</v>
      </c>
      <c r="AS173" s="2"/>
      <c r="AT173" s="7">
        <v>45257.447819083493</v>
      </c>
      <c r="AU173" s="1" t="s">
        <v>597</v>
      </c>
      <c r="AV173" s="1" t="s">
        <v>600</v>
      </c>
      <c r="AW173" s="1" t="s">
        <v>2151</v>
      </c>
      <c r="AX173" s="7">
        <v>45264.510168435903</v>
      </c>
      <c r="AY173" s="1" t="s">
        <v>724</v>
      </c>
      <c r="AZ173" s="6">
        <v>499173.48</v>
      </c>
      <c r="BA173" s="1"/>
      <c r="BB173" s="5">
        <v>45282</v>
      </c>
      <c r="BC173" s="5">
        <v>45264</v>
      </c>
      <c r="BD173" s="5">
        <v>45264</v>
      </c>
      <c r="BE173" s="7">
        <v>45291</v>
      </c>
      <c r="BF173" s="1" t="s">
        <v>2170</v>
      </c>
      <c r="BG173" s="1"/>
      <c r="BH173" s="1"/>
      <c r="BI173" s="1" t="s">
        <v>226</v>
      </c>
    </row>
    <row r="174" spans="1:61" hidden="1" x14ac:dyDescent="0.25">
      <c r="A174" s="4">
        <v>169</v>
      </c>
      <c r="B174" s="2" t="str">
        <f>HYPERLINK("https://my.zakupivli.pro/remote/dispatcher/state_purchase_view/46565519", "UA-2023-11-10-008200-a")</f>
        <v>UA-2023-11-10-008200-a</v>
      </c>
      <c r="C174" s="2" t="s">
        <v>1516</v>
      </c>
      <c r="D174" s="1" t="s">
        <v>1360</v>
      </c>
      <c r="E174" s="1" t="s">
        <v>1359</v>
      </c>
      <c r="F174" s="1" t="s">
        <v>487</v>
      </c>
      <c r="G174" s="1" t="s">
        <v>975</v>
      </c>
      <c r="H174" s="1" t="s">
        <v>1218</v>
      </c>
      <c r="I174" s="1" t="s">
        <v>2094</v>
      </c>
      <c r="J174" s="1" t="s">
        <v>1145</v>
      </c>
      <c r="K174" s="1" t="s">
        <v>947</v>
      </c>
      <c r="L174" s="1" t="s">
        <v>1533</v>
      </c>
      <c r="M174" s="1" t="s">
        <v>1533</v>
      </c>
      <c r="N174" s="1" t="s">
        <v>110</v>
      </c>
      <c r="O174" s="1" t="s">
        <v>110</v>
      </c>
      <c r="P174" s="1" t="s">
        <v>110</v>
      </c>
      <c r="Q174" s="5">
        <v>45240</v>
      </c>
      <c r="R174" s="1"/>
      <c r="S174" s="1"/>
      <c r="T174" s="1"/>
      <c r="U174" s="1"/>
      <c r="V174" s="1" t="s">
        <v>2146</v>
      </c>
      <c r="W174" s="4">
        <v>1</v>
      </c>
      <c r="X174" s="6">
        <v>141100.18</v>
      </c>
      <c r="Y174" s="1" t="s">
        <v>1516</v>
      </c>
      <c r="Z174" s="1">
        <v>1</v>
      </c>
      <c r="AA174" s="6">
        <v>141100.18</v>
      </c>
      <c r="AB174" s="1" t="s">
        <v>2167</v>
      </c>
      <c r="AC174" s="1" t="s">
        <v>2162</v>
      </c>
      <c r="AD174" s="1" t="s">
        <v>1100</v>
      </c>
      <c r="AE174" s="1" t="s">
        <v>1522</v>
      </c>
      <c r="AF174" s="1" t="s">
        <v>1186</v>
      </c>
      <c r="AG174" s="1" t="s">
        <v>1522</v>
      </c>
      <c r="AH174" s="6">
        <v>141100.18</v>
      </c>
      <c r="AI174" s="6">
        <v>141100.18</v>
      </c>
      <c r="AJ174" s="1" t="s">
        <v>2046</v>
      </c>
      <c r="AK174" s="1"/>
      <c r="AL174" s="1"/>
      <c r="AM174" s="1" t="s">
        <v>2046</v>
      </c>
      <c r="AN174" s="1" t="s">
        <v>745</v>
      </c>
      <c r="AO174" s="1"/>
      <c r="AP174" s="1" t="s">
        <v>99</v>
      </c>
      <c r="AQ174" s="1"/>
      <c r="AR174" s="1"/>
      <c r="AS174" s="2"/>
      <c r="AT174" s="1"/>
      <c r="AU174" s="1"/>
      <c r="AV174" s="1"/>
      <c r="AW174" s="1" t="s">
        <v>2152</v>
      </c>
      <c r="AX174" s="7">
        <v>45240.56217575934</v>
      </c>
      <c r="AY174" s="1" t="s">
        <v>702</v>
      </c>
      <c r="AZ174" s="6">
        <v>141100.18</v>
      </c>
      <c r="BA174" s="1"/>
      <c r="BB174" s="5">
        <v>45282</v>
      </c>
      <c r="BC174" s="5">
        <v>45239</v>
      </c>
      <c r="BD174" s="5">
        <v>45239</v>
      </c>
      <c r="BE174" s="7">
        <v>45291</v>
      </c>
      <c r="BF174" s="1" t="s">
        <v>2170</v>
      </c>
      <c r="BG174" s="1"/>
      <c r="BH174" s="1"/>
      <c r="BI174" s="1" t="s">
        <v>108</v>
      </c>
    </row>
    <row r="175" spans="1:61" hidden="1" x14ac:dyDescent="0.25">
      <c r="A175" s="4">
        <v>170</v>
      </c>
      <c r="B175" s="2" t="str">
        <f>HYPERLINK("https://my.zakupivli.pro/remote/dispatcher/state_purchase_view/46489590", "UA-2023-11-08-007429-a")</f>
        <v>UA-2023-11-08-007429-a</v>
      </c>
      <c r="C175" s="2" t="str">
        <f>HYPERLINK("https://my.zakupivli.pro/remote/dispatcher/state_purchase_lot_view/1098458", "UA-2023-11-08-007429-a-L1")</f>
        <v>UA-2023-11-08-007429-a-L1</v>
      </c>
      <c r="D175" s="1" t="s">
        <v>1835</v>
      </c>
      <c r="E175" s="1" t="s">
        <v>1834</v>
      </c>
      <c r="F175" s="1" t="s">
        <v>487</v>
      </c>
      <c r="G175" s="1" t="s">
        <v>966</v>
      </c>
      <c r="H175" s="1" t="s">
        <v>1185</v>
      </c>
      <c r="I175" s="1" t="s">
        <v>2094</v>
      </c>
      <c r="J175" s="1" t="s">
        <v>1145</v>
      </c>
      <c r="K175" s="1" t="s">
        <v>947</v>
      </c>
      <c r="L175" s="1" t="s">
        <v>1533</v>
      </c>
      <c r="M175" s="1" t="s">
        <v>1533</v>
      </c>
      <c r="N175" s="1" t="s">
        <v>110</v>
      </c>
      <c r="O175" s="1" t="s">
        <v>110</v>
      </c>
      <c r="P175" s="1" t="s">
        <v>110</v>
      </c>
      <c r="Q175" s="5">
        <v>45238</v>
      </c>
      <c r="R175" s="1" t="s">
        <v>587</v>
      </c>
      <c r="S175" s="1" t="s">
        <v>591</v>
      </c>
      <c r="T175" s="5">
        <v>45238</v>
      </c>
      <c r="U175" s="5">
        <v>45250</v>
      </c>
      <c r="V175" s="1" t="s">
        <v>2147</v>
      </c>
      <c r="W175" s="4">
        <v>1</v>
      </c>
      <c r="X175" s="6">
        <v>972018</v>
      </c>
      <c r="Y175" s="6">
        <v>972018</v>
      </c>
      <c r="Z175" s="1">
        <v>1</v>
      </c>
      <c r="AA175" s="6">
        <v>972018</v>
      </c>
      <c r="AB175" s="1" t="s">
        <v>2167</v>
      </c>
      <c r="AC175" s="6">
        <v>9720.18</v>
      </c>
      <c r="AD175" s="1" t="s">
        <v>1100</v>
      </c>
      <c r="AE175" s="1" t="s">
        <v>2094</v>
      </c>
      <c r="AF175" s="1" t="s">
        <v>1186</v>
      </c>
      <c r="AG175" s="1" t="s">
        <v>1522</v>
      </c>
      <c r="AH175" s="6">
        <v>971577.24</v>
      </c>
      <c r="AI175" s="6">
        <v>971577.24</v>
      </c>
      <c r="AJ175" s="1" t="s">
        <v>2076</v>
      </c>
      <c r="AK175" s="6">
        <v>440.76000000000931</v>
      </c>
      <c r="AL175" s="6">
        <v>4.534483929310047E-4</v>
      </c>
      <c r="AM175" s="1" t="s">
        <v>2076</v>
      </c>
      <c r="AN175" s="1" t="s">
        <v>941</v>
      </c>
      <c r="AO175" s="1" t="s">
        <v>1118</v>
      </c>
      <c r="AP175" s="1" t="s">
        <v>875</v>
      </c>
      <c r="AQ175" s="6">
        <v>440.76000000000931</v>
      </c>
      <c r="AR175" s="6">
        <v>4.534483929310047E-4</v>
      </c>
      <c r="AS175" s="2"/>
      <c r="AT175" s="7">
        <v>45251.71559164676</v>
      </c>
      <c r="AU175" s="1" t="s">
        <v>596</v>
      </c>
      <c r="AV175" s="1" t="s">
        <v>599</v>
      </c>
      <c r="AW175" s="1" t="s">
        <v>2151</v>
      </c>
      <c r="AX175" s="7">
        <v>45259.371012001226</v>
      </c>
      <c r="AY175" s="1" t="s">
        <v>707</v>
      </c>
      <c r="AZ175" s="6">
        <v>971577.24</v>
      </c>
      <c r="BA175" s="1"/>
      <c r="BB175" s="5">
        <v>45282</v>
      </c>
      <c r="BC175" s="5">
        <v>45258</v>
      </c>
      <c r="BD175" s="5">
        <v>45258</v>
      </c>
      <c r="BE175" s="7">
        <v>45291</v>
      </c>
      <c r="BF175" s="1" t="s">
        <v>2170</v>
      </c>
      <c r="BG175" s="1"/>
      <c r="BH175" s="1"/>
      <c r="BI175" s="1" t="s">
        <v>942</v>
      </c>
    </row>
    <row r="176" spans="1:61" hidden="1" x14ac:dyDescent="0.25">
      <c r="A176" s="4">
        <v>171</v>
      </c>
      <c r="B176" s="2" t="str">
        <f>HYPERLINK("https://my.zakupivli.pro/remote/dispatcher/state_purchase_view/46493215", "UA-2023-11-08-009092-a")</f>
        <v>UA-2023-11-08-009092-a</v>
      </c>
      <c r="C176" s="2" t="str">
        <f>HYPERLINK("https://my.zakupivli.pro/remote/dispatcher/state_purchase_lot_view/1098584", "UA-2023-11-08-009092-a-L1")</f>
        <v>UA-2023-11-08-009092-a-L1</v>
      </c>
      <c r="D176" s="1" t="s">
        <v>1350</v>
      </c>
      <c r="E176" s="1" t="s">
        <v>1348</v>
      </c>
      <c r="F176" s="1" t="s">
        <v>487</v>
      </c>
      <c r="G176" s="1" t="s">
        <v>975</v>
      </c>
      <c r="H176" s="1" t="s">
        <v>1185</v>
      </c>
      <c r="I176" s="1" t="s">
        <v>2094</v>
      </c>
      <c r="J176" s="1" t="s">
        <v>1145</v>
      </c>
      <c r="K176" s="1" t="s">
        <v>947</v>
      </c>
      <c r="L176" s="1" t="s">
        <v>1533</v>
      </c>
      <c r="M176" s="1" t="s">
        <v>1533</v>
      </c>
      <c r="N176" s="1" t="s">
        <v>110</v>
      </c>
      <c r="O176" s="1" t="s">
        <v>110</v>
      </c>
      <c r="P176" s="1" t="s">
        <v>110</v>
      </c>
      <c r="Q176" s="5">
        <v>45238</v>
      </c>
      <c r="R176" s="1" t="s">
        <v>587</v>
      </c>
      <c r="S176" s="1" t="s">
        <v>589</v>
      </c>
      <c r="T176" s="5">
        <v>45238</v>
      </c>
      <c r="U176" s="5">
        <v>45246</v>
      </c>
      <c r="V176" s="1" t="s">
        <v>2147</v>
      </c>
      <c r="W176" s="4">
        <v>1</v>
      </c>
      <c r="X176" s="6">
        <v>1213596</v>
      </c>
      <c r="Y176" s="6">
        <v>1213596</v>
      </c>
      <c r="Z176" s="1">
        <v>1</v>
      </c>
      <c r="AA176" s="6">
        <v>1213596</v>
      </c>
      <c r="AB176" s="1" t="s">
        <v>2167</v>
      </c>
      <c r="AC176" s="6">
        <v>12135.96</v>
      </c>
      <c r="AD176" s="1" t="s">
        <v>1100</v>
      </c>
      <c r="AE176" s="1" t="s">
        <v>2094</v>
      </c>
      <c r="AF176" s="1" t="s">
        <v>1186</v>
      </c>
      <c r="AG176" s="1" t="s">
        <v>1522</v>
      </c>
      <c r="AH176" s="6">
        <v>1212643.31</v>
      </c>
      <c r="AI176" s="6">
        <v>1212643.31</v>
      </c>
      <c r="AJ176" s="1" t="s">
        <v>2046</v>
      </c>
      <c r="AK176" s="6">
        <v>952.68999999994412</v>
      </c>
      <c r="AL176" s="6">
        <v>7.8501412331611513E-4</v>
      </c>
      <c r="AM176" s="1"/>
      <c r="AN176" s="1"/>
      <c r="AO176" s="1"/>
      <c r="AP176" s="1"/>
      <c r="AQ176" s="1"/>
      <c r="AR176" s="1"/>
      <c r="AS176" s="2"/>
      <c r="AT176" s="7">
        <v>45247.628150879864</v>
      </c>
      <c r="AU176" s="1"/>
      <c r="AV176" s="1"/>
      <c r="AW176" s="1" t="s">
        <v>2153</v>
      </c>
      <c r="AX176" s="7">
        <v>45253.000452642918</v>
      </c>
      <c r="AY176" s="1"/>
      <c r="AZ176" s="1"/>
      <c r="BA176" s="1"/>
      <c r="BB176" s="5">
        <v>45282</v>
      </c>
      <c r="BC176" s="1" t="s">
        <v>109</v>
      </c>
      <c r="BD176" s="1" t="s">
        <v>109</v>
      </c>
      <c r="BE176" s="1"/>
      <c r="BF176" s="1"/>
      <c r="BG176" s="1"/>
      <c r="BH176" s="1"/>
      <c r="BI176" s="1" t="s">
        <v>746</v>
      </c>
    </row>
    <row r="177" spans="1:61" hidden="1" x14ac:dyDescent="0.25">
      <c r="A177" s="4">
        <v>172</v>
      </c>
      <c r="B177" s="2" t="str">
        <f>HYPERLINK("https://my.zakupivli.pro/remote/dispatcher/state_purchase_view/46494601", "UA-2023-11-08-009757-a")</f>
        <v>UA-2023-11-08-009757-a</v>
      </c>
      <c r="C177" s="2" t="str">
        <f>HYPERLINK("https://my.zakupivli.pro/remote/dispatcher/state_purchase_lot_view/1098634", "UA-2023-11-08-009757-a-L1")</f>
        <v>UA-2023-11-08-009757-a-L1</v>
      </c>
      <c r="D177" s="1" t="s">
        <v>1355</v>
      </c>
      <c r="E177" s="1" t="s">
        <v>1353</v>
      </c>
      <c r="F177" s="1" t="s">
        <v>487</v>
      </c>
      <c r="G177" s="1" t="s">
        <v>975</v>
      </c>
      <c r="H177" s="1" t="s">
        <v>1185</v>
      </c>
      <c r="I177" s="1" t="s">
        <v>2094</v>
      </c>
      <c r="J177" s="1" t="s">
        <v>1145</v>
      </c>
      <c r="K177" s="1" t="s">
        <v>947</v>
      </c>
      <c r="L177" s="1" t="s">
        <v>1533</v>
      </c>
      <c r="M177" s="1" t="s">
        <v>1533</v>
      </c>
      <c r="N177" s="1" t="s">
        <v>110</v>
      </c>
      <c r="O177" s="1" t="s">
        <v>110</v>
      </c>
      <c r="P177" s="1" t="s">
        <v>110</v>
      </c>
      <c r="Q177" s="5">
        <v>45238</v>
      </c>
      <c r="R177" s="1" t="s">
        <v>587</v>
      </c>
      <c r="S177" s="1" t="s">
        <v>589</v>
      </c>
      <c r="T177" s="5">
        <v>45238</v>
      </c>
      <c r="U177" s="5">
        <v>45246</v>
      </c>
      <c r="V177" s="1" t="s">
        <v>2147</v>
      </c>
      <c r="W177" s="4">
        <v>1</v>
      </c>
      <c r="X177" s="6">
        <v>406365</v>
      </c>
      <c r="Y177" s="6">
        <v>406365</v>
      </c>
      <c r="Z177" s="1">
        <v>1</v>
      </c>
      <c r="AA177" s="6">
        <v>406365</v>
      </c>
      <c r="AB177" s="1" t="s">
        <v>2167</v>
      </c>
      <c r="AC177" s="6">
        <v>4063.65</v>
      </c>
      <c r="AD177" s="1" t="s">
        <v>1100</v>
      </c>
      <c r="AE177" s="1" t="s">
        <v>2094</v>
      </c>
      <c r="AF177" s="1" t="s">
        <v>1186</v>
      </c>
      <c r="AG177" s="1" t="s">
        <v>1522</v>
      </c>
      <c r="AH177" s="6">
        <v>405436.53</v>
      </c>
      <c r="AI177" s="6">
        <v>405436.53</v>
      </c>
      <c r="AJ177" s="1" t="s">
        <v>2046</v>
      </c>
      <c r="AK177" s="6">
        <v>928.46999999997206</v>
      </c>
      <c r="AL177" s="6">
        <v>2.2848178361816892E-3</v>
      </c>
      <c r="AM177" s="1"/>
      <c r="AN177" s="1"/>
      <c r="AO177" s="1"/>
      <c r="AP177" s="1"/>
      <c r="AQ177" s="1"/>
      <c r="AR177" s="1"/>
      <c r="AS177" s="2"/>
      <c r="AT177" s="7">
        <v>45247.635209459768</v>
      </c>
      <c r="AU177" s="1"/>
      <c r="AV177" s="1"/>
      <c r="AW177" s="1" t="s">
        <v>2153</v>
      </c>
      <c r="AX177" s="7">
        <v>45253.002303942834</v>
      </c>
      <c r="AY177" s="1"/>
      <c r="AZ177" s="1"/>
      <c r="BA177" s="1"/>
      <c r="BB177" s="5">
        <v>45282</v>
      </c>
      <c r="BC177" s="1" t="s">
        <v>109</v>
      </c>
      <c r="BD177" s="1" t="s">
        <v>109</v>
      </c>
      <c r="BE177" s="1"/>
      <c r="BF177" s="1"/>
      <c r="BG177" s="1"/>
      <c r="BH177" s="1"/>
      <c r="BI177" s="1" t="s">
        <v>746</v>
      </c>
    </row>
    <row r="178" spans="1:61" hidden="1" x14ac:dyDescent="0.25">
      <c r="A178" s="4">
        <v>173</v>
      </c>
      <c r="B178" s="2" t="str">
        <f>HYPERLINK("https://my.zakupivli.pro/remote/dispatcher/state_purchase_view/46498252", "UA-2023-11-08-011378-a")</f>
        <v>UA-2023-11-08-011378-a</v>
      </c>
      <c r="C178" s="2" t="str">
        <f>HYPERLINK("https://my.zakupivli.pro/remote/dispatcher/state_purchase_lot_view/1098776", "UA-2023-11-08-011378-a-L1")</f>
        <v>UA-2023-11-08-011378-a-L1</v>
      </c>
      <c r="D178" s="1" t="s">
        <v>1352</v>
      </c>
      <c r="E178" s="1" t="s">
        <v>1351</v>
      </c>
      <c r="F178" s="1" t="s">
        <v>487</v>
      </c>
      <c r="G178" s="1" t="s">
        <v>975</v>
      </c>
      <c r="H178" s="1" t="s">
        <v>1185</v>
      </c>
      <c r="I178" s="1" t="s">
        <v>2094</v>
      </c>
      <c r="J178" s="1" t="s">
        <v>1145</v>
      </c>
      <c r="K178" s="1" t="s">
        <v>947</v>
      </c>
      <c r="L178" s="1" t="s">
        <v>1533</v>
      </c>
      <c r="M178" s="1" t="s">
        <v>1533</v>
      </c>
      <c r="N178" s="1" t="s">
        <v>110</v>
      </c>
      <c r="O178" s="1" t="s">
        <v>110</v>
      </c>
      <c r="P178" s="1" t="s">
        <v>110</v>
      </c>
      <c r="Q178" s="5">
        <v>45238</v>
      </c>
      <c r="R178" s="1" t="s">
        <v>587</v>
      </c>
      <c r="S178" s="1" t="s">
        <v>589</v>
      </c>
      <c r="T178" s="5">
        <v>45238</v>
      </c>
      <c r="U178" s="5">
        <v>45246</v>
      </c>
      <c r="V178" s="1" t="s">
        <v>2147</v>
      </c>
      <c r="W178" s="4">
        <v>1</v>
      </c>
      <c r="X178" s="6">
        <v>364787</v>
      </c>
      <c r="Y178" s="6">
        <v>364787</v>
      </c>
      <c r="Z178" s="1">
        <v>1</v>
      </c>
      <c r="AA178" s="6">
        <v>364787</v>
      </c>
      <c r="AB178" s="1" t="s">
        <v>2167</v>
      </c>
      <c r="AC178" s="6">
        <v>3647.87</v>
      </c>
      <c r="AD178" s="1" t="s">
        <v>1100</v>
      </c>
      <c r="AE178" s="1" t="s">
        <v>2094</v>
      </c>
      <c r="AF178" s="1" t="s">
        <v>1186</v>
      </c>
      <c r="AG178" s="1" t="s">
        <v>1522</v>
      </c>
      <c r="AH178" s="6">
        <v>364560.44</v>
      </c>
      <c r="AI178" s="6">
        <v>364560.44</v>
      </c>
      <c r="AJ178" s="1" t="s">
        <v>2046</v>
      </c>
      <c r="AK178" s="6">
        <v>226.55999999999767</v>
      </c>
      <c r="AL178" s="6">
        <v>6.2107476417744517E-4</v>
      </c>
      <c r="AM178" s="1"/>
      <c r="AN178" s="1"/>
      <c r="AO178" s="1"/>
      <c r="AP178" s="1"/>
      <c r="AQ178" s="1"/>
      <c r="AR178" s="1"/>
      <c r="AS178" s="2"/>
      <c r="AT178" s="7">
        <v>45247.631512304535</v>
      </c>
      <c r="AU178" s="1"/>
      <c r="AV178" s="1"/>
      <c r="AW178" s="1" t="s">
        <v>2153</v>
      </c>
      <c r="AX178" s="7">
        <v>45253.001458940067</v>
      </c>
      <c r="AY178" s="1"/>
      <c r="AZ178" s="1"/>
      <c r="BA178" s="1"/>
      <c r="BB178" s="5">
        <v>45282</v>
      </c>
      <c r="BC178" s="1" t="s">
        <v>109</v>
      </c>
      <c r="BD178" s="1" t="s">
        <v>109</v>
      </c>
      <c r="BE178" s="1"/>
      <c r="BF178" s="1"/>
      <c r="BG178" s="1"/>
      <c r="BH178" s="1"/>
      <c r="BI178" s="1" t="s">
        <v>746</v>
      </c>
    </row>
    <row r="179" spans="1:61" hidden="1" x14ac:dyDescent="0.25">
      <c r="A179" s="4">
        <v>174</v>
      </c>
      <c r="B179" s="2" t="str">
        <f>HYPERLINK("https://my.zakupivli.pro/remote/dispatcher/state_purchase_view/46500567", "UA-2023-11-08-012368-a")</f>
        <v>UA-2023-11-08-012368-a</v>
      </c>
      <c r="C179" s="2" t="str">
        <f>HYPERLINK("https://my.zakupivli.pro/remote/dispatcher/state_purchase_lot_view/1098865", "UA-2023-11-08-012368-a-L1")</f>
        <v>UA-2023-11-08-012368-a-L1</v>
      </c>
      <c r="D179" s="1" t="s">
        <v>1347</v>
      </c>
      <c r="E179" s="1" t="s">
        <v>1346</v>
      </c>
      <c r="F179" s="1" t="s">
        <v>487</v>
      </c>
      <c r="G179" s="1" t="s">
        <v>975</v>
      </c>
      <c r="H179" s="1" t="s">
        <v>1185</v>
      </c>
      <c r="I179" s="1" t="s">
        <v>2094</v>
      </c>
      <c r="J179" s="1" t="s">
        <v>1145</v>
      </c>
      <c r="K179" s="1" t="s">
        <v>947</v>
      </c>
      <c r="L179" s="1" t="s">
        <v>1533</v>
      </c>
      <c r="M179" s="1" t="s">
        <v>1533</v>
      </c>
      <c r="N179" s="1" t="s">
        <v>110</v>
      </c>
      <c r="O179" s="1" t="s">
        <v>110</v>
      </c>
      <c r="P179" s="1" t="s">
        <v>110</v>
      </c>
      <c r="Q179" s="5">
        <v>45238</v>
      </c>
      <c r="R179" s="1" t="s">
        <v>587</v>
      </c>
      <c r="S179" s="1" t="s">
        <v>589</v>
      </c>
      <c r="T179" s="5">
        <v>45238</v>
      </c>
      <c r="U179" s="5">
        <v>45246</v>
      </c>
      <c r="V179" s="1" t="s">
        <v>2147</v>
      </c>
      <c r="W179" s="4">
        <v>1</v>
      </c>
      <c r="X179" s="6">
        <v>388960</v>
      </c>
      <c r="Y179" s="6">
        <v>388960</v>
      </c>
      <c r="Z179" s="1">
        <v>1</v>
      </c>
      <c r="AA179" s="6">
        <v>388960</v>
      </c>
      <c r="AB179" s="1" t="s">
        <v>2167</v>
      </c>
      <c r="AC179" s="6">
        <v>3889.6</v>
      </c>
      <c r="AD179" s="1" t="s">
        <v>1100</v>
      </c>
      <c r="AE179" s="1" t="s">
        <v>2094</v>
      </c>
      <c r="AF179" s="1" t="s">
        <v>1186</v>
      </c>
      <c r="AG179" s="1" t="s">
        <v>1522</v>
      </c>
      <c r="AH179" s="6">
        <v>388245.69</v>
      </c>
      <c r="AI179" s="6">
        <v>388245.69</v>
      </c>
      <c r="AJ179" s="1" t="s">
        <v>2046</v>
      </c>
      <c r="AK179" s="6">
        <v>714.30999999999767</v>
      </c>
      <c r="AL179" s="6">
        <v>1.8364613327848563E-3</v>
      </c>
      <c r="AM179" s="1"/>
      <c r="AN179" s="1"/>
      <c r="AO179" s="1"/>
      <c r="AP179" s="1"/>
      <c r="AQ179" s="1"/>
      <c r="AR179" s="1"/>
      <c r="AS179" s="2"/>
      <c r="AT179" s="7">
        <v>45247.624208830151</v>
      </c>
      <c r="AU179" s="1"/>
      <c r="AV179" s="1"/>
      <c r="AW179" s="1" t="s">
        <v>2153</v>
      </c>
      <c r="AX179" s="7">
        <v>45253.000232067556</v>
      </c>
      <c r="AY179" s="1"/>
      <c r="AZ179" s="1"/>
      <c r="BA179" s="1"/>
      <c r="BB179" s="5">
        <v>45282</v>
      </c>
      <c r="BC179" s="1" t="s">
        <v>109</v>
      </c>
      <c r="BD179" s="1" t="s">
        <v>109</v>
      </c>
      <c r="BE179" s="1"/>
      <c r="BF179" s="1"/>
      <c r="BG179" s="1"/>
      <c r="BH179" s="1"/>
      <c r="BI179" s="1" t="s">
        <v>746</v>
      </c>
    </row>
    <row r="180" spans="1:61" hidden="1" x14ac:dyDescent="0.25">
      <c r="A180" s="4">
        <v>175</v>
      </c>
      <c r="B180" s="2" t="str">
        <f>HYPERLINK("https://my.zakupivli.pro/remote/dispatcher/state_purchase_view/46502040", "UA-2023-11-08-012977-a")</f>
        <v>UA-2023-11-08-012977-a</v>
      </c>
      <c r="C180" s="2" t="s">
        <v>1516</v>
      </c>
      <c r="D180" s="1" t="s">
        <v>1684</v>
      </c>
      <c r="E180" s="1" t="s">
        <v>1684</v>
      </c>
      <c r="F180" s="1" t="s">
        <v>487</v>
      </c>
      <c r="G180" s="1" t="s">
        <v>1035</v>
      </c>
      <c r="H180" s="1" t="s">
        <v>1218</v>
      </c>
      <c r="I180" s="1" t="s">
        <v>2094</v>
      </c>
      <c r="J180" s="1" t="s">
        <v>1145</v>
      </c>
      <c r="K180" s="1" t="s">
        <v>947</v>
      </c>
      <c r="L180" s="1" t="s">
        <v>1533</v>
      </c>
      <c r="M180" s="1" t="s">
        <v>1533</v>
      </c>
      <c r="N180" s="1" t="s">
        <v>110</v>
      </c>
      <c r="O180" s="1" t="s">
        <v>110</v>
      </c>
      <c r="P180" s="1" t="s">
        <v>110</v>
      </c>
      <c r="Q180" s="5">
        <v>45238</v>
      </c>
      <c r="R180" s="1"/>
      <c r="S180" s="1"/>
      <c r="T180" s="1"/>
      <c r="U180" s="1"/>
      <c r="V180" s="1" t="s">
        <v>2146</v>
      </c>
      <c r="W180" s="4">
        <v>1</v>
      </c>
      <c r="X180" s="6">
        <v>12967.95</v>
      </c>
      <c r="Y180" s="1" t="s">
        <v>1516</v>
      </c>
      <c r="Z180" s="1">
        <v>1</v>
      </c>
      <c r="AA180" s="6">
        <v>12967.95</v>
      </c>
      <c r="AB180" s="1" t="s">
        <v>2167</v>
      </c>
      <c r="AC180" s="1" t="s">
        <v>2162</v>
      </c>
      <c r="AD180" s="1" t="s">
        <v>1100</v>
      </c>
      <c r="AE180" s="1" t="s">
        <v>1522</v>
      </c>
      <c r="AF180" s="1" t="s">
        <v>1186</v>
      </c>
      <c r="AG180" s="1" t="s">
        <v>1522</v>
      </c>
      <c r="AH180" s="6">
        <v>12967.95</v>
      </c>
      <c r="AI180" s="6">
        <v>12967.95</v>
      </c>
      <c r="AJ180" s="1" t="s">
        <v>1498</v>
      </c>
      <c r="AK180" s="1"/>
      <c r="AL180" s="1"/>
      <c r="AM180" s="1" t="s">
        <v>1498</v>
      </c>
      <c r="AN180" s="1" t="s">
        <v>785</v>
      </c>
      <c r="AO180" s="1"/>
      <c r="AP180" s="1" t="s">
        <v>81</v>
      </c>
      <c r="AQ180" s="1"/>
      <c r="AR180" s="1"/>
      <c r="AS180" s="2"/>
      <c r="AT180" s="1"/>
      <c r="AU180" s="1"/>
      <c r="AV180" s="1"/>
      <c r="AW180" s="1" t="s">
        <v>2152</v>
      </c>
      <c r="AX180" s="7">
        <v>45238.665649025454</v>
      </c>
      <c r="AY180" s="1" t="s">
        <v>700</v>
      </c>
      <c r="AZ180" s="6">
        <v>12967.95</v>
      </c>
      <c r="BA180" s="5">
        <v>45237</v>
      </c>
      <c r="BB180" s="5">
        <v>45282</v>
      </c>
      <c r="BC180" s="5">
        <v>45237</v>
      </c>
      <c r="BD180" s="5">
        <v>45237</v>
      </c>
      <c r="BE180" s="7">
        <v>45291</v>
      </c>
      <c r="BF180" s="1" t="s">
        <v>2170</v>
      </c>
      <c r="BG180" s="1"/>
      <c r="BH180" s="1"/>
      <c r="BI180" s="1" t="s">
        <v>108</v>
      </c>
    </row>
    <row r="181" spans="1:61" hidden="1" x14ac:dyDescent="0.25">
      <c r="A181" s="4">
        <v>176</v>
      </c>
      <c r="B181" s="2" t="str">
        <f>HYPERLINK("https://my.zakupivli.pro/remote/dispatcher/state_purchase_view/46464598", "UA-2023-11-07-013213-a")</f>
        <v>UA-2023-11-07-013213-a</v>
      </c>
      <c r="C181" s="2" t="s">
        <v>1516</v>
      </c>
      <c r="D181" s="1" t="s">
        <v>1578</v>
      </c>
      <c r="E181" s="1" t="s">
        <v>1578</v>
      </c>
      <c r="F181" s="1" t="s">
        <v>487</v>
      </c>
      <c r="G181" s="1" t="s">
        <v>1035</v>
      </c>
      <c r="H181" s="1" t="s">
        <v>1218</v>
      </c>
      <c r="I181" s="1" t="s">
        <v>2094</v>
      </c>
      <c r="J181" s="1" t="s">
        <v>1145</v>
      </c>
      <c r="K181" s="1" t="s">
        <v>947</v>
      </c>
      <c r="L181" s="1" t="s">
        <v>1533</v>
      </c>
      <c r="M181" s="1" t="s">
        <v>1533</v>
      </c>
      <c r="N181" s="1" t="s">
        <v>110</v>
      </c>
      <c r="O181" s="1" t="s">
        <v>110</v>
      </c>
      <c r="P181" s="1" t="s">
        <v>110</v>
      </c>
      <c r="Q181" s="5">
        <v>45237</v>
      </c>
      <c r="R181" s="1"/>
      <c r="S181" s="1"/>
      <c r="T181" s="1"/>
      <c r="U181" s="1"/>
      <c r="V181" s="1" t="s">
        <v>2146</v>
      </c>
      <c r="W181" s="4">
        <v>1</v>
      </c>
      <c r="X181" s="6">
        <v>1927.73</v>
      </c>
      <c r="Y181" s="1" t="s">
        <v>1516</v>
      </c>
      <c r="Z181" s="1">
        <v>1</v>
      </c>
      <c r="AA181" s="6">
        <v>1927.73</v>
      </c>
      <c r="AB181" s="1" t="s">
        <v>2167</v>
      </c>
      <c r="AC181" s="1" t="s">
        <v>2162</v>
      </c>
      <c r="AD181" s="1" t="s">
        <v>1100</v>
      </c>
      <c r="AE181" s="1" t="s">
        <v>1522</v>
      </c>
      <c r="AF181" s="1" t="s">
        <v>1186</v>
      </c>
      <c r="AG181" s="1" t="s">
        <v>1522</v>
      </c>
      <c r="AH181" s="6">
        <v>1927.73</v>
      </c>
      <c r="AI181" s="6">
        <v>1927.73</v>
      </c>
      <c r="AJ181" s="1" t="s">
        <v>1498</v>
      </c>
      <c r="AK181" s="1"/>
      <c r="AL181" s="1"/>
      <c r="AM181" s="1" t="s">
        <v>1498</v>
      </c>
      <c r="AN181" s="1" t="s">
        <v>785</v>
      </c>
      <c r="AO181" s="1"/>
      <c r="AP181" s="1" t="s">
        <v>81</v>
      </c>
      <c r="AQ181" s="1"/>
      <c r="AR181" s="1"/>
      <c r="AS181" s="2"/>
      <c r="AT181" s="1"/>
      <c r="AU181" s="1"/>
      <c r="AV181" s="1"/>
      <c r="AW181" s="1" t="s">
        <v>2152</v>
      </c>
      <c r="AX181" s="7">
        <v>45237.657059016623</v>
      </c>
      <c r="AY181" s="1" t="s">
        <v>698</v>
      </c>
      <c r="AZ181" s="6">
        <v>1927.73</v>
      </c>
      <c r="BA181" s="5">
        <v>45237</v>
      </c>
      <c r="BB181" s="5">
        <v>45291</v>
      </c>
      <c r="BC181" s="5">
        <v>45237</v>
      </c>
      <c r="BD181" s="5">
        <v>45237</v>
      </c>
      <c r="BE181" s="7">
        <v>45291</v>
      </c>
      <c r="BF181" s="1" t="s">
        <v>2170</v>
      </c>
      <c r="BG181" s="1"/>
      <c r="BH181" s="1"/>
      <c r="BI181" s="1" t="s">
        <v>108</v>
      </c>
    </row>
    <row r="182" spans="1:61" hidden="1" x14ac:dyDescent="0.25">
      <c r="A182" s="4">
        <v>177</v>
      </c>
      <c r="B182" s="2" t="str">
        <f>HYPERLINK("https://my.zakupivli.pro/remote/dispatcher/state_purchase_view/46463171", "UA-2023-11-07-012559-a")</f>
        <v>UA-2023-11-07-012559-a</v>
      </c>
      <c r="C182" s="2" t="s">
        <v>1516</v>
      </c>
      <c r="D182" s="1" t="s">
        <v>1577</v>
      </c>
      <c r="E182" s="1" t="s">
        <v>1577</v>
      </c>
      <c r="F182" s="1" t="s">
        <v>487</v>
      </c>
      <c r="G182" s="1" t="s">
        <v>1035</v>
      </c>
      <c r="H182" s="1" t="s">
        <v>1218</v>
      </c>
      <c r="I182" s="1" t="s">
        <v>2094</v>
      </c>
      <c r="J182" s="1" t="s">
        <v>1145</v>
      </c>
      <c r="K182" s="1" t="s">
        <v>947</v>
      </c>
      <c r="L182" s="1" t="s">
        <v>1533</v>
      </c>
      <c r="M182" s="1" t="s">
        <v>1533</v>
      </c>
      <c r="N182" s="1" t="s">
        <v>110</v>
      </c>
      <c r="O182" s="1" t="s">
        <v>110</v>
      </c>
      <c r="P182" s="1" t="s">
        <v>110</v>
      </c>
      <c r="Q182" s="5">
        <v>45237</v>
      </c>
      <c r="R182" s="1"/>
      <c r="S182" s="1"/>
      <c r="T182" s="1"/>
      <c r="U182" s="1"/>
      <c r="V182" s="1" t="s">
        <v>2146</v>
      </c>
      <c r="W182" s="4">
        <v>1</v>
      </c>
      <c r="X182" s="6">
        <v>11541.76</v>
      </c>
      <c r="Y182" s="1" t="s">
        <v>1516</v>
      </c>
      <c r="Z182" s="1">
        <v>1</v>
      </c>
      <c r="AA182" s="6">
        <v>11541.76</v>
      </c>
      <c r="AB182" s="1" t="s">
        <v>2167</v>
      </c>
      <c r="AC182" s="1" t="s">
        <v>2162</v>
      </c>
      <c r="AD182" s="1" t="s">
        <v>1100</v>
      </c>
      <c r="AE182" s="1" t="s">
        <v>1522</v>
      </c>
      <c r="AF182" s="1" t="s">
        <v>1186</v>
      </c>
      <c r="AG182" s="1" t="s">
        <v>1522</v>
      </c>
      <c r="AH182" s="6">
        <v>11541.76</v>
      </c>
      <c r="AI182" s="6">
        <v>11541.76</v>
      </c>
      <c r="AJ182" s="1" t="s">
        <v>1498</v>
      </c>
      <c r="AK182" s="1"/>
      <c r="AL182" s="1"/>
      <c r="AM182" s="1" t="s">
        <v>1498</v>
      </c>
      <c r="AN182" s="1" t="s">
        <v>785</v>
      </c>
      <c r="AO182" s="1"/>
      <c r="AP182" s="1" t="s">
        <v>15</v>
      </c>
      <c r="AQ182" s="1"/>
      <c r="AR182" s="1"/>
      <c r="AS182" s="2"/>
      <c r="AT182" s="1"/>
      <c r="AU182" s="1"/>
      <c r="AV182" s="1"/>
      <c r="AW182" s="1" t="s">
        <v>2152</v>
      </c>
      <c r="AX182" s="7">
        <v>45237.644949325993</v>
      </c>
      <c r="AY182" s="1" t="s">
        <v>701</v>
      </c>
      <c r="AZ182" s="6">
        <v>11541.76</v>
      </c>
      <c r="BA182" s="5">
        <v>45237</v>
      </c>
      <c r="BB182" s="5">
        <v>45282</v>
      </c>
      <c r="BC182" s="5">
        <v>45237</v>
      </c>
      <c r="BD182" s="5">
        <v>45237</v>
      </c>
      <c r="BE182" s="7">
        <v>45291</v>
      </c>
      <c r="BF182" s="1" t="s">
        <v>2170</v>
      </c>
      <c r="BG182" s="1"/>
      <c r="BH182" s="1"/>
      <c r="BI182" s="1" t="s">
        <v>108</v>
      </c>
    </row>
    <row r="183" spans="1:61" hidden="1" x14ac:dyDescent="0.25">
      <c r="A183" s="4">
        <v>178</v>
      </c>
      <c r="B183" s="2" t="str">
        <f>HYPERLINK("https://my.zakupivli.pro/remote/dispatcher/state_purchase_view/46460778", "UA-2023-11-07-011523-a")</f>
        <v>UA-2023-11-07-011523-a</v>
      </c>
      <c r="C183" s="2" t="s">
        <v>1516</v>
      </c>
      <c r="D183" s="1" t="s">
        <v>1579</v>
      </c>
      <c r="E183" s="1" t="s">
        <v>1579</v>
      </c>
      <c r="F183" s="1" t="s">
        <v>487</v>
      </c>
      <c r="G183" s="1" t="s">
        <v>1035</v>
      </c>
      <c r="H183" s="1" t="s">
        <v>1218</v>
      </c>
      <c r="I183" s="1" t="s">
        <v>2094</v>
      </c>
      <c r="J183" s="1" t="s">
        <v>1145</v>
      </c>
      <c r="K183" s="1" t="s">
        <v>947</v>
      </c>
      <c r="L183" s="1" t="s">
        <v>1533</v>
      </c>
      <c r="M183" s="1" t="s">
        <v>1533</v>
      </c>
      <c r="N183" s="1" t="s">
        <v>110</v>
      </c>
      <c r="O183" s="1" t="s">
        <v>110</v>
      </c>
      <c r="P183" s="1" t="s">
        <v>110</v>
      </c>
      <c r="Q183" s="5">
        <v>45237</v>
      </c>
      <c r="R183" s="1"/>
      <c r="S183" s="1"/>
      <c r="T183" s="1"/>
      <c r="U183" s="1"/>
      <c r="V183" s="1" t="s">
        <v>2146</v>
      </c>
      <c r="W183" s="4">
        <v>1</v>
      </c>
      <c r="X183" s="6">
        <v>724.74</v>
      </c>
      <c r="Y183" s="1" t="s">
        <v>1516</v>
      </c>
      <c r="Z183" s="1">
        <v>1</v>
      </c>
      <c r="AA183" s="6">
        <v>724.74</v>
      </c>
      <c r="AB183" s="1" t="s">
        <v>2167</v>
      </c>
      <c r="AC183" s="1" t="s">
        <v>2162</v>
      </c>
      <c r="AD183" s="1" t="s">
        <v>1100</v>
      </c>
      <c r="AE183" s="1" t="s">
        <v>1522</v>
      </c>
      <c r="AF183" s="1" t="s">
        <v>1186</v>
      </c>
      <c r="AG183" s="1" t="s">
        <v>1522</v>
      </c>
      <c r="AH183" s="6">
        <v>724.74</v>
      </c>
      <c r="AI183" s="6">
        <v>724.74</v>
      </c>
      <c r="AJ183" s="1" t="s">
        <v>1498</v>
      </c>
      <c r="AK183" s="1"/>
      <c r="AL183" s="1"/>
      <c r="AM183" s="1" t="s">
        <v>1498</v>
      </c>
      <c r="AN183" s="1" t="s">
        <v>785</v>
      </c>
      <c r="AO183" s="1"/>
      <c r="AP183" s="1" t="s">
        <v>81</v>
      </c>
      <c r="AQ183" s="1"/>
      <c r="AR183" s="1"/>
      <c r="AS183" s="2"/>
      <c r="AT183" s="1"/>
      <c r="AU183" s="1"/>
      <c r="AV183" s="1"/>
      <c r="AW183" s="1" t="s">
        <v>2152</v>
      </c>
      <c r="AX183" s="7">
        <v>45237.626586094608</v>
      </c>
      <c r="AY183" s="1" t="s">
        <v>697</v>
      </c>
      <c r="AZ183" s="6">
        <v>724.74</v>
      </c>
      <c r="BA183" s="5">
        <v>45237</v>
      </c>
      <c r="BB183" s="5">
        <v>45261</v>
      </c>
      <c r="BC183" s="5">
        <v>45237</v>
      </c>
      <c r="BD183" s="5">
        <v>45237</v>
      </c>
      <c r="BE183" s="7">
        <v>45291</v>
      </c>
      <c r="BF183" s="1" t="s">
        <v>2170</v>
      </c>
      <c r="BG183" s="1"/>
      <c r="BH183" s="1"/>
      <c r="BI183" s="1" t="s">
        <v>108</v>
      </c>
    </row>
    <row r="184" spans="1:61" hidden="1" x14ac:dyDescent="0.25">
      <c r="A184" s="4">
        <v>179</v>
      </c>
      <c r="B184" s="2" t="str">
        <f>HYPERLINK("https://my.zakupivli.pro/remote/dispatcher/state_purchase_view/46029962", "UA-2023-10-20-000411-a")</f>
        <v>UA-2023-10-20-000411-a</v>
      </c>
      <c r="C184" s="2" t="s">
        <v>1516</v>
      </c>
      <c r="D184" s="1" t="s">
        <v>1611</v>
      </c>
      <c r="E184" s="1" t="s">
        <v>1611</v>
      </c>
      <c r="F184" s="1" t="s">
        <v>487</v>
      </c>
      <c r="G184" s="1" t="s">
        <v>1035</v>
      </c>
      <c r="H184" s="1" t="s">
        <v>1218</v>
      </c>
      <c r="I184" s="1" t="s">
        <v>2094</v>
      </c>
      <c r="J184" s="1" t="s">
        <v>1145</v>
      </c>
      <c r="K184" s="1" t="s">
        <v>947</v>
      </c>
      <c r="L184" s="1" t="s">
        <v>1533</v>
      </c>
      <c r="M184" s="1" t="s">
        <v>1533</v>
      </c>
      <c r="N184" s="1" t="s">
        <v>110</v>
      </c>
      <c r="O184" s="1" t="s">
        <v>110</v>
      </c>
      <c r="P184" s="1" t="s">
        <v>110</v>
      </c>
      <c r="Q184" s="5">
        <v>45219</v>
      </c>
      <c r="R184" s="1"/>
      <c r="S184" s="1"/>
      <c r="T184" s="1"/>
      <c r="U184" s="1"/>
      <c r="V184" s="1" t="s">
        <v>2146</v>
      </c>
      <c r="W184" s="4">
        <v>1</v>
      </c>
      <c r="X184" s="6">
        <v>5119.53</v>
      </c>
      <c r="Y184" s="1" t="s">
        <v>1516</v>
      </c>
      <c r="Z184" s="1">
        <v>1</v>
      </c>
      <c r="AA184" s="6">
        <v>5119.53</v>
      </c>
      <c r="AB184" s="1" t="s">
        <v>2167</v>
      </c>
      <c r="AC184" s="1" t="s">
        <v>2162</v>
      </c>
      <c r="AD184" s="1" t="s">
        <v>1100</v>
      </c>
      <c r="AE184" s="1" t="s">
        <v>1522</v>
      </c>
      <c r="AF184" s="1" t="s">
        <v>1186</v>
      </c>
      <c r="AG184" s="1" t="s">
        <v>1522</v>
      </c>
      <c r="AH184" s="6">
        <v>5119.53</v>
      </c>
      <c r="AI184" s="6">
        <v>5119.53</v>
      </c>
      <c r="AJ184" s="1" t="s">
        <v>1498</v>
      </c>
      <c r="AK184" s="1"/>
      <c r="AL184" s="1"/>
      <c r="AM184" s="1" t="s">
        <v>1498</v>
      </c>
      <c r="AN184" s="1" t="s">
        <v>785</v>
      </c>
      <c r="AO184" s="1"/>
      <c r="AP184" s="1" t="s">
        <v>81</v>
      </c>
      <c r="AQ184" s="1"/>
      <c r="AR184" s="1"/>
      <c r="AS184" s="2"/>
      <c r="AT184" s="1"/>
      <c r="AU184" s="1"/>
      <c r="AV184" s="1"/>
      <c r="AW184" s="1" t="s">
        <v>2152</v>
      </c>
      <c r="AX184" s="7">
        <v>45219.366770452798</v>
      </c>
      <c r="AY184" s="1" t="s">
        <v>283</v>
      </c>
      <c r="AZ184" s="6">
        <v>5119.53</v>
      </c>
      <c r="BA184" s="5">
        <v>45218</v>
      </c>
      <c r="BB184" s="5">
        <v>45261</v>
      </c>
      <c r="BC184" s="5">
        <v>45218</v>
      </c>
      <c r="BD184" s="5">
        <v>45218</v>
      </c>
      <c r="BE184" s="7">
        <v>45291</v>
      </c>
      <c r="BF184" s="1" t="s">
        <v>2170</v>
      </c>
      <c r="BG184" s="1"/>
      <c r="BH184" s="1"/>
      <c r="BI184" s="1" t="s">
        <v>108</v>
      </c>
    </row>
    <row r="185" spans="1:61" hidden="1" x14ac:dyDescent="0.25">
      <c r="A185" s="4">
        <v>180</v>
      </c>
      <c r="B185" s="2" t="str">
        <f>HYPERLINK("https://my.zakupivli.pro/remote/dispatcher/state_purchase_view/46060839", "UA-2023-10-20-014550-a")</f>
        <v>UA-2023-10-20-014550-a</v>
      </c>
      <c r="C185" s="2" t="str">
        <f>HYPERLINK("https://my.zakupivli.pro/remote/dispatcher/state_purchase_lot_view/1081449", "UA-2023-10-20-014550-a-L1")</f>
        <v>UA-2023-10-20-014550-a-L1</v>
      </c>
      <c r="D185" s="1" t="s">
        <v>1374</v>
      </c>
      <c r="E185" s="1" t="s">
        <v>1373</v>
      </c>
      <c r="F185" s="1" t="s">
        <v>487</v>
      </c>
      <c r="G185" s="1" t="s">
        <v>967</v>
      </c>
      <c r="H185" s="1" t="s">
        <v>1185</v>
      </c>
      <c r="I185" s="1" t="s">
        <v>2094</v>
      </c>
      <c r="J185" s="1" t="s">
        <v>1145</v>
      </c>
      <c r="K185" s="1" t="s">
        <v>947</v>
      </c>
      <c r="L185" s="1" t="s">
        <v>1533</v>
      </c>
      <c r="M185" s="1" t="s">
        <v>1533</v>
      </c>
      <c r="N185" s="1" t="s">
        <v>110</v>
      </c>
      <c r="O185" s="1" t="s">
        <v>110</v>
      </c>
      <c r="P185" s="1" t="s">
        <v>110</v>
      </c>
      <c r="Q185" s="5">
        <v>45219</v>
      </c>
      <c r="R185" s="1" t="s">
        <v>582</v>
      </c>
      <c r="S185" s="1" t="s">
        <v>585</v>
      </c>
      <c r="T185" s="5">
        <v>45219</v>
      </c>
      <c r="U185" s="5">
        <v>45229</v>
      </c>
      <c r="V185" s="1" t="s">
        <v>2147</v>
      </c>
      <c r="W185" s="4">
        <v>1</v>
      </c>
      <c r="X185" s="6">
        <v>337000</v>
      </c>
      <c r="Y185" s="6">
        <v>337000</v>
      </c>
      <c r="Z185" s="1">
        <v>1</v>
      </c>
      <c r="AA185" s="6">
        <v>337000</v>
      </c>
      <c r="AB185" s="1" t="s">
        <v>2167</v>
      </c>
      <c r="AC185" s="6">
        <v>3370</v>
      </c>
      <c r="AD185" s="1" t="s">
        <v>1100</v>
      </c>
      <c r="AE185" s="1" t="s">
        <v>2094</v>
      </c>
      <c r="AF185" s="1" t="s">
        <v>1186</v>
      </c>
      <c r="AG185" s="1" t="s">
        <v>1522</v>
      </c>
      <c r="AH185" s="6">
        <v>336344.29</v>
      </c>
      <c r="AI185" s="6">
        <v>336344.29</v>
      </c>
      <c r="AJ185" s="1" t="s">
        <v>2116</v>
      </c>
      <c r="AK185" s="6">
        <v>655.71000000002095</v>
      </c>
      <c r="AL185" s="6">
        <v>1.9457270029674212E-3</v>
      </c>
      <c r="AM185" s="1" t="s">
        <v>2116</v>
      </c>
      <c r="AN185" s="1" t="s">
        <v>792</v>
      </c>
      <c r="AO185" s="1" t="s">
        <v>794</v>
      </c>
      <c r="AP185" s="1" t="s">
        <v>94</v>
      </c>
      <c r="AQ185" s="6">
        <v>655.71000000002095</v>
      </c>
      <c r="AR185" s="6">
        <v>1.9457270029674212E-3</v>
      </c>
      <c r="AS185" s="2"/>
      <c r="AT185" s="7">
        <v>45233.72761538456</v>
      </c>
      <c r="AU185" s="1" t="s">
        <v>588</v>
      </c>
      <c r="AV185" s="1" t="s">
        <v>592</v>
      </c>
      <c r="AW185" s="1" t="s">
        <v>2151</v>
      </c>
      <c r="AX185" s="7">
        <v>45239.657324952641</v>
      </c>
      <c r="AY185" s="1" t="s">
        <v>703</v>
      </c>
      <c r="AZ185" s="6">
        <v>336344.29</v>
      </c>
      <c r="BA185" s="1"/>
      <c r="BB185" s="5">
        <v>45282</v>
      </c>
      <c r="BC185" s="5">
        <v>45239</v>
      </c>
      <c r="BD185" s="5">
        <v>45239</v>
      </c>
      <c r="BE185" s="7">
        <v>45291</v>
      </c>
      <c r="BF185" s="1" t="s">
        <v>2170</v>
      </c>
      <c r="BG185" s="1"/>
      <c r="BH185" s="1"/>
      <c r="BI185" s="1" t="s">
        <v>793</v>
      </c>
    </row>
    <row r="186" spans="1:61" hidden="1" x14ac:dyDescent="0.25">
      <c r="A186" s="4">
        <v>181</v>
      </c>
      <c r="B186" s="2" t="str">
        <f>HYPERLINK("https://my.zakupivli.pro/remote/dispatcher/state_purchase_view/46054931", "UA-2023-10-20-011808-a")</f>
        <v>UA-2023-10-20-011808-a</v>
      </c>
      <c r="C186" s="2" t="str">
        <f>HYPERLINK("https://my.zakupivli.pro/remote/dispatcher/state_purchase_lot_view/1081128", "UA-2023-10-20-011808-a-L1")</f>
        <v>UA-2023-10-20-011808-a-L1</v>
      </c>
      <c r="D186" s="1" t="s">
        <v>1771</v>
      </c>
      <c r="E186" s="1" t="s">
        <v>1770</v>
      </c>
      <c r="F186" s="1" t="s">
        <v>487</v>
      </c>
      <c r="G186" s="1" t="s">
        <v>966</v>
      </c>
      <c r="H186" s="1" t="s">
        <v>1185</v>
      </c>
      <c r="I186" s="1" t="s">
        <v>2094</v>
      </c>
      <c r="J186" s="1" t="s">
        <v>1145</v>
      </c>
      <c r="K186" s="1" t="s">
        <v>947</v>
      </c>
      <c r="L186" s="1" t="s">
        <v>1533</v>
      </c>
      <c r="M186" s="1" t="s">
        <v>1533</v>
      </c>
      <c r="N186" s="1" t="s">
        <v>110</v>
      </c>
      <c r="O186" s="1" t="s">
        <v>110</v>
      </c>
      <c r="P186" s="1" t="s">
        <v>110</v>
      </c>
      <c r="Q186" s="5">
        <v>45219</v>
      </c>
      <c r="R186" s="1" t="s">
        <v>582</v>
      </c>
      <c r="S186" s="1" t="s">
        <v>585</v>
      </c>
      <c r="T186" s="5">
        <v>45219</v>
      </c>
      <c r="U186" s="5">
        <v>45229</v>
      </c>
      <c r="V186" s="1" t="s">
        <v>2147</v>
      </c>
      <c r="W186" s="4">
        <v>1</v>
      </c>
      <c r="X186" s="6">
        <v>885600</v>
      </c>
      <c r="Y186" s="6">
        <v>885600</v>
      </c>
      <c r="Z186" s="1">
        <v>1</v>
      </c>
      <c r="AA186" s="6">
        <v>885600</v>
      </c>
      <c r="AB186" s="1" t="s">
        <v>2167</v>
      </c>
      <c r="AC186" s="6">
        <v>8856</v>
      </c>
      <c r="AD186" s="1" t="s">
        <v>1100</v>
      </c>
      <c r="AE186" s="1" t="s">
        <v>2094</v>
      </c>
      <c r="AF186" s="1" t="s">
        <v>1186</v>
      </c>
      <c r="AG186" s="1" t="s">
        <v>1522</v>
      </c>
      <c r="AH186" s="6">
        <v>884914.74</v>
      </c>
      <c r="AI186" s="6">
        <v>884914.74</v>
      </c>
      <c r="AJ186" s="1" t="s">
        <v>2044</v>
      </c>
      <c r="AK186" s="6">
        <v>685.26000000000931</v>
      </c>
      <c r="AL186" s="6">
        <v>7.7378048780488856E-4</v>
      </c>
      <c r="AM186" s="1" t="s">
        <v>2044</v>
      </c>
      <c r="AN186" s="1" t="s">
        <v>913</v>
      </c>
      <c r="AO186" s="1" t="s">
        <v>1124</v>
      </c>
      <c r="AP186" s="1" t="s">
        <v>44</v>
      </c>
      <c r="AQ186" s="6">
        <v>685.26000000000931</v>
      </c>
      <c r="AR186" s="6">
        <v>7.7378048780488856E-4</v>
      </c>
      <c r="AS186" s="2"/>
      <c r="AT186" s="7">
        <v>45231.681822619874</v>
      </c>
      <c r="AU186" s="1" t="s">
        <v>586</v>
      </c>
      <c r="AV186" s="1" t="s">
        <v>591</v>
      </c>
      <c r="AW186" s="1" t="s">
        <v>2151</v>
      </c>
      <c r="AX186" s="7">
        <v>45237.525023041722</v>
      </c>
      <c r="AY186" s="1" t="s">
        <v>696</v>
      </c>
      <c r="AZ186" s="6">
        <v>884914.74</v>
      </c>
      <c r="BA186" s="1"/>
      <c r="BB186" s="5">
        <v>45282</v>
      </c>
      <c r="BC186" s="5">
        <v>45237</v>
      </c>
      <c r="BD186" s="5">
        <v>45237</v>
      </c>
      <c r="BE186" s="7">
        <v>45291</v>
      </c>
      <c r="BF186" s="1" t="s">
        <v>2170</v>
      </c>
      <c r="BG186" s="1"/>
      <c r="BH186" s="1"/>
      <c r="BI186" s="1" t="s">
        <v>914</v>
      </c>
    </row>
    <row r="187" spans="1:61" hidden="1" x14ac:dyDescent="0.25">
      <c r="A187" s="4">
        <v>182</v>
      </c>
      <c r="B187" s="2" t="str">
        <f>HYPERLINK("https://my.zakupivli.pro/remote/dispatcher/state_purchase_view/46027624", "UA-2023-10-19-014931-a")</f>
        <v>UA-2023-10-19-014931-a</v>
      </c>
      <c r="C187" s="2" t="s">
        <v>1516</v>
      </c>
      <c r="D187" s="1" t="s">
        <v>1613</v>
      </c>
      <c r="E187" s="1" t="s">
        <v>1613</v>
      </c>
      <c r="F187" s="1" t="s">
        <v>487</v>
      </c>
      <c r="G187" s="1" t="s">
        <v>1035</v>
      </c>
      <c r="H187" s="1" t="s">
        <v>1218</v>
      </c>
      <c r="I187" s="1" t="s">
        <v>2094</v>
      </c>
      <c r="J187" s="1" t="s">
        <v>1145</v>
      </c>
      <c r="K187" s="1" t="s">
        <v>947</v>
      </c>
      <c r="L187" s="1" t="s">
        <v>1533</v>
      </c>
      <c r="M187" s="1" t="s">
        <v>1533</v>
      </c>
      <c r="N187" s="1" t="s">
        <v>110</v>
      </c>
      <c r="O187" s="1" t="s">
        <v>110</v>
      </c>
      <c r="P187" s="1" t="s">
        <v>110</v>
      </c>
      <c r="Q187" s="5">
        <v>45218</v>
      </c>
      <c r="R187" s="1"/>
      <c r="S187" s="1"/>
      <c r="T187" s="1"/>
      <c r="U187" s="1"/>
      <c r="V187" s="1" t="s">
        <v>2146</v>
      </c>
      <c r="W187" s="4">
        <v>1</v>
      </c>
      <c r="X187" s="6">
        <v>3043.72</v>
      </c>
      <c r="Y187" s="1" t="s">
        <v>1516</v>
      </c>
      <c r="Z187" s="1">
        <v>1</v>
      </c>
      <c r="AA187" s="6">
        <v>3043.72</v>
      </c>
      <c r="AB187" s="1" t="s">
        <v>2167</v>
      </c>
      <c r="AC187" s="1" t="s">
        <v>2162</v>
      </c>
      <c r="AD187" s="1" t="s">
        <v>1100</v>
      </c>
      <c r="AE187" s="1" t="s">
        <v>1522</v>
      </c>
      <c r="AF187" s="1" t="s">
        <v>1186</v>
      </c>
      <c r="AG187" s="1" t="s">
        <v>1522</v>
      </c>
      <c r="AH187" s="6">
        <v>3043.72</v>
      </c>
      <c r="AI187" s="6">
        <v>3043.72</v>
      </c>
      <c r="AJ187" s="1" t="s">
        <v>1498</v>
      </c>
      <c r="AK187" s="1"/>
      <c r="AL187" s="1"/>
      <c r="AM187" s="1" t="s">
        <v>1498</v>
      </c>
      <c r="AN187" s="1" t="s">
        <v>785</v>
      </c>
      <c r="AO187" s="1"/>
      <c r="AP187" s="1" t="s">
        <v>81</v>
      </c>
      <c r="AQ187" s="1"/>
      <c r="AR187" s="1"/>
      <c r="AS187" s="2"/>
      <c r="AT187" s="1"/>
      <c r="AU187" s="1"/>
      <c r="AV187" s="1"/>
      <c r="AW187" s="1" t="s">
        <v>2152</v>
      </c>
      <c r="AX187" s="7">
        <v>45218.753042678545</v>
      </c>
      <c r="AY187" s="1" t="s">
        <v>279</v>
      </c>
      <c r="AZ187" s="6">
        <v>3043.72</v>
      </c>
      <c r="BA187" s="5">
        <v>45218</v>
      </c>
      <c r="BB187" s="5">
        <v>45261</v>
      </c>
      <c r="BC187" s="5">
        <v>45218</v>
      </c>
      <c r="BD187" s="5">
        <v>45218</v>
      </c>
      <c r="BE187" s="7">
        <v>45291</v>
      </c>
      <c r="BF187" s="1" t="s">
        <v>2170</v>
      </c>
      <c r="BG187" s="1"/>
      <c r="BH187" s="1"/>
      <c r="BI187" s="1" t="s">
        <v>108</v>
      </c>
    </row>
    <row r="188" spans="1:61" hidden="1" x14ac:dyDescent="0.25">
      <c r="A188" s="4">
        <v>183</v>
      </c>
      <c r="B188" s="2" t="str">
        <f>HYPERLINK("https://my.zakupivli.pro/remote/dispatcher/state_purchase_view/46027849", "UA-2023-10-19-015036-a")</f>
        <v>UA-2023-10-19-015036-a</v>
      </c>
      <c r="C188" s="2" t="s">
        <v>1516</v>
      </c>
      <c r="D188" s="1" t="s">
        <v>1615</v>
      </c>
      <c r="E188" s="1" t="s">
        <v>1615</v>
      </c>
      <c r="F188" s="1" t="s">
        <v>487</v>
      </c>
      <c r="G188" s="1" t="s">
        <v>1035</v>
      </c>
      <c r="H188" s="1" t="s">
        <v>1218</v>
      </c>
      <c r="I188" s="1" t="s">
        <v>2094</v>
      </c>
      <c r="J188" s="1" t="s">
        <v>1145</v>
      </c>
      <c r="K188" s="1" t="s">
        <v>947</v>
      </c>
      <c r="L188" s="1" t="s">
        <v>1533</v>
      </c>
      <c r="M188" s="1" t="s">
        <v>1533</v>
      </c>
      <c r="N188" s="1" t="s">
        <v>110</v>
      </c>
      <c r="O188" s="1" t="s">
        <v>110</v>
      </c>
      <c r="P188" s="1" t="s">
        <v>110</v>
      </c>
      <c r="Q188" s="5">
        <v>45218</v>
      </c>
      <c r="R188" s="1"/>
      <c r="S188" s="1"/>
      <c r="T188" s="1"/>
      <c r="U188" s="1"/>
      <c r="V188" s="1" t="s">
        <v>2146</v>
      </c>
      <c r="W188" s="4">
        <v>1</v>
      </c>
      <c r="X188" s="6">
        <v>1528.92</v>
      </c>
      <c r="Y188" s="1" t="s">
        <v>1516</v>
      </c>
      <c r="Z188" s="1">
        <v>1</v>
      </c>
      <c r="AA188" s="6">
        <v>1528.92</v>
      </c>
      <c r="AB188" s="1" t="s">
        <v>2167</v>
      </c>
      <c r="AC188" s="1" t="s">
        <v>2162</v>
      </c>
      <c r="AD188" s="1" t="s">
        <v>1100</v>
      </c>
      <c r="AE188" s="1" t="s">
        <v>1522</v>
      </c>
      <c r="AF188" s="1" t="s">
        <v>1186</v>
      </c>
      <c r="AG188" s="1" t="s">
        <v>1522</v>
      </c>
      <c r="AH188" s="6">
        <v>1528.92</v>
      </c>
      <c r="AI188" s="6">
        <v>1528.92</v>
      </c>
      <c r="AJ188" s="1" t="s">
        <v>1498</v>
      </c>
      <c r="AK188" s="1"/>
      <c r="AL188" s="1"/>
      <c r="AM188" s="1" t="s">
        <v>1498</v>
      </c>
      <c r="AN188" s="1" t="s">
        <v>785</v>
      </c>
      <c r="AO188" s="1"/>
      <c r="AP188" s="1" t="s">
        <v>81</v>
      </c>
      <c r="AQ188" s="1"/>
      <c r="AR188" s="1"/>
      <c r="AS188" s="2"/>
      <c r="AT188" s="1"/>
      <c r="AU188" s="1"/>
      <c r="AV188" s="1"/>
      <c r="AW188" s="1" t="s">
        <v>2152</v>
      </c>
      <c r="AX188" s="7">
        <v>45218.770081228322</v>
      </c>
      <c r="AY188" s="1" t="s">
        <v>288</v>
      </c>
      <c r="AZ188" s="6">
        <v>1528.92</v>
      </c>
      <c r="BA188" s="5">
        <v>45218</v>
      </c>
      <c r="BB188" s="5">
        <v>45261</v>
      </c>
      <c r="BC188" s="5">
        <v>45218</v>
      </c>
      <c r="BD188" s="5">
        <v>45218</v>
      </c>
      <c r="BE188" s="7">
        <v>45291</v>
      </c>
      <c r="BF188" s="1" t="s">
        <v>2170</v>
      </c>
      <c r="BG188" s="1"/>
      <c r="BH188" s="1"/>
      <c r="BI188" s="1" t="s">
        <v>108</v>
      </c>
    </row>
    <row r="189" spans="1:61" hidden="1" x14ac:dyDescent="0.25">
      <c r="A189" s="4">
        <v>184</v>
      </c>
      <c r="B189" s="2" t="str">
        <f>HYPERLINK("https://my.zakupivli.pro/remote/dispatcher/state_purchase_view/46027833", "UA-2023-10-19-015026-a")</f>
        <v>UA-2023-10-19-015026-a</v>
      </c>
      <c r="C189" s="2" t="s">
        <v>1516</v>
      </c>
      <c r="D189" s="1" t="s">
        <v>1620</v>
      </c>
      <c r="E189" s="1" t="s">
        <v>1620</v>
      </c>
      <c r="F189" s="1" t="s">
        <v>487</v>
      </c>
      <c r="G189" s="1" t="s">
        <v>1035</v>
      </c>
      <c r="H189" s="1" t="s">
        <v>1218</v>
      </c>
      <c r="I189" s="1" t="s">
        <v>2094</v>
      </c>
      <c r="J189" s="1" t="s">
        <v>1145</v>
      </c>
      <c r="K189" s="1" t="s">
        <v>947</v>
      </c>
      <c r="L189" s="1" t="s">
        <v>1533</v>
      </c>
      <c r="M189" s="1" t="s">
        <v>1533</v>
      </c>
      <c r="N189" s="1" t="s">
        <v>110</v>
      </c>
      <c r="O189" s="1" t="s">
        <v>110</v>
      </c>
      <c r="P189" s="1" t="s">
        <v>110</v>
      </c>
      <c r="Q189" s="5">
        <v>45218</v>
      </c>
      <c r="R189" s="1"/>
      <c r="S189" s="1"/>
      <c r="T189" s="1"/>
      <c r="U189" s="1"/>
      <c r="V189" s="1" t="s">
        <v>2146</v>
      </c>
      <c r="W189" s="4">
        <v>1</v>
      </c>
      <c r="X189" s="6">
        <v>963.87</v>
      </c>
      <c r="Y189" s="1" t="s">
        <v>1516</v>
      </c>
      <c r="Z189" s="1">
        <v>1</v>
      </c>
      <c r="AA189" s="6">
        <v>963.87</v>
      </c>
      <c r="AB189" s="1" t="s">
        <v>2167</v>
      </c>
      <c r="AC189" s="1" t="s">
        <v>2162</v>
      </c>
      <c r="AD189" s="1" t="s">
        <v>1100</v>
      </c>
      <c r="AE189" s="1" t="s">
        <v>1522</v>
      </c>
      <c r="AF189" s="1" t="s">
        <v>1186</v>
      </c>
      <c r="AG189" s="1" t="s">
        <v>1522</v>
      </c>
      <c r="AH189" s="6">
        <v>963.87</v>
      </c>
      <c r="AI189" s="6">
        <v>963.87</v>
      </c>
      <c r="AJ189" s="1" t="s">
        <v>1498</v>
      </c>
      <c r="AK189" s="1"/>
      <c r="AL189" s="1"/>
      <c r="AM189" s="1" t="s">
        <v>1498</v>
      </c>
      <c r="AN189" s="1" t="s">
        <v>785</v>
      </c>
      <c r="AO189" s="1"/>
      <c r="AP189" s="1" t="s">
        <v>81</v>
      </c>
      <c r="AQ189" s="1"/>
      <c r="AR189" s="1"/>
      <c r="AS189" s="2"/>
      <c r="AT189" s="1"/>
      <c r="AU189" s="1"/>
      <c r="AV189" s="1"/>
      <c r="AW189" s="1" t="s">
        <v>2152</v>
      </c>
      <c r="AX189" s="7">
        <v>45218.767982692443</v>
      </c>
      <c r="AY189" s="1" t="s">
        <v>287</v>
      </c>
      <c r="AZ189" s="6">
        <v>963.87</v>
      </c>
      <c r="BA189" s="5">
        <v>45218</v>
      </c>
      <c r="BB189" s="5">
        <v>45261</v>
      </c>
      <c r="BC189" s="5">
        <v>45218</v>
      </c>
      <c r="BD189" s="5">
        <v>45218</v>
      </c>
      <c r="BE189" s="7">
        <v>45291</v>
      </c>
      <c r="BF189" s="1" t="s">
        <v>2170</v>
      </c>
      <c r="BG189" s="1"/>
      <c r="BH189" s="1"/>
      <c r="BI189" s="1" t="s">
        <v>108</v>
      </c>
    </row>
    <row r="190" spans="1:61" hidden="1" x14ac:dyDescent="0.25">
      <c r="A190" s="4">
        <v>185</v>
      </c>
      <c r="B190" s="2" t="str">
        <f>HYPERLINK("https://my.zakupivli.pro/remote/dispatcher/state_purchase_view/46027761", "UA-2023-10-19-015004-a")</f>
        <v>UA-2023-10-19-015004-a</v>
      </c>
      <c r="C190" s="2" t="s">
        <v>1516</v>
      </c>
      <c r="D190" s="1" t="s">
        <v>1614</v>
      </c>
      <c r="E190" s="1" t="s">
        <v>1614</v>
      </c>
      <c r="F190" s="1" t="s">
        <v>487</v>
      </c>
      <c r="G190" s="1" t="s">
        <v>1035</v>
      </c>
      <c r="H190" s="1" t="s">
        <v>1218</v>
      </c>
      <c r="I190" s="1" t="s">
        <v>2094</v>
      </c>
      <c r="J190" s="1" t="s">
        <v>1145</v>
      </c>
      <c r="K190" s="1" t="s">
        <v>947</v>
      </c>
      <c r="L190" s="1" t="s">
        <v>1533</v>
      </c>
      <c r="M190" s="1" t="s">
        <v>1533</v>
      </c>
      <c r="N190" s="1" t="s">
        <v>110</v>
      </c>
      <c r="O190" s="1" t="s">
        <v>110</v>
      </c>
      <c r="P190" s="1" t="s">
        <v>110</v>
      </c>
      <c r="Q190" s="5">
        <v>45218</v>
      </c>
      <c r="R190" s="1"/>
      <c r="S190" s="1"/>
      <c r="T190" s="1"/>
      <c r="U190" s="1"/>
      <c r="V190" s="1" t="s">
        <v>2146</v>
      </c>
      <c r="W190" s="4">
        <v>1</v>
      </c>
      <c r="X190" s="6">
        <v>1528.92</v>
      </c>
      <c r="Y190" s="1" t="s">
        <v>1516</v>
      </c>
      <c r="Z190" s="1">
        <v>1</v>
      </c>
      <c r="AA190" s="6">
        <v>1528.92</v>
      </c>
      <c r="AB190" s="1" t="s">
        <v>2167</v>
      </c>
      <c r="AC190" s="1" t="s">
        <v>2162</v>
      </c>
      <c r="AD190" s="1" t="s">
        <v>1100</v>
      </c>
      <c r="AE190" s="1" t="s">
        <v>1522</v>
      </c>
      <c r="AF190" s="1" t="s">
        <v>1186</v>
      </c>
      <c r="AG190" s="1" t="s">
        <v>1522</v>
      </c>
      <c r="AH190" s="6">
        <v>1528.92</v>
      </c>
      <c r="AI190" s="6">
        <v>1528.92</v>
      </c>
      <c r="AJ190" s="1" t="s">
        <v>1498</v>
      </c>
      <c r="AK190" s="1"/>
      <c r="AL190" s="1"/>
      <c r="AM190" s="1" t="s">
        <v>1498</v>
      </c>
      <c r="AN190" s="1" t="s">
        <v>785</v>
      </c>
      <c r="AO190" s="1"/>
      <c r="AP190" s="1" t="s">
        <v>81</v>
      </c>
      <c r="AQ190" s="1"/>
      <c r="AR190" s="1"/>
      <c r="AS190" s="2"/>
      <c r="AT190" s="1"/>
      <c r="AU190" s="1"/>
      <c r="AV190" s="1"/>
      <c r="AW190" s="1" t="s">
        <v>2152</v>
      </c>
      <c r="AX190" s="7">
        <v>45218.762974245772</v>
      </c>
      <c r="AY190" s="1" t="s">
        <v>286</v>
      </c>
      <c r="AZ190" s="6">
        <v>1528.92</v>
      </c>
      <c r="BA190" s="5">
        <v>45218</v>
      </c>
      <c r="BB190" s="5">
        <v>45261</v>
      </c>
      <c r="BC190" s="5">
        <v>45218</v>
      </c>
      <c r="BD190" s="5">
        <v>45218</v>
      </c>
      <c r="BE190" s="7">
        <v>45291</v>
      </c>
      <c r="BF190" s="1" t="s">
        <v>2170</v>
      </c>
      <c r="BG190" s="1"/>
      <c r="BH190" s="1"/>
      <c r="BI190" s="1" t="s">
        <v>108</v>
      </c>
    </row>
    <row r="191" spans="1:61" hidden="1" x14ac:dyDescent="0.25">
      <c r="A191" s="4">
        <v>186</v>
      </c>
      <c r="B191" s="2" t="str">
        <f>HYPERLINK("https://my.zakupivli.pro/remote/dispatcher/state_purchase_view/46027741", "UA-2023-10-19-014988-a")</f>
        <v>UA-2023-10-19-014988-a</v>
      </c>
      <c r="C191" s="2" t="s">
        <v>1516</v>
      </c>
      <c r="D191" s="1" t="s">
        <v>1617</v>
      </c>
      <c r="E191" s="1" t="s">
        <v>1617</v>
      </c>
      <c r="F191" s="1" t="s">
        <v>487</v>
      </c>
      <c r="G191" s="1" t="s">
        <v>1035</v>
      </c>
      <c r="H191" s="1" t="s">
        <v>1218</v>
      </c>
      <c r="I191" s="1" t="s">
        <v>2094</v>
      </c>
      <c r="J191" s="1" t="s">
        <v>1145</v>
      </c>
      <c r="K191" s="1" t="s">
        <v>947</v>
      </c>
      <c r="L191" s="1" t="s">
        <v>1533</v>
      </c>
      <c r="M191" s="1" t="s">
        <v>1533</v>
      </c>
      <c r="N191" s="1" t="s">
        <v>110</v>
      </c>
      <c r="O191" s="1" t="s">
        <v>110</v>
      </c>
      <c r="P191" s="1" t="s">
        <v>110</v>
      </c>
      <c r="Q191" s="5">
        <v>45218</v>
      </c>
      <c r="R191" s="1"/>
      <c r="S191" s="1"/>
      <c r="T191" s="1"/>
      <c r="U191" s="1"/>
      <c r="V191" s="1" t="s">
        <v>2146</v>
      </c>
      <c r="W191" s="4">
        <v>1</v>
      </c>
      <c r="X191" s="6">
        <v>5800.84</v>
      </c>
      <c r="Y191" s="1" t="s">
        <v>1516</v>
      </c>
      <c r="Z191" s="1">
        <v>1</v>
      </c>
      <c r="AA191" s="6">
        <v>5800.84</v>
      </c>
      <c r="AB191" s="1" t="s">
        <v>2167</v>
      </c>
      <c r="AC191" s="1" t="s">
        <v>2162</v>
      </c>
      <c r="AD191" s="1" t="s">
        <v>1100</v>
      </c>
      <c r="AE191" s="1" t="s">
        <v>1522</v>
      </c>
      <c r="AF191" s="1" t="s">
        <v>1186</v>
      </c>
      <c r="AG191" s="1" t="s">
        <v>1522</v>
      </c>
      <c r="AH191" s="6">
        <v>5800.84</v>
      </c>
      <c r="AI191" s="6">
        <v>5800.84</v>
      </c>
      <c r="AJ191" s="1" t="s">
        <v>1498</v>
      </c>
      <c r="AK191" s="1"/>
      <c r="AL191" s="1"/>
      <c r="AM191" s="1" t="s">
        <v>1498</v>
      </c>
      <c r="AN191" s="1" t="s">
        <v>785</v>
      </c>
      <c r="AO191" s="1"/>
      <c r="AP191" s="1" t="s">
        <v>81</v>
      </c>
      <c r="AQ191" s="1"/>
      <c r="AR191" s="1"/>
      <c r="AS191" s="2"/>
      <c r="AT191" s="1"/>
      <c r="AU191" s="1"/>
      <c r="AV191" s="1"/>
      <c r="AW191" s="1" t="s">
        <v>2152</v>
      </c>
      <c r="AX191" s="7">
        <v>45218.760670944088</v>
      </c>
      <c r="AY191" s="1" t="s">
        <v>284</v>
      </c>
      <c r="AZ191" s="6">
        <v>5800.84</v>
      </c>
      <c r="BA191" s="5">
        <v>45218</v>
      </c>
      <c r="BB191" s="5">
        <v>45261</v>
      </c>
      <c r="BC191" s="5">
        <v>45218</v>
      </c>
      <c r="BD191" s="5">
        <v>45218</v>
      </c>
      <c r="BE191" s="7">
        <v>45291</v>
      </c>
      <c r="BF191" s="1" t="s">
        <v>2170</v>
      </c>
      <c r="BG191" s="1"/>
      <c r="BH191" s="1"/>
      <c r="BI191" s="1" t="s">
        <v>108</v>
      </c>
    </row>
    <row r="192" spans="1:61" hidden="1" x14ac:dyDescent="0.25">
      <c r="A192" s="4">
        <v>187</v>
      </c>
      <c r="B192" s="2" t="str">
        <f>HYPERLINK("https://my.zakupivli.pro/remote/dispatcher/state_purchase_view/46027652", "UA-2023-10-19-014954-a")</f>
        <v>UA-2023-10-19-014954-a</v>
      </c>
      <c r="C192" s="2" t="s">
        <v>1516</v>
      </c>
      <c r="D192" s="1" t="s">
        <v>1616</v>
      </c>
      <c r="E192" s="1" t="s">
        <v>1607</v>
      </c>
      <c r="F192" s="1" t="s">
        <v>487</v>
      </c>
      <c r="G192" s="1" t="s">
        <v>1035</v>
      </c>
      <c r="H192" s="1" t="s">
        <v>1218</v>
      </c>
      <c r="I192" s="1" t="s">
        <v>2094</v>
      </c>
      <c r="J192" s="1" t="s">
        <v>1145</v>
      </c>
      <c r="K192" s="1" t="s">
        <v>947</v>
      </c>
      <c r="L192" s="1" t="s">
        <v>1533</v>
      </c>
      <c r="M192" s="1" t="s">
        <v>1533</v>
      </c>
      <c r="N192" s="1" t="s">
        <v>110</v>
      </c>
      <c r="O192" s="1" t="s">
        <v>110</v>
      </c>
      <c r="P192" s="1" t="s">
        <v>110</v>
      </c>
      <c r="Q192" s="5">
        <v>45218</v>
      </c>
      <c r="R192" s="1"/>
      <c r="S192" s="1"/>
      <c r="T192" s="1"/>
      <c r="U192" s="1"/>
      <c r="V192" s="1" t="s">
        <v>2146</v>
      </c>
      <c r="W192" s="4">
        <v>1</v>
      </c>
      <c r="X192" s="6">
        <v>1434</v>
      </c>
      <c r="Y192" s="1" t="s">
        <v>1516</v>
      </c>
      <c r="Z192" s="1">
        <v>1</v>
      </c>
      <c r="AA192" s="6">
        <v>1434</v>
      </c>
      <c r="AB192" s="1" t="s">
        <v>2167</v>
      </c>
      <c r="AC192" s="1" t="s">
        <v>2162</v>
      </c>
      <c r="AD192" s="1" t="s">
        <v>1100</v>
      </c>
      <c r="AE192" s="1" t="s">
        <v>1522</v>
      </c>
      <c r="AF192" s="1" t="s">
        <v>1186</v>
      </c>
      <c r="AG192" s="1" t="s">
        <v>1522</v>
      </c>
      <c r="AH192" s="6">
        <v>1434</v>
      </c>
      <c r="AI192" s="6">
        <v>1434</v>
      </c>
      <c r="AJ192" s="1" t="s">
        <v>1498</v>
      </c>
      <c r="AK192" s="1"/>
      <c r="AL192" s="1"/>
      <c r="AM192" s="1" t="s">
        <v>1498</v>
      </c>
      <c r="AN192" s="1" t="s">
        <v>785</v>
      </c>
      <c r="AO192" s="1"/>
      <c r="AP192" s="1" t="s">
        <v>81</v>
      </c>
      <c r="AQ192" s="1"/>
      <c r="AR192" s="1"/>
      <c r="AS192" s="2"/>
      <c r="AT192" s="1"/>
      <c r="AU192" s="1"/>
      <c r="AV192" s="1"/>
      <c r="AW192" s="1" t="s">
        <v>2152</v>
      </c>
      <c r="AX192" s="7">
        <v>45218.756042144378</v>
      </c>
      <c r="AY192" s="1" t="s">
        <v>280</v>
      </c>
      <c r="AZ192" s="6">
        <v>1434</v>
      </c>
      <c r="BA192" s="5">
        <v>45218</v>
      </c>
      <c r="BB192" s="5">
        <v>45261</v>
      </c>
      <c r="BC192" s="5">
        <v>45218</v>
      </c>
      <c r="BD192" s="5">
        <v>45218</v>
      </c>
      <c r="BE192" s="7">
        <v>45291</v>
      </c>
      <c r="BF192" s="1" t="s">
        <v>2170</v>
      </c>
      <c r="BG192" s="1"/>
      <c r="BH192" s="1"/>
      <c r="BI192" s="1" t="s">
        <v>108</v>
      </c>
    </row>
    <row r="193" spans="1:61" hidden="1" x14ac:dyDescent="0.25">
      <c r="A193" s="4">
        <v>188</v>
      </c>
      <c r="B193" s="2" t="str">
        <f>HYPERLINK("https://my.zakupivli.pro/remote/dispatcher/state_purchase_view/46027487", "UA-2023-10-19-014867-a")</f>
        <v>UA-2023-10-19-014867-a</v>
      </c>
      <c r="C193" s="2" t="s">
        <v>1516</v>
      </c>
      <c r="D193" s="1" t="s">
        <v>1432</v>
      </c>
      <c r="E193" s="1" t="s">
        <v>1432</v>
      </c>
      <c r="F193" s="1" t="s">
        <v>487</v>
      </c>
      <c r="G193" s="1" t="s">
        <v>1035</v>
      </c>
      <c r="H193" s="1" t="s">
        <v>1218</v>
      </c>
      <c r="I193" s="1" t="s">
        <v>2094</v>
      </c>
      <c r="J193" s="1" t="s">
        <v>1145</v>
      </c>
      <c r="K193" s="1" t="s">
        <v>947</v>
      </c>
      <c r="L193" s="1" t="s">
        <v>1533</v>
      </c>
      <c r="M193" s="1" t="s">
        <v>1533</v>
      </c>
      <c r="N193" s="1" t="s">
        <v>110</v>
      </c>
      <c r="O193" s="1" t="s">
        <v>110</v>
      </c>
      <c r="P193" s="1" t="s">
        <v>110</v>
      </c>
      <c r="Q193" s="5">
        <v>45218</v>
      </c>
      <c r="R193" s="1"/>
      <c r="S193" s="1"/>
      <c r="T193" s="1"/>
      <c r="U193" s="1"/>
      <c r="V193" s="1" t="s">
        <v>2146</v>
      </c>
      <c r="W193" s="4">
        <v>1</v>
      </c>
      <c r="X193" s="6">
        <v>5527.76</v>
      </c>
      <c r="Y193" s="1" t="s">
        <v>1516</v>
      </c>
      <c r="Z193" s="1">
        <v>1</v>
      </c>
      <c r="AA193" s="6">
        <v>5527.76</v>
      </c>
      <c r="AB193" s="1" t="s">
        <v>2167</v>
      </c>
      <c r="AC193" s="1" t="s">
        <v>2162</v>
      </c>
      <c r="AD193" s="1" t="s">
        <v>1100</v>
      </c>
      <c r="AE193" s="1" t="s">
        <v>1522</v>
      </c>
      <c r="AF193" s="1" t="s">
        <v>1186</v>
      </c>
      <c r="AG193" s="1" t="s">
        <v>1522</v>
      </c>
      <c r="AH193" s="6">
        <v>5527.76</v>
      </c>
      <c r="AI193" s="6">
        <v>5527.76</v>
      </c>
      <c r="AJ193" s="1" t="s">
        <v>1498</v>
      </c>
      <c r="AK193" s="1"/>
      <c r="AL193" s="1"/>
      <c r="AM193" s="1" t="s">
        <v>1498</v>
      </c>
      <c r="AN193" s="1" t="s">
        <v>785</v>
      </c>
      <c r="AO193" s="1"/>
      <c r="AP193" s="1" t="s">
        <v>81</v>
      </c>
      <c r="AQ193" s="1"/>
      <c r="AR193" s="1"/>
      <c r="AS193" s="2"/>
      <c r="AT193" s="1"/>
      <c r="AU193" s="1"/>
      <c r="AV193" s="1"/>
      <c r="AW193" s="1" t="s">
        <v>2152</v>
      </c>
      <c r="AX193" s="7">
        <v>45218.745764746462</v>
      </c>
      <c r="AY193" s="1" t="s">
        <v>694</v>
      </c>
      <c r="AZ193" s="6">
        <v>5527.76</v>
      </c>
      <c r="BA193" s="5">
        <v>45218</v>
      </c>
      <c r="BB193" s="5">
        <v>45261</v>
      </c>
      <c r="BC193" s="5">
        <v>45218</v>
      </c>
      <c r="BD193" s="5">
        <v>45218</v>
      </c>
      <c r="BE193" s="7">
        <v>45291</v>
      </c>
      <c r="BF193" s="1" t="s">
        <v>2170</v>
      </c>
      <c r="BG193" s="1"/>
      <c r="BH193" s="1"/>
      <c r="BI193" s="1" t="s">
        <v>108</v>
      </c>
    </row>
    <row r="194" spans="1:61" hidden="1" x14ac:dyDescent="0.25">
      <c r="A194" s="4">
        <v>189</v>
      </c>
      <c r="B194" s="2" t="str">
        <f>HYPERLINK("https://my.zakupivli.pro/remote/dispatcher/state_purchase_view/46027395", "UA-2023-10-19-014845-a")</f>
        <v>UA-2023-10-19-014845-a</v>
      </c>
      <c r="C194" s="2" t="s">
        <v>1516</v>
      </c>
      <c r="D194" s="1" t="s">
        <v>1435</v>
      </c>
      <c r="E194" s="1" t="s">
        <v>1435</v>
      </c>
      <c r="F194" s="1" t="s">
        <v>487</v>
      </c>
      <c r="G194" s="1" t="s">
        <v>1035</v>
      </c>
      <c r="H194" s="1" t="s">
        <v>1218</v>
      </c>
      <c r="I194" s="1" t="s">
        <v>2094</v>
      </c>
      <c r="J194" s="1" t="s">
        <v>1145</v>
      </c>
      <c r="K194" s="1" t="s">
        <v>947</v>
      </c>
      <c r="L194" s="1" t="s">
        <v>1533</v>
      </c>
      <c r="M194" s="1" t="s">
        <v>1533</v>
      </c>
      <c r="N194" s="1" t="s">
        <v>110</v>
      </c>
      <c r="O194" s="1" t="s">
        <v>110</v>
      </c>
      <c r="P194" s="1" t="s">
        <v>110</v>
      </c>
      <c r="Q194" s="5">
        <v>45218</v>
      </c>
      <c r="R194" s="1"/>
      <c r="S194" s="1"/>
      <c r="T194" s="1"/>
      <c r="U194" s="1"/>
      <c r="V194" s="1" t="s">
        <v>2146</v>
      </c>
      <c r="W194" s="4">
        <v>1</v>
      </c>
      <c r="X194" s="6">
        <v>3681.25</v>
      </c>
      <c r="Y194" s="1" t="s">
        <v>1516</v>
      </c>
      <c r="Z194" s="1">
        <v>1</v>
      </c>
      <c r="AA194" s="6">
        <v>3681.25</v>
      </c>
      <c r="AB194" s="1" t="s">
        <v>2167</v>
      </c>
      <c r="AC194" s="1" t="s">
        <v>2162</v>
      </c>
      <c r="AD194" s="1" t="s">
        <v>1100</v>
      </c>
      <c r="AE194" s="1" t="s">
        <v>1522</v>
      </c>
      <c r="AF194" s="1" t="s">
        <v>1186</v>
      </c>
      <c r="AG194" s="1" t="s">
        <v>1522</v>
      </c>
      <c r="AH194" s="6">
        <v>3681.25</v>
      </c>
      <c r="AI194" s="6">
        <v>3681.25</v>
      </c>
      <c r="AJ194" s="1" t="s">
        <v>1498</v>
      </c>
      <c r="AK194" s="1"/>
      <c r="AL194" s="1"/>
      <c r="AM194" s="1" t="s">
        <v>1498</v>
      </c>
      <c r="AN194" s="1" t="s">
        <v>785</v>
      </c>
      <c r="AO194" s="1"/>
      <c r="AP194" s="1" t="s">
        <v>81</v>
      </c>
      <c r="AQ194" s="1"/>
      <c r="AR194" s="1"/>
      <c r="AS194" s="2"/>
      <c r="AT194" s="1"/>
      <c r="AU194" s="1"/>
      <c r="AV194" s="1"/>
      <c r="AW194" s="1" t="s">
        <v>2152</v>
      </c>
      <c r="AX194" s="7">
        <v>45218.747164457534</v>
      </c>
      <c r="AY194" s="1" t="s">
        <v>693</v>
      </c>
      <c r="AZ194" s="6">
        <v>3681.25</v>
      </c>
      <c r="BA194" s="5">
        <v>45218</v>
      </c>
      <c r="BB194" s="5">
        <v>45261</v>
      </c>
      <c r="BC194" s="5">
        <v>45218</v>
      </c>
      <c r="BD194" s="5">
        <v>45218</v>
      </c>
      <c r="BE194" s="7">
        <v>45291</v>
      </c>
      <c r="BF194" s="1" t="s">
        <v>2170</v>
      </c>
      <c r="BG194" s="1"/>
      <c r="BH194" s="1"/>
      <c r="BI194" s="1" t="s">
        <v>108</v>
      </c>
    </row>
    <row r="195" spans="1:61" hidden="1" x14ac:dyDescent="0.25">
      <c r="A195" s="4">
        <v>190</v>
      </c>
      <c r="B195" s="2" t="str">
        <f>HYPERLINK("https://my.zakupivli.pro/remote/dispatcher/state_purchase_view/46027351", "UA-2023-10-19-014808-a")</f>
        <v>UA-2023-10-19-014808-a</v>
      </c>
      <c r="C195" s="2" t="s">
        <v>1516</v>
      </c>
      <c r="D195" s="1" t="s">
        <v>1418</v>
      </c>
      <c r="E195" s="1" t="s">
        <v>1418</v>
      </c>
      <c r="F195" s="1" t="s">
        <v>487</v>
      </c>
      <c r="G195" s="1" t="s">
        <v>1035</v>
      </c>
      <c r="H195" s="1" t="s">
        <v>1218</v>
      </c>
      <c r="I195" s="1" t="s">
        <v>2094</v>
      </c>
      <c r="J195" s="1" t="s">
        <v>1145</v>
      </c>
      <c r="K195" s="1" t="s">
        <v>947</v>
      </c>
      <c r="L195" s="1" t="s">
        <v>1533</v>
      </c>
      <c r="M195" s="1" t="s">
        <v>1533</v>
      </c>
      <c r="N195" s="1" t="s">
        <v>110</v>
      </c>
      <c r="O195" s="1" t="s">
        <v>110</v>
      </c>
      <c r="P195" s="1" t="s">
        <v>110</v>
      </c>
      <c r="Q195" s="5">
        <v>45218</v>
      </c>
      <c r="R195" s="1"/>
      <c r="S195" s="1"/>
      <c r="T195" s="1"/>
      <c r="U195" s="1"/>
      <c r="V195" s="1" t="s">
        <v>2146</v>
      </c>
      <c r="W195" s="4">
        <v>1</v>
      </c>
      <c r="X195" s="6">
        <v>3307.76</v>
      </c>
      <c r="Y195" s="1" t="s">
        <v>1516</v>
      </c>
      <c r="Z195" s="1">
        <v>1</v>
      </c>
      <c r="AA195" s="6">
        <v>3307.76</v>
      </c>
      <c r="AB195" s="1" t="s">
        <v>2167</v>
      </c>
      <c r="AC195" s="1" t="s">
        <v>2162</v>
      </c>
      <c r="AD195" s="1" t="s">
        <v>1100</v>
      </c>
      <c r="AE195" s="1" t="s">
        <v>1522</v>
      </c>
      <c r="AF195" s="1" t="s">
        <v>1186</v>
      </c>
      <c r="AG195" s="1" t="s">
        <v>1522</v>
      </c>
      <c r="AH195" s="6">
        <v>3307.76</v>
      </c>
      <c r="AI195" s="6">
        <v>3307.76</v>
      </c>
      <c r="AJ195" s="1" t="s">
        <v>1498</v>
      </c>
      <c r="AK195" s="1"/>
      <c r="AL195" s="1"/>
      <c r="AM195" s="1" t="s">
        <v>1498</v>
      </c>
      <c r="AN195" s="1" t="s">
        <v>785</v>
      </c>
      <c r="AO195" s="1"/>
      <c r="AP195" s="1" t="s">
        <v>81</v>
      </c>
      <c r="AQ195" s="1"/>
      <c r="AR195" s="1"/>
      <c r="AS195" s="2"/>
      <c r="AT195" s="1"/>
      <c r="AU195" s="1"/>
      <c r="AV195" s="1"/>
      <c r="AW195" s="1" t="s">
        <v>2152</v>
      </c>
      <c r="AX195" s="7">
        <v>45218.739691435825</v>
      </c>
      <c r="AY195" s="1" t="s">
        <v>692</v>
      </c>
      <c r="AZ195" s="6">
        <v>3307.76</v>
      </c>
      <c r="BA195" s="5">
        <v>45218</v>
      </c>
      <c r="BB195" s="5">
        <v>45261</v>
      </c>
      <c r="BC195" s="5">
        <v>45218</v>
      </c>
      <c r="BD195" s="5">
        <v>45218</v>
      </c>
      <c r="BE195" s="7">
        <v>45291</v>
      </c>
      <c r="BF195" s="1" t="s">
        <v>2170</v>
      </c>
      <c r="BG195" s="1"/>
      <c r="BH195" s="1"/>
      <c r="BI195" s="1" t="s">
        <v>108</v>
      </c>
    </row>
    <row r="196" spans="1:61" hidden="1" x14ac:dyDescent="0.25">
      <c r="A196" s="4">
        <v>191</v>
      </c>
      <c r="B196" s="2" t="str">
        <f>HYPERLINK("https://my.zakupivli.pro/remote/dispatcher/state_purchase_view/46027318", "UA-2023-10-19-014785-a")</f>
        <v>UA-2023-10-19-014785-a</v>
      </c>
      <c r="C196" s="2" t="s">
        <v>1516</v>
      </c>
      <c r="D196" s="1" t="s">
        <v>1420</v>
      </c>
      <c r="E196" s="1" t="s">
        <v>1420</v>
      </c>
      <c r="F196" s="1" t="s">
        <v>487</v>
      </c>
      <c r="G196" s="1" t="s">
        <v>1035</v>
      </c>
      <c r="H196" s="1" t="s">
        <v>1218</v>
      </c>
      <c r="I196" s="1" t="s">
        <v>2094</v>
      </c>
      <c r="J196" s="1" t="s">
        <v>1145</v>
      </c>
      <c r="K196" s="1" t="s">
        <v>947</v>
      </c>
      <c r="L196" s="1" t="s">
        <v>1533</v>
      </c>
      <c r="M196" s="1" t="s">
        <v>1533</v>
      </c>
      <c r="N196" s="1" t="s">
        <v>110</v>
      </c>
      <c r="O196" s="1" t="s">
        <v>110</v>
      </c>
      <c r="P196" s="1" t="s">
        <v>110</v>
      </c>
      <c r="Q196" s="5">
        <v>45218</v>
      </c>
      <c r="R196" s="1"/>
      <c r="S196" s="1"/>
      <c r="T196" s="1"/>
      <c r="U196" s="1"/>
      <c r="V196" s="1" t="s">
        <v>2146</v>
      </c>
      <c r="W196" s="4">
        <v>1</v>
      </c>
      <c r="X196" s="6">
        <v>5575.42</v>
      </c>
      <c r="Y196" s="1" t="s">
        <v>1516</v>
      </c>
      <c r="Z196" s="1">
        <v>1</v>
      </c>
      <c r="AA196" s="6">
        <v>5575.42</v>
      </c>
      <c r="AB196" s="1" t="s">
        <v>2167</v>
      </c>
      <c r="AC196" s="1" t="s">
        <v>2162</v>
      </c>
      <c r="AD196" s="1" t="s">
        <v>1100</v>
      </c>
      <c r="AE196" s="1" t="s">
        <v>1522</v>
      </c>
      <c r="AF196" s="1" t="s">
        <v>1186</v>
      </c>
      <c r="AG196" s="1" t="s">
        <v>1522</v>
      </c>
      <c r="AH196" s="6">
        <v>5575.42</v>
      </c>
      <c r="AI196" s="6">
        <v>5575.42</v>
      </c>
      <c r="AJ196" s="1" t="s">
        <v>1498</v>
      </c>
      <c r="AK196" s="1"/>
      <c r="AL196" s="1"/>
      <c r="AM196" s="1" t="s">
        <v>1498</v>
      </c>
      <c r="AN196" s="1" t="s">
        <v>785</v>
      </c>
      <c r="AO196" s="1"/>
      <c r="AP196" s="1" t="s">
        <v>81</v>
      </c>
      <c r="AQ196" s="1"/>
      <c r="AR196" s="1"/>
      <c r="AS196" s="2"/>
      <c r="AT196" s="1"/>
      <c r="AU196" s="1"/>
      <c r="AV196" s="1"/>
      <c r="AW196" s="1" t="s">
        <v>2152</v>
      </c>
      <c r="AX196" s="7">
        <v>45218.737071350821</v>
      </c>
      <c r="AY196" s="1" t="s">
        <v>294</v>
      </c>
      <c r="AZ196" s="6">
        <v>5575.42</v>
      </c>
      <c r="BA196" s="5">
        <v>45218</v>
      </c>
      <c r="BB196" s="5">
        <v>45261</v>
      </c>
      <c r="BC196" s="5">
        <v>45218</v>
      </c>
      <c r="BD196" s="5">
        <v>45218</v>
      </c>
      <c r="BE196" s="7">
        <v>45291</v>
      </c>
      <c r="BF196" s="1" t="s">
        <v>2170</v>
      </c>
      <c r="BG196" s="1"/>
      <c r="BH196" s="1"/>
      <c r="BI196" s="1" t="s">
        <v>108</v>
      </c>
    </row>
    <row r="197" spans="1:61" hidden="1" x14ac:dyDescent="0.25">
      <c r="A197" s="4">
        <v>192</v>
      </c>
      <c r="B197" s="2" t="str">
        <f>HYPERLINK("https://my.zakupivli.pro/remote/dispatcher/state_purchase_view/46027252", "UA-2023-10-19-014755-a")</f>
        <v>UA-2023-10-19-014755-a</v>
      </c>
      <c r="C197" s="2" t="s">
        <v>1516</v>
      </c>
      <c r="D197" s="1" t="s">
        <v>1419</v>
      </c>
      <c r="E197" s="1" t="s">
        <v>1419</v>
      </c>
      <c r="F197" s="1" t="s">
        <v>487</v>
      </c>
      <c r="G197" s="1" t="s">
        <v>1035</v>
      </c>
      <c r="H197" s="1" t="s">
        <v>1218</v>
      </c>
      <c r="I197" s="1" t="s">
        <v>2094</v>
      </c>
      <c r="J197" s="1" t="s">
        <v>1145</v>
      </c>
      <c r="K197" s="1" t="s">
        <v>947</v>
      </c>
      <c r="L197" s="1" t="s">
        <v>1533</v>
      </c>
      <c r="M197" s="1" t="s">
        <v>1533</v>
      </c>
      <c r="N197" s="1" t="s">
        <v>110</v>
      </c>
      <c r="O197" s="1" t="s">
        <v>110</v>
      </c>
      <c r="P197" s="1" t="s">
        <v>110</v>
      </c>
      <c r="Q197" s="5">
        <v>45218</v>
      </c>
      <c r="R197" s="1"/>
      <c r="S197" s="1"/>
      <c r="T197" s="1"/>
      <c r="U197" s="1"/>
      <c r="V197" s="1" t="s">
        <v>2146</v>
      </c>
      <c r="W197" s="4">
        <v>1</v>
      </c>
      <c r="X197" s="6">
        <v>6143.51</v>
      </c>
      <c r="Y197" s="1" t="s">
        <v>1516</v>
      </c>
      <c r="Z197" s="1">
        <v>1</v>
      </c>
      <c r="AA197" s="6">
        <v>6143.51</v>
      </c>
      <c r="AB197" s="1" t="s">
        <v>2167</v>
      </c>
      <c r="AC197" s="1" t="s">
        <v>2162</v>
      </c>
      <c r="AD197" s="1" t="s">
        <v>1100</v>
      </c>
      <c r="AE197" s="1" t="s">
        <v>1522</v>
      </c>
      <c r="AF197" s="1" t="s">
        <v>1186</v>
      </c>
      <c r="AG197" s="1" t="s">
        <v>1522</v>
      </c>
      <c r="AH197" s="6">
        <v>6143.51</v>
      </c>
      <c r="AI197" s="6">
        <v>6143.51</v>
      </c>
      <c r="AJ197" s="1" t="s">
        <v>1498</v>
      </c>
      <c r="AK197" s="1"/>
      <c r="AL197" s="1"/>
      <c r="AM197" s="1" t="s">
        <v>1498</v>
      </c>
      <c r="AN197" s="1" t="s">
        <v>785</v>
      </c>
      <c r="AO197" s="1"/>
      <c r="AP197" s="1" t="s">
        <v>81</v>
      </c>
      <c r="AQ197" s="1"/>
      <c r="AR197" s="1"/>
      <c r="AS197" s="2"/>
      <c r="AT197" s="1"/>
      <c r="AU197" s="1"/>
      <c r="AV197" s="1"/>
      <c r="AW197" s="1" t="s">
        <v>2152</v>
      </c>
      <c r="AX197" s="7">
        <v>45218.734872504639</v>
      </c>
      <c r="AY197" s="1" t="s">
        <v>293</v>
      </c>
      <c r="AZ197" s="6">
        <v>6143.51</v>
      </c>
      <c r="BA197" s="5">
        <v>45218</v>
      </c>
      <c r="BB197" s="5">
        <v>45261</v>
      </c>
      <c r="BC197" s="5">
        <v>45218</v>
      </c>
      <c r="BD197" s="5">
        <v>45218</v>
      </c>
      <c r="BE197" s="7">
        <v>45291</v>
      </c>
      <c r="BF197" s="1" t="s">
        <v>2170</v>
      </c>
      <c r="BG197" s="1"/>
      <c r="BH197" s="1"/>
      <c r="BI197" s="1" t="s">
        <v>108</v>
      </c>
    </row>
    <row r="198" spans="1:61" hidden="1" x14ac:dyDescent="0.25">
      <c r="A198" s="4">
        <v>193</v>
      </c>
      <c r="B198" s="2" t="str">
        <f>HYPERLINK("https://my.zakupivli.pro/remote/dispatcher/state_purchase_view/46027190", "UA-2023-10-19-014731-a")</f>
        <v>UA-2023-10-19-014731-a</v>
      </c>
      <c r="C198" s="2" t="s">
        <v>1516</v>
      </c>
      <c r="D198" s="1" t="s">
        <v>1434</v>
      </c>
      <c r="E198" s="1" t="s">
        <v>1434</v>
      </c>
      <c r="F198" s="1" t="s">
        <v>487</v>
      </c>
      <c r="G198" s="1" t="s">
        <v>1035</v>
      </c>
      <c r="H198" s="1" t="s">
        <v>1218</v>
      </c>
      <c r="I198" s="1" t="s">
        <v>2094</v>
      </c>
      <c r="J198" s="1" t="s">
        <v>1145</v>
      </c>
      <c r="K198" s="1" t="s">
        <v>947</v>
      </c>
      <c r="L198" s="1" t="s">
        <v>1533</v>
      </c>
      <c r="M198" s="1" t="s">
        <v>1533</v>
      </c>
      <c r="N198" s="1" t="s">
        <v>110</v>
      </c>
      <c r="O198" s="1" t="s">
        <v>110</v>
      </c>
      <c r="P198" s="1" t="s">
        <v>110</v>
      </c>
      <c r="Q198" s="5">
        <v>45218</v>
      </c>
      <c r="R198" s="1"/>
      <c r="S198" s="1"/>
      <c r="T198" s="1"/>
      <c r="U198" s="1"/>
      <c r="V198" s="1" t="s">
        <v>2146</v>
      </c>
      <c r="W198" s="4">
        <v>1</v>
      </c>
      <c r="X198" s="6">
        <v>1991.44</v>
      </c>
      <c r="Y198" s="1" t="s">
        <v>1516</v>
      </c>
      <c r="Z198" s="1">
        <v>1</v>
      </c>
      <c r="AA198" s="6">
        <v>1991.44</v>
      </c>
      <c r="AB198" s="1" t="s">
        <v>2167</v>
      </c>
      <c r="AC198" s="1" t="s">
        <v>2162</v>
      </c>
      <c r="AD198" s="1" t="s">
        <v>1100</v>
      </c>
      <c r="AE198" s="1" t="s">
        <v>1522</v>
      </c>
      <c r="AF198" s="1" t="s">
        <v>1186</v>
      </c>
      <c r="AG198" s="1" t="s">
        <v>1522</v>
      </c>
      <c r="AH198" s="6">
        <v>1991.44</v>
      </c>
      <c r="AI198" s="6">
        <v>1991.44</v>
      </c>
      <c r="AJ198" s="1" t="s">
        <v>1498</v>
      </c>
      <c r="AK198" s="1"/>
      <c r="AL198" s="1"/>
      <c r="AM198" s="1" t="s">
        <v>1498</v>
      </c>
      <c r="AN198" s="1" t="s">
        <v>785</v>
      </c>
      <c r="AO198" s="1"/>
      <c r="AP198" s="1" t="s">
        <v>81</v>
      </c>
      <c r="AQ198" s="1"/>
      <c r="AR198" s="1"/>
      <c r="AS198" s="2"/>
      <c r="AT198" s="1"/>
      <c r="AU198" s="1"/>
      <c r="AV198" s="1"/>
      <c r="AW198" s="1" t="s">
        <v>2152</v>
      </c>
      <c r="AX198" s="7">
        <v>45218.732118350221</v>
      </c>
      <c r="AY198" s="1" t="s">
        <v>292</v>
      </c>
      <c r="AZ198" s="6">
        <v>1991.44</v>
      </c>
      <c r="BA198" s="5">
        <v>45218</v>
      </c>
      <c r="BB198" s="5">
        <v>45261</v>
      </c>
      <c r="BC198" s="5">
        <v>45218</v>
      </c>
      <c r="BD198" s="5">
        <v>45218</v>
      </c>
      <c r="BE198" s="7">
        <v>45291</v>
      </c>
      <c r="BF198" s="1" t="s">
        <v>2170</v>
      </c>
      <c r="BG198" s="1"/>
      <c r="BH198" s="1"/>
      <c r="BI198" s="1" t="s">
        <v>108</v>
      </c>
    </row>
    <row r="199" spans="1:61" hidden="1" x14ac:dyDescent="0.25">
      <c r="A199" s="4">
        <v>194</v>
      </c>
      <c r="B199" s="2" t="str">
        <f>HYPERLINK("https://my.zakupivli.pro/remote/dispatcher/state_purchase_view/45847540", "UA-2023-10-12-014325-a")</f>
        <v>UA-2023-10-12-014325-a</v>
      </c>
      <c r="C199" s="2" t="str">
        <f>HYPERLINK("https://my.zakupivli.pro/remote/dispatcher/state_purchase_lot_view/1072941", "UA-2023-10-12-014325-a-L1")</f>
        <v>UA-2023-10-12-014325-a-L1</v>
      </c>
      <c r="D199" s="1" t="s">
        <v>1679</v>
      </c>
      <c r="E199" s="1" t="s">
        <v>1678</v>
      </c>
      <c r="F199" s="1" t="s">
        <v>487</v>
      </c>
      <c r="G199" s="1" t="s">
        <v>976</v>
      </c>
      <c r="H199" s="1" t="s">
        <v>1185</v>
      </c>
      <c r="I199" s="1" t="s">
        <v>2094</v>
      </c>
      <c r="J199" s="1" t="s">
        <v>1145</v>
      </c>
      <c r="K199" s="1" t="s">
        <v>947</v>
      </c>
      <c r="L199" s="1" t="s">
        <v>1533</v>
      </c>
      <c r="M199" s="1" t="s">
        <v>1533</v>
      </c>
      <c r="N199" s="1" t="s">
        <v>110</v>
      </c>
      <c r="O199" s="1" t="s">
        <v>110</v>
      </c>
      <c r="P199" s="1" t="s">
        <v>110</v>
      </c>
      <c r="Q199" s="5">
        <v>45211</v>
      </c>
      <c r="R199" s="1" t="s">
        <v>578</v>
      </c>
      <c r="S199" s="1" t="s">
        <v>584</v>
      </c>
      <c r="T199" s="5">
        <v>45211</v>
      </c>
      <c r="U199" s="5">
        <v>45225</v>
      </c>
      <c r="V199" s="1" t="s">
        <v>2147</v>
      </c>
      <c r="W199" s="4">
        <v>1</v>
      </c>
      <c r="X199" s="6">
        <v>1072376</v>
      </c>
      <c r="Y199" s="6">
        <v>1072376</v>
      </c>
      <c r="Z199" s="1">
        <v>1</v>
      </c>
      <c r="AA199" s="6">
        <v>1072376</v>
      </c>
      <c r="AB199" s="1" t="s">
        <v>2167</v>
      </c>
      <c r="AC199" s="6">
        <v>5361.88</v>
      </c>
      <c r="AD199" s="1" t="s">
        <v>1100</v>
      </c>
      <c r="AE199" s="1" t="s">
        <v>2094</v>
      </c>
      <c r="AF199" s="1" t="s">
        <v>1186</v>
      </c>
      <c r="AG199" s="1" t="s">
        <v>1522</v>
      </c>
      <c r="AH199" s="6">
        <v>999951.69</v>
      </c>
      <c r="AI199" s="6">
        <v>999951.69</v>
      </c>
      <c r="AJ199" s="1" t="s">
        <v>2044</v>
      </c>
      <c r="AK199" s="6">
        <v>72424.310000000056</v>
      </c>
      <c r="AL199" s="6">
        <v>6.7536302565518111E-2</v>
      </c>
      <c r="AM199" s="1" t="s">
        <v>2044</v>
      </c>
      <c r="AN199" s="1" t="s">
        <v>913</v>
      </c>
      <c r="AO199" s="1" t="s">
        <v>1124</v>
      </c>
      <c r="AP199" s="1" t="s">
        <v>44</v>
      </c>
      <c r="AQ199" s="6">
        <v>72424.310000000056</v>
      </c>
      <c r="AR199" s="6">
        <v>6.7536302565518111E-2</v>
      </c>
      <c r="AS199" s="2"/>
      <c r="AT199" s="7">
        <v>45231.54351919271</v>
      </c>
      <c r="AU199" s="1" t="s">
        <v>586</v>
      </c>
      <c r="AV199" s="1" t="s">
        <v>591</v>
      </c>
      <c r="AW199" s="1" t="s">
        <v>2151</v>
      </c>
      <c r="AX199" s="7">
        <v>45237.532921816783</v>
      </c>
      <c r="AY199" s="1" t="s">
        <v>695</v>
      </c>
      <c r="AZ199" s="6">
        <v>999951.69</v>
      </c>
      <c r="BA199" s="1"/>
      <c r="BB199" s="5">
        <v>45282</v>
      </c>
      <c r="BC199" s="5">
        <v>45237</v>
      </c>
      <c r="BD199" s="5">
        <v>45237</v>
      </c>
      <c r="BE199" s="7">
        <v>45291</v>
      </c>
      <c r="BF199" s="1" t="s">
        <v>2170</v>
      </c>
      <c r="BG199" s="1"/>
      <c r="BH199" s="1"/>
      <c r="BI199" s="1" t="s">
        <v>914</v>
      </c>
    </row>
    <row r="200" spans="1:61" hidden="1" x14ac:dyDescent="0.25">
      <c r="A200" s="4">
        <v>195</v>
      </c>
      <c r="B200" s="2" t="str">
        <f>HYPERLINK("https://my.zakupivli.pro/remote/dispatcher/state_purchase_view/45797019", "UA-2023-10-11-007294-a")</f>
        <v>UA-2023-10-11-007294-a</v>
      </c>
      <c r="C200" s="2" t="s">
        <v>1516</v>
      </c>
      <c r="D200" s="1" t="s">
        <v>1680</v>
      </c>
      <c r="E200" s="1" t="s">
        <v>1683</v>
      </c>
      <c r="F200" s="1" t="s">
        <v>487</v>
      </c>
      <c r="G200" s="1" t="s">
        <v>1034</v>
      </c>
      <c r="H200" s="1" t="s">
        <v>1218</v>
      </c>
      <c r="I200" s="1" t="s">
        <v>2094</v>
      </c>
      <c r="J200" s="1" t="s">
        <v>1145</v>
      </c>
      <c r="K200" s="1" t="s">
        <v>947</v>
      </c>
      <c r="L200" s="1" t="s">
        <v>1533</v>
      </c>
      <c r="M200" s="1" t="s">
        <v>1533</v>
      </c>
      <c r="N200" s="1" t="s">
        <v>110</v>
      </c>
      <c r="O200" s="1" t="s">
        <v>110</v>
      </c>
      <c r="P200" s="1" t="s">
        <v>110</v>
      </c>
      <c r="Q200" s="5">
        <v>45210</v>
      </c>
      <c r="R200" s="1"/>
      <c r="S200" s="1"/>
      <c r="T200" s="1"/>
      <c r="U200" s="1"/>
      <c r="V200" s="1" t="s">
        <v>2146</v>
      </c>
      <c r="W200" s="4">
        <v>1</v>
      </c>
      <c r="X200" s="6">
        <v>2623.16</v>
      </c>
      <c r="Y200" s="1" t="s">
        <v>1516</v>
      </c>
      <c r="Z200" s="1">
        <v>1</v>
      </c>
      <c r="AA200" s="6">
        <v>2623.16</v>
      </c>
      <c r="AB200" s="1" t="s">
        <v>2167</v>
      </c>
      <c r="AC200" s="1" t="s">
        <v>2162</v>
      </c>
      <c r="AD200" s="1" t="s">
        <v>1100</v>
      </c>
      <c r="AE200" s="1" t="s">
        <v>1522</v>
      </c>
      <c r="AF200" s="1" t="s">
        <v>1186</v>
      </c>
      <c r="AG200" s="1" t="s">
        <v>1522</v>
      </c>
      <c r="AH200" s="6">
        <v>2623.16</v>
      </c>
      <c r="AI200" s="6">
        <v>2623.16</v>
      </c>
      <c r="AJ200" s="1" t="s">
        <v>1160</v>
      </c>
      <c r="AK200" s="1"/>
      <c r="AL200" s="1"/>
      <c r="AM200" s="1" t="s">
        <v>1160</v>
      </c>
      <c r="AN200" s="1" t="s">
        <v>820</v>
      </c>
      <c r="AO200" s="1"/>
      <c r="AP200" s="1" t="s">
        <v>9</v>
      </c>
      <c r="AQ200" s="1"/>
      <c r="AR200" s="1"/>
      <c r="AS200" s="2"/>
      <c r="AT200" s="1"/>
      <c r="AU200" s="1"/>
      <c r="AV200" s="1"/>
      <c r="AW200" s="1" t="s">
        <v>2152</v>
      </c>
      <c r="AX200" s="7">
        <v>45210.556594405578</v>
      </c>
      <c r="AY200" s="1" t="s">
        <v>271</v>
      </c>
      <c r="AZ200" s="6">
        <v>2623.16</v>
      </c>
      <c r="BA200" s="5">
        <v>45205</v>
      </c>
      <c r="BB200" s="5">
        <v>45230</v>
      </c>
      <c r="BC200" s="5">
        <v>45205</v>
      </c>
      <c r="BD200" s="5">
        <v>45205</v>
      </c>
      <c r="BE200" s="7">
        <v>45291</v>
      </c>
      <c r="BF200" s="1" t="s">
        <v>2170</v>
      </c>
      <c r="BG200" s="1"/>
      <c r="BH200" s="1"/>
      <c r="BI200" s="1" t="s">
        <v>108</v>
      </c>
    </row>
    <row r="201" spans="1:61" hidden="1" x14ac:dyDescent="0.25">
      <c r="A201" s="4">
        <v>196</v>
      </c>
      <c r="B201" s="2" t="str">
        <f>HYPERLINK("https://my.zakupivli.pro/remote/dispatcher/state_purchase_view/45764700", "UA-2023-10-10-008144-a")</f>
        <v>UA-2023-10-10-008144-a</v>
      </c>
      <c r="C201" s="2" t="s">
        <v>1516</v>
      </c>
      <c r="D201" s="1" t="s">
        <v>1842</v>
      </c>
      <c r="E201" s="1" t="s">
        <v>1842</v>
      </c>
      <c r="F201" s="1" t="s">
        <v>487</v>
      </c>
      <c r="G201" s="1" t="s">
        <v>1035</v>
      </c>
      <c r="H201" s="1" t="s">
        <v>1218</v>
      </c>
      <c r="I201" s="1" t="s">
        <v>2094</v>
      </c>
      <c r="J201" s="1" t="s">
        <v>1145</v>
      </c>
      <c r="K201" s="1" t="s">
        <v>947</v>
      </c>
      <c r="L201" s="1" t="s">
        <v>1533</v>
      </c>
      <c r="M201" s="1" t="s">
        <v>1533</v>
      </c>
      <c r="N201" s="1" t="s">
        <v>110</v>
      </c>
      <c r="O201" s="1" t="s">
        <v>110</v>
      </c>
      <c r="P201" s="1" t="s">
        <v>110</v>
      </c>
      <c r="Q201" s="5">
        <v>45209</v>
      </c>
      <c r="R201" s="1"/>
      <c r="S201" s="1"/>
      <c r="T201" s="1"/>
      <c r="U201" s="1"/>
      <c r="V201" s="1" t="s">
        <v>2146</v>
      </c>
      <c r="W201" s="4">
        <v>1</v>
      </c>
      <c r="X201" s="6">
        <v>376.8</v>
      </c>
      <c r="Y201" s="1" t="s">
        <v>1516</v>
      </c>
      <c r="Z201" s="1">
        <v>1</v>
      </c>
      <c r="AA201" s="6">
        <v>376.8</v>
      </c>
      <c r="AB201" s="1" t="s">
        <v>2167</v>
      </c>
      <c r="AC201" s="1" t="s">
        <v>2162</v>
      </c>
      <c r="AD201" s="1" t="s">
        <v>1100</v>
      </c>
      <c r="AE201" s="1" t="s">
        <v>1522</v>
      </c>
      <c r="AF201" s="1" t="s">
        <v>1186</v>
      </c>
      <c r="AG201" s="1" t="s">
        <v>1522</v>
      </c>
      <c r="AH201" s="6">
        <v>376.8</v>
      </c>
      <c r="AI201" s="6">
        <v>376.8</v>
      </c>
      <c r="AJ201" s="1" t="s">
        <v>1498</v>
      </c>
      <c r="AK201" s="1"/>
      <c r="AL201" s="1"/>
      <c r="AM201" s="1" t="s">
        <v>1498</v>
      </c>
      <c r="AN201" s="1" t="s">
        <v>785</v>
      </c>
      <c r="AO201" s="1"/>
      <c r="AP201" s="1" t="s">
        <v>81</v>
      </c>
      <c r="AQ201" s="1"/>
      <c r="AR201" s="1"/>
      <c r="AS201" s="2"/>
      <c r="AT201" s="1"/>
      <c r="AU201" s="1"/>
      <c r="AV201" s="1"/>
      <c r="AW201" s="1" t="s">
        <v>2152</v>
      </c>
      <c r="AX201" s="7">
        <v>45209.580117628298</v>
      </c>
      <c r="AY201" s="1" t="s">
        <v>269</v>
      </c>
      <c r="AZ201" s="6">
        <v>376.8</v>
      </c>
      <c r="BA201" s="5">
        <v>45209</v>
      </c>
      <c r="BB201" s="5">
        <v>45291</v>
      </c>
      <c r="BC201" s="5">
        <v>45209</v>
      </c>
      <c r="BD201" s="5">
        <v>45209</v>
      </c>
      <c r="BE201" s="7">
        <v>45291</v>
      </c>
      <c r="BF201" s="1" t="s">
        <v>2170</v>
      </c>
      <c r="BG201" s="1"/>
      <c r="BH201" s="1"/>
      <c r="BI201" s="1" t="s">
        <v>108</v>
      </c>
    </row>
    <row r="202" spans="1:61" hidden="1" x14ac:dyDescent="0.25">
      <c r="A202" s="4">
        <v>197</v>
      </c>
      <c r="B202" s="2" t="str">
        <f>HYPERLINK("https://my.zakupivli.pro/remote/dispatcher/state_purchase_view/45765036", "UA-2023-10-10-008260-a")</f>
        <v>UA-2023-10-10-008260-a</v>
      </c>
      <c r="C202" s="2" t="s">
        <v>1516</v>
      </c>
      <c r="D202" s="1" t="s">
        <v>1843</v>
      </c>
      <c r="E202" s="1" t="s">
        <v>1843</v>
      </c>
      <c r="F202" s="1" t="s">
        <v>487</v>
      </c>
      <c r="G202" s="1" t="s">
        <v>1035</v>
      </c>
      <c r="H202" s="1" t="s">
        <v>1218</v>
      </c>
      <c r="I202" s="1" t="s">
        <v>2094</v>
      </c>
      <c r="J202" s="1" t="s">
        <v>1145</v>
      </c>
      <c r="K202" s="1" t="s">
        <v>947</v>
      </c>
      <c r="L202" s="1" t="s">
        <v>1533</v>
      </c>
      <c r="M202" s="1" t="s">
        <v>1533</v>
      </c>
      <c r="N202" s="1" t="s">
        <v>110</v>
      </c>
      <c r="O202" s="1" t="s">
        <v>110</v>
      </c>
      <c r="P202" s="1" t="s">
        <v>110</v>
      </c>
      <c r="Q202" s="5">
        <v>45209</v>
      </c>
      <c r="R202" s="1"/>
      <c r="S202" s="1"/>
      <c r="T202" s="1"/>
      <c r="U202" s="1"/>
      <c r="V202" s="1" t="s">
        <v>2146</v>
      </c>
      <c r="W202" s="4">
        <v>1</v>
      </c>
      <c r="X202" s="6">
        <v>2111.7600000000002</v>
      </c>
      <c r="Y202" s="1" t="s">
        <v>1516</v>
      </c>
      <c r="Z202" s="1">
        <v>1</v>
      </c>
      <c r="AA202" s="6">
        <v>2111.7600000000002</v>
      </c>
      <c r="AB202" s="1" t="s">
        <v>2167</v>
      </c>
      <c r="AC202" s="1" t="s">
        <v>2162</v>
      </c>
      <c r="AD202" s="1" t="s">
        <v>1100</v>
      </c>
      <c r="AE202" s="1" t="s">
        <v>1522</v>
      </c>
      <c r="AF202" s="1" t="s">
        <v>1186</v>
      </c>
      <c r="AG202" s="1" t="s">
        <v>1522</v>
      </c>
      <c r="AH202" s="6">
        <v>2111.7600000000002</v>
      </c>
      <c r="AI202" s="6">
        <v>2111.7600000000002</v>
      </c>
      <c r="AJ202" s="1" t="s">
        <v>1498</v>
      </c>
      <c r="AK202" s="1"/>
      <c r="AL202" s="1"/>
      <c r="AM202" s="1" t="s">
        <v>1498</v>
      </c>
      <c r="AN202" s="1" t="s">
        <v>785</v>
      </c>
      <c r="AO202" s="1"/>
      <c r="AP202" s="1" t="s">
        <v>81</v>
      </c>
      <c r="AQ202" s="1"/>
      <c r="AR202" s="1"/>
      <c r="AS202" s="2"/>
      <c r="AT202" s="1"/>
      <c r="AU202" s="1"/>
      <c r="AV202" s="1"/>
      <c r="AW202" s="1" t="s">
        <v>2152</v>
      </c>
      <c r="AX202" s="7">
        <v>45209.583316833508</v>
      </c>
      <c r="AY202" s="1" t="s">
        <v>268</v>
      </c>
      <c r="AZ202" s="6">
        <v>2111.7600000000002</v>
      </c>
      <c r="BA202" s="5">
        <v>45209</v>
      </c>
      <c r="BB202" s="5">
        <v>45291</v>
      </c>
      <c r="BC202" s="5">
        <v>45209</v>
      </c>
      <c r="BD202" s="5">
        <v>45209</v>
      </c>
      <c r="BE202" s="7">
        <v>45291</v>
      </c>
      <c r="BF202" s="1" t="s">
        <v>2170</v>
      </c>
      <c r="BG202" s="1"/>
      <c r="BH202" s="1"/>
      <c r="BI202" s="1" t="s">
        <v>108</v>
      </c>
    </row>
    <row r="203" spans="1:61" hidden="1" x14ac:dyDescent="0.25">
      <c r="A203" s="4">
        <v>198</v>
      </c>
      <c r="B203" s="2" t="str">
        <f>HYPERLINK("https://my.zakupivli.pro/remote/dispatcher/state_purchase_view/45760381", "UA-2023-10-10-006286-a")</f>
        <v>UA-2023-10-10-006286-a</v>
      </c>
      <c r="C203" s="2" t="s">
        <v>1516</v>
      </c>
      <c r="D203" s="1" t="s">
        <v>1786</v>
      </c>
      <c r="E203" s="1" t="s">
        <v>1786</v>
      </c>
      <c r="F203" s="1" t="s">
        <v>487</v>
      </c>
      <c r="G203" s="1" t="s">
        <v>966</v>
      </c>
      <c r="H203" s="1" t="s">
        <v>1218</v>
      </c>
      <c r="I203" s="1" t="s">
        <v>2094</v>
      </c>
      <c r="J203" s="1" t="s">
        <v>1145</v>
      </c>
      <c r="K203" s="1" t="s">
        <v>947</v>
      </c>
      <c r="L203" s="1" t="s">
        <v>1533</v>
      </c>
      <c r="M203" s="1" t="s">
        <v>1533</v>
      </c>
      <c r="N203" s="1" t="s">
        <v>110</v>
      </c>
      <c r="O203" s="1" t="s">
        <v>110</v>
      </c>
      <c r="P203" s="1" t="s">
        <v>110</v>
      </c>
      <c r="Q203" s="5">
        <v>45209</v>
      </c>
      <c r="R203" s="1"/>
      <c r="S203" s="1"/>
      <c r="T203" s="1"/>
      <c r="U203" s="1"/>
      <c r="V203" s="1" t="s">
        <v>2146</v>
      </c>
      <c r="W203" s="4">
        <v>1</v>
      </c>
      <c r="X203" s="6">
        <v>148131.28</v>
      </c>
      <c r="Y203" s="1" t="s">
        <v>1516</v>
      </c>
      <c r="Z203" s="1">
        <v>1</v>
      </c>
      <c r="AA203" s="6">
        <v>148131.28</v>
      </c>
      <c r="AB203" s="1" t="s">
        <v>2167</v>
      </c>
      <c r="AC203" s="1" t="s">
        <v>2162</v>
      </c>
      <c r="AD203" s="1" t="s">
        <v>1100</v>
      </c>
      <c r="AE203" s="1" t="s">
        <v>1522</v>
      </c>
      <c r="AF203" s="1" t="s">
        <v>1186</v>
      </c>
      <c r="AG203" s="1" t="s">
        <v>1522</v>
      </c>
      <c r="AH203" s="6">
        <v>148131.28</v>
      </c>
      <c r="AI203" s="6">
        <v>148131.28</v>
      </c>
      <c r="AJ203" s="1" t="s">
        <v>2046</v>
      </c>
      <c r="AK203" s="1"/>
      <c r="AL203" s="1"/>
      <c r="AM203" s="1" t="s">
        <v>2046</v>
      </c>
      <c r="AN203" s="1" t="s">
        <v>745</v>
      </c>
      <c r="AO203" s="1"/>
      <c r="AP203" s="1" t="s">
        <v>99</v>
      </c>
      <c r="AQ203" s="1"/>
      <c r="AR203" s="1"/>
      <c r="AS203" s="2"/>
      <c r="AT203" s="1"/>
      <c r="AU203" s="1"/>
      <c r="AV203" s="1"/>
      <c r="AW203" s="1" t="s">
        <v>2152</v>
      </c>
      <c r="AX203" s="7">
        <v>45209.52421857477</v>
      </c>
      <c r="AY203" s="1" t="s">
        <v>267</v>
      </c>
      <c r="AZ203" s="6">
        <v>148131.28</v>
      </c>
      <c r="BA203" s="5">
        <v>45209</v>
      </c>
      <c r="BB203" s="5">
        <v>45261</v>
      </c>
      <c r="BC203" s="5">
        <v>45209</v>
      </c>
      <c r="BD203" s="5">
        <v>45209</v>
      </c>
      <c r="BE203" s="7">
        <v>45291</v>
      </c>
      <c r="BF203" s="1" t="s">
        <v>2170</v>
      </c>
      <c r="BG203" s="1"/>
      <c r="BH203" s="1"/>
      <c r="BI203" s="1" t="s">
        <v>108</v>
      </c>
    </row>
    <row r="204" spans="1:61" hidden="1" x14ac:dyDescent="0.25">
      <c r="A204" s="4">
        <v>199</v>
      </c>
      <c r="B204" s="2" t="str">
        <f>HYPERLINK("https://my.zakupivli.pro/remote/dispatcher/state_purchase_view/45730271", "UA-2023-10-09-007352-a")</f>
        <v>UA-2023-10-09-007352-a</v>
      </c>
      <c r="C204" s="2" t="s">
        <v>1516</v>
      </c>
      <c r="D204" s="1" t="s">
        <v>1871</v>
      </c>
      <c r="E204" s="1" t="s">
        <v>1871</v>
      </c>
      <c r="F204" s="1" t="s">
        <v>487</v>
      </c>
      <c r="G204" s="1" t="s">
        <v>972</v>
      </c>
      <c r="H204" s="1" t="s">
        <v>1218</v>
      </c>
      <c r="I204" s="1" t="s">
        <v>2094</v>
      </c>
      <c r="J204" s="1" t="s">
        <v>1145</v>
      </c>
      <c r="K204" s="1" t="s">
        <v>947</v>
      </c>
      <c r="L204" s="1" t="s">
        <v>1533</v>
      </c>
      <c r="M204" s="1" t="s">
        <v>1533</v>
      </c>
      <c r="N204" s="1" t="s">
        <v>110</v>
      </c>
      <c r="O204" s="1" t="s">
        <v>110</v>
      </c>
      <c r="P204" s="1" t="s">
        <v>110</v>
      </c>
      <c r="Q204" s="5">
        <v>45208</v>
      </c>
      <c r="R204" s="1"/>
      <c r="S204" s="1"/>
      <c r="T204" s="1"/>
      <c r="U204" s="1"/>
      <c r="V204" s="1" t="s">
        <v>2146</v>
      </c>
      <c r="W204" s="4">
        <v>1</v>
      </c>
      <c r="X204" s="6">
        <v>55131.73</v>
      </c>
      <c r="Y204" s="1" t="s">
        <v>1516</v>
      </c>
      <c r="Z204" s="1">
        <v>1</v>
      </c>
      <c r="AA204" s="6">
        <v>55131.73</v>
      </c>
      <c r="AB204" s="1" t="s">
        <v>2167</v>
      </c>
      <c r="AC204" s="1" t="s">
        <v>2162</v>
      </c>
      <c r="AD204" s="1" t="s">
        <v>1100</v>
      </c>
      <c r="AE204" s="1" t="s">
        <v>1522</v>
      </c>
      <c r="AF204" s="1" t="s">
        <v>1186</v>
      </c>
      <c r="AG204" s="1" t="s">
        <v>1522</v>
      </c>
      <c r="AH204" s="6">
        <v>55131.73</v>
      </c>
      <c r="AI204" s="6">
        <v>55131.73</v>
      </c>
      <c r="AJ204" s="1" t="s">
        <v>2044</v>
      </c>
      <c r="AK204" s="1"/>
      <c r="AL204" s="1"/>
      <c r="AM204" s="1" t="s">
        <v>2044</v>
      </c>
      <c r="AN204" s="1" t="s">
        <v>913</v>
      </c>
      <c r="AO204" s="1"/>
      <c r="AP204" s="1" t="s">
        <v>44</v>
      </c>
      <c r="AQ204" s="1"/>
      <c r="AR204" s="1"/>
      <c r="AS204" s="2"/>
      <c r="AT204" s="1"/>
      <c r="AU204" s="1"/>
      <c r="AV204" s="1"/>
      <c r="AW204" s="1" t="s">
        <v>2152</v>
      </c>
      <c r="AX204" s="7">
        <v>45208.581286131572</v>
      </c>
      <c r="AY204" s="1" t="s">
        <v>262</v>
      </c>
      <c r="AZ204" s="6">
        <v>55131.73</v>
      </c>
      <c r="BA204" s="5">
        <v>45205</v>
      </c>
      <c r="BB204" s="5">
        <v>45261</v>
      </c>
      <c r="BC204" s="5">
        <v>45205</v>
      </c>
      <c r="BD204" s="5">
        <v>45205</v>
      </c>
      <c r="BE204" s="7">
        <v>45291</v>
      </c>
      <c r="BF204" s="1" t="s">
        <v>2170</v>
      </c>
      <c r="BG204" s="1"/>
      <c r="BH204" s="1"/>
      <c r="BI204" s="1" t="s">
        <v>108</v>
      </c>
    </row>
    <row r="205" spans="1:61" hidden="1" x14ac:dyDescent="0.25">
      <c r="A205" s="4">
        <v>200</v>
      </c>
      <c r="B205" s="2" t="str">
        <f>HYPERLINK("https://my.zakupivli.pro/remote/dispatcher/state_purchase_view/45727792", "UA-2023-10-09-006254-a")</f>
        <v>UA-2023-10-09-006254-a</v>
      </c>
      <c r="C205" s="2" t="s">
        <v>1516</v>
      </c>
      <c r="D205" s="1" t="s">
        <v>1876</v>
      </c>
      <c r="E205" s="1" t="s">
        <v>1876</v>
      </c>
      <c r="F205" s="1" t="s">
        <v>487</v>
      </c>
      <c r="G205" s="1" t="s">
        <v>966</v>
      </c>
      <c r="H205" s="1" t="s">
        <v>1218</v>
      </c>
      <c r="I205" s="1" t="s">
        <v>2094</v>
      </c>
      <c r="J205" s="1" t="s">
        <v>1145</v>
      </c>
      <c r="K205" s="1" t="s">
        <v>947</v>
      </c>
      <c r="L205" s="1" t="s">
        <v>1533</v>
      </c>
      <c r="M205" s="1" t="s">
        <v>1533</v>
      </c>
      <c r="N205" s="1" t="s">
        <v>110</v>
      </c>
      <c r="O205" s="1" t="s">
        <v>110</v>
      </c>
      <c r="P205" s="1" t="s">
        <v>110</v>
      </c>
      <c r="Q205" s="5">
        <v>45208</v>
      </c>
      <c r="R205" s="1"/>
      <c r="S205" s="1"/>
      <c r="T205" s="1"/>
      <c r="U205" s="1"/>
      <c r="V205" s="1" t="s">
        <v>2146</v>
      </c>
      <c r="W205" s="4">
        <v>1</v>
      </c>
      <c r="X205" s="6">
        <v>10842.7</v>
      </c>
      <c r="Y205" s="1" t="s">
        <v>1516</v>
      </c>
      <c r="Z205" s="1">
        <v>1</v>
      </c>
      <c r="AA205" s="6">
        <v>10842.7</v>
      </c>
      <c r="AB205" s="1" t="s">
        <v>2167</v>
      </c>
      <c r="AC205" s="1" t="s">
        <v>2162</v>
      </c>
      <c r="AD205" s="1" t="s">
        <v>1100</v>
      </c>
      <c r="AE205" s="1" t="s">
        <v>2094</v>
      </c>
      <c r="AF205" s="1" t="s">
        <v>1186</v>
      </c>
      <c r="AG205" s="1" t="s">
        <v>1522</v>
      </c>
      <c r="AH205" s="6">
        <v>10842.7</v>
      </c>
      <c r="AI205" s="6">
        <v>10842.7</v>
      </c>
      <c r="AJ205" s="1" t="s">
        <v>2092</v>
      </c>
      <c r="AK205" s="1"/>
      <c r="AL205" s="1"/>
      <c r="AM205" s="1" t="s">
        <v>2092</v>
      </c>
      <c r="AN205" s="1" t="s">
        <v>295</v>
      </c>
      <c r="AO205" s="1"/>
      <c r="AP205" s="1" t="s">
        <v>94</v>
      </c>
      <c r="AQ205" s="1"/>
      <c r="AR205" s="1"/>
      <c r="AS205" s="2"/>
      <c r="AT205" s="1"/>
      <c r="AU205" s="1"/>
      <c r="AV205" s="1"/>
      <c r="AW205" s="1" t="s">
        <v>2152</v>
      </c>
      <c r="AX205" s="7">
        <v>45208.542717020209</v>
      </c>
      <c r="AY205" s="1" t="s">
        <v>263</v>
      </c>
      <c r="AZ205" s="6">
        <v>10842.7</v>
      </c>
      <c r="BA205" s="5">
        <v>45205</v>
      </c>
      <c r="BB205" s="5">
        <v>45261</v>
      </c>
      <c r="BC205" s="5">
        <v>45205</v>
      </c>
      <c r="BD205" s="5">
        <v>45205</v>
      </c>
      <c r="BE205" s="7">
        <v>45291</v>
      </c>
      <c r="BF205" s="1" t="s">
        <v>2170</v>
      </c>
      <c r="BG205" s="1"/>
      <c r="BH205" s="1"/>
      <c r="BI205" s="1" t="s">
        <v>108</v>
      </c>
    </row>
    <row r="206" spans="1:61" hidden="1" x14ac:dyDescent="0.25">
      <c r="A206" s="4">
        <v>201</v>
      </c>
      <c r="B206" s="2" t="str">
        <f>HYPERLINK("https://my.zakupivli.pro/remote/dispatcher/state_purchase_view/45727079", "UA-2023-10-09-005933-a")</f>
        <v>UA-2023-10-09-005933-a</v>
      </c>
      <c r="C206" s="2" t="s">
        <v>1516</v>
      </c>
      <c r="D206" s="1" t="s">
        <v>1874</v>
      </c>
      <c r="E206" s="1" t="s">
        <v>1874</v>
      </c>
      <c r="F206" s="1" t="s">
        <v>487</v>
      </c>
      <c r="G206" s="1" t="s">
        <v>966</v>
      </c>
      <c r="H206" s="1" t="s">
        <v>1218</v>
      </c>
      <c r="I206" s="1" t="s">
        <v>2094</v>
      </c>
      <c r="J206" s="1" t="s">
        <v>1145</v>
      </c>
      <c r="K206" s="1" t="s">
        <v>947</v>
      </c>
      <c r="L206" s="1" t="s">
        <v>1533</v>
      </c>
      <c r="M206" s="1" t="s">
        <v>1533</v>
      </c>
      <c r="N206" s="1" t="s">
        <v>110</v>
      </c>
      <c r="O206" s="1" t="s">
        <v>110</v>
      </c>
      <c r="P206" s="1" t="s">
        <v>110</v>
      </c>
      <c r="Q206" s="5">
        <v>45208</v>
      </c>
      <c r="R206" s="1"/>
      <c r="S206" s="1"/>
      <c r="T206" s="1"/>
      <c r="U206" s="1"/>
      <c r="V206" s="1" t="s">
        <v>2146</v>
      </c>
      <c r="W206" s="4">
        <v>1</v>
      </c>
      <c r="X206" s="6">
        <v>33195.1</v>
      </c>
      <c r="Y206" s="1" t="s">
        <v>1516</v>
      </c>
      <c r="Z206" s="1">
        <v>1</v>
      </c>
      <c r="AA206" s="6">
        <v>33195.1</v>
      </c>
      <c r="AB206" s="1" t="s">
        <v>2167</v>
      </c>
      <c r="AC206" s="1" t="s">
        <v>2162</v>
      </c>
      <c r="AD206" s="1" t="s">
        <v>1100</v>
      </c>
      <c r="AE206" s="1" t="s">
        <v>2094</v>
      </c>
      <c r="AF206" s="1" t="s">
        <v>1186</v>
      </c>
      <c r="AG206" s="1" t="s">
        <v>1522</v>
      </c>
      <c r="AH206" s="6">
        <v>33195.1</v>
      </c>
      <c r="AI206" s="6">
        <v>33195.1</v>
      </c>
      <c r="AJ206" s="1" t="s">
        <v>2092</v>
      </c>
      <c r="AK206" s="1"/>
      <c r="AL206" s="1"/>
      <c r="AM206" s="1" t="s">
        <v>2092</v>
      </c>
      <c r="AN206" s="1" t="s">
        <v>295</v>
      </c>
      <c r="AO206" s="1"/>
      <c r="AP206" s="1" t="s">
        <v>94</v>
      </c>
      <c r="AQ206" s="1"/>
      <c r="AR206" s="1"/>
      <c r="AS206" s="2"/>
      <c r="AT206" s="1"/>
      <c r="AU206" s="1"/>
      <c r="AV206" s="1"/>
      <c r="AW206" s="1" t="s">
        <v>2152</v>
      </c>
      <c r="AX206" s="7">
        <v>45208.53881948824</v>
      </c>
      <c r="AY206" s="1" t="s">
        <v>266</v>
      </c>
      <c r="AZ206" s="6">
        <v>33195.1</v>
      </c>
      <c r="BA206" s="5">
        <v>45205</v>
      </c>
      <c r="BB206" s="5">
        <v>45261</v>
      </c>
      <c r="BC206" s="5">
        <v>45205</v>
      </c>
      <c r="BD206" s="5">
        <v>45205</v>
      </c>
      <c r="BE206" s="7">
        <v>45291</v>
      </c>
      <c r="BF206" s="1" t="s">
        <v>2170</v>
      </c>
      <c r="BG206" s="1"/>
      <c r="BH206" s="1"/>
      <c r="BI206" s="1" t="s">
        <v>108</v>
      </c>
    </row>
    <row r="207" spans="1:61" hidden="1" x14ac:dyDescent="0.25">
      <c r="A207" s="4">
        <v>202</v>
      </c>
      <c r="B207" s="2" t="str">
        <f>HYPERLINK("https://my.zakupivli.pro/remote/dispatcher/state_purchase_view/45727271", "UA-2023-10-09-006017-a")</f>
        <v>UA-2023-10-09-006017-a</v>
      </c>
      <c r="C207" s="2" t="s">
        <v>1516</v>
      </c>
      <c r="D207" s="1" t="s">
        <v>1875</v>
      </c>
      <c r="E207" s="1" t="s">
        <v>1875</v>
      </c>
      <c r="F207" s="1" t="s">
        <v>487</v>
      </c>
      <c r="G207" s="1" t="s">
        <v>966</v>
      </c>
      <c r="H207" s="1" t="s">
        <v>1218</v>
      </c>
      <c r="I207" s="1" t="s">
        <v>2094</v>
      </c>
      <c r="J207" s="1" t="s">
        <v>1145</v>
      </c>
      <c r="K207" s="1" t="s">
        <v>947</v>
      </c>
      <c r="L207" s="1" t="s">
        <v>1533</v>
      </c>
      <c r="M207" s="1" t="s">
        <v>1533</v>
      </c>
      <c r="N207" s="1" t="s">
        <v>110</v>
      </c>
      <c r="O207" s="1" t="s">
        <v>110</v>
      </c>
      <c r="P207" s="1" t="s">
        <v>110</v>
      </c>
      <c r="Q207" s="5">
        <v>45208</v>
      </c>
      <c r="R207" s="1"/>
      <c r="S207" s="1"/>
      <c r="T207" s="1"/>
      <c r="U207" s="1"/>
      <c r="V207" s="1" t="s">
        <v>2146</v>
      </c>
      <c r="W207" s="4">
        <v>1</v>
      </c>
      <c r="X207" s="6">
        <v>35607.32</v>
      </c>
      <c r="Y207" s="1" t="s">
        <v>1516</v>
      </c>
      <c r="Z207" s="1">
        <v>1</v>
      </c>
      <c r="AA207" s="6">
        <v>35607.32</v>
      </c>
      <c r="AB207" s="1" t="s">
        <v>2167</v>
      </c>
      <c r="AC207" s="1" t="s">
        <v>2162</v>
      </c>
      <c r="AD207" s="1" t="s">
        <v>1100</v>
      </c>
      <c r="AE207" s="1" t="s">
        <v>2094</v>
      </c>
      <c r="AF207" s="1" t="s">
        <v>1186</v>
      </c>
      <c r="AG207" s="1" t="s">
        <v>1522</v>
      </c>
      <c r="AH207" s="6">
        <v>35607.32</v>
      </c>
      <c r="AI207" s="6">
        <v>35607.32</v>
      </c>
      <c r="AJ207" s="1" t="s">
        <v>2092</v>
      </c>
      <c r="AK207" s="1"/>
      <c r="AL207" s="1"/>
      <c r="AM207" s="1" t="s">
        <v>2092</v>
      </c>
      <c r="AN207" s="1" t="s">
        <v>295</v>
      </c>
      <c r="AO207" s="1"/>
      <c r="AP207" s="1" t="s">
        <v>94</v>
      </c>
      <c r="AQ207" s="1"/>
      <c r="AR207" s="1"/>
      <c r="AS207" s="2"/>
      <c r="AT207" s="1"/>
      <c r="AU207" s="1"/>
      <c r="AV207" s="1"/>
      <c r="AW207" s="1" t="s">
        <v>2152</v>
      </c>
      <c r="AX207" s="7">
        <v>45208.538973946132</v>
      </c>
      <c r="AY207" s="1" t="s">
        <v>265</v>
      </c>
      <c r="AZ207" s="6">
        <v>35607.32</v>
      </c>
      <c r="BA207" s="5">
        <v>45205</v>
      </c>
      <c r="BB207" s="5">
        <v>45261</v>
      </c>
      <c r="BC207" s="5">
        <v>45205</v>
      </c>
      <c r="BD207" s="5">
        <v>45205</v>
      </c>
      <c r="BE207" s="7">
        <v>45291</v>
      </c>
      <c r="BF207" s="1" t="s">
        <v>2170</v>
      </c>
      <c r="BG207" s="1"/>
      <c r="BH207" s="1"/>
      <c r="BI207" s="1" t="s">
        <v>108</v>
      </c>
    </row>
    <row r="208" spans="1:61" hidden="1" x14ac:dyDescent="0.25">
      <c r="A208" s="4">
        <v>203</v>
      </c>
      <c r="B208" s="2" t="str">
        <f>HYPERLINK("https://my.zakupivli.pro/remote/dispatcher/state_purchase_view/45607633", "UA-2023-10-03-010188-a")</f>
        <v>UA-2023-10-03-010188-a</v>
      </c>
      <c r="C208" s="2" t="str">
        <f>HYPERLINK("https://my.zakupivli.pro/remote/dispatcher/state_purchase_lot_view/1063278", "UA-2023-10-03-010188-a-L1")</f>
        <v>UA-2023-10-03-010188-a-L1</v>
      </c>
      <c r="D208" s="1" t="s">
        <v>1771</v>
      </c>
      <c r="E208" s="1" t="s">
        <v>1770</v>
      </c>
      <c r="F208" s="1" t="s">
        <v>487</v>
      </c>
      <c r="G208" s="1" t="s">
        <v>966</v>
      </c>
      <c r="H208" s="1" t="s">
        <v>1185</v>
      </c>
      <c r="I208" s="1" t="s">
        <v>2094</v>
      </c>
      <c r="J208" s="1" t="s">
        <v>1145</v>
      </c>
      <c r="K208" s="1" t="s">
        <v>947</v>
      </c>
      <c r="L208" s="1" t="s">
        <v>1533</v>
      </c>
      <c r="M208" s="1" t="s">
        <v>1533</v>
      </c>
      <c r="N208" s="1" t="s">
        <v>110</v>
      </c>
      <c r="O208" s="1" t="s">
        <v>110</v>
      </c>
      <c r="P208" s="1" t="s">
        <v>110</v>
      </c>
      <c r="Q208" s="5">
        <v>45202</v>
      </c>
      <c r="R208" s="1" t="s">
        <v>573</v>
      </c>
      <c r="S208" s="1" t="s">
        <v>579</v>
      </c>
      <c r="T208" s="5">
        <v>45202</v>
      </c>
      <c r="U208" s="5">
        <v>45215</v>
      </c>
      <c r="V208" s="1" t="s">
        <v>2147</v>
      </c>
      <c r="W208" s="4">
        <v>1</v>
      </c>
      <c r="X208" s="6">
        <v>885600</v>
      </c>
      <c r="Y208" s="6">
        <v>885600</v>
      </c>
      <c r="Z208" s="1">
        <v>1</v>
      </c>
      <c r="AA208" s="6">
        <v>885600</v>
      </c>
      <c r="AB208" s="1" t="s">
        <v>2167</v>
      </c>
      <c r="AC208" s="6">
        <v>8856</v>
      </c>
      <c r="AD208" s="1" t="s">
        <v>1100</v>
      </c>
      <c r="AE208" s="1" t="s">
        <v>2094</v>
      </c>
      <c r="AF208" s="1" t="s">
        <v>1186</v>
      </c>
      <c r="AG208" s="1" t="s">
        <v>1522</v>
      </c>
      <c r="AH208" s="6">
        <v>884949.62</v>
      </c>
      <c r="AI208" s="6">
        <v>884949.62</v>
      </c>
      <c r="AJ208" s="1" t="s">
        <v>2044</v>
      </c>
      <c r="AK208" s="6">
        <v>650.38000000000466</v>
      </c>
      <c r="AL208" s="6">
        <v>7.3439476061427803E-4</v>
      </c>
      <c r="AM208" s="1"/>
      <c r="AN208" s="1"/>
      <c r="AO208" s="1"/>
      <c r="AP208" s="1"/>
      <c r="AQ208" s="1"/>
      <c r="AR208" s="1"/>
      <c r="AS208" s="2"/>
      <c r="AT208" s="7">
        <v>45219.614538341229</v>
      </c>
      <c r="AU208" s="1"/>
      <c r="AV208" s="1"/>
      <c r="AW208" s="1" t="s">
        <v>2153</v>
      </c>
      <c r="AX208" s="7">
        <v>45225.001933861247</v>
      </c>
      <c r="AY208" s="1"/>
      <c r="AZ208" s="1"/>
      <c r="BA208" s="1"/>
      <c r="BB208" s="5">
        <v>45282</v>
      </c>
      <c r="BC208" s="1" t="s">
        <v>109</v>
      </c>
      <c r="BD208" s="1" t="s">
        <v>109</v>
      </c>
      <c r="BE208" s="1"/>
      <c r="BF208" s="1"/>
      <c r="BG208" s="1"/>
      <c r="BH208" s="1"/>
      <c r="BI208" s="1" t="s">
        <v>914</v>
      </c>
    </row>
    <row r="209" spans="1:61" hidden="1" x14ac:dyDescent="0.25">
      <c r="A209" s="4">
        <v>204</v>
      </c>
      <c r="B209" s="2" t="str">
        <f>HYPERLINK("https://my.zakupivli.pro/remote/dispatcher/state_purchase_view/45604830", "UA-2023-10-03-009252-a")</f>
        <v>UA-2023-10-03-009252-a</v>
      </c>
      <c r="C209" s="2" t="str">
        <f>HYPERLINK("https://my.zakupivli.pro/remote/dispatcher/state_purchase_lot_view/1063176", "UA-2023-10-03-009252-a-L1")</f>
        <v>UA-2023-10-03-009252-a-L1</v>
      </c>
      <c r="D209" s="1" t="s">
        <v>1773</v>
      </c>
      <c r="E209" s="1" t="s">
        <v>1772</v>
      </c>
      <c r="F209" s="1" t="s">
        <v>487</v>
      </c>
      <c r="G209" s="1" t="s">
        <v>966</v>
      </c>
      <c r="H209" s="1" t="s">
        <v>1185</v>
      </c>
      <c r="I209" s="1" t="s">
        <v>2094</v>
      </c>
      <c r="J209" s="1" t="s">
        <v>1145</v>
      </c>
      <c r="K209" s="1" t="s">
        <v>947</v>
      </c>
      <c r="L209" s="1" t="s">
        <v>1533</v>
      </c>
      <c r="M209" s="1" t="s">
        <v>1533</v>
      </c>
      <c r="N209" s="1" t="s">
        <v>110</v>
      </c>
      <c r="O209" s="1" t="s">
        <v>110</v>
      </c>
      <c r="P209" s="1" t="s">
        <v>110</v>
      </c>
      <c r="Q209" s="5">
        <v>45202</v>
      </c>
      <c r="R209" s="1" t="s">
        <v>573</v>
      </c>
      <c r="S209" s="1" t="s">
        <v>580</v>
      </c>
      <c r="T209" s="5">
        <v>45202</v>
      </c>
      <c r="U209" s="5">
        <v>45219</v>
      </c>
      <c r="V209" s="1" t="s">
        <v>2147</v>
      </c>
      <c r="W209" s="4">
        <v>0</v>
      </c>
      <c r="X209" s="6">
        <v>839500</v>
      </c>
      <c r="Y209" s="6">
        <v>839500</v>
      </c>
      <c r="Z209" s="1">
        <v>1</v>
      </c>
      <c r="AA209" s="6">
        <v>839500</v>
      </c>
      <c r="AB209" s="1" t="s">
        <v>2167</v>
      </c>
      <c r="AC209" s="6">
        <v>8395</v>
      </c>
      <c r="AD209" s="1" t="s">
        <v>1100</v>
      </c>
      <c r="AE209" s="1" t="s">
        <v>2094</v>
      </c>
      <c r="AF209" s="1" t="s">
        <v>1186</v>
      </c>
      <c r="AG209" s="1" t="s">
        <v>1522</v>
      </c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2"/>
      <c r="AT209" s="1"/>
      <c r="AU209" s="1"/>
      <c r="AV209" s="1"/>
      <c r="AW209" s="1" t="s">
        <v>2153</v>
      </c>
      <c r="AX209" s="7">
        <v>45219.001655532593</v>
      </c>
      <c r="AY209" s="1"/>
      <c r="AZ209" s="1"/>
      <c r="BA209" s="1"/>
      <c r="BB209" s="5">
        <v>45282</v>
      </c>
      <c r="BC209" s="1" t="s">
        <v>109</v>
      </c>
      <c r="BD209" s="1" t="s">
        <v>109</v>
      </c>
      <c r="BE209" s="1"/>
      <c r="BF209" s="1"/>
      <c r="BG209" s="1"/>
      <c r="BH209" s="1"/>
      <c r="BI209" s="1"/>
    </row>
    <row r="210" spans="1:61" hidden="1" x14ac:dyDescent="0.25">
      <c r="A210" s="4">
        <v>205</v>
      </c>
      <c r="B210" s="2" t="str">
        <f>HYPERLINK("https://my.zakupivli.pro/remote/dispatcher/state_purchase_view/45382353", "UA-2023-09-22-007295-a")</f>
        <v>UA-2023-09-22-007295-a</v>
      </c>
      <c r="C210" s="2" t="str">
        <f>HYPERLINK("https://my.zakupivli.pro/remote/dispatcher/state_purchase_lot_view/1054057", "UA-2023-09-22-007295-a-L1")</f>
        <v>UA-2023-09-22-007295-a-L1</v>
      </c>
      <c r="D210" s="1" t="s">
        <v>1866</v>
      </c>
      <c r="E210" s="1" t="s">
        <v>1865</v>
      </c>
      <c r="F210" s="1" t="s">
        <v>487</v>
      </c>
      <c r="G210" s="1" t="s">
        <v>1075</v>
      </c>
      <c r="H210" s="1" t="s">
        <v>1185</v>
      </c>
      <c r="I210" s="1" t="s">
        <v>2094</v>
      </c>
      <c r="J210" s="1" t="s">
        <v>1145</v>
      </c>
      <c r="K210" s="1" t="s">
        <v>947</v>
      </c>
      <c r="L210" s="1" t="s">
        <v>1533</v>
      </c>
      <c r="M210" s="1" t="s">
        <v>1533</v>
      </c>
      <c r="N210" s="1" t="s">
        <v>110</v>
      </c>
      <c r="O210" s="1" t="s">
        <v>110</v>
      </c>
      <c r="P210" s="1" t="s">
        <v>110</v>
      </c>
      <c r="Q210" s="5">
        <v>45191</v>
      </c>
      <c r="R210" s="1" t="s">
        <v>566</v>
      </c>
      <c r="S210" s="1" t="s">
        <v>571</v>
      </c>
      <c r="T210" s="5">
        <v>45191</v>
      </c>
      <c r="U210" s="5">
        <v>45201</v>
      </c>
      <c r="V210" s="1" t="s">
        <v>2147</v>
      </c>
      <c r="W210" s="4">
        <v>1</v>
      </c>
      <c r="X210" s="6">
        <v>132986</v>
      </c>
      <c r="Y210" s="6">
        <v>132986</v>
      </c>
      <c r="Z210" s="1">
        <v>1</v>
      </c>
      <c r="AA210" s="6">
        <v>132986</v>
      </c>
      <c r="AB210" s="1" t="s">
        <v>2167</v>
      </c>
      <c r="AC210" s="6">
        <v>664.93</v>
      </c>
      <c r="AD210" s="1" t="s">
        <v>1100</v>
      </c>
      <c r="AE210" s="1" t="s">
        <v>2094</v>
      </c>
      <c r="AF210" s="1" t="s">
        <v>1186</v>
      </c>
      <c r="AG210" s="1" t="s">
        <v>1522</v>
      </c>
      <c r="AH210" s="6">
        <v>132985.79999999999</v>
      </c>
      <c r="AI210" s="6">
        <v>132985.79999999999</v>
      </c>
      <c r="AJ210" s="1" t="s">
        <v>2122</v>
      </c>
      <c r="AK210" s="6">
        <v>0.20000000001164153</v>
      </c>
      <c r="AL210" s="6">
        <v>1.5039177057106878E-6</v>
      </c>
      <c r="AM210" s="1" t="s">
        <v>2122</v>
      </c>
      <c r="AN210" s="1" t="s">
        <v>225</v>
      </c>
      <c r="AO210" s="1" t="s">
        <v>1128</v>
      </c>
      <c r="AP210" s="1" t="s">
        <v>24</v>
      </c>
      <c r="AQ210" s="6">
        <v>0.20000000001164153</v>
      </c>
      <c r="AR210" s="6">
        <v>1.5039177057106878E-6</v>
      </c>
      <c r="AS210" s="2"/>
      <c r="AT210" s="7">
        <v>45205.446393718637</v>
      </c>
      <c r="AU210" s="1" t="s">
        <v>578</v>
      </c>
      <c r="AV210" s="1" t="s">
        <v>583</v>
      </c>
      <c r="AW210" s="1" t="s">
        <v>2151</v>
      </c>
      <c r="AX210" s="7">
        <v>45211.527033213082</v>
      </c>
      <c r="AY210" s="1" t="s">
        <v>275</v>
      </c>
      <c r="AZ210" s="6">
        <v>132985.79999999999</v>
      </c>
      <c r="BA210" s="1"/>
      <c r="BB210" s="5">
        <v>45282</v>
      </c>
      <c r="BC210" s="5">
        <v>45211</v>
      </c>
      <c r="BD210" s="5">
        <v>45211</v>
      </c>
      <c r="BE210" s="7">
        <v>45291</v>
      </c>
      <c r="BF210" s="1" t="s">
        <v>2170</v>
      </c>
      <c r="BG210" s="1"/>
      <c r="BH210" s="1"/>
      <c r="BI210" s="1" t="s">
        <v>226</v>
      </c>
    </row>
    <row r="211" spans="1:61" hidden="1" x14ac:dyDescent="0.25">
      <c r="A211" s="4">
        <v>206</v>
      </c>
      <c r="B211" s="2" t="str">
        <f>HYPERLINK("https://my.zakupivli.pro/remote/dispatcher/state_purchase_view/45317146", "UA-2023-09-20-009536-a")</f>
        <v>UA-2023-09-20-009536-a</v>
      </c>
      <c r="C211" s="2" t="s">
        <v>1516</v>
      </c>
      <c r="D211" s="1" t="s">
        <v>1163</v>
      </c>
      <c r="E211" s="1" t="s">
        <v>1163</v>
      </c>
      <c r="F211" s="1" t="s">
        <v>487</v>
      </c>
      <c r="G211" s="1" t="s">
        <v>143</v>
      </c>
      <c r="H211" s="1" t="s">
        <v>1218</v>
      </c>
      <c r="I211" s="1" t="s">
        <v>2094</v>
      </c>
      <c r="J211" s="1" t="s">
        <v>1145</v>
      </c>
      <c r="K211" s="1" t="s">
        <v>947</v>
      </c>
      <c r="L211" s="1" t="s">
        <v>1533</v>
      </c>
      <c r="M211" s="1" t="s">
        <v>1533</v>
      </c>
      <c r="N211" s="1" t="s">
        <v>110</v>
      </c>
      <c r="O211" s="1" t="s">
        <v>110</v>
      </c>
      <c r="P211" s="1" t="s">
        <v>110</v>
      </c>
      <c r="Q211" s="5">
        <v>45189</v>
      </c>
      <c r="R211" s="1"/>
      <c r="S211" s="1"/>
      <c r="T211" s="1"/>
      <c r="U211" s="1"/>
      <c r="V211" s="1" t="s">
        <v>2146</v>
      </c>
      <c r="W211" s="4">
        <v>1</v>
      </c>
      <c r="X211" s="6">
        <v>49980</v>
      </c>
      <c r="Y211" s="1" t="s">
        <v>1516</v>
      </c>
      <c r="Z211" s="1">
        <v>980</v>
      </c>
      <c r="AA211" s="6">
        <v>51</v>
      </c>
      <c r="AB211" s="1" t="s">
        <v>2158</v>
      </c>
      <c r="AC211" s="1" t="s">
        <v>2162</v>
      </c>
      <c r="AD211" s="1" t="s">
        <v>1100</v>
      </c>
      <c r="AE211" s="1" t="s">
        <v>2094</v>
      </c>
      <c r="AF211" s="1" t="s">
        <v>1186</v>
      </c>
      <c r="AG211" s="1" t="s">
        <v>1522</v>
      </c>
      <c r="AH211" s="6">
        <v>49980</v>
      </c>
      <c r="AI211" s="6">
        <v>51</v>
      </c>
      <c r="AJ211" s="1" t="s">
        <v>2056</v>
      </c>
      <c r="AK211" s="1"/>
      <c r="AL211" s="1"/>
      <c r="AM211" s="1" t="s">
        <v>2056</v>
      </c>
      <c r="AN211" s="1" t="s">
        <v>887</v>
      </c>
      <c r="AO211" s="1"/>
      <c r="AP211" s="1" t="s">
        <v>57</v>
      </c>
      <c r="AQ211" s="1"/>
      <c r="AR211" s="1"/>
      <c r="AS211" s="2"/>
      <c r="AT211" s="1"/>
      <c r="AU211" s="1"/>
      <c r="AV211" s="1"/>
      <c r="AW211" s="1" t="s">
        <v>2152</v>
      </c>
      <c r="AX211" s="7">
        <v>45189.61106859531</v>
      </c>
      <c r="AY211" s="1" t="s">
        <v>699</v>
      </c>
      <c r="AZ211" s="6">
        <v>49980</v>
      </c>
      <c r="BA211" s="5">
        <v>45188</v>
      </c>
      <c r="BB211" s="5">
        <v>45188</v>
      </c>
      <c r="BC211" s="5">
        <v>45188</v>
      </c>
      <c r="BD211" s="5">
        <v>45188</v>
      </c>
      <c r="BE211" s="7">
        <v>45291</v>
      </c>
      <c r="BF211" s="1" t="s">
        <v>2170</v>
      </c>
      <c r="BG211" s="1"/>
      <c r="BH211" s="1"/>
      <c r="BI211" s="1" t="s">
        <v>108</v>
      </c>
    </row>
    <row r="212" spans="1:61" hidden="1" x14ac:dyDescent="0.25">
      <c r="A212" s="4">
        <v>207</v>
      </c>
      <c r="B212" s="2" t="str">
        <f>HYPERLINK("https://my.zakupivli.pro/remote/dispatcher/state_purchase_view/45264483", "UA-2023-09-19-001733-a")</f>
        <v>UA-2023-09-19-001733-a</v>
      </c>
      <c r="C212" s="2" t="s">
        <v>1516</v>
      </c>
      <c r="D212" s="1" t="s">
        <v>1883</v>
      </c>
      <c r="E212" s="1" t="s">
        <v>1883</v>
      </c>
      <c r="F212" s="1" t="s">
        <v>487</v>
      </c>
      <c r="G212" s="1" t="s">
        <v>966</v>
      </c>
      <c r="H212" s="1" t="s">
        <v>1218</v>
      </c>
      <c r="I212" s="1" t="s">
        <v>2094</v>
      </c>
      <c r="J212" s="1" t="s">
        <v>1145</v>
      </c>
      <c r="K212" s="1" t="s">
        <v>947</v>
      </c>
      <c r="L212" s="1" t="s">
        <v>1533</v>
      </c>
      <c r="M212" s="1" t="s">
        <v>1533</v>
      </c>
      <c r="N212" s="1" t="s">
        <v>110</v>
      </c>
      <c r="O212" s="1" t="s">
        <v>110</v>
      </c>
      <c r="P212" s="1" t="s">
        <v>110</v>
      </c>
      <c r="Q212" s="5">
        <v>45188</v>
      </c>
      <c r="R212" s="1"/>
      <c r="S212" s="1"/>
      <c r="T212" s="1"/>
      <c r="U212" s="1"/>
      <c r="V212" s="1" t="s">
        <v>2146</v>
      </c>
      <c r="W212" s="4">
        <v>1</v>
      </c>
      <c r="X212" s="6">
        <v>163289.56</v>
      </c>
      <c r="Y212" s="1" t="s">
        <v>1516</v>
      </c>
      <c r="Z212" s="1">
        <v>1</v>
      </c>
      <c r="AA212" s="6">
        <v>163289.56</v>
      </c>
      <c r="AB212" s="1" t="s">
        <v>2167</v>
      </c>
      <c r="AC212" s="1" t="s">
        <v>2162</v>
      </c>
      <c r="AD212" s="1" t="s">
        <v>1100</v>
      </c>
      <c r="AE212" s="1" t="s">
        <v>1522</v>
      </c>
      <c r="AF212" s="1" t="s">
        <v>1186</v>
      </c>
      <c r="AG212" s="1" t="s">
        <v>1522</v>
      </c>
      <c r="AH212" s="6">
        <v>163289.56</v>
      </c>
      <c r="AI212" s="6">
        <v>163289.56</v>
      </c>
      <c r="AJ212" s="1" t="s">
        <v>2044</v>
      </c>
      <c r="AK212" s="1"/>
      <c r="AL212" s="1"/>
      <c r="AM212" s="1" t="s">
        <v>2044</v>
      </c>
      <c r="AN212" s="1" t="s">
        <v>913</v>
      </c>
      <c r="AO212" s="1"/>
      <c r="AP212" s="1" t="s">
        <v>44</v>
      </c>
      <c r="AQ212" s="1"/>
      <c r="AR212" s="1"/>
      <c r="AS212" s="2"/>
      <c r="AT212" s="1"/>
      <c r="AU212" s="1"/>
      <c r="AV212" s="1"/>
      <c r="AW212" s="1" t="s">
        <v>2152</v>
      </c>
      <c r="AX212" s="7">
        <v>45188.417110923903</v>
      </c>
      <c r="AY212" s="1" t="s">
        <v>245</v>
      </c>
      <c r="AZ212" s="6">
        <v>163289.56</v>
      </c>
      <c r="BA212" s="5">
        <v>45187</v>
      </c>
      <c r="BB212" s="5">
        <v>45261</v>
      </c>
      <c r="BC212" s="5">
        <v>45187</v>
      </c>
      <c r="BD212" s="5">
        <v>45187</v>
      </c>
      <c r="BE212" s="7">
        <v>45291</v>
      </c>
      <c r="BF212" s="1" t="s">
        <v>2170</v>
      </c>
      <c r="BG212" s="1"/>
      <c r="BH212" s="1"/>
      <c r="BI212" s="1" t="s">
        <v>108</v>
      </c>
    </row>
    <row r="213" spans="1:61" hidden="1" x14ac:dyDescent="0.25">
      <c r="A213" s="4">
        <v>208</v>
      </c>
      <c r="B213" s="2" t="str">
        <f>HYPERLINK("https://my.zakupivli.pro/remote/dispatcher/state_purchase_view/45270314", "UA-2023-09-19-004250-a")</f>
        <v>UA-2023-09-19-004250-a</v>
      </c>
      <c r="C213" s="2" t="s">
        <v>1516</v>
      </c>
      <c r="D213" s="1" t="s">
        <v>1526</v>
      </c>
      <c r="E213" s="1" t="s">
        <v>1526</v>
      </c>
      <c r="F213" s="1" t="s">
        <v>487</v>
      </c>
      <c r="G213" s="1" t="s">
        <v>971</v>
      </c>
      <c r="H213" s="1" t="s">
        <v>1218</v>
      </c>
      <c r="I213" s="1" t="s">
        <v>2094</v>
      </c>
      <c r="J213" s="1" t="s">
        <v>1145</v>
      </c>
      <c r="K213" s="1" t="s">
        <v>947</v>
      </c>
      <c r="L213" s="1" t="s">
        <v>1533</v>
      </c>
      <c r="M213" s="1" t="s">
        <v>1533</v>
      </c>
      <c r="N213" s="1" t="s">
        <v>110</v>
      </c>
      <c r="O213" s="1" t="s">
        <v>110</v>
      </c>
      <c r="P213" s="1" t="s">
        <v>110</v>
      </c>
      <c r="Q213" s="5">
        <v>45188</v>
      </c>
      <c r="R213" s="1"/>
      <c r="S213" s="1"/>
      <c r="T213" s="1"/>
      <c r="U213" s="1"/>
      <c r="V213" s="1" t="s">
        <v>2146</v>
      </c>
      <c r="W213" s="4">
        <v>1</v>
      </c>
      <c r="X213" s="6">
        <v>41200</v>
      </c>
      <c r="Y213" s="1" t="s">
        <v>1516</v>
      </c>
      <c r="Z213" s="1">
        <v>1</v>
      </c>
      <c r="AA213" s="6">
        <v>41200</v>
      </c>
      <c r="AB213" s="1" t="s">
        <v>2167</v>
      </c>
      <c r="AC213" s="1" t="s">
        <v>2162</v>
      </c>
      <c r="AD213" s="1" t="s">
        <v>1100</v>
      </c>
      <c r="AE213" s="1" t="s">
        <v>1522</v>
      </c>
      <c r="AF213" s="1" t="s">
        <v>1186</v>
      </c>
      <c r="AG213" s="1" t="s">
        <v>1522</v>
      </c>
      <c r="AH213" s="6">
        <v>41200</v>
      </c>
      <c r="AI213" s="6">
        <v>41200</v>
      </c>
      <c r="AJ213" s="1" t="s">
        <v>2044</v>
      </c>
      <c r="AK213" s="1"/>
      <c r="AL213" s="1"/>
      <c r="AM213" s="1" t="s">
        <v>2044</v>
      </c>
      <c r="AN213" s="1" t="s">
        <v>913</v>
      </c>
      <c r="AO213" s="1"/>
      <c r="AP213" s="1" t="s">
        <v>44</v>
      </c>
      <c r="AQ213" s="1"/>
      <c r="AR213" s="1"/>
      <c r="AS213" s="2"/>
      <c r="AT213" s="1"/>
      <c r="AU213" s="1"/>
      <c r="AV213" s="1"/>
      <c r="AW213" s="1" t="s">
        <v>2152</v>
      </c>
      <c r="AX213" s="7">
        <v>45188.470299611887</v>
      </c>
      <c r="AY213" s="1" t="s">
        <v>244</v>
      </c>
      <c r="AZ213" s="6">
        <v>41200</v>
      </c>
      <c r="BA213" s="5">
        <v>45187</v>
      </c>
      <c r="BB213" s="5">
        <v>45230</v>
      </c>
      <c r="BC213" s="5">
        <v>45187</v>
      </c>
      <c r="BD213" s="5">
        <v>45187</v>
      </c>
      <c r="BE213" s="7">
        <v>45291</v>
      </c>
      <c r="BF213" s="1" t="s">
        <v>2170</v>
      </c>
      <c r="BG213" s="1"/>
      <c r="BH213" s="1"/>
      <c r="BI213" s="1" t="s">
        <v>108</v>
      </c>
    </row>
    <row r="214" spans="1:61" hidden="1" x14ac:dyDescent="0.25">
      <c r="A214" s="4">
        <v>209</v>
      </c>
      <c r="B214" s="2" t="str">
        <f>HYPERLINK("https://my.zakupivli.pro/remote/dispatcher/state_purchase_view/45267720", "UA-2023-09-19-003164-a")</f>
        <v>UA-2023-09-19-003164-a</v>
      </c>
      <c r="C214" s="2" t="s">
        <v>1516</v>
      </c>
      <c r="D214" s="1" t="s">
        <v>1870</v>
      </c>
      <c r="E214" s="1" t="s">
        <v>1870</v>
      </c>
      <c r="F214" s="1" t="s">
        <v>487</v>
      </c>
      <c r="G214" s="1" t="s">
        <v>972</v>
      </c>
      <c r="H214" s="1" t="s">
        <v>1218</v>
      </c>
      <c r="I214" s="1" t="s">
        <v>2094</v>
      </c>
      <c r="J214" s="1" t="s">
        <v>1145</v>
      </c>
      <c r="K214" s="1" t="s">
        <v>947</v>
      </c>
      <c r="L214" s="1" t="s">
        <v>1533</v>
      </c>
      <c r="M214" s="1" t="s">
        <v>1533</v>
      </c>
      <c r="N214" s="1" t="s">
        <v>110</v>
      </c>
      <c r="O214" s="1" t="s">
        <v>110</v>
      </c>
      <c r="P214" s="1" t="s">
        <v>110</v>
      </c>
      <c r="Q214" s="5">
        <v>45188</v>
      </c>
      <c r="R214" s="1"/>
      <c r="S214" s="1"/>
      <c r="T214" s="1"/>
      <c r="U214" s="1"/>
      <c r="V214" s="1" t="s">
        <v>2146</v>
      </c>
      <c r="W214" s="4">
        <v>1</v>
      </c>
      <c r="X214" s="6">
        <v>28651</v>
      </c>
      <c r="Y214" s="1" t="s">
        <v>1516</v>
      </c>
      <c r="Z214" s="1">
        <v>1</v>
      </c>
      <c r="AA214" s="6">
        <v>28651</v>
      </c>
      <c r="AB214" s="1" t="s">
        <v>2167</v>
      </c>
      <c r="AC214" s="1" t="s">
        <v>2162</v>
      </c>
      <c r="AD214" s="1" t="s">
        <v>1100</v>
      </c>
      <c r="AE214" s="1" t="s">
        <v>1522</v>
      </c>
      <c r="AF214" s="1" t="s">
        <v>1186</v>
      </c>
      <c r="AG214" s="1" t="s">
        <v>1522</v>
      </c>
      <c r="AH214" s="6">
        <v>28651</v>
      </c>
      <c r="AI214" s="6">
        <v>28651</v>
      </c>
      <c r="AJ214" s="1" t="s">
        <v>2044</v>
      </c>
      <c r="AK214" s="1"/>
      <c r="AL214" s="1"/>
      <c r="AM214" s="1" t="s">
        <v>2044</v>
      </c>
      <c r="AN214" s="1" t="s">
        <v>913</v>
      </c>
      <c r="AO214" s="1"/>
      <c r="AP214" s="1" t="s">
        <v>44</v>
      </c>
      <c r="AQ214" s="1"/>
      <c r="AR214" s="1"/>
      <c r="AS214" s="2"/>
      <c r="AT214" s="1"/>
      <c r="AU214" s="1"/>
      <c r="AV214" s="1"/>
      <c r="AW214" s="1" t="s">
        <v>2152</v>
      </c>
      <c r="AX214" s="7">
        <v>45188.446552534595</v>
      </c>
      <c r="AY214" s="1" t="s">
        <v>246</v>
      </c>
      <c r="AZ214" s="6">
        <v>28651</v>
      </c>
      <c r="BA214" s="5">
        <v>45187</v>
      </c>
      <c r="BB214" s="5">
        <v>45261</v>
      </c>
      <c r="BC214" s="5">
        <v>45187</v>
      </c>
      <c r="BD214" s="5">
        <v>45187</v>
      </c>
      <c r="BE214" s="7">
        <v>45291</v>
      </c>
      <c r="BF214" s="1" t="s">
        <v>2170</v>
      </c>
      <c r="BG214" s="1"/>
      <c r="BH214" s="1"/>
      <c r="BI214" s="1" t="s">
        <v>108</v>
      </c>
    </row>
    <row r="215" spans="1:61" hidden="1" x14ac:dyDescent="0.25">
      <c r="A215" s="4">
        <v>210</v>
      </c>
      <c r="B215" s="2" t="str">
        <f>HYPERLINK("https://my.zakupivli.pro/remote/dispatcher/state_purchase_view/45252951", "UA-2023-09-18-010895-a")</f>
        <v>UA-2023-09-18-010895-a</v>
      </c>
      <c r="C215" s="2" t="str">
        <f>HYPERLINK("https://my.zakupivli.pro/remote/dispatcher/state_purchase_lot_view/1049036", "UA-2023-09-18-010895-a-L1")</f>
        <v>UA-2023-09-18-010895-a-L1</v>
      </c>
      <c r="D215" s="1" t="s">
        <v>1821</v>
      </c>
      <c r="E215" s="1" t="s">
        <v>1820</v>
      </c>
      <c r="F215" s="1" t="s">
        <v>487</v>
      </c>
      <c r="G215" s="1" t="s">
        <v>967</v>
      </c>
      <c r="H215" s="1" t="s">
        <v>1185</v>
      </c>
      <c r="I215" s="1" t="s">
        <v>2094</v>
      </c>
      <c r="J215" s="1" t="s">
        <v>1145</v>
      </c>
      <c r="K215" s="1" t="s">
        <v>947</v>
      </c>
      <c r="L215" s="1" t="s">
        <v>1533</v>
      </c>
      <c r="M215" s="1" t="s">
        <v>1533</v>
      </c>
      <c r="N215" s="1" t="s">
        <v>110</v>
      </c>
      <c r="O215" s="1" t="s">
        <v>110</v>
      </c>
      <c r="P215" s="1" t="s">
        <v>110</v>
      </c>
      <c r="Q215" s="5">
        <v>45187</v>
      </c>
      <c r="R215" s="1" t="s">
        <v>564</v>
      </c>
      <c r="S215" s="1" t="s">
        <v>567</v>
      </c>
      <c r="T215" s="5">
        <v>45187</v>
      </c>
      <c r="U215" s="5">
        <v>45195</v>
      </c>
      <c r="V215" s="1" t="s">
        <v>2147</v>
      </c>
      <c r="W215" s="4">
        <v>1</v>
      </c>
      <c r="X215" s="6">
        <v>117236</v>
      </c>
      <c r="Y215" s="6">
        <v>117236</v>
      </c>
      <c r="Z215" s="1">
        <v>1</v>
      </c>
      <c r="AA215" s="6">
        <v>117236</v>
      </c>
      <c r="AB215" s="1" t="s">
        <v>2167</v>
      </c>
      <c r="AC215" s="6">
        <v>1172.3599999999999</v>
      </c>
      <c r="AD215" s="1" t="s">
        <v>1100</v>
      </c>
      <c r="AE215" s="1" t="s">
        <v>2094</v>
      </c>
      <c r="AF215" s="1" t="s">
        <v>1186</v>
      </c>
      <c r="AG215" s="1" t="s">
        <v>1522</v>
      </c>
      <c r="AH215" s="6">
        <v>115500</v>
      </c>
      <c r="AI215" s="6">
        <v>115500</v>
      </c>
      <c r="AJ215" s="1" t="s">
        <v>2044</v>
      </c>
      <c r="AK215" s="6">
        <v>1736</v>
      </c>
      <c r="AL215" s="6">
        <v>1.4807738237401481E-2</v>
      </c>
      <c r="AM215" s="1" t="s">
        <v>2044</v>
      </c>
      <c r="AN215" s="1" t="s">
        <v>913</v>
      </c>
      <c r="AO215" s="1" t="s">
        <v>1124</v>
      </c>
      <c r="AP215" s="1" t="s">
        <v>44</v>
      </c>
      <c r="AQ215" s="6">
        <v>1736</v>
      </c>
      <c r="AR215" s="6">
        <v>1.4807738237401481E-2</v>
      </c>
      <c r="AS215" s="2"/>
      <c r="AT215" s="7">
        <v>45202.564852232987</v>
      </c>
      <c r="AU215" s="1" t="s">
        <v>577</v>
      </c>
      <c r="AV215" s="1" t="s">
        <v>581</v>
      </c>
      <c r="AW215" s="1" t="s">
        <v>2151</v>
      </c>
      <c r="AX215" s="7">
        <v>45209.66627273932</v>
      </c>
      <c r="AY215" s="1" t="s">
        <v>274</v>
      </c>
      <c r="AZ215" s="6">
        <v>115500</v>
      </c>
      <c r="BA215" s="1"/>
      <c r="BB215" s="5">
        <v>45261</v>
      </c>
      <c r="BC215" s="5">
        <v>45209</v>
      </c>
      <c r="BD215" s="5">
        <v>45209</v>
      </c>
      <c r="BE215" s="7">
        <v>45291</v>
      </c>
      <c r="BF215" s="1" t="s">
        <v>2170</v>
      </c>
      <c r="BG215" s="1"/>
      <c r="BH215" s="1"/>
      <c r="BI215" s="1" t="s">
        <v>914</v>
      </c>
    </row>
    <row r="216" spans="1:61" hidden="1" x14ac:dyDescent="0.25">
      <c r="A216" s="4">
        <v>211</v>
      </c>
      <c r="B216" s="2" t="str">
        <f>HYPERLINK("https://my.zakupivli.pro/remote/dispatcher/state_purchase_view/45253970", "UA-2023-09-18-011314-a")</f>
        <v>UA-2023-09-18-011314-a</v>
      </c>
      <c r="C216" s="2" t="str">
        <f>HYPERLINK("https://my.zakupivli.pro/remote/dispatcher/state_purchase_lot_view/1049087", "UA-2023-09-18-011314-a-L1")</f>
        <v>UA-2023-09-18-011314-a-L1</v>
      </c>
      <c r="D216" s="1" t="s">
        <v>1859</v>
      </c>
      <c r="E216" s="1" t="s">
        <v>1858</v>
      </c>
      <c r="F216" s="1" t="s">
        <v>487</v>
      </c>
      <c r="G216" s="1" t="s">
        <v>966</v>
      </c>
      <c r="H216" s="1" t="s">
        <v>1185</v>
      </c>
      <c r="I216" s="1" t="s">
        <v>2094</v>
      </c>
      <c r="J216" s="1" t="s">
        <v>1145</v>
      </c>
      <c r="K216" s="1" t="s">
        <v>947</v>
      </c>
      <c r="L216" s="1" t="s">
        <v>1533</v>
      </c>
      <c r="M216" s="1" t="s">
        <v>1533</v>
      </c>
      <c r="N216" s="1" t="s">
        <v>110</v>
      </c>
      <c r="O216" s="1" t="s">
        <v>110</v>
      </c>
      <c r="P216" s="1" t="s">
        <v>110</v>
      </c>
      <c r="Q216" s="5">
        <v>45187</v>
      </c>
      <c r="R216" s="1" t="s">
        <v>564</v>
      </c>
      <c r="S216" s="1" t="s">
        <v>570</v>
      </c>
      <c r="T216" s="5">
        <v>45187</v>
      </c>
      <c r="U216" s="5">
        <v>45199</v>
      </c>
      <c r="V216" s="1" t="s">
        <v>2147</v>
      </c>
      <c r="W216" s="4">
        <v>1</v>
      </c>
      <c r="X216" s="6">
        <v>255320</v>
      </c>
      <c r="Y216" s="6">
        <v>255320</v>
      </c>
      <c r="Z216" s="1">
        <v>1</v>
      </c>
      <c r="AA216" s="6">
        <v>255320</v>
      </c>
      <c r="AB216" s="1" t="s">
        <v>2167</v>
      </c>
      <c r="AC216" s="6">
        <v>2553.1999999999998</v>
      </c>
      <c r="AD216" s="1" t="s">
        <v>1100</v>
      </c>
      <c r="AE216" s="1" t="s">
        <v>2094</v>
      </c>
      <c r="AF216" s="1" t="s">
        <v>1186</v>
      </c>
      <c r="AG216" s="1" t="s">
        <v>1522</v>
      </c>
      <c r="AH216" s="6">
        <v>253749.54</v>
      </c>
      <c r="AI216" s="6">
        <v>253749.54</v>
      </c>
      <c r="AJ216" s="1" t="s">
        <v>2044</v>
      </c>
      <c r="AK216" s="6">
        <v>1570.4599999999919</v>
      </c>
      <c r="AL216" s="6">
        <v>6.1509478301738675E-3</v>
      </c>
      <c r="AM216" s="1" t="s">
        <v>2044</v>
      </c>
      <c r="AN216" s="1" t="s">
        <v>913</v>
      </c>
      <c r="AO216" s="1" t="s">
        <v>1124</v>
      </c>
      <c r="AP216" s="1" t="s">
        <v>44</v>
      </c>
      <c r="AQ216" s="6">
        <v>1570.4599999999919</v>
      </c>
      <c r="AR216" s="6">
        <v>6.1509478301738675E-3</v>
      </c>
      <c r="AS216" s="2"/>
      <c r="AT216" s="7">
        <v>45205.444834957358</v>
      </c>
      <c r="AU216" s="1" t="s">
        <v>578</v>
      </c>
      <c r="AV216" s="1" t="s">
        <v>583</v>
      </c>
      <c r="AW216" s="1" t="s">
        <v>2151</v>
      </c>
      <c r="AX216" s="7">
        <v>45211.524728570592</v>
      </c>
      <c r="AY216" s="1" t="s">
        <v>276</v>
      </c>
      <c r="AZ216" s="6">
        <v>253749.54</v>
      </c>
      <c r="BA216" s="1"/>
      <c r="BB216" s="5">
        <v>45261</v>
      </c>
      <c r="BC216" s="5">
        <v>45211</v>
      </c>
      <c r="BD216" s="5">
        <v>45211</v>
      </c>
      <c r="BE216" s="7">
        <v>45291</v>
      </c>
      <c r="BF216" s="1" t="s">
        <v>2170</v>
      </c>
      <c r="BG216" s="1"/>
      <c r="BH216" s="1"/>
      <c r="BI216" s="1" t="s">
        <v>914</v>
      </c>
    </row>
    <row r="217" spans="1:61" hidden="1" x14ac:dyDescent="0.25">
      <c r="A217" s="4">
        <v>212</v>
      </c>
      <c r="B217" s="2" t="str">
        <f>HYPERLINK("https://my.zakupivli.pro/remote/dispatcher/state_purchase_view/45253334", "UA-2023-09-18-011091-a")</f>
        <v>UA-2023-09-18-011091-a</v>
      </c>
      <c r="C217" s="2" t="str">
        <f>HYPERLINK("https://my.zakupivli.pro/remote/dispatcher/state_purchase_lot_view/1049066", "UA-2023-09-18-011091-a-L1")</f>
        <v>UA-2023-09-18-011091-a-L1</v>
      </c>
      <c r="D217" s="1" t="s">
        <v>1813</v>
      </c>
      <c r="E217" s="1" t="s">
        <v>1812</v>
      </c>
      <c r="F217" s="1" t="s">
        <v>487</v>
      </c>
      <c r="G217" s="1" t="s">
        <v>967</v>
      </c>
      <c r="H217" s="1" t="s">
        <v>1185</v>
      </c>
      <c r="I217" s="1" t="s">
        <v>2094</v>
      </c>
      <c r="J217" s="1" t="s">
        <v>1145</v>
      </c>
      <c r="K217" s="1" t="s">
        <v>947</v>
      </c>
      <c r="L217" s="1" t="s">
        <v>1533</v>
      </c>
      <c r="M217" s="1" t="s">
        <v>1533</v>
      </c>
      <c r="N217" s="1" t="s">
        <v>110</v>
      </c>
      <c r="O217" s="1" t="s">
        <v>110</v>
      </c>
      <c r="P217" s="1" t="s">
        <v>110</v>
      </c>
      <c r="Q217" s="5">
        <v>45187</v>
      </c>
      <c r="R217" s="1" t="s">
        <v>564</v>
      </c>
      <c r="S217" s="1" t="s">
        <v>567</v>
      </c>
      <c r="T217" s="5">
        <v>45187</v>
      </c>
      <c r="U217" s="5">
        <v>45195</v>
      </c>
      <c r="V217" s="1" t="s">
        <v>2147</v>
      </c>
      <c r="W217" s="4">
        <v>1</v>
      </c>
      <c r="X217" s="6">
        <v>71956</v>
      </c>
      <c r="Y217" s="6">
        <v>71956</v>
      </c>
      <c r="Z217" s="1">
        <v>1</v>
      </c>
      <c r="AA217" s="6">
        <v>71956</v>
      </c>
      <c r="AB217" s="1" t="s">
        <v>2167</v>
      </c>
      <c r="AC217" s="6">
        <v>719.56</v>
      </c>
      <c r="AD217" s="1" t="s">
        <v>1100</v>
      </c>
      <c r="AE217" s="1" t="s">
        <v>2094</v>
      </c>
      <c r="AF217" s="1" t="s">
        <v>1186</v>
      </c>
      <c r="AG217" s="1" t="s">
        <v>1522</v>
      </c>
      <c r="AH217" s="6">
        <v>70770.880000000005</v>
      </c>
      <c r="AI217" s="6">
        <v>70770.880000000005</v>
      </c>
      <c r="AJ217" s="1" t="s">
        <v>2044</v>
      </c>
      <c r="AK217" s="6">
        <v>1185.1199999999953</v>
      </c>
      <c r="AL217" s="6">
        <v>1.6470065039746448E-2</v>
      </c>
      <c r="AM217" s="1" t="s">
        <v>2044</v>
      </c>
      <c r="AN217" s="1" t="s">
        <v>913</v>
      </c>
      <c r="AO217" s="1" t="s">
        <v>1124</v>
      </c>
      <c r="AP217" s="1" t="s">
        <v>44</v>
      </c>
      <c r="AQ217" s="6">
        <v>1185.1199999999953</v>
      </c>
      <c r="AR217" s="6">
        <v>1.6470065039746448E-2</v>
      </c>
      <c r="AS217" s="2"/>
      <c r="AT217" s="7">
        <v>45202.576570232231</v>
      </c>
      <c r="AU217" s="1" t="s">
        <v>577</v>
      </c>
      <c r="AV217" s="1" t="s">
        <v>581</v>
      </c>
      <c r="AW217" s="1" t="s">
        <v>2151</v>
      </c>
      <c r="AX217" s="7">
        <v>45209.665328931143</v>
      </c>
      <c r="AY217" s="1" t="s">
        <v>272</v>
      </c>
      <c r="AZ217" s="6">
        <v>70770.880000000005</v>
      </c>
      <c r="BA217" s="1"/>
      <c r="BB217" s="5">
        <v>45261</v>
      </c>
      <c r="BC217" s="5">
        <v>45209</v>
      </c>
      <c r="BD217" s="5">
        <v>45209</v>
      </c>
      <c r="BE217" s="7">
        <v>45291</v>
      </c>
      <c r="BF217" s="1" t="s">
        <v>2170</v>
      </c>
      <c r="BG217" s="1"/>
      <c r="BH217" s="1"/>
      <c r="BI217" s="1" t="s">
        <v>914</v>
      </c>
    </row>
    <row r="218" spans="1:61" hidden="1" x14ac:dyDescent="0.25">
      <c r="A218" s="4">
        <v>213</v>
      </c>
      <c r="B218" s="2" t="str">
        <f>HYPERLINK("https://my.zakupivli.pro/remote/dispatcher/state_purchase_view/45252192", "UA-2023-09-18-010780-a")</f>
        <v>UA-2023-09-18-010780-a</v>
      </c>
      <c r="C218" s="2" t="str">
        <f>HYPERLINK("https://my.zakupivli.pro/remote/dispatcher/state_purchase_lot_view/1049004", "UA-2023-09-18-010780-a-L1")</f>
        <v>UA-2023-09-18-010780-a-L1</v>
      </c>
      <c r="D218" s="1" t="s">
        <v>1817</v>
      </c>
      <c r="E218" s="1" t="s">
        <v>1816</v>
      </c>
      <c r="F218" s="1" t="s">
        <v>487</v>
      </c>
      <c r="G218" s="1" t="s">
        <v>967</v>
      </c>
      <c r="H218" s="1" t="s">
        <v>1185</v>
      </c>
      <c r="I218" s="1" t="s">
        <v>2094</v>
      </c>
      <c r="J218" s="1" t="s">
        <v>1145</v>
      </c>
      <c r="K218" s="1" t="s">
        <v>947</v>
      </c>
      <c r="L218" s="1" t="s">
        <v>1533</v>
      </c>
      <c r="M218" s="1" t="s">
        <v>1533</v>
      </c>
      <c r="N218" s="1" t="s">
        <v>110</v>
      </c>
      <c r="O218" s="1" t="s">
        <v>110</v>
      </c>
      <c r="P218" s="1" t="s">
        <v>110</v>
      </c>
      <c r="Q218" s="5">
        <v>45187</v>
      </c>
      <c r="R218" s="1" t="s">
        <v>564</v>
      </c>
      <c r="S218" s="1" t="s">
        <v>567</v>
      </c>
      <c r="T218" s="5">
        <v>45187</v>
      </c>
      <c r="U218" s="5">
        <v>45195</v>
      </c>
      <c r="V218" s="1" t="s">
        <v>2147</v>
      </c>
      <c r="W218" s="4">
        <v>1</v>
      </c>
      <c r="X218" s="6">
        <v>117236</v>
      </c>
      <c r="Y218" s="6">
        <v>117236</v>
      </c>
      <c r="Z218" s="1">
        <v>1</v>
      </c>
      <c r="AA218" s="6">
        <v>117236</v>
      </c>
      <c r="AB218" s="1" t="s">
        <v>2167</v>
      </c>
      <c r="AC218" s="6">
        <v>1172.3599999999999</v>
      </c>
      <c r="AD218" s="1" t="s">
        <v>1100</v>
      </c>
      <c r="AE218" s="1" t="s">
        <v>2094</v>
      </c>
      <c r="AF218" s="1" t="s">
        <v>1186</v>
      </c>
      <c r="AG218" s="1" t="s">
        <v>1522</v>
      </c>
      <c r="AH218" s="6">
        <v>115500</v>
      </c>
      <c r="AI218" s="6">
        <v>115500</v>
      </c>
      <c r="AJ218" s="1" t="s">
        <v>2044</v>
      </c>
      <c r="AK218" s="6">
        <v>1736</v>
      </c>
      <c r="AL218" s="6">
        <v>1.4807738237401481E-2</v>
      </c>
      <c r="AM218" s="1" t="s">
        <v>2044</v>
      </c>
      <c r="AN218" s="1" t="s">
        <v>913</v>
      </c>
      <c r="AO218" s="1" t="s">
        <v>1124</v>
      </c>
      <c r="AP218" s="1" t="s">
        <v>44</v>
      </c>
      <c r="AQ218" s="6">
        <v>1736</v>
      </c>
      <c r="AR218" s="6">
        <v>1.4807738237401481E-2</v>
      </c>
      <c r="AS218" s="2"/>
      <c r="AT218" s="7">
        <v>45202.5422362592</v>
      </c>
      <c r="AU218" s="1" t="s">
        <v>577</v>
      </c>
      <c r="AV218" s="1" t="s">
        <v>581</v>
      </c>
      <c r="AW218" s="1" t="s">
        <v>2151</v>
      </c>
      <c r="AX218" s="7">
        <v>45209.665627927061</v>
      </c>
      <c r="AY218" s="1" t="s">
        <v>270</v>
      </c>
      <c r="AZ218" s="6">
        <v>115500</v>
      </c>
      <c r="BA218" s="1"/>
      <c r="BB218" s="5">
        <v>45261</v>
      </c>
      <c r="BC218" s="5">
        <v>45209</v>
      </c>
      <c r="BD218" s="5">
        <v>45209</v>
      </c>
      <c r="BE218" s="7">
        <v>45291</v>
      </c>
      <c r="BF218" s="1" t="s">
        <v>2170</v>
      </c>
      <c r="BG218" s="1"/>
      <c r="BH218" s="1"/>
      <c r="BI218" s="1" t="s">
        <v>914</v>
      </c>
    </row>
    <row r="219" spans="1:61" hidden="1" x14ac:dyDescent="0.25">
      <c r="A219" s="4">
        <v>214</v>
      </c>
      <c r="B219" s="2" t="str">
        <f>HYPERLINK("https://my.zakupivli.pro/remote/dispatcher/state_purchase_view/45220930", "UA-2023-09-15-011405-a")</f>
        <v>UA-2023-09-15-011405-a</v>
      </c>
      <c r="C219" s="2" t="str">
        <f>HYPERLINK("https://my.zakupivli.pro/remote/dispatcher/state_purchase_lot_view/1047786", "UA-2023-09-15-011405-a-L1")</f>
        <v>UA-2023-09-15-011405-a-L1</v>
      </c>
      <c r="D219" s="1" t="s">
        <v>1873</v>
      </c>
      <c r="E219" s="1" t="s">
        <v>1872</v>
      </c>
      <c r="F219" s="1" t="s">
        <v>487</v>
      </c>
      <c r="G219" s="1" t="s">
        <v>972</v>
      </c>
      <c r="H219" s="1" t="s">
        <v>1185</v>
      </c>
      <c r="I219" s="1" t="s">
        <v>2094</v>
      </c>
      <c r="J219" s="1" t="s">
        <v>1145</v>
      </c>
      <c r="K219" s="1" t="s">
        <v>947</v>
      </c>
      <c r="L219" s="1" t="s">
        <v>1533</v>
      </c>
      <c r="M219" s="1" t="s">
        <v>1533</v>
      </c>
      <c r="N219" s="1" t="s">
        <v>110</v>
      </c>
      <c r="O219" s="1" t="s">
        <v>110</v>
      </c>
      <c r="P219" s="1" t="s">
        <v>110</v>
      </c>
      <c r="Q219" s="5">
        <v>45184</v>
      </c>
      <c r="R219" s="1" t="s">
        <v>562</v>
      </c>
      <c r="S219" s="1" t="s">
        <v>566</v>
      </c>
      <c r="T219" s="5">
        <v>45184</v>
      </c>
      <c r="U219" s="5">
        <v>45194</v>
      </c>
      <c r="V219" s="1" t="s">
        <v>2147</v>
      </c>
      <c r="W219" s="4">
        <v>1</v>
      </c>
      <c r="X219" s="6">
        <v>111568</v>
      </c>
      <c r="Y219" s="6">
        <v>111568</v>
      </c>
      <c r="Z219" s="1">
        <v>1</v>
      </c>
      <c r="AA219" s="6">
        <v>111568</v>
      </c>
      <c r="AB219" s="1" t="s">
        <v>2167</v>
      </c>
      <c r="AC219" s="6">
        <v>1115.68</v>
      </c>
      <c r="AD219" s="1" t="s">
        <v>1100</v>
      </c>
      <c r="AE219" s="1" t="s">
        <v>2094</v>
      </c>
      <c r="AF219" s="1" t="s">
        <v>1186</v>
      </c>
      <c r="AG219" s="1" t="s">
        <v>1522</v>
      </c>
      <c r="AH219" s="6">
        <v>109057</v>
      </c>
      <c r="AI219" s="6">
        <v>109057</v>
      </c>
      <c r="AJ219" s="1" t="s">
        <v>2046</v>
      </c>
      <c r="AK219" s="6">
        <v>2511</v>
      </c>
      <c r="AL219" s="6">
        <v>2.250645346335867E-2</v>
      </c>
      <c r="AM219" s="1" t="s">
        <v>2046</v>
      </c>
      <c r="AN219" s="1" t="s">
        <v>745</v>
      </c>
      <c r="AO219" s="1" t="s">
        <v>1126</v>
      </c>
      <c r="AP219" s="1" t="s">
        <v>99</v>
      </c>
      <c r="AQ219" s="6">
        <v>2511</v>
      </c>
      <c r="AR219" s="6">
        <v>2.250645346335867E-2</v>
      </c>
      <c r="AS219" s="2"/>
      <c r="AT219" s="7">
        <v>45196.64356079897</v>
      </c>
      <c r="AU219" s="1" t="s">
        <v>573</v>
      </c>
      <c r="AV219" s="1" t="s">
        <v>579</v>
      </c>
      <c r="AW219" s="1" t="s">
        <v>2151</v>
      </c>
      <c r="AX219" s="7">
        <v>45204.629375427779</v>
      </c>
      <c r="AY219" s="1" t="s">
        <v>259</v>
      </c>
      <c r="AZ219" s="6">
        <v>109057</v>
      </c>
      <c r="BA219" s="1"/>
      <c r="BB219" s="5">
        <v>45261</v>
      </c>
      <c r="BC219" s="5">
        <v>45204</v>
      </c>
      <c r="BD219" s="5">
        <v>45204</v>
      </c>
      <c r="BE219" s="7">
        <v>45291</v>
      </c>
      <c r="BF219" s="1" t="s">
        <v>2170</v>
      </c>
      <c r="BG219" s="1"/>
      <c r="BH219" s="1"/>
      <c r="BI219" s="1" t="s">
        <v>746</v>
      </c>
    </row>
    <row r="220" spans="1:61" hidden="1" x14ac:dyDescent="0.25">
      <c r="A220" s="4">
        <v>215</v>
      </c>
      <c r="B220" s="2" t="str">
        <f>HYPERLINK("https://my.zakupivli.pro/remote/dispatcher/state_purchase_view/45221780", "UA-2023-09-15-011709-a")</f>
        <v>UA-2023-09-15-011709-a</v>
      </c>
      <c r="C220" s="2" t="str">
        <f>HYPERLINK("https://my.zakupivli.pro/remote/dispatcher/state_purchase_lot_view/1047847", "UA-2023-09-15-011709-a-L1")</f>
        <v>UA-2023-09-15-011709-a-L1</v>
      </c>
      <c r="D220" s="1" t="s">
        <v>1878</v>
      </c>
      <c r="E220" s="1" t="s">
        <v>1877</v>
      </c>
      <c r="F220" s="1" t="s">
        <v>487</v>
      </c>
      <c r="G220" s="1" t="s">
        <v>966</v>
      </c>
      <c r="H220" s="1" t="s">
        <v>1185</v>
      </c>
      <c r="I220" s="1" t="s">
        <v>2094</v>
      </c>
      <c r="J220" s="1" t="s">
        <v>1145</v>
      </c>
      <c r="K220" s="1" t="s">
        <v>947</v>
      </c>
      <c r="L220" s="1" t="s">
        <v>1533</v>
      </c>
      <c r="M220" s="1" t="s">
        <v>1533</v>
      </c>
      <c r="N220" s="1" t="s">
        <v>110</v>
      </c>
      <c r="O220" s="1" t="s">
        <v>110</v>
      </c>
      <c r="P220" s="1" t="s">
        <v>110</v>
      </c>
      <c r="Q220" s="5">
        <v>45184</v>
      </c>
      <c r="R220" s="1" t="s">
        <v>562</v>
      </c>
      <c r="S220" s="1" t="s">
        <v>566</v>
      </c>
      <c r="T220" s="5">
        <v>45184</v>
      </c>
      <c r="U220" s="5">
        <v>45194</v>
      </c>
      <c r="V220" s="1" t="s">
        <v>2147</v>
      </c>
      <c r="W220" s="4">
        <v>1</v>
      </c>
      <c r="X220" s="6">
        <v>450102</v>
      </c>
      <c r="Y220" s="6">
        <v>450102</v>
      </c>
      <c r="Z220" s="1">
        <v>1</v>
      </c>
      <c r="AA220" s="6">
        <v>450102</v>
      </c>
      <c r="AB220" s="1" t="s">
        <v>2167</v>
      </c>
      <c r="AC220" s="6">
        <v>4501.0200000000004</v>
      </c>
      <c r="AD220" s="1" t="s">
        <v>1100</v>
      </c>
      <c r="AE220" s="1" t="s">
        <v>2094</v>
      </c>
      <c r="AF220" s="1" t="s">
        <v>1186</v>
      </c>
      <c r="AG220" s="1" t="s">
        <v>1522</v>
      </c>
      <c r="AH220" s="6">
        <v>447221.37</v>
      </c>
      <c r="AI220" s="6">
        <v>447221.37</v>
      </c>
      <c r="AJ220" s="1" t="s">
        <v>2046</v>
      </c>
      <c r="AK220" s="6">
        <v>2880.6300000000047</v>
      </c>
      <c r="AL220" s="6">
        <v>6.3999493448151853E-3</v>
      </c>
      <c r="AM220" s="1" t="s">
        <v>2046</v>
      </c>
      <c r="AN220" s="1" t="s">
        <v>745</v>
      </c>
      <c r="AO220" s="1" t="s">
        <v>1126</v>
      </c>
      <c r="AP220" s="1" t="s">
        <v>99</v>
      </c>
      <c r="AQ220" s="6">
        <v>2880.6300000000047</v>
      </c>
      <c r="AR220" s="6">
        <v>6.3999493448151853E-3</v>
      </c>
      <c r="AS220" s="2"/>
      <c r="AT220" s="7">
        <v>45196.713888524071</v>
      </c>
      <c r="AU220" s="1" t="s">
        <v>573</v>
      </c>
      <c r="AV220" s="1" t="s">
        <v>579</v>
      </c>
      <c r="AW220" s="1" t="s">
        <v>2151</v>
      </c>
      <c r="AX220" s="7">
        <v>45204.627875359292</v>
      </c>
      <c r="AY220" s="1" t="s">
        <v>258</v>
      </c>
      <c r="AZ220" s="6">
        <v>447221.37</v>
      </c>
      <c r="BA220" s="1"/>
      <c r="BB220" s="5">
        <v>45261</v>
      </c>
      <c r="BC220" s="5">
        <v>45204</v>
      </c>
      <c r="BD220" s="5">
        <v>45204</v>
      </c>
      <c r="BE220" s="7">
        <v>45291</v>
      </c>
      <c r="BF220" s="1" t="s">
        <v>2170</v>
      </c>
      <c r="BG220" s="1"/>
      <c r="BH220" s="1"/>
      <c r="BI220" s="1" t="s">
        <v>746</v>
      </c>
    </row>
    <row r="221" spans="1:61" hidden="1" x14ac:dyDescent="0.25">
      <c r="A221" s="4">
        <v>216</v>
      </c>
      <c r="B221" s="2" t="str">
        <f>HYPERLINK("https://my.zakupivli.pro/remote/dispatcher/state_purchase_view/45221597", "UA-2023-09-15-011591-a")</f>
        <v>UA-2023-09-15-011591-a</v>
      </c>
      <c r="C221" s="2" t="str">
        <f>HYPERLINK("https://my.zakupivli.pro/remote/dispatcher/state_purchase_lot_view/1047825", "UA-2023-09-15-011591-a-L1")</f>
        <v>UA-2023-09-15-011591-a-L1</v>
      </c>
      <c r="D221" s="1" t="s">
        <v>1761</v>
      </c>
      <c r="E221" s="1" t="s">
        <v>1760</v>
      </c>
      <c r="F221" s="1" t="s">
        <v>487</v>
      </c>
      <c r="G221" s="1" t="s">
        <v>966</v>
      </c>
      <c r="H221" s="1" t="s">
        <v>1185</v>
      </c>
      <c r="I221" s="1" t="s">
        <v>2094</v>
      </c>
      <c r="J221" s="1" t="s">
        <v>1145</v>
      </c>
      <c r="K221" s="1" t="s">
        <v>947</v>
      </c>
      <c r="L221" s="1" t="s">
        <v>1533</v>
      </c>
      <c r="M221" s="1" t="s">
        <v>1533</v>
      </c>
      <c r="N221" s="1" t="s">
        <v>110</v>
      </c>
      <c r="O221" s="1" t="s">
        <v>110</v>
      </c>
      <c r="P221" s="1" t="s">
        <v>110</v>
      </c>
      <c r="Q221" s="5">
        <v>45184</v>
      </c>
      <c r="R221" s="1" t="s">
        <v>562</v>
      </c>
      <c r="S221" s="1" t="s">
        <v>566</v>
      </c>
      <c r="T221" s="5">
        <v>45184</v>
      </c>
      <c r="U221" s="5">
        <v>45194</v>
      </c>
      <c r="V221" s="1" t="s">
        <v>2147</v>
      </c>
      <c r="W221" s="4">
        <v>1</v>
      </c>
      <c r="X221" s="6">
        <v>399865</v>
      </c>
      <c r="Y221" s="6">
        <v>399865</v>
      </c>
      <c r="Z221" s="1">
        <v>1</v>
      </c>
      <c r="AA221" s="6">
        <v>399865</v>
      </c>
      <c r="AB221" s="1" t="s">
        <v>2167</v>
      </c>
      <c r="AC221" s="6">
        <v>3998.65</v>
      </c>
      <c r="AD221" s="1" t="s">
        <v>1100</v>
      </c>
      <c r="AE221" s="1" t="s">
        <v>2094</v>
      </c>
      <c r="AF221" s="1" t="s">
        <v>1186</v>
      </c>
      <c r="AG221" s="1" t="s">
        <v>1522</v>
      </c>
      <c r="AH221" s="6">
        <v>396132.22</v>
      </c>
      <c r="AI221" s="6">
        <v>396132.22</v>
      </c>
      <c r="AJ221" s="1" t="s">
        <v>2046</v>
      </c>
      <c r="AK221" s="6">
        <v>3732.7800000000279</v>
      </c>
      <c r="AL221" s="6">
        <v>9.3351005964513716E-3</v>
      </c>
      <c r="AM221" s="1" t="s">
        <v>2046</v>
      </c>
      <c r="AN221" s="1" t="s">
        <v>745</v>
      </c>
      <c r="AO221" s="1" t="s">
        <v>1126</v>
      </c>
      <c r="AP221" s="1" t="s">
        <v>99</v>
      </c>
      <c r="AQ221" s="6">
        <v>3732.7800000000279</v>
      </c>
      <c r="AR221" s="6">
        <v>9.3351005964513716E-3</v>
      </c>
      <c r="AS221" s="2"/>
      <c r="AT221" s="7">
        <v>45196.68823915744</v>
      </c>
      <c r="AU221" s="1" t="s">
        <v>573</v>
      </c>
      <c r="AV221" s="1" t="s">
        <v>579</v>
      </c>
      <c r="AW221" s="1" t="s">
        <v>2151</v>
      </c>
      <c r="AX221" s="7">
        <v>45204.627089401307</v>
      </c>
      <c r="AY221" s="1" t="s">
        <v>256</v>
      </c>
      <c r="AZ221" s="6">
        <v>396132.22</v>
      </c>
      <c r="BA221" s="1"/>
      <c r="BB221" s="5">
        <v>45261</v>
      </c>
      <c r="BC221" s="5">
        <v>45204</v>
      </c>
      <c r="BD221" s="5">
        <v>45204</v>
      </c>
      <c r="BE221" s="7">
        <v>45291</v>
      </c>
      <c r="BF221" s="1" t="s">
        <v>2170</v>
      </c>
      <c r="BG221" s="1"/>
      <c r="BH221" s="1"/>
      <c r="BI221" s="1" t="s">
        <v>746</v>
      </c>
    </row>
    <row r="222" spans="1:61" hidden="1" x14ac:dyDescent="0.25">
      <c r="A222" s="4">
        <v>217</v>
      </c>
      <c r="B222" s="2" t="str">
        <f>HYPERLINK("https://my.zakupivli.pro/remote/dispatcher/state_purchase_view/45220516", "UA-2023-09-15-011110-a")</f>
        <v>UA-2023-09-15-011110-a</v>
      </c>
      <c r="C222" s="2" t="str">
        <f>HYPERLINK("https://my.zakupivli.pro/remote/dispatcher/state_purchase_lot_view/1047762", "UA-2023-09-15-011110-a-L1")</f>
        <v>UA-2023-09-15-011110-a-L1</v>
      </c>
      <c r="D222" s="1" t="s">
        <v>1799</v>
      </c>
      <c r="E222" s="1" t="s">
        <v>1798</v>
      </c>
      <c r="F222" s="1" t="s">
        <v>487</v>
      </c>
      <c r="G222" s="1" t="s">
        <v>966</v>
      </c>
      <c r="H222" s="1" t="s">
        <v>1185</v>
      </c>
      <c r="I222" s="1" t="s">
        <v>2094</v>
      </c>
      <c r="J222" s="1" t="s">
        <v>1145</v>
      </c>
      <c r="K222" s="1" t="s">
        <v>947</v>
      </c>
      <c r="L222" s="1" t="s">
        <v>1533</v>
      </c>
      <c r="M222" s="1" t="s">
        <v>1533</v>
      </c>
      <c r="N222" s="1" t="s">
        <v>110</v>
      </c>
      <c r="O222" s="1" t="s">
        <v>110</v>
      </c>
      <c r="P222" s="1" t="s">
        <v>110</v>
      </c>
      <c r="Q222" s="5">
        <v>45184</v>
      </c>
      <c r="R222" s="1" t="s">
        <v>562</v>
      </c>
      <c r="S222" s="1" t="s">
        <v>566</v>
      </c>
      <c r="T222" s="5">
        <v>45184</v>
      </c>
      <c r="U222" s="5">
        <v>45194</v>
      </c>
      <c r="V222" s="1" t="s">
        <v>2147</v>
      </c>
      <c r="W222" s="4">
        <v>1</v>
      </c>
      <c r="X222" s="6">
        <v>253654</v>
      </c>
      <c r="Y222" s="6">
        <v>253654</v>
      </c>
      <c r="Z222" s="1">
        <v>1</v>
      </c>
      <c r="AA222" s="6">
        <v>253654</v>
      </c>
      <c r="AB222" s="1" t="s">
        <v>2167</v>
      </c>
      <c r="AC222" s="6">
        <v>2536.54</v>
      </c>
      <c r="AD222" s="1" t="s">
        <v>1100</v>
      </c>
      <c r="AE222" s="1" t="s">
        <v>2094</v>
      </c>
      <c r="AF222" s="1" t="s">
        <v>1186</v>
      </c>
      <c r="AG222" s="1" t="s">
        <v>1522</v>
      </c>
      <c r="AH222" s="6">
        <v>233816.99</v>
      </c>
      <c r="AI222" s="6">
        <v>233816.99</v>
      </c>
      <c r="AJ222" s="1" t="s">
        <v>2046</v>
      </c>
      <c r="AK222" s="6">
        <v>19837.010000000009</v>
      </c>
      <c r="AL222" s="6">
        <v>7.8204995781655365E-2</v>
      </c>
      <c r="AM222" s="1" t="s">
        <v>2046</v>
      </c>
      <c r="AN222" s="1" t="s">
        <v>745</v>
      </c>
      <c r="AO222" s="1" t="s">
        <v>1126</v>
      </c>
      <c r="AP222" s="1" t="s">
        <v>99</v>
      </c>
      <c r="AQ222" s="6">
        <v>19837.010000000009</v>
      </c>
      <c r="AR222" s="6">
        <v>7.8204995781655365E-2</v>
      </c>
      <c r="AS222" s="2"/>
      <c r="AT222" s="7">
        <v>45196.527694970799</v>
      </c>
      <c r="AU222" s="1" t="s">
        <v>573</v>
      </c>
      <c r="AV222" s="1" t="s">
        <v>579</v>
      </c>
      <c r="AW222" s="1" t="s">
        <v>2151</v>
      </c>
      <c r="AX222" s="7">
        <v>45204.621931218135</v>
      </c>
      <c r="AY222" s="1" t="s">
        <v>257</v>
      </c>
      <c r="AZ222" s="6">
        <v>233816.99</v>
      </c>
      <c r="BA222" s="1"/>
      <c r="BB222" s="5">
        <v>45261</v>
      </c>
      <c r="BC222" s="5">
        <v>45204</v>
      </c>
      <c r="BD222" s="5">
        <v>45204</v>
      </c>
      <c r="BE222" s="7">
        <v>45291</v>
      </c>
      <c r="BF222" s="1" t="s">
        <v>2170</v>
      </c>
      <c r="BG222" s="1"/>
      <c r="BH222" s="1"/>
      <c r="BI222" s="1" t="s">
        <v>746</v>
      </c>
    </row>
    <row r="223" spans="1:61" hidden="1" x14ac:dyDescent="0.25">
      <c r="A223" s="4">
        <v>218</v>
      </c>
      <c r="B223" s="2" t="str">
        <f>HYPERLINK("https://my.zakupivli.pro/remote/dispatcher/state_purchase_view/45114879", "UA-2023-09-12-008504-a")</f>
        <v>UA-2023-09-12-008504-a</v>
      </c>
      <c r="C223" s="2" t="s">
        <v>1516</v>
      </c>
      <c r="D223" s="1" t="s">
        <v>1612</v>
      </c>
      <c r="E223" s="1" t="s">
        <v>1612</v>
      </c>
      <c r="F223" s="1" t="s">
        <v>487</v>
      </c>
      <c r="G223" s="1" t="s">
        <v>1035</v>
      </c>
      <c r="H223" s="1" t="s">
        <v>1218</v>
      </c>
      <c r="I223" s="1" t="s">
        <v>2094</v>
      </c>
      <c r="J223" s="1" t="s">
        <v>1145</v>
      </c>
      <c r="K223" s="1" t="s">
        <v>947</v>
      </c>
      <c r="L223" s="1" t="s">
        <v>1533</v>
      </c>
      <c r="M223" s="1" t="s">
        <v>1533</v>
      </c>
      <c r="N223" s="1" t="s">
        <v>110</v>
      </c>
      <c r="O223" s="1" t="s">
        <v>110</v>
      </c>
      <c r="P223" s="1" t="s">
        <v>110</v>
      </c>
      <c r="Q223" s="5">
        <v>45181</v>
      </c>
      <c r="R223" s="1"/>
      <c r="S223" s="1"/>
      <c r="T223" s="1"/>
      <c r="U223" s="1"/>
      <c r="V223" s="1" t="s">
        <v>2146</v>
      </c>
      <c r="W223" s="4">
        <v>1</v>
      </c>
      <c r="X223" s="6">
        <v>25346.02</v>
      </c>
      <c r="Y223" s="1" t="s">
        <v>1516</v>
      </c>
      <c r="Z223" s="1">
        <v>1</v>
      </c>
      <c r="AA223" s="6">
        <v>25346.02</v>
      </c>
      <c r="AB223" s="1" t="s">
        <v>2167</v>
      </c>
      <c r="AC223" s="1" t="s">
        <v>2162</v>
      </c>
      <c r="AD223" s="1" t="s">
        <v>1100</v>
      </c>
      <c r="AE223" s="1" t="s">
        <v>1522</v>
      </c>
      <c r="AF223" s="1" t="s">
        <v>1186</v>
      </c>
      <c r="AG223" s="1" t="s">
        <v>1522</v>
      </c>
      <c r="AH223" s="6">
        <v>25346.02</v>
      </c>
      <c r="AI223" s="6">
        <v>25346.02</v>
      </c>
      <c r="AJ223" s="1" t="s">
        <v>1498</v>
      </c>
      <c r="AK223" s="1"/>
      <c r="AL223" s="1"/>
      <c r="AM223" s="1" t="s">
        <v>1498</v>
      </c>
      <c r="AN223" s="1" t="s">
        <v>785</v>
      </c>
      <c r="AO223" s="1"/>
      <c r="AP223" s="1" t="s">
        <v>81</v>
      </c>
      <c r="AQ223" s="1"/>
      <c r="AR223" s="1"/>
      <c r="AS223" s="2"/>
      <c r="AT223" s="1"/>
      <c r="AU223" s="1"/>
      <c r="AV223" s="1"/>
      <c r="AW223" s="1" t="s">
        <v>2152</v>
      </c>
      <c r="AX223" s="7">
        <v>45181.606200186063</v>
      </c>
      <c r="AY223" s="1" t="s">
        <v>243</v>
      </c>
      <c r="AZ223" s="6">
        <v>25346.02</v>
      </c>
      <c r="BA223" s="5">
        <v>45180</v>
      </c>
      <c r="BB223" s="5">
        <v>45291</v>
      </c>
      <c r="BC223" s="5">
        <v>45180</v>
      </c>
      <c r="BD223" s="5">
        <v>45180</v>
      </c>
      <c r="BE223" s="7">
        <v>45291</v>
      </c>
      <c r="BF223" s="1" t="s">
        <v>2170</v>
      </c>
      <c r="BG223" s="1"/>
      <c r="BH223" s="1"/>
      <c r="BI223" s="1" t="s">
        <v>108</v>
      </c>
    </row>
    <row r="224" spans="1:61" hidden="1" x14ac:dyDescent="0.25">
      <c r="A224" s="4">
        <v>219</v>
      </c>
      <c r="B224" s="2" t="str">
        <f>HYPERLINK("https://my.zakupivli.pro/remote/dispatcher/state_purchase_view/45114255", "UA-2023-09-12-008242-a")</f>
        <v>UA-2023-09-12-008242-a</v>
      </c>
      <c r="C224" s="2" t="s">
        <v>1516</v>
      </c>
      <c r="D224" s="1" t="s">
        <v>1608</v>
      </c>
      <c r="E224" s="1" t="s">
        <v>1608</v>
      </c>
      <c r="F224" s="1" t="s">
        <v>487</v>
      </c>
      <c r="G224" s="1" t="s">
        <v>1035</v>
      </c>
      <c r="H224" s="1" t="s">
        <v>1218</v>
      </c>
      <c r="I224" s="1" t="s">
        <v>2094</v>
      </c>
      <c r="J224" s="1" t="s">
        <v>1145</v>
      </c>
      <c r="K224" s="1" t="s">
        <v>947</v>
      </c>
      <c r="L224" s="1" t="s">
        <v>1533</v>
      </c>
      <c r="M224" s="1" t="s">
        <v>1533</v>
      </c>
      <c r="N224" s="1" t="s">
        <v>110</v>
      </c>
      <c r="O224" s="1" t="s">
        <v>110</v>
      </c>
      <c r="P224" s="1" t="s">
        <v>110</v>
      </c>
      <c r="Q224" s="5">
        <v>45181</v>
      </c>
      <c r="R224" s="1"/>
      <c r="S224" s="1"/>
      <c r="T224" s="1"/>
      <c r="U224" s="1"/>
      <c r="V224" s="1" t="s">
        <v>2146</v>
      </c>
      <c r="W224" s="4">
        <v>1</v>
      </c>
      <c r="X224" s="6">
        <v>6847.46</v>
      </c>
      <c r="Y224" s="1" t="s">
        <v>1516</v>
      </c>
      <c r="Z224" s="1">
        <v>1</v>
      </c>
      <c r="AA224" s="6">
        <v>6847.46</v>
      </c>
      <c r="AB224" s="1" t="s">
        <v>2167</v>
      </c>
      <c r="AC224" s="1" t="s">
        <v>2162</v>
      </c>
      <c r="AD224" s="1" t="s">
        <v>1100</v>
      </c>
      <c r="AE224" s="1" t="s">
        <v>1522</v>
      </c>
      <c r="AF224" s="1" t="s">
        <v>1186</v>
      </c>
      <c r="AG224" s="1" t="s">
        <v>1522</v>
      </c>
      <c r="AH224" s="6">
        <v>6847.46</v>
      </c>
      <c r="AI224" s="6">
        <v>6847.46</v>
      </c>
      <c r="AJ224" s="1" t="s">
        <v>1498</v>
      </c>
      <c r="AK224" s="1"/>
      <c r="AL224" s="1"/>
      <c r="AM224" s="1" t="s">
        <v>1498</v>
      </c>
      <c r="AN224" s="1" t="s">
        <v>785</v>
      </c>
      <c r="AO224" s="1"/>
      <c r="AP224" s="1" t="s">
        <v>81</v>
      </c>
      <c r="AQ224" s="1"/>
      <c r="AR224" s="1"/>
      <c r="AS224" s="2"/>
      <c r="AT224" s="1"/>
      <c r="AU224" s="1"/>
      <c r="AV224" s="1"/>
      <c r="AW224" s="1" t="s">
        <v>2152</v>
      </c>
      <c r="AX224" s="7">
        <v>45181.601223568701</v>
      </c>
      <c r="AY224" s="1" t="s">
        <v>239</v>
      </c>
      <c r="AZ224" s="6">
        <v>6847.46</v>
      </c>
      <c r="BA224" s="5">
        <v>45177</v>
      </c>
      <c r="BB224" s="5">
        <v>45291</v>
      </c>
      <c r="BC224" s="5">
        <v>45177</v>
      </c>
      <c r="BD224" s="5">
        <v>45177</v>
      </c>
      <c r="BE224" s="7">
        <v>45291</v>
      </c>
      <c r="BF224" s="1" t="s">
        <v>2170</v>
      </c>
      <c r="BG224" s="1"/>
      <c r="BH224" s="1"/>
      <c r="BI224" s="1" t="s">
        <v>108</v>
      </c>
    </row>
    <row r="225" spans="1:61" hidden="1" x14ac:dyDescent="0.25">
      <c r="A225" s="4">
        <v>220</v>
      </c>
      <c r="B225" s="2" t="str">
        <f>HYPERLINK("https://my.zakupivli.pro/remote/dispatcher/state_purchase_view/45116943", "UA-2023-09-12-009413-a")</f>
        <v>UA-2023-09-12-009413-a</v>
      </c>
      <c r="C225" s="2" t="s">
        <v>1516</v>
      </c>
      <c r="D225" s="1" t="s">
        <v>1610</v>
      </c>
      <c r="E225" s="1" t="s">
        <v>1610</v>
      </c>
      <c r="F225" s="1" t="s">
        <v>487</v>
      </c>
      <c r="G225" s="1" t="s">
        <v>1035</v>
      </c>
      <c r="H225" s="1" t="s">
        <v>1218</v>
      </c>
      <c r="I225" s="1" t="s">
        <v>2094</v>
      </c>
      <c r="J225" s="1" t="s">
        <v>1145</v>
      </c>
      <c r="K225" s="1" t="s">
        <v>947</v>
      </c>
      <c r="L225" s="1" t="s">
        <v>1533</v>
      </c>
      <c r="M225" s="1" t="s">
        <v>1533</v>
      </c>
      <c r="N225" s="1" t="s">
        <v>110</v>
      </c>
      <c r="O225" s="1" t="s">
        <v>110</v>
      </c>
      <c r="P225" s="1" t="s">
        <v>110</v>
      </c>
      <c r="Q225" s="5">
        <v>45181</v>
      </c>
      <c r="R225" s="1"/>
      <c r="S225" s="1"/>
      <c r="T225" s="1"/>
      <c r="U225" s="1"/>
      <c r="V225" s="1" t="s">
        <v>2146</v>
      </c>
      <c r="W225" s="4">
        <v>1</v>
      </c>
      <c r="X225" s="6">
        <v>1939.79</v>
      </c>
      <c r="Y225" s="1" t="s">
        <v>1516</v>
      </c>
      <c r="Z225" s="1">
        <v>1</v>
      </c>
      <c r="AA225" s="6">
        <v>1939.79</v>
      </c>
      <c r="AB225" s="1" t="s">
        <v>2167</v>
      </c>
      <c r="AC225" s="1" t="s">
        <v>2162</v>
      </c>
      <c r="AD225" s="1" t="s">
        <v>1100</v>
      </c>
      <c r="AE225" s="1" t="s">
        <v>1522</v>
      </c>
      <c r="AF225" s="1" t="s">
        <v>1186</v>
      </c>
      <c r="AG225" s="1" t="s">
        <v>1522</v>
      </c>
      <c r="AH225" s="6">
        <v>1939.79</v>
      </c>
      <c r="AI225" s="6">
        <v>1939.79</v>
      </c>
      <c r="AJ225" s="1" t="s">
        <v>1498</v>
      </c>
      <c r="AK225" s="1"/>
      <c r="AL225" s="1"/>
      <c r="AM225" s="1" t="s">
        <v>1498</v>
      </c>
      <c r="AN225" s="1" t="s">
        <v>785</v>
      </c>
      <c r="AO225" s="1"/>
      <c r="AP225" s="1" t="s">
        <v>81</v>
      </c>
      <c r="AQ225" s="1"/>
      <c r="AR225" s="1"/>
      <c r="AS225" s="2"/>
      <c r="AT225" s="1"/>
      <c r="AU225" s="1"/>
      <c r="AV225" s="1"/>
      <c r="AW225" s="1" t="s">
        <v>2152</v>
      </c>
      <c r="AX225" s="7">
        <v>45181.623417422561</v>
      </c>
      <c r="AY225" s="1" t="s">
        <v>233</v>
      </c>
      <c r="AZ225" s="6">
        <v>1939.79</v>
      </c>
      <c r="BA225" s="5">
        <v>45177</v>
      </c>
      <c r="BB225" s="5">
        <v>45291</v>
      </c>
      <c r="BC225" s="5">
        <v>45177</v>
      </c>
      <c r="BD225" s="5">
        <v>45177</v>
      </c>
      <c r="BE225" s="7">
        <v>45291</v>
      </c>
      <c r="BF225" s="1" t="s">
        <v>2170</v>
      </c>
      <c r="BG225" s="1"/>
      <c r="BH225" s="1"/>
      <c r="BI225" s="1" t="s">
        <v>108</v>
      </c>
    </row>
    <row r="226" spans="1:61" hidden="1" x14ac:dyDescent="0.25">
      <c r="A226" s="4">
        <v>221</v>
      </c>
      <c r="B226" s="2" t="str">
        <f>HYPERLINK("https://my.zakupivli.pro/remote/dispatcher/state_purchase_view/45116356", "UA-2023-09-12-009190-a")</f>
        <v>UA-2023-09-12-009190-a</v>
      </c>
      <c r="C226" s="2" t="s">
        <v>1516</v>
      </c>
      <c r="D226" s="1" t="s">
        <v>1618</v>
      </c>
      <c r="E226" s="1" t="s">
        <v>1618</v>
      </c>
      <c r="F226" s="1" t="s">
        <v>487</v>
      </c>
      <c r="G226" s="1" t="s">
        <v>1035</v>
      </c>
      <c r="H226" s="1" t="s">
        <v>1218</v>
      </c>
      <c r="I226" s="1" t="s">
        <v>2094</v>
      </c>
      <c r="J226" s="1" t="s">
        <v>1145</v>
      </c>
      <c r="K226" s="1" t="s">
        <v>947</v>
      </c>
      <c r="L226" s="1" t="s">
        <v>1533</v>
      </c>
      <c r="M226" s="1" t="s">
        <v>1533</v>
      </c>
      <c r="N226" s="1" t="s">
        <v>110</v>
      </c>
      <c r="O226" s="1" t="s">
        <v>110</v>
      </c>
      <c r="P226" s="1" t="s">
        <v>110</v>
      </c>
      <c r="Q226" s="5">
        <v>45181</v>
      </c>
      <c r="R226" s="1"/>
      <c r="S226" s="1"/>
      <c r="T226" s="1"/>
      <c r="U226" s="1"/>
      <c r="V226" s="1" t="s">
        <v>2146</v>
      </c>
      <c r="W226" s="4">
        <v>1</v>
      </c>
      <c r="X226" s="6">
        <v>1680.31</v>
      </c>
      <c r="Y226" s="1" t="s">
        <v>1516</v>
      </c>
      <c r="Z226" s="1">
        <v>1</v>
      </c>
      <c r="AA226" s="6">
        <v>1680.31</v>
      </c>
      <c r="AB226" s="1" t="s">
        <v>2167</v>
      </c>
      <c r="AC226" s="1" t="s">
        <v>2162</v>
      </c>
      <c r="AD226" s="1" t="s">
        <v>1100</v>
      </c>
      <c r="AE226" s="1" t="s">
        <v>1522</v>
      </c>
      <c r="AF226" s="1" t="s">
        <v>1186</v>
      </c>
      <c r="AG226" s="1" t="s">
        <v>1522</v>
      </c>
      <c r="AH226" s="6">
        <v>1680.31</v>
      </c>
      <c r="AI226" s="6">
        <v>1680.31</v>
      </c>
      <c r="AJ226" s="1" t="s">
        <v>1498</v>
      </c>
      <c r="AK226" s="1"/>
      <c r="AL226" s="1"/>
      <c r="AM226" s="1" t="s">
        <v>1498</v>
      </c>
      <c r="AN226" s="1" t="s">
        <v>785</v>
      </c>
      <c r="AO226" s="1"/>
      <c r="AP226" s="1" t="s">
        <v>81</v>
      </c>
      <c r="AQ226" s="1"/>
      <c r="AR226" s="1"/>
      <c r="AS226" s="2"/>
      <c r="AT226" s="1"/>
      <c r="AU226" s="1"/>
      <c r="AV226" s="1"/>
      <c r="AW226" s="1" t="s">
        <v>2152</v>
      </c>
      <c r="AX226" s="7">
        <v>45181.61842389602</v>
      </c>
      <c r="AY226" s="1" t="s">
        <v>237</v>
      </c>
      <c r="AZ226" s="6">
        <v>1680.31</v>
      </c>
      <c r="BA226" s="5">
        <v>45177</v>
      </c>
      <c r="BB226" s="5">
        <v>45291</v>
      </c>
      <c r="BC226" s="5">
        <v>45177</v>
      </c>
      <c r="BD226" s="5">
        <v>45177</v>
      </c>
      <c r="BE226" s="7">
        <v>45291</v>
      </c>
      <c r="BF226" s="1" t="s">
        <v>2170</v>
      </c>
      <c r="BG226" s="1"/>
      <c r="BH226" s="1"/>
      <c r="BI226" s="1" t="s">
        <v>108</v>
      </c>
    </row>
    <row r="227" spans="1:61" hidden="1" x14ac:dyDescent="0.25">
      <c r="A227" s="4">
        <v>222</v>
      </c>
      <c r="B227" s="2" t="str">
        <f>HYPERLINK("https://my.zakupivli.pro/remote/dispatcher/state_purchase_view/45115637", "UA-2023-09-12-008925-a")</f>
        <v>UA-2023-09-12-008925-a</v>
      </c>
      <c r="C227" s="2" t="s">
        <v>1516</v>
      </c>
      <c r="D227" s="1" t="s">
        <v>1619</v>
      </c>
      <c r="E227" s="1" t="s">
        <v>1619</v>
      </c>
      <c r="F227" s="1" t="s">
        <v>487</v>
      </c>
      <c r="G227" s="1" t="s">
        <v>1035</v>
      </c>
      <c r="H227" s="1" t="s">
        <v>1218</v>
      </c>
      <c r="I227" s="1" t="s">
        <v>2094</v>
      </c>
      <c r="J227" s="1" t="s">
        <v>1145</v>
      </c>
      <c r="K227" s="1" t="s">
        <v>947</v>
      </c>
      <c r="L227" s="1" t="s">
        <v>1533</v>
      </c>
      <c r="M227" s="1" t="s">
        <v>1533</v>
      </c>
      <c r="N227" s="1" t="s">
        <v>110</v>
      </c>
      <c r="O227" s="1" t="s">
        <v>110</v>
      </c>
      <c r="P227" s="1" t="s">
        <v>110</v>
      </c>
      <c r="Q227" s="5">
        <v>45181</v>
      </c>
      <c r="R227" s="1"/>
      <c r="S227" s="1"/>
      <c r="T227" s="1"/>
      <c r="U227" s="1"/>
      <c r="V227" s="1" t="s">
        <v>2146</v>
      </c>
      <c r="W227" s="4">
        <v>1</v>
      </c>
      <c r="X227" s="6">
        <v>1996.35</v>
      </c>
      <c r="Y227" s="1" t="s">
        <v>1516</v>
      </c>
      <c r="Z227" s="1">
        <v>1</v>
      </c>
      <c r="AA227" s="6">
        <v>1996.35</v>
      </c>
      <c r="AB227" s="1" t="s">
        <v>2167</v>
      </c>
      <c r="AC227" s="1" t="s">
        <v>2162</v>
      </c>
      <c r="AD227" s="1" t="s">
        <v>1100</v>
      </c>
      <c r="AE227" s="1" t="s">
        <v>1522</v>
      </c>
      <c r="AF227" s="1" t="s">
        <v>1186</v>
      </c>
      <c r="AG227" s="1" t="s">
        <v>1522</v>
      </c>
      <c r="AH227" s="6">
        <v>1996.35</v>
      </c>
      <c r="AI227" s="6">
        <v>1996.35</v>
      </c>
      <c r="AJ227" s="1" t="s">
        <v>1498</v>
      </c>
      <c r="AK227" s="1"/>
      <c r="AL227" s="1"/>
      <c r="AM227" s="1" t="s">
        <v>1498</v>
      </c>
      <c r="AN227" s="1" t="s">
        <v>785</v>
      </c>
      <c r="AO227" s="1"/>
      <c r="AP227" s="1" t="s">
        <v>81</v>
      </c>
      <c r="AQ227" s="1"/>
      <c r="AR227" s="1"/>
      <c r="AS227" s="2"/>
      <c r="AT227" s="1"/>
      <c r="AU227" s="1"/>
      <c r="AV227" s="1"/>
      <c r="AW227" s="1" t="s">
        <v>2152</v>
      </c>
      <c r="AX227" s="7">
        <v>45181.613049672676</v>
      </c>
      <c r="AY227" s="1" t="s">
        <v>238</v>
      </c>
      <c r="AZ227" s="6">
        <v>1996.35</v>
      </c>
      <c r="BA227" s="5">
        <v>45177</v>
      </c>
      <c r="BB227" s="5">
        <v>45291</v>
      </c>
      <c r="BC227" s="5">
        <v>45177</v>
      </c>
      <c r="BD227" s="5">
        <v>45177</v>
      </c>
      <c r="BE227" s="7">
        <v>45291</v>
      </c>
      <c r="BF227" s="1" t="s">
        <v>2170</v>
      </c>
      <c r="BG227" s="1"/>
      <c r="BH227" s="1"/>
      <c r="BI227" s="1" t="s">
        <v>108</v>
      </c>
    </row>
    <row r="228" spans="1:61" hidden="1" x14ac:dyDescent="0.25">
      <c r="A228" s="4">
        <v>223</v>
      </c>
      <c r="B228" s="2" t="str">
        <f>HYPERLINK("https://my.zakupivli.pro/remote/dispatcher/state_purchase_view/45113732", "UA-2023-09-12-008005-a")</f>
        <v>UA-2023-09-12-008005-a</v>
      </c>
      <c r="C228" s="2" t="s">
        <v>1516</v>
      </c>
      <c r="D228" s="1" t="s">
        <v>1609</v>
      </c>
      <c r="E228" s="1" t="s">
        <v>1609</v>
      </c>
      <c r="F228" s="1" t="s">
        <v>487</v>
      </c>
      <c r="G228" s="1" t="s">
        <v>1035</v>
      </c>
      <c r="H228" s="1" t="s">
        <v>1218</v>
      </c>
      <c r="I228" s="1" t="s">
        <v>2094</v>
      </c>
      <c r="J228" s="1" t="s">
        <v>1145</v>
      </c>
      <c r="K228" s="1" t="s">
        <v>947</v>
      </c>
      <c r="L228" s="1" t="s">
        <v>1533</v>
      </c>
      <c r="M228" s="1" t="s">
        <v>1533</v>
      </c>
      <c r="N228" s="1" t="s">
        <v>110</v>
      </c>
      <c r="O228" s="1" t="s">
        <v>110</v>
      </c>
      <c r="P228" s="1" t="s">
        <v>110</v>
      </c>
      <c r="Q228" s="5">
        <v>45181</v>
      </c>
      <c r="R228" s="1"/>
      <c r="S228" s="1"/>
      <c r="T228" s="1"/>
      <c r="U228" s="1"/>
      <c r="V228" s="1" t="s">
        <v>2146</v>
      </c>
      <c r="W228" s="4">
        <v>1</v>
      </c>
      <c r="X228" s="6">
        <v>10394.75</v>
      </c>
      <c r="Y228" s="1" t="s">
        <v>1516</v>
      </c>
      <c r="Z228" s="1">
        <v>1</v>
      </c>
      <c r="AA228" s="6">
        <v>10394.75</v>
      </c>
      <c r="AB228" s="1" t="s">
        <v>2167</v>
      </c>
      <c r="AC228" s="1" t="s">
        <v>2162</v>
      </c>
      <c r="AD228" s="1" t="s">
        <v>1100</v>
      </c>
      <c r="AE228" s="1" t="s">
        <v>1522</v>
      </c>
      <c r="AF228" s="1" t="s">
        <v>1186</v>
      </c>
      <c r="AG228" s="1" t="s">
        <v>1522</v>
      </c>
      <c r="AH228" s="6">
        <v>10394.75</v>
      </c>
      <c r="AI228" s="6">
        <v>10394.75</v>
      </c>
      <c r="AJ228" s="1" t="s">
        <v>1498</v>
      </c>
      <c r="AK228" s="1"/>
      <c r="AL228" s="1"/>
      <c r="AM228" s="1" t="s">
        <v>1498</v>
      </c>
      <c r="AN228" s="1" t="s">
        <v>785</v>
      </c>
      <c r="AO228" s="1"/>
      <c r="AP228" s="1" t="s">
        <v>81</v>
      </c>
      <c r="AQ228" s="1"/>
      <c r="AR228" s="1"/>
      <c r="AS228" s="2"/>
      <c r="AT228" s="1"/>
      <c r="AU228" s="1"/>
      <c r="AV228" s="1"/>
      <c r="AW228" s="1" t="s">
        <v>2152</v>
      </c>
      <c r="AX228" s="7">
        <v>45181.592855855488</v>
      </c>
      <c r="AY228" s="1" t="s">
        <v>240</v>
      </c>
      <c r="AZ228" s="6">
        <v>10394.75</v>
      </c>
      <c r="BA228" s="1"/>
      <c r="BB228" s="5">
        <v>45291</v>
      </c>
      <c r="BC228" s="5">
        <v>45177</v>
      </c>
      <c r="BD228" s="5">
        <v>45177</v>
      </c>
      <c r="BE228" s="7">
        <v>45291</v>
      </c>
      <c r="BF228" s="1" t="s">
        <v>2170</v>
      </c>
      <c r="BG228" s="1"/>
      <c r="BH228" s="1"/>
      <c r="BI228" s="1" t="s">
        <v>108</v>
      </c>
    </row>
    <row r="229" spans="1:61" hidden="1" x14ac:dyDescent="0.25">
      <c r="A229" s="4">
        <v>224</v>
      </c>
      <c r="B229" s="2" t="str">
        <f>HYPERLINK("https://my.zakupivli.pro/remote/dispatcher/state_purchase_view/45092356", "UA-2023-09-11-013069-a")</f>
        <v>UA-2023-09-11-013069-a</v>
      </c>
      <c r="C229" s="2" t="str">
        <f>HYPERLINK("https://my.zakupivli.pro/remote/dispatcher/state_purchase_lot_view/1042254", "UA-2023-09-11-013069-a-L1")</f>
        <v>UA-2023-09-11-013069-a-L1</v>
      </c>
      <c r="D229" s="1" t="s">
        <v>1284</v>
      </c>
      <c r="E229" s="1" t="s">
        <v>1283</v>
      </c>
      <c r="F229" s="1" t="s">
        <v>487</v>
      </c>
      <c r="G229" s="1" t="s">
        <v>976</v>
      </c>
      <c r="H229" s="1" t="s">
        <v>1185</v>
      </c>
      <c r="I229" s="1" t="s">
        <v>2094</v>
      </c>
      <c r="J229" s="1" t="s">
        <v>1145</v>
      </c>
      <c r="K229" s="1" t="s">
        <v>947</v>
      </c>
      <c r="L229" s="1" t="s">
        <v>1533</v>
      </c>
      <c r="M229" s="1" t="s">
        <v>1533</v>
      </c>
      <c r="N229" s="1" t="s">
        <v>110</v>
      </c>
      <c r="O229" s="1" t="s">
        <v>110</v>
      </c>
      <c r="P229" s="1" t="s">
        <v>110</v>
      </c>
      <c r="Q229" s="5">
        <v>45180</v>
      </c>
      <c r="R229" s="1" t="s">
        <v>560</v>
      </c>
      <c r="S229" s="1" t="s">
        <v>563</v>
      </c>
      <c r="T229" s="5">
        <v>45180</v>
      </c>
      <c r="U229" s="5">
        <v>45188</v>
      </c>
      <c r="V229" s="1" t="s">
        <v>2147</v>
      </c>
      <c r="W229" s="4">
        <v>1</v>
      </c>
      <c r="X229" s="6">
        <v>468300</v>
      </c>
      <c r="Y229" s="6">
        <v>468300</v>
      </c>
      <c r="Z229" s="1">
        <v>1</v>
      </c>
      <c r="AA229" s="6">
        <v>468300</v>
      </c>
      <c r="AB229" s="1" t="s">
        <v>2167</v>
      </c>
      <c r="AC229" s="6">
        <v>4683</v>
      </c>
      <c r="AD229" s="1" t="s">
        <v>1100</v>
      </c>
      <c r="AE229" s="1" t="s">
        <v>2094</v>
      </c>
      <c r="AF229" s="1" t="s">
        <v>1186</v>
      </c>
      <c r="AG229" s="1" t="s">
        <v>1522</v>
      </c>
      <c r="AH229" s="6">
        <v>465000</v>
      </c>
      <c r="AI229" s="6">
        <v>465000</v>
      </c>
      <c r="AJ229" s="1" t="s">
        <v>2046</v>
      </c>
      <c r="AK229" s="6">
        <v>3300</v>
      </c>
      <c r="AL229" s="6">
        <v>7.0467648942985264E-3</v>
      </c>
      <c r="AM229" s="1" t="s">
        <v>2046</v>
      </c>
      <c r="AN229" s="1" t="s">
        <v>745</v>
      </c>
      <c r="AO229" s="1" t="s">
        <v>1126</v>
      </c>
      <c r="AP229" s="1" t="s">
        <v>99</v>
      </c>
      <c r="AQ229" s="6">
        <v>3300</v>
      </c>
      <c r="AR229" s="6">
        <v>7.0467648942985264E-3</v>
      </c>
      <c r="AS229" s="2"/>
      <c r="AT229" s="7">
        <v>45190.489089422641</v>
      </c>
      <c r="AU229" s="1" t="s">
        <v>570</v>
      </c>
      <c r="AV229" s="1" t="s">
        <v>576</v>
      </c>
      <c r="AW229" s="1" t="s">
        <v>2151</v>
      </c>
      <c r="AX229" s="7">
        <v>45201.459936189582</v>
      </c>
      <c r="AY229" s="1" t="s">
        <v>251</v>
      </c>
      <c r="AZ229" s="6">
        <v>465000</v>
      </c>
      <c r="BA229" s="1"/>
      <c r="BB229" s="5">
        <v>45261</v>
      </c>
      <c r="BC229" s="5">
        <v>45197</v>
      </c>
      <c r="BD229" s="5">
        <v>45197</v>
      </c>
      <c r="BE229" s="7">
        <v>45291</v>
      </c>
      <c r="BF229" s="1" t="s">
        <v>2170</v>
      </c>
      <c r="BG229" s="1"/>
      <c r="BH229" s="1"/>
      <c r="BI229" s="1" t="s">
        <v>746</v>
      </c>
    </row>
    <row r="230" spans="1:61" hidden="1" x14ac:dyDescent="0.25">
      <c r="A230" s="4">
        <v>225</v>
      </c>
      <c r="B230" s="2" t="str">
        <f>HYPERLINK("https://my.zakupivli.pro/remote/dispatcher/state_purchase_view/45090556", "UA-2023-09-11-012292-a")</f>
        <v>UA-2023-09-11-012292-a</v>
      </c>
      <c r="C230" s="2" t="str">
        <f>HYPERLINK("https://my.zakupivli.pro/remote/dispatcher/state_purchase_lot_view/1042130", "UA-2023-09-11-012292-a-L1")</f>
        <v>UA-2023-09-11-012292-a-L1</v>
      </c>
      <c r="D230" s="1" t="s">
        <v>1388</v>
      </c>
      <c r="E230" s="1" t="s">
        <v>1387</v>
      </c>
      <c r="F230" s="1" t="s">
        <v>487</v>
      </c>
      <c r="G230" s="1" t="s">
        <v>967</v>
      </c>
      <c r="H230" s="1" t="s">
        <v>1185</v>
      </c>
      <c r="I230" s="1" t="s">
        <v>2094</v>
      </c>
      <c r="J230" s="1" t="s">
        <v>1145</v>
      </c>
      <c r="K230" s="1" t="s">
        <v>947</v>
      </c>
      <c r="L230" s="1" t="s">
        <v>1533</v>
      </c>
      <c r="M230" s="1" t="s">
        <v>1533</v>
      </c>
      <c r="N230" s="1" t="s">
        <v>110</v>
      </c>
      <c r="O230" s="1" t="s">
        <v>110</v>
      </c>
      <c r="P230" s="1" t="s">
        <v>110</v>
      </c>
      <c r="Q230" s="5">
        <v>45180</v>
      </c>
      <c r="R230" s="1" t="s">
        <v>560</v>
      </c>
      <c r="S230" s="1" t="s">
        <v>563</v>
      </c>
      <c r="T230" s="5">
        <v>45180</v>
      </c>
      <c r="U230" s="5">
        <v>45188</v>
      </c>
      <c r="V230" s="1" t="s">
        <v>2147</v>
      </c>
      <c r="W230" s="4">
        <v>1</v>
      </c>
      <c r="X230" s="6">
        <v>420100</v>
      </c>
      <c r="Y230" s="6">
        <v>420100</v>
      </c>
      <c r="Z230" s="1">
        <v>1</v>
      </c>
      <c r="AA230" s="6">
        <v>420100</v>
      </c>
      <c r="AB230" s="1" t="s">
        <v>2167</v>
      </c>
      <c r="AC230" s="6">
        <v>4201</v>
      </c>
      <c r="AD230" s="1" t="s">
        <v>1100</v>
      </c>
      <c r="AE230" s="1" t="s">
        <v>2094</v>
      </c>
      <c r="AF230" s="1" t="s">
        <v>1186</v>
      </c>
      <c r="AG230" s="1" t="s">
        <v>1522</v>
      </c>
      <c r="AH230" s="6">
        <v>418990</v>
      </c>
      <c r="AI230" s="6">
        <v>418990</v>
      </c>
      <c r="AJ230" s="1" t="s">
        <v>2046</v>
      </c>
      <c r="AK230" s="6">
        <v>1110</v>
      </c>
      <c r="AL230" s="6">
        <v>2.6422280409426329E-3</v>
      </c>
      <c r="AM230" s="1" t="s">
        <v>2046</v>
      </c>
      <c r="AN230" s="1" t="s">
        <v>745</v>
      </c>
      <c r="AO230" s="1" t="s">
        <v>1126</v>
      </c>
      <c r="AP230" s="1" t="s">
        <v>99</v>
      </c>
      <c r="AQ230" s="6">
        <v>1110</v>
      </c>
      <c r="AR230" s="6">
        <v>2.6422280409426329E-3</v>
      </c>
      <c r="AS230" s="2"/>
      <c r="AT230" s="7">
        <v>45188.646708896282</v>
      </c>
      <c r="AU230" s="1" t="s">
        <v>568</v>
      </c>
      <c r="AV230" s="1" t="s">
        <v>574</v>
      </c>
      <c r="AW230" s="1" t="s">
        <v>2151</v>
      </c>
      <c r="AX230" s="7">
        <v>45197.689341677753</v>
      </c>
      <c r="AY230" s="1" t="s">
        <v>255</v>
      </c>
      <c r="AZ230" s="6">
        <v>418990</v>
      </c>
      <c r="BA230" s="1"/>
      <c r="BB230" s="5">
        <v>45261</v>
      </c>
      <c r="BC230" s="5">
        <v>45197</v>
      </c>
      <c r="BD230" s="5">
        <v>45197</v>
      </c>
      <c r="BE230" s="7">
        <v>45291</v>
      </c>
      <c r="BF230" s="1" t="s">
        <v>2170</v>
      </c>
      <c r="BG230" s="1"/>
      <c r="BH230" s="1"/>
      <c r="BI230" s="1" t="s">
        <v>746</v>
      </c>
    </row>
    <row r="231" spans="1:61" hidden="1" x14ac:dyDescent="0.25">
      <c r="A231" s="4">
        <v>226</v>
      </c>
      <c r="B231" s="2" t="str">
        <f>HYPERLINK("https://my.zakupivli.pro/remote/dispatcher/state_purchase_view/45091036", "UA-2023-09-11-012506-a")</f>
        <v>UA-2023-09-11-012506-a</v>
      </c>
      <c r="C231" s="2" t="str">
        <f>HYPERLINK("https://my.zakupivli.pro/remote/dispatcher/state_purchase_lot_view/1042166", "UA-2023-09-11-012506-a-L1")</f>
        <v>UA-2023-09-11-012506-a-L1</v>
      </c>
      <c r="D231" s="1" t="s">
        <v>1399</v>
      </c>
      <c r="E231" s="1" t="s">
        <v>1398</v>
      </c>
      <c r="F231" s="1" t="s">
        <v>487</v>
      </c>
      <c r="G231" s="1" t="s">
        <v>967</v>
      </c>
      <c r="H231" s="1" t="s">
        <v>1185</v>
      </c>
      <c r="I231" s="1" t="s">
        <v>2094</v>
      </c>
      <c r="J231" s="1" t="s">
        <v>1145</v>
      </c>
      <c r="K231" s="1" t="s">
        <v>947</v>
      </c>
      <c r="L231" s="1" t="s">
        <v>1533</v>
      </c>
      <c r="M231" s="1" t="s">
        <v>1533</v>
      </c>
      <c r="N231" s="1" t="s">
        <v>110</v>
      </c>
      <c r="O231" s="1" t="s">
        <v>110</v>
      </c>
      <c r="P231" s="1" t="s">
        <v>110</v>
      </c>
      <c r="Q231" s="5">
        <v>45180</v>
      </c>
      <c r="R231" s="1" t="s">
        <v>560</v>
      </c>
      <c r="S231" s="1" t="s">
        <v>563</v>
      </c>
      <c r="T231" s="5">
        <v>45180</v>
      </c>
      <c r="U231" s="5">
        <v>45188</v>
      </c>
      <c r="V231" s="1" t="s">
        <v>2147</v>
      </c>
      <c r="W231" s="4">
        <v>1</v>
      </c>
      <c r="X231" s="6">
        <v>153667</v>
      </c>
      <c r="Y231" s="6">
        <v>153667</v>
      </c>
      <c r="Z231" s="1">
        <v>1</v>
      </c>
      <c r="AA231" s="6">
        <v>153667</v>
      </c>
      <c r="AB231" s="1" t="s">
        <v>2167</v>
      </c>
      <c r="AC231" s="6">
        <v>1536.67</v>
      </c>
      <c r="AD231" s="1" t="s">
        <v>1100</v>
      </c>
      <c r="AE231" s="1" t="s">
        <v>2094</v>
      </c>
      <c r="AF231" s="1" t="s">
        <v>1186</v>
      </c>
      <c r="AG231" s="1" t="s">
        <v>1522</v>
      </c>
      <c r="AH231" s="6">
        <v>151200</v>
      </c>
      <c r="AI231" s="6">
        <v>151200</v>
      </c>
      <c r="AJ231" s="1" t="s">
        <v>2046</v>
      </c>
      <c r="AK231" s="6">
        <v>2467</v>
      </c>
      <c r="AL231" s="6">
        <v>1.6054195110205834E-2</v>
      </c>
      <c r="AM231" s="1" t="s">
        <v>2046</v>
      </c>
      <c r="AN231" s="1" t="s">
        <v>745</v>
      </c>
      <c r="AO231" s="1" t="s">
        <v>1126</v>
      </c>
      <c r="AP231" s="1" t="s">
        <v>99</v>
      </c>
      <c r="AQ231" s="6">
        <v>2467</v>
      </c>
      <c r="AR231" s="6">
        <v>1.6054195110205834E-2</v>
      </c>
      <c r="AS231" s="2"/>
      <c r="AT231" s="7">
        <v>45188.708694257177</v>
      </c>
      <c r="AU231" s="1" t="s">
        <v>568</v>
      </c>
      <c r="AV231" s="1" t="s">
        <v>574</v>
      </c>
      <c r="AW231" s="1" t="s">
        <v>2151</v>
      </c>
      <c r="AX231" s="7">
        <v>45201.452976605106</v>
      </c>
      <c r="AY231" s="1" t="s">
        <v>250</v>
      </c>
      <c r="AZ231" s="6">
        <v>151200</v>
      </c>
      <c r="BA231" s="1"/>
      <c r="BB231" s="5">
        <v>45261</v>
      </c>
      <c r="BC231" s="5">
        <v>45197</v>
      </c>
      <c r="BD231" s="5">
        <v>45197</v>
      </c>
      <c r="BE231" s="7">
        <v>45291</v>
      </c>
      <c r="BF231" s="1" t="s">
        <v>2170</v>
      </c>
      <c r="BG231" s="1"/>
      <c r="BH231" s="1"/>
      <c r="BI231" s="1" t="s">
        <v>746</v>
      </c>
    </row>
    <row r="232" spans="1:61" hidden="1" x14ac:dyDescent="0.25">
      <c r="A232" s="4">
        <v>227</v>
      </c>
      <c r="B232" s="2" t="str">
        <f>HYPERLINK("https://my.zakupivli.pro/remote/dispatcher/state_purchase_view/45091496", "UA-2023-09-11-012674-a")</f>
        <v>UA-2023-09-11-012674-a</v>
      </c>
      <c r="C232" s="2" t="str">
        <f>HYPERLINK("https://my.zakupivli.pro/remote/dispatcher/state_purchase_lot_view/1042185", "UA-2023-09-11-012674-a-L1")</f>
        <v>UA-2023-09-11-012674-a-L1</v>
      </c>
      <c r="D232" s="1" t="s">
        <v>1282</v>
      </c>
      <c r="E232" s="1" t="s">
        <v>1281</v>
      </c>
      <c r="F232" s="1" t="s">
        <v>487</v>
      </c>
      <c r="G232" s="1" t="s">
        <v>976</v>
      </c>
      <c r="H232" s="1" t="s">
        <v>1185</v>
      </c>
      <c r="I232" s="1" t="s">
        <v>2094</v>
      </c>
      <c r="J232" s="1" t="s">
        <v>1145</v>
      </c>
      <c r="K232" s="1" t="s">
        <v>947</v>
      </c>
      <c r="L232" s="1" t="s">
        <v>1533</v>
      </c>
      <c r="M232" s="1" t="s">
        <v>1533</v>
      </c>
      <c r="N232" s="1" t="s">
        <v>110</v>
      </c>
      <c r="O232" s="1" t="s">
        <v>110</v>
      </c>
      <c r="P232" s="1" t="s">
        <v>110</v>
      </c>
      <c r="Q232" s="5">
        <v>45180</v>
      </c>
      <c r="R232" s="1" t="s">
        <v>560</v>
      </c>
      <c r="S232" s="1" t="s">
        <v>563</v>
      </c>
      <c r="T232" s="5">
        <v>45180</v>
      </c>
      <c r="U232" s="5">
        <v>45188</v>
      </c>
      <c r="V232" s="1" t="s">
        <v>2147</v>
      </c>
      <c r="W232" s="4">
        <v>1</v>
      </c>
      <c r="X232" s="6">
        <v>252500</v>
      </c>
      <c r="Y232" s="6">
        <v>252500</v>
      </c>
      <c r="Z232" s="1">
        <v>1</v>
      </c>
      <c r="AA232" s="6">
        <v>252500</v>
      </c>
      <c r="AB232" s="1" t="s">
        <v>2167</v>
      </c>
      <c r="AC232" s="6">
        <v>2525</v>
      </c>
      <c r="AD232" s="1" t="s">
        <v>1100</v>
      </c>
      <c r="AE232" s="1" t="s">
        <v>2094</v>
      </c>
      <c r="AF232" s="1" t="s">
        <v>1186</v>
      </c>
      <c r="AG232" s="1" t="s">
        <v>1522</v>
      </c>
      <c r="AH232" s="6">
        <v>250376</v>
      </c>
      <c r="AI232" s="6">
        <v>250376</v>
      </c>
      <c r="AJ232" s="1" t="s">
        <v>2046</v>
      </c>
      <c r="AK232" s="6">
        <v>2124</v>
      </c>
      <c r="AL232" s="6">
        <v>8.4118811881188117E-3</v>
      </c>
      <c r="AM232" s="1" t="s">
        <v>2046</v>
      </c>
      <c r="AN232" s="1" t="s">
        <v>745</v>
      </c>
      <c r="AO232" s="1" t="s">
        <v>1126</v>
      </c>
      <c r="AP232" s="1" t="s">
        <v>99</v>
      </c>
      <c r="AQ232" s="6">
        <v>2124</v>
      </c>
      <c r="AR232" s="6">
        <v>8.4118811881188117E-3</v>
      </c>
      <c r="AS232" s="2"/>
      <c r="AT232" s="7">
        <v>45189.638820383429</v>
      </c>
      <c r="AU232" s="1" t="s">
        <v>569</v>
      </c>
      <c r="AV232" s="1" t="s">
        <v>575</v>
      </c>
      <c r="AW232" s="1" t="s">
        <v>2151</v>
      </c>
      <c r="AX232" s="7">
        <v>45197.681421864203</v>
      </c>
      <c r="AY232" s="1" t="s">
        <v>253</v>
      </c>
      <c r="AZ232" s="6">
        <v>250376</v>
      </c>
      <c r="BA232" s="1"/>
      <c r="BB232" s="5">
        <v>45261</v>
      </c>
      <c r="BC232" s="5">
        <v>45197</v>
      </c>
      <c r="BD232" s="5">
        <v>45197</v>
      </c>
      <c r="BE232" s="7">
        <v>45291</v>
      </c>
      <c r="BF232" s="1" t="s">
        <v>2170</v>
      </c>
      <c r="BG232" s="1"/>
      <c r="BH232" s="1"/>
      <c r="BI232" s="1" t="s">
        <v>746</v>
      </c>
    </row>
    <row r="233" spans="1:61" hidden="1" x14ac:dyDescent="0.25">
      <c r="A233" s="4">
        <v>228</v>
      </c>
      <c r="B233" s="2" t="str">
        <f>HYPERLINK("https://my.zakupivli.pro/remote/dispatcher/state_purchase_view/45091892", "UA-2023-09-11-012887-a")</f>
        <v>UA-2023-09-11-012887-a</v>
      </c>
      <c r="C233" s="2" t="str">
        <f>HYPERLINK("https://my.zakupivli.pro/remote/dispatcher/state_purchase_lot_view/1042214", "UA-2023-09-11-012887-a-L1")</f>
        <v>UA-2023-09-11-012887-a-L1</v>
      </c>
      <c r="D233" s="1" t="s">
        <v>1286</v>
      </c>
      <c r="E233" s="1" t="s">
        <v>1285</v>
      </c>
      <c r="F233" s="1" t="s">
        <v>487</v>
      </c>
      <c r="G233" s="1" t="s">
        <v>976</v>
      </c>
      <c r="H233" s="1" t="s">
        <v>1185</v>
      </c>
      <c r="I233" s="1" t="s">
        <v>2094</v>
      </c>
      <c r="J233" s="1" t="s">
        <v>1145</v>
      </c>
      <c r="K233" s="1" t="s">
        <v>947</v>
      </c>
      <c r="L233" s="1" t="s">
        <v>1533</v>
      </c>
      <c r="M233" s="1" t="s">
        <v>1533</v>
      </c>
      <c r="N233" s="1" t="s">
        <v>110</v>
      </c>
      <c r="O233" s="1" t="s">
        <v>110</v>
      </c>
      <c r="P233" s="1" t="s">
        <v>110</v>
      </c>
      <c r="Q233" s="5">
        <v>45180</v>
      </c>
      <c r="R233" s="1" t="s">
        <v>560</v>
      </c>
      <c r="S233" s="1" t="s">
        <v>563</v>
      </c>
      <c r="T233" s="5">
        <v>45180</v>
      </c>
      <c r="U233" s="5">
        <v>45188</v>
      </c>
      <c r="V233" s="1" t="s">
        <v>2147</v>
      </c>
      <c r="W233" s="4">
        <v>1</v>
      </c>
      <c r="X233" s="6">
        <v>425001</v>
      </c>
      <c r="Y233" s="6">
        <v>425001</v>
      </c>
      <c r="Z233" s="1">
        <v>1</v>
      </c>
      <c r="AA233" s="6">
        <v>425001</v>
      </c>
      <c r="AB233" s="1" t="s">
        <v>2167</v>
      </c>
      <c r="AC233" s="6">
        <v>4250.01</v>
      </c>
      <c r="AD233" s="1" t="s">
        <v>1100</v>
      </c>
      <c r="AE233" s="1" t="s">
        <v>2094</v>
      </c>
      <c r="AF233" s="1" t="s">
        <v>1186</v>
      </c>
      <c r="AG233" s="1" t="s">
        <v>1522</v>
      </c>
      <c r="AH233" s="6">
        <v>422062</v>
      </c>
      <c r="AI233" s="6">
        <v>422062</v>
      </c>
      <c r="AJ233" s="1" t="s">
        <v>2046</v>
      </c>
      <c r="AK233" s="6">
        <v>2939</v>
      </c>
      <c r="AL233" s="6">
        <v>6.9152778464050676E-3</v>
      </c>
      <c r="AM233" s="1" t="s">
        <v>2046</v>
      </c>
      <c r="AN233" s="1" t="s">
        <v>745</v>
      </c>
      <c r="AO233" s="1" t="s">
        <v>1126</v>
      </c>
      <c r="AP233" s="1" t="s">
        <v>99</v>
      </c>
      <c r="AQ233" s="6">
        <v>2939</v>
      </c>
      <c r="AR233" s="6">
        <v>6.9152778464050676E-3</v>
      </c>
      <c r="AS233" s="2"/>
      <c r="AT233" s="7">
        <v>45190.718843129791</v>
      </c>
      <c r="AU233" s="1" t="s">
        <v>570</v>
      </c>
      <c r="AV233" s="1" t="s">
        <v>576</v>
      </c>
      <c r="AW233" s="1" t="s">
        <v>2151</v>
      </c>
      <c r="AX233" s="7">
        <v>45197.690949947188</v>
      </c>
      <c r="AY233" s="1" t="s">
        <v>252</v>
      </c>
      <c r="AZ233" s="6">
        <v>422062</v>
      </c>
      <c r="BA233" s="1"/>
      <c r="BB233" s="5">
        <v>45261</v>
      </c>
      <c r="BC233" s="5">
        <v>45197</v>
      </c>
      <c r="BD233" s="5">
        <v>45197</v>
      </c>
      <c r="BE233" s="7">
        <v>45291</v>
      </c>
      <c r="BF233" s="1" t="s">
        <v>2170</v>
      </c>
      <c r="BG233" s="1"/>
      <c r="BH233" s="1"/>
      <c r="BI233" s="1" t="s">
        <v>746</v>
      </c>
    </row>
    <row r="234" spans="1:61" hidden="1" x14ac:dyDescent="0.25">
      <c r="A234" s="4">
        <v>229</v>
      </c>
      <c r="B234" s="2" t="str">
        <f>HYPERLINK("https://my.zakupivli.pro/remote/dispatcher/state_purchase_view/45092531", "UA-2023-09-11-013177-a")</f>
        <v>UA-2023-09-11-013177-a</v>
      </c>
      <c r="C234" s="2" t="str">
        <f>HYPERLINK("https://my.zakupivli.pro/remote/dispatcher/state_purchase_lot_view/1042270", "UA-2023-09-11-013177-a-L1")</f>
        <v>UA-2023-09-11-013177-a-L1</v>
      </c>
      <c r="D234" s="1" t="s">
        <v>1413</v>
      </c>
      <c r="E234" s="1" t="s">
        <v>1412</v>
      </c>
      <c r="F234" s="1" t="s">
        <v>487</v>
      </c>
      <c r="G234" s="1" t="s">
        <v>995</v>
      </c>
      <c r="H234" s="1" t="s">
        <v>1185</v>
      </c>
      <c r="I234" s="1" t="s">
        <v>2094</v>
      </c>
      <c r="J234" s="1" t="s">
        <v>1145</v>
      </c>
      <c r="K234" s="1" t="s">
        <v>947</v>
      </c>
      <c r="L234" s="1" t="s">
        <v>1533</v>
      </c>
      <c r="M234" s="1" t="s">
        <v>1533</v>
      </c>
      <c r="N234" s="1" t="s">
        <v>110</v>
      </c>
      <c r="O234" s="1" t="s">
        <v>110</v>
      </c>
      <c r="P234" s="1" t="s">
        <v>110</v>
      </c>
      <c r="Q234" s="5">
        <v>45180</v>
      </c>
      <c r="R234" s="1" t="s">
        <v>560</v>
      </c>
      <c r="S234" s="1" t="s">
        <v>563</v>
      </c>
      <c r="T234" s="5">
        <v>45180</v>
      </c>
      <c r="U234" s="5">
        <v>45188</v>
      </c>
      <c r="V234" s="1" t="s">
        <v>2147</v>
      </c>
      <c r="W234" s="4">
        <v>1</v>
      </c>
      <c r="X234" s="6">
        <v>283705</v>
      </c>
      <c r="Y234" s="6">
        <v>283705</v>
      </c>
      <c r="Z234" s="1">
        <v>1</v>
      </c>
      <c r="AA234" s="6">
        <v>283705</v>
      </c>
      <c r="AB234" s="1" t="s">
        <v>2167</v>
      </c>
      <c r="AC234" s="6">
        <v>2837.05</v>
      </c>
      <c r="AD234" s="1" t="s">
        <v>1100</v>
      </c>
      <c r="AE234" s="1" t="s">
        <v>2094</v>
      </c>
      <c r="AF234" s="1" t="s">
        <v>1186</v>
      </c>
      <c r="AG234" s="1" t="s">
        <v>1522</v>
      </c>
      <c r="AH234" s="6">
        <v>281500</v>
      </c>
      <c r="AI234" s="6">
        <v>281500</v>
      </c>
      <c r="AJ234" s="1" t="s">
        <v>2046</v>
      </c>
      <c r="AK234" s="6">
        <v>2205</v>
      </c>
      <c r="AL234" s="6">
        <v>7.7721576990183467E-3</v>
      </c>
      <c r="AM234" s="1" t="s">
        <v>2046</v>
      </c>
      <c r="AN234" s="1" t="s">
        <v>745</v>
      </c>
      <c r="AO234" s="1" t="s">
        <v>1126</v>
      </c>
      <c r="AP234" s="1" t="s">
        <v>99</v>
      </c>
      <c r="AQ234" s="6">
        <v>2205</v>
      </c>
      <c r="AR234" s="6">
        <v>7.7721576990183467E-3</v>
      </c>
      <c r="AS234" s="2"/>
      <c r="AT234" s="7">
        <v>45190.546038079367</v>
      </c>
      <c r="AU234" s="1" t="s">
        <v>570</v>
      </c>
      <c r="AV234" s="1" t="s">
        <v>576</v>
      </c>
      <c r="AW234" s="1" t="s">
        <v>2151</v>
      </c>
      <c r="AX234" s="7">
        <v>45197.686247636135</v>
      </c>
      <c r="AY234" s="1" t="s">
        <v>254</v>
      </c>
      <c r="AZ234" s="6">
        <v>281500</v>
      </c>
      <c r="BA234" s="1"/>
      <c r="BB234" s="5">
        <v>45261</v>
      </c>
      <c r="BC234" s="5">
        <v>45197</v>
      </c>
      <c r="BD234" s="5">
        <v>45197</v>
      </c>
      <c r="BE234" s="7">
        <v>45291</v>
      </c>
      <c r="BF234" s="1" t="s">
        <v>2170</v>
      </c>
      <c r="BG234" s="1"/>
      <c r="BH234" s="1"/>
      <c r="BI234" s="1" t="s">
        <v>746</v>
      </c>
    </row>
    <row r="235" spans="1:61" hidden="1" x14ac:dyDescent="0.25">
      <c r="A235" s="4">
        <v>230</v>
      </c>
      <c r="B235" s="2" t="str">
        <f>HYPERLINK("https://my.zakupivli.pro/remote/dispatcher/state_purchase_view/45025825", "UA-2023-09-07-012460-a")</f>
        <v>UA-2023-09-07-012460-a</v>
      </c>
      <c r="C235" s="2" t="s">
        <v>1516</v>
      </c>
      <c r="D235" s="1" t="s">
        <v>1525</v>
      </c>
      <c r="E235" s="1" t="s">
        <v>1474</v>
      </c>
      <c r="F235" s="1" t="s">
        <v>487</v>
      </c>
      <c r="G235" s="1" t="s">
        <v>928</v>
      </c>
      <c r="H235" s="1" t="s">
        <v>1218</v>
      </c>
      <c r="I235" s="1" t="s">
        <v>2094</v>
      </c>
      <c r="J235" s="1" t="s">
        <v>1145</v>
      </c>
      <c r="K235" s="1" t="s">
        <v>947</v>
      </c>
      <c r="L235" s="1" t="s">
        <v>1533</v>
      </c>
      <c r="M235" s="1" t="s">
        <v>1533</v>
      </c>
      <c r="N235" s="1" t="s">
        <v>110</v>
      </c>
      <c r="O235" s="1" t="s">
        <v>110</v>
      </c>
      <c r="P235" s="1" t="s">
        <v>110</v>
      </c>
      <c r="Q235" s="5">
        <v>45176</v>
      </c>
      <c r="R235" s="1"/>
      <c r="S235" s="1"/>
      <c r="T235" s="1"/>
      <c r="U235" s="1"/>
      <c r="V235" s="1" t="s">
        <v>2146</v>
      </c>
      <c r="W235" s="4">
        <v>1</v>
      </c>
      <c r="X235" s="6">
        <v>99951.1</v>
      </c>
      <c r="Y235" s="1" t="s">
        <v>1516</v>
      </c>
      <c r="Z235" s="1">
        <v>1</v>
      </c>
      <c r="AA235" s="6">
        <v>99951.1</v>
      </c>
      <c r="AB235" s="1" t="s">
        <v>2175</v>
      </c>
      <c r="AC235" s="1" t="s">
        <v>2162</v>
      </c>
      <c r="AD235" s="1" t="s">
        <v>1100</v>
      </c>
      <c r="AE235" s="1" t="s">
        <v>2094</v>
      </c>
      <c r="AF235" s="1" t="s">
        <v>1186</v>
      </c>
      <c r="AG235" s="1" t="s">
        <v>1522</v>
      </c>
      <c r="AH235" s="6">
        <v>99951.1</v>
      </c>
      <c r="AI235" s="6">
        <v>99951.1</v>
      </c>
      <c r="AJ235" s="1" t="s">
        <v>2090</v>
      </c>
      <c r="AK235" s="1"/>
      <c r="AL235" s="1"/>
      <c r="AM235" s="1" t="s">
        <v>2090</v>
      </c>
      <c r="AN235" s="1" t="s">
        <v>877</v>
      </c>
      <c r="AO235" s="1"/>
      <c r="AP235" s="1" t="s">
        <v>34</v>
      </c>
      <c r="AQ235" s="1"/>
      <c r="AR235" s="1"/>
      <c r="AS235" s="2"/>
      <c r="AT235" s="1"/>
      <c r="AU235" s="1"/>
      <c r="AV235" s="1"/>
      <c r="AW235" s="1" t="s">
        <v>2152</v>
      </c>
      <c r="AX235" s="7">
        <v>45176.685657577873</v>
      </c>
      <c r="AY235" s="1" t="s">
        <v>112</v>
      </c>
      <c r="AZ235" s="6">
        <v>99951.1</v>
      </c>
      <c r="BA235" s="5">
        <v>45175</v>
      </c>
      <c r="BB235" s="5">
        <v>45190</v>
      </c>
      <c r="BC235" s="5">
        <v>45175</v>
      </c>
      <c r="BD235" s="5">
        <v>45175</v>
      </c>
      <c r="BE235" s="7">
        <v>45291</v>
      </c>
      <c r="BF235" s="1" t="s">
        <v>2170</v>
      </c>
      <c r="BG235" s="1"/>
      <c r="BH235" s="1"/>
      <c r="BI235" s="1" t="s">
        <v>108</v>
      </c>
    </row>
    <row r="236" spans="1:61" hidden="1" x14ac:dyDescent="0.25">
      <c r="A236" s="4">
        <v>231</v>
      </c>
      <c r="B236" s="2" t="str">
        <f>HYPERLINK("https://my.zakupivli.pro/remote/dispatcher/state_purchase_view/44927613", "UA-2023-09-04-012348-a")</f>
        <v>UA-2023-09-04-012348-a</v>
      </c>
      <c r="C236" s="2" t="str">
        <f>HYPERLINK("https://my.zakupivli.pro/remote/dispatcher/state_purchase_lot_view/1035795", "UA-2023-09-04-012348-a-L1")</f>
        <v>UA-2023-09-04-012348-a-L1</v>
      </c>
      <c r="D236" s="1" t="s">
        <v>1805</v>
      </c>
      <c r="E236" s="1" t="s">
        <v>1804</v>
      </c>
      <c r="F236" s="1" t="s">
        <v>487</v>
      </c>
      <c r="G236" s="1" t="s">
        <v>1074</v>
      </c>
      <c r="H236" s="1" t="s">
        <v>1185</v>
      </c>
      <c r="I236" s="1" t="s">
        <v>2094</v>
      </c>
      <c r="J236" s="1" t="s">
        <v>1145</v>
      </c>
      <c r="K236" s="1" t="s">
        <v>947</v>
      </c>
      <c r="L236" s="1" t="s">
        <v>1533</v>
      </c>
      <c r="M236" s="1" t="s">
        <v>1533</v>
      </c>
      <c r="N236" s="1" t="s">
        <v>110</v>
      </c>
      <c r="O236" s="1" t="s">
        <v>110</v>
      </c>
      <c r="P236" s="1" t="s">
        <v>110</v>
      </c>
      <c r="Q236" s="5">
        <v>45173</v>
      </c>
      <c r="R236" s="1" t="s">
        <v>557</v>
      </c>
      <c r="S236" s="1" t="s">
        <v>558</v>
      </c>
      <c r="T236" s="5">
        <v>45173</v>
      </c>
      <c r="U236" s="5">
        <v>45181</v>
      </c>
      <c r="V236" s="1" t="s">
        <v>2147</v>
      </c>
      <c r="W236" s="4">
        <v>1</v>
      </c>
      <c r="X236" s="6">
        <v>200000</v>
      </c>
      <c r="Y236" s="6">
        <v>200000</v>
      </c>
      <c r="Z236" s="1">
        <v>1</v>
      </c>
      <c r="AA236" s="6">
        <v>200000</v>
      </c>
      <c r="AB236" s="1" t="s">
        <v>2167</v>
      </c>
      <c r="AC236" s="6">
        <v>2000</v>
      </c>
      <c r="AD236" s="1" t="s">
        <v>1100</v>
      </c>
      <c r="AE236" s="1" t="s">
        <v>2094</v>
      </c>
      <c r="AF236" s="1" t="s">
        <v>1186</v>
      </c>
      <c r="AG236" s="1" t="s">
        <v>1522</v>
      </c>
      <c r="AH236" s="6">
        <v>200000</v>
      </c>
      <c r="AI236" s="6">
        <v>200000</v>
      </c>
      <c r="AJ236" s="1" t="s">
        <v>2122</v>
      </c>
      <c r="AK236" s="1"/>
      <c r="AL236" s="1"/>
      <c r="AM236" s="1" t="s">
        <v>2122</v>
      </c>
      <c r="AN236" s="1" t="s">
        <v>225</v>
      </c>
      <c r="AO236" s="1" t="s">
        <v>1128</v>
      </c>
      <c r="AP236" s="1" t="s">
        <v>24</v>
      </c>
      <c r="AQ236" s="1"/>
      <c r="AR236" s="1"/>
      <c r="AS236" s="2"/>
      <c r="AT236" s="7">
        <v>45183.622736209443</v>
      </c>
      <c r="AU236" s="1" t="s">
        <v>565</v>
      </c>
      <c r="AV236" s="1" t="s">
        <v>572</v>
      </c>
      <c r="AW236" s="1" t="s">
        <v>2151</v>
      </c>
      <c r="AX236" s="7">
        <v>45189.51545410516</v>
      </c>
      <c r="AY236" s="1" t="s">
        <v>247</v>
      </c>
      <c r="AZ236" s="6">
        <v>200000</v>
      </c>
      <c r="BA236" s="1"/>
      <c r="BB236" s="5">
        <v>45282</v>
      </c>
      <c r="BC236" s="5">
        <v>45189</v>
      </c>
      <c r="BD236" s="5">
        <v>45189</v>
      </c>
      <c r="BE236" s="7">
        <v>45291</v>
      </c>
      <c r="BF236" s="1" t="s">
        <v>2170</v>
      </c>
      <c r="BG236" s="1"/>
      <c r="BH236" s="1"/>
      <c r="BI236" s="1" t="s">
        <v>226</v>
      </c>
    </row>
    <row r="237" spans="1:61" hidden="1" x14ac:dyDescent="0.25">
      <c r="A237" s="4">
        <v>232</v>
      </c>
      <c r="B237" s="2" t="str">
        <f>HYPERLINK("https://my.zakupivli.pro/remote/dispatcher/state_purchase_view/44677663", "UA-2023-08-22-007715-a")</f>
        <v>UA-2023-08-22-007715-a</v>
      </c>
      <c r="C237" s="2" t="s">
        <v>1516</v>
      </c>
      <c r="D237" s="1" t="s">
        <v>1759</v>
      </c>
      <c r="E237" s="1" t="s">
        <v>1759</v>
      </c>
      <c r="F237" s="1" t="s">
        <v>487</v>
      </c>
      <c r="G237" s="1" t="s">
        <v>966</v>
      </c>
      <c r="H237" s="1" t="s">
        <v>1218</v>
      </c>
      <c r="I237" s="1" t="s">
        <v>2094</v>
      </c>
      <c r="J237" s="1" t="s">
        <v>1145</v>
      </c>
      <c r="K237" s="1" t="s">
        <v>947</v>
      </c>
      <c r="L237" s="1" t="s">
        <v>1533</v>
      </c>
      <c r="M237" s="1" t="s">
        <v>1533</v>
      </c>
      <c r="N237" s="1" t="s">
        <v>110</v>
      </c>
      <c r="O237" s="1" t="s">
        <v>110</v>
      </c>
      <c r="P237" s="1" t="s">
        <v>110</v>
      </c>
      <c r="Q237" s="5">
        <v>45160</v>
      </c>
      <c r="R237" s="1"/>
      <c r="S237" s="1"/>
      <c r="T237" s="1"/>
      <c r="U237" s="1"/>
      <c r="V237" s="1" t="s">
        <v>2146</v>
      </c>
      <c r="W237" s="4">
        <v>1</v>
      </c>
      <c r="X237" s="6">
        <v>147662.04999999999</v>
      </c>
      <c r="Y237" s="1" t="s">
        <v>1516</v>
      </c>
      <c r="Z237" s="1">
        <v>1</v>
      </c>
      <c r="AA237" s="6">
        <v>147662.04999999999</v>
      </c>
      <c r="AB237" s="1" t="s">
        <v>2167</v>
      </c>
      <c r="AC237" s="1" t="s">
        <v>2162</v>
      </c>
      <c r="AD237" s="1" t="s">
        <v>1100</v>
      </c>
      <c r="AE237" s="1" t="s">
        <v>1522</v>
      </c>
      <c r="AF237" s="1" t="s">
        <v>1186</v>
      </c>
      <c r="AG237" s="1" t="s">
        <v>1522</v>
      </c>
      <c r="AH237" s="6">
        <v>147662.04999999999</v>
      </c>
      <c r="AI237" s="6">
        <v>147662.04999999999</v>
      </c>
      <c r="AJ237" s="1" t="s">
        <v>2044</v>
      </c>
      <c r="AK237" s="1"/>
      <c r="AL237" s="1"/>
      <c r="AM237" s="1" t="s">
        <v>2044</v>
      </c>
      <c r="AN237" s="1" t="s">
        <v>913</v>
      </c>
      <c r="AO237" s="1"/>
      <c r="AP237" s="1" t="s">
        <v>44</v>
      </c>
      <c r="AQ237" s="1"/>
      <c r="AR237" s="1"/>
      <c r="AS237" s="2"/>
      <c r="AT237" s="1"/>
      <c r="AU237" s="1"/>
      <c r="AV237" s="1"/>
      <c r="AW237" s="1" t="s">
        <v>2152</v>
      </c>
      <c r="AX237" s="7">
        <v>45160.595002892638</v>
      </c>
      <c r="AY237" s="1" t="s">
        <v>228</v>
      </c>
      <c r="AZ237" s="6">
        <v>147662.04999999999</v>
      </c>
      <c r="BA237" s="1"/>
      <c r="BB237" s="5">
        <v>45230</v>
      </c>
      <c r="BC237" s="5">
        <v>45160</v>
      </c>
      <c r="BD237" s="5">
        <v>45160</v>
      </c>
      <c r="BE237" s="7">
        <v>45291</v>
      </c>
      <c r="BF237" s="1" t="s">
        <v>2170</v>
      </c>
      <c r="BG237" s="1"/>
      <c r="BH237" s="1"/>
      <c r="BI237" s="1" t="s">
        <v>108</v>
      </c>
    </row>
    <row r="238" spans="1:61" hidden="1" x14ac:dyDescent="0.25">
      <c r="A238" s="4">
        <v>233</v>
      </c>
      <c r="B238" s="2" t="str">
        <f>HYPERLINK("https://my.zakupivli.pro/remote/dispatcher/state_purchase_view/44619953", "UA-2023-08-18-007618-a")</f>
        <v>UA-2023-08-18-007618-a</v>
      </c>
      <c r="C238" s="2" t="str">
        <f>HYPERLINK("https://my.zakupivli.pro/remote/dispatcher/state_purchase_lot_view/1021829", "UA-2023-08-18-007618-a-L1")</f>
        <v>UA-2023-08-18-007618-a-L1</v>
      </c>
      <c r="D238" s="1" t="s">
        <v>1788</v>
      </c>
      <c r="E238" s="1" t="s">
        <v>1787</v>
      </c>
      <c r="F238" s="1" t="s">
        <v>487</v>
      </c>
      <c r="G238" s="1" t="s">
        <v>966</v>
      </c>
      <c r="H238" s="1" t="s">
        <v>1185</v>
      </c>
      <c r="I238" s="1" t="s">
        <v>2094</v>
      </c>
      <c r="J238" s="1" t="s">
        <v>1145</v>
      </c>
      <c r="K238" s="1" t="s">
        <v>947</v>
      </c>
      <c r="L238" s="1" t="s">
        <v>1533</v>
      </c>
      <c r="M238" s="1" t="s">
        <v>1533</v>
      </c>
      <c r="N238" s="1" t="s">
        <v>110</v>
      </c>
      <c r="O238" s="1" t="s">
        <v>110</v>
      </c>
      <c r="P238" s="1" t="s">
        <v>110</v>
      </c>
      <c r="Q238" s="5">
        <v>45156</v>
      </c>
      <c r="R238" s="1" t="s">
        <v>554</v>
      </c>
      <c r="S238" s="1" t="s">
        <v>556</v>
      </c>
      <c r="T238" s="5">
        <v>45156</v>
      </c>
      <c r="U238" s="5">
        <v>45166</v>
      </c>
      <c r="V238" s="1" t="s">
        <v>2147</v>
      </c>
      <c r="W238" s="4">
        <v>1</v>
      </c>
      <c r="X238" s="6">
        <v>1973149</v>
      </c>
      <c r="Y238" s="6">
        <v>1973149</v>
      </c>
      <c r="Z238" s="1">
        <v>1</v>
      </c>
      <c r="AA238" s="6">
        <v>1973149</v>
      </c>
      <c r="AB238" s="1" t="s">
        <v>2167</v>
      </c>
      <c r="AC238" s="6">
        <v>19731.490000000002</v>
      </c>
      <c r="AD238" s="1" t="s">
        <v>1100</v>
      </c>
      <c r="AE238" s="1" t="s">
        <v>2094</v>
      </c>
      <c r="AF238" s="1" t="s">
        <v>1186</v>
      </c>
      <c r="AG238" s="1" t="s">
        <v>1522</v>
      </c>
      <c r="AH238" s="6">
        <v>1969526.69</v>
      </c>
      <c r="AI238" s="6">
        <v>1969526.69</v>
      </c>
      <c r="AJ238" s="1" t="s">
        <v>2046</v>
      </c>
      <c r="AK238" s="6">
        <v>3622.3100000000559</v>
      </c>
      <c r="AL238" s="6">
        <v>1.8358015537600332E-3</v>
      </c>
      <c r="AM238" s="1" t="s">
        <v>2046</v>
      </c>
      <c r="AN238" s="1" t="s">
        <v>745</v>
      </c>
      <c r="AO238" s="1" t="s">
        <v>1126</v>
      </c>
      <c r="AP238" s="1" t="s">
        <v>99</v>
      </c>
      <c r="AQ238" s="6">
        <v>3622.3100000000559</v>
      </c>
      <c r="AR238" s="6">
        <v>1.8358015537600332E-3</v>
      </c>
      <c r="AS238" s="2"/>
      <c r="AT238" s="7">
        <v>45173.547079091994</v>
      </c>
      <c r="AU238" s="1" t="s">
        <v>559</v>
      </c>
      <c r="AV238" s="1" t="s">
        <v>565</v>
      </c>
      <c r="AW238" s="1" t="s">
        <v>2151</v>
      </c>
      <c r="AX238" s="7">
        <v>45180.594936402398</v>
      </c>
      <c r="AY238" s="1" t="s">
        <v>242</v>
      </c>
      <c r="AZ238" s="6">
        <v>1969526.69</v>
      </c>
      <c r="BA238" s="1"/>
      <c r="BB238" s="5">
        <v>45230</v>
      </c>
      <c r="BC238" s="5">
        <v>45180</v>
      </c>
      <c r="BD238" s="5">
        <v>45180</v>
      </c>
      <c r="BE238" s="7">
        <v>45291</v>
      </c>
      <c r="BF238" s="1" t="s">
        <v>2170</v>
      </c>
      <c r="BG238" s="1"/>
      <c r="BH238" s="1"/>
      <c r="BI238" s="1" t="s">
        <v>746</v>
      </c>
    </row>
    <row r="239" spans="1:61" hidden="1" x14ac:dyDescent="0.25">
      <c r="A239" s="4">
        <v>234</v>
      </c>
      <c r="B239" s="2" t="str">
        <f>HYPERLINK("https://my.zakupivli.pro/remote/dispatcher/state_purchase_view/44592370", "UA-2023-08-17-008390-a")</f>
        <v>UA-2023-08-17-008390-a</v>
      </c>
      <c r="C239" s="2" t="str">
        <f>HYPERLINK("https://my.zakupivli.pro/remote/dispatcher/state_purchase_lot_view/1020573", "UA-2023-08-17-008390-a-L1")</f>
        <v>UA-2023-08-17-008390-a-L1</v>
      </c>
      <c r="D239" s="1" t="s">
        <v>1757</v>
      </c>
      <c r="E239" s="1" t="s">
        <v>1758</v>
      </c>
      <c r="F239" s="1" t="s">
        <v>487</v>
      </c>
      <c r="G239" s="1" t="s">
        <v>966</v>
      </c>
      <c r="H239" s="1" t="s">
        <v>1185</v>
      </c>
      <c r="I239" s="1" t="s">
        <v>2094</v>
      </c>
      <c r="J239" s="1" t="s">
        <v>1145</v>
      </c>
      <c r="K239" s="1" t="s">
        <v>947</v>
      </c>
      <c r="L239" s="1" t="s">
        <v>1533</v>
      </c>
      <c r="M239" s="1" t="s">
        <v>1533</v>
      </c>
      <c r="N239" s="1" t="s">
        <v>110</v>
      </c>
      <c r="O239" s="1" t="s">
        <v>110</v>
      </c>
      <c r="P239" s="1" t="s">
        <v>110</v>
      </c>
      <c r="Q239" s="5">
        <v>45155</v>
      </c>
      <c r="R239" s="1" t="s">
        <v>553</v>
      </c>
      <c r="S239" s="1" t="s">
        <v>555</v>
      </c>
      <c r="T239" s="5">
        <v>45155</v>
      </c>
      <c r="U239" s="5">
        <v>45163</v>
      </c>
      <c r="V239" s="1" t="s">
        <v>2147</v>
      </c>
      <c r="W239" s="4">
        <v>1</v>
      </c>
      <c r="X239" s="6">
        <v>797622</v>
      </c>
      <c r="Y239" s="6">
        <v>797622</v>
      </c>
      <c r="Z239" s="1">
        <v>1</v>
      </c>
      <c r="AA239" s="6">
        <v>797622</v>
      </c>
      <c r="AB239" s="1" t="s">
        <v>2167</v>
      </c>
      <c r="AC239" s="6">
        <v>7976.22</v>
      </c>
      <c r="AD239" s="1" t="s">
        <v>1100</v>
      </c>
      <c r="AE239" s="1" t="s">
        <v>2094</v>
      </c>
      <c r="AF239" s="1" t="s">
        <v>1186</v>
      </c>
      <c r="AG239" s="1" t="s">
        <v>1522</v>
      </c>
      <c r="AH239" s="6">
        <v>795002.61</v>
      </c>
      <c r="AI239" s="6">
        <v>795002.61</v>
      </c>
      <c r="AJ239" s="1" t="s">
        <v>2044</v>
      </c>
      <c r="AK239" s="6">
        <v>2619.390000000014</v>
      </c>
      <c r="AL239" s="6">
        <v>3.2839991875851142E-3</v>
      </c>
      <c r="AM239" s="1" t="s">
        <v>2044</v>
      </c>
      <c r="AN239" s="1" t="s">
        <v>913</v>
      </c>
      <c r="AO239" s="1" t="s">
        <v>1124</v>
      </c>
      <c r="AP239" s="1" t="s">
        <v>44</v>
      </c>
      <c r="AQ239" s="6">
        <v>2619.390000000014</v>
      </c>
      <c r="AR239" s="6">
        <v>3.2839991875851142E-3</v>
      </c>
      <c r="AS239" s="2"/>
      <c r="AT239" s="7">
        <v>45167.653640958808</v>
      </c>
      <c r="AU239" s="1" t="s">
        <v>557</v>
      </c>
      <c r="AV239" s="1" t="s">
        <v>561</v>
      </c>
      <c r="AW239" s="1" t="s">
        <v>2151</v>
      </c>
      <c r="AX239" s="7">
        <v>45173.599815861562</v>
      </c>
      <c r="AY239" s="1" t="s">
        <v>230</v>
      </c>
      <c r="AZ239" s="6">
        <v>795002.61</v>
      </c>
      <c r="BA239" s="1"/>
      <c r="BB239" s="5">
        <v>45230</v>
      </c>
      <c r="BC239" s="5">
        <v>45173</v>
      </c>
      <c r="BD239" s="5">
        <v>45173</v>
      </c>
      <c r="BE239" s="7">
        <v>45291</v>
      </c>
      <c r="BF239" s="1" t="s">
        <v>2170</v>
      </c>
      <c r="BG239" s="1"/>
      <c r="BH239" s="1"/>
      <c r="BI239" s="1" t="s">
        <v>914</v>
      </c>
    </row>
    <row r="240" spans="1:61" hidden="1" x14ac:dyDescent="0.25">
      <c r="A240" s="4">
        <v>235</v>
      </c>
      <c r="B240" s="2" t="str">
        <f>HYPERLINK("https://my.zakupivli.pro/remote/dispatcher/state_purchase_view/44595387", "UA-2023-08-17-009675-a")</f>
        <v>UA-2023-08-17-009675-a</v>
      </c>
      <c r="C240" s="2" t="str">
        <f>HYPERLINK("https://my.zakupivli.pro/remote/dispatcher/state_purchase_lot_view/1020684", "UA-2023-08-17-009675-a-L1")</f>
        <v>UA-2023-08-17-009675-a-L1</v>
      </c>
      <c r="D240" s="1" t="s">
        <v>1879</v>
      </c>
      <c r="E240" s="1" t="s">
        <v>1880</v>
      </c>
      <c r="F240" s="1" t="s">
        <v>487</v>
      </c>
      <c r="G240" s="1" t="s">
        <v>966</v>
      </c>
      <c r="H240" s="1" t="s">
        <v>1185</v>
      </c>
      <c r="I240" s="1" t="s">
        <v>2094</v>
      </c>
      <c r="J240" s="1" t="s">
        <v>1145</v>
      </c>
      <c r="K240" s="1" t="s">
        <v>947</v>
      </c>
      <c r="L240" s="1" t="s">
        <v>1533</v>
      </c>
      <c r="M240" s="1" t="s">
        <v>1533</v>
      </c>
      <c r="N240" s="1" t="s">
        <v>110</v>
      </c>
      <c r="O240" s="1" t="s">
        <v>110</v>
      </c>
      <c r="P240" s="1" t="s">
        <v>110</v>
      </c>
      <c r="Q240" s="5">
        <v>45155</v>
      </c>
      <c r="R240" s="1" t="s">
        <v>553</v>
      </c>
      <c r="S240" s="1" t="s">
        <v>555</v>
      </c>
      <c r="T240" s="5">
        <v>45155</v>
      </c>
      <c r="U240" s="5">
        <v>45163</v>
      </c>
      <c r="V240" s="1" t="s">
        <v>2147</v>
      </c>
      <c r="W240" s="4">
        <v>1</v>
      </c>
      <c r="X240" s="6">
        <v>156294</v>
      </c>
      <c r="Y240" s="6">
        <v>156294</v>
      </c>
      <c r="Z240" s="1">
        <v>1</v>
      </c>
      <c r="AA240" s="6">
        <v>156294</v>
      </c>
      <c r="AB240" s="1" t="s">
        <v>2167</v>
      </c>
      <c r="AC240" s="6">
        <v>1562.94</v>
      </c>
      <c r="AD240" s="1" t="s">
        <v>1100</v>
      </c>
      <c r="AE240" s="1" t="s">
        <v>2094</v>
      </c>
      <c r="AF240" s="1" t="s">
        <v>1186</v>
      </c>
      <c r="AG240" s="1" t="s">
        <v>1522</v>
      </c>
      <c r="AH240" s="6">
        <v>154263.57</v>
      </c>
      <c r="AI240" s="6">
        <v>154263.57</v>
      </c>
      <c r="AJ240" s="1" t="s">
        <v>2044</v>
      </c>
      <c r="AK240" s="6">
        <v>2030.429999999993</v>
      </c>
      <c r="AL240" s="6">
        <v>1.299109370801178E-2</v>
      </c>
      <c r="AM240" s="1" t="s">
        <v>2044</v>
      </c>
      <c r="AN240" s="1" t="s">
        <v>913</v>
      </c>
      <c r="AO240" s="1" t="s">
        <v>1124</v>
      </c>
      <c r="AP240" s="1" t="s">
        <v>44</v>
      </c>
      <c r="AQ240" s="6">
        <v>2030.429999999993</v>
      </c>
      <c r="AR240" s="6">
        <v>1.299109370801178E-2</v>
      </c>
      <c r="AS240" s="2"/>
      <c r="AT240" s="7">
        <v>45167.702565191445</v>
      </c>
      <c r="AU240" s="1" t="s">
        <v>557</v>
      </c>
      <c r="AV240" s="1" t="s">
        <v>561</v>
      </c>
      <c r="AW240" s="1" t="s">
        <v>2151</v>
      </c>
      <c r="AX240" s="7">
        <v>45173.605040764291</v>
      </c>
      <c r="AY240" s="1" t="s">
        <v>231</v>
      </c>
      <c r="AZ240" s="6">
        <v>154263.57</v>
      </c>
      <c r="BA240" s="1"/>
      <c r="BB240" s="5">
        <v>45230</v>
      </c>
      <c r="BC240" s="5">
        <v>45173</v>
      </c>
      <c r="BD240" s="5">
        <v>45173</v>
      </c>
      <c r="BE240" s="7">
        <v>45291</v>
      </c>
      <c r="BF240" s="1" t="s">
        <v>2170</v>
      </c>
      <c r="BG240" s="1"/>
      <c r="BH240" s="1"/>
      <c r="BI240" s="1" t="s">
        <v>914</v>
      </c>
    </row>
    <row r="241" spans="1:61" hidden="1" x14ac:dyDescent="0.25">
      <c r="A241" s="4">
        <v>236</v>
      </c>
      <c r="B241" s="2" t="str">
        <f>HYPERLINK("https://my.zakupivli.pro/remote/dispatcher/state_purchase_view/44594819", "UA-2023-08-17-009440-a")</f>
        <v>UA-2023-08-17-009440-a</v>
      </c>
      <c r="C241" s="2" t="str">
        <f>HYPERLINK("https://my.zakupivli.pro/remote/dispatcher/state_purchase_lot_view/1020655", "UA-2023-08-17-009440-a-L1")</f>
        <v>UA-2023-08-17-009440-a-L1</v>
      </c>
      <c r="D241" s="1" t="s">
        <v>1882</v>
      </c>
      <c r="E241" s="1" t="s">
        <v>1881</v>
      </c>
      <c r="F241" s="1" t="s">
        <v>487</v>
      </c>
      <c r="G241" s="1" t="s">
        <v>966</v>
      </c>
      <c r="H241" s="1" t="s">
        <v>1185</v>
      </c>
      <c r="I241" s="1" t="s">
        <v>2094</v>
      </c>
      <c r="J241" s="1" t="s">
        <v>1145</v>
      </c>
      <c r="K241" s="1" t="s">
        <v>947</v>
      </c>
      <c r="L241" s="1" t="s">
        <v>1533</v>
      </c>
      <c r="M241" s="1" t="s">
        <v>1533</v>
      </c>
      <c r="N241" s="1" t="s">
        <v>110</v>
      </c>
      <c r="O241" s="1" t="s">
        <v>110</v>
      </c>
      <c r="P241" s="1" t="s">
        <v>110</v>
      </c>
      <c r="Q241" s="5">
        <v>45155</v>
      </c>
      <c r="R241" s="1" t="s">
        <v>553</v>
      </c>
      <c r="S241" s="1" t="s">
        <v>555</v>
      </c>
      <c r="T241" s="5">
        <v>45155</v>
      </c>
      <c r="U241" s="5">
        <v>45163</v>
      </c>
      <c r="V241" s="1" t="s">
        <v>2147</v>
      </c>
      <c r="W241" s="4">
        <v>1</v>
      </c>
      <c r="X241" s="6">
        <v>130690</v>
      </c>
      <c r="Y241" s="6">
        <v>130690</v>
      </c>
      <c r="Z241" s="1">
        <v>1</v>
      </c>
      <c r="AA241" s="6">
        <v>130690</v>
      </c>
      <c r="AB241" s="1" t="s">
        <v>2167</v>
      </c>
      <c r="AC241" s="6">
        <v>1306.9000000000001</v>
      </c>
      <c r="AD241" s="1" t="s">
        <v>1100</v>
      </c>
      <c r="AE241" s="1" t="s">
        <v>2094</v>
      </c>
      <c r="AF241" s="1" t="s">
        <v>1186</v>
      </c>
      <c r="AG241" s="1" t="s">
        <v>1522</v>
      </c>
      <c r="AH241" s="6">
        <v>129664.6</v>
      </c>
      <c r="AI241" s="6">
        <v>129664.6</v>
      </c>
      <c r="AJ241" s="1" t="s">
        <v>2044</v>
      </c>
      <c r="AK241" s="6">
        <v>1025.3999999999942</v>
      </c>
      <c r="AL241" s="6">
        <v>7.8460478996097184E-3</v>
      </c>
      <c r="AM241" s="1" t="s">
        <v>2044</v>
      </c>
      <c r="AN241" s="1" t="s">
        <v>913</v>
      </c>
      <c r="AO241" s="1" t="s">
        <v>1124</v>
      </c>
      <c r="AP241" s="1" t="s">
        <v>44</v>
      </c>
      <c r="AQ241" s="6">
        <v>1025.3999999999942</v>
      </c>
      <c r="AR241" s="6">
        <v>7.8460478996097184E-3</v>
      </c>
      <c r="AS241" s="2"/>
      <c r="AT241" s="7">
        <v>45167.662272351976</v>
      </c>
      <c r="AU241" s="1" t="s">
        <v>557</v>
      </c>
      <c r="AV241" s="1" t="s">
        <v>561</v>
      </c>
      <c r="AW241" s="1" t="s">
        <v>2151</v>
      </c>
      <c r="AX241" s="7">
        <v>45173.603291795036</v>
      </c>
      <c r="AY241" s="1" t="s">
        <v>232</v>
      </c>
      <c r="AZ241" s="6">
        <v>129664.6</v>
      </c>
      <c r="BA241" s="1"/>
      <c r="BB241" s="5">
        <v>45230</v>
      </c>
      <c r="BC241" s="5">
        <v>45173</v>
      </c>
      <c r="BD241" s="5">
        <v>45173</v>
      </c>
      <c r="BE241" s="7">
        <v>45291</v>
      </c>
      <c r="BF241" s="1" t="s">
        <v>2170</v>
      </c>
      <c r="BG241" s="1"/>
      <c r="BH241" s="1"/>
      <c r="BI241" s="1" t="s">
        <v>914</v>
      </c>
    </row>
    <row r="242" spans="1:61" hidden="1" x14ac:dyDescent="0.25">
      <c r="A242" s="4">
        <v>237</v>
      </c>
      <c r="B242" s="2" t="str">
        <f>HYPERLINK("https://my.zakupivli.pro/remote/dispatcher/state_purchase_view/44590796", "UA-2023-08-17-007660-a")</f>
        <v>UA-2023-08-17-007660-a</v>
      </c>
      <c r="C242" s="2" t="str">
        <f>HYPERLINK("https://my.zakupivli.pro/remote/dispatcher/state_purchase_lot_view/1020513", "UA-2023-08-17-007660-a-L1")</f>
        <v>UA-2023-08-17-007660-a-L1</v>
      </c>
      <c r="D242" s="1" t="s">
        <v>1755</v>
      </c>
      <c r="E242" s="1" t="s">
        <v>1756</v>
      </c>
      <c r="F242" s="1" t="s">
        <v>487</v>
      </c>
      <c r="G242" s="1" t="s">
        <v>966</v>
      </c>
      <c r="H242" s="1" t="s">
        <v>1185</v>
      </c>
      <c r="I242" s="1" t="s">
        <v>2094</v>
      </c>
      <c r="J242" s="1" t="s">
        <v>1145</v>
      </c>
      <c r="K242" s="1" t="s">
        <v>947</v>
      </c>
      <c r="L242" s="1" t="s">
        <v>1533</v>
      </c>
      <c r="M242" s="1" t="s">
        <v>1533</v>
      </c>
      <c r="N242" s="1" t="s">
        <v>110</v>
      </c>
      <c r="O242" s="1" t="s">
        <v>110</v>
      </c>
      <c r="P242" s="1" t="s">
        <v>110</v>
      </c>
      <c r="Q242" s="5">
        <v>45155</v>
      </c>
      <c r="R242" s="1" t="s">
        <v>553</v>
      </c>
      <c r="S242" s="1" t="s">
        <v>555</v>
      </c>
      <c r="T242" s="5">
        <v>45155</v>
      </c>
      <c r="U242" s="5">
        <v>45163</v>
      </c>
      <c r="V242" s="1" t="s">
        <v>2147</v>
      </c>
      <c r="W242" s="4">
        <v>1</v>
      </c>
      <c r="X242" s="6">
        <v>528870</v>
      </c>
      <c r="Y242" s="6">
        <v>528870</v>
      </c>
      <c r="Z242" s="1">
        <v>1</v>
      </c>
      <c r="AA242" s="6">
        <v>528870</v>
      </c>
      <c r="AB242" s="1" t="s">
        <v>2167</v>
      </c>
      <c r="AC242" s="6">
        <v>5288.7</v>
      </c>
      <c r="AD242" s="1" t="s">
        <v>1100</v>
      </c>
      <c r="AE242" s="1" t="s">
        <v>2094</v>
      </c>
      <c r="AF242" s="1" t="s">
        <v>1186</v>
      </c>
      <c r="AG242" s="1" t="s">
        <v>1522</v>
      </c>
      <c r="AH242" s="6">
        <v>527306.93999999994</v>
      </c>
      <c r="AI242" s="6">
        <v>527306.93999999994</v>
      </c>
      <c r="AJ242" s="1" t="s">
        <v>2044</v>
      </c>
      <c r="AK242" s="6">
        <v>1563.0600000000559</v>
      </c>
      <c r="AL242" s="6">
        <v>2.9554710987578343E-3</v>
      </c>
      <c r="AM242" s="1" t="s">
        <v>2044</v>
      </c>
      <c r="AN242" s="1" t="s">
        <v>913</v>
      </c>
      <c r="AO242" s="1" t="s">
        <v>1124</v>
      </c>
      <c r="AP242" s="1" t="s">
        <v>44</v>
      </c>
      <c r="AQ242" s="6">
        <v>1563.0600000000559</v>
      </c>
      <c r="AR242" s="6">
        <v>2.9554710987578343E-3</v>
      </c>
      <c r="AS242" s="2"/>
      <c r="AT242" s="7">
        <v>45167.617317782002</v>
      </c>
      <c r="AU242" s="1" t="s">
        <v>557</v>
      </c>
      <c r="AV242" s="1" t="s">
        <v>561</v>
      </c>
      <c r="AW242" s="1" t="s">
        <v>2151</v>
      </c>
      <c r="AX242" s="7">
        <v>45173.597563640069</v>
      </c>
      <c r="AY242" s="1" t="s">
        <v>229</v>
      </c>
      <c r="AZ242" s="6">
        <v>527306.93999999994</v>
      </c>
      <c r="BA242" s="1"/>
      <c r="BB242" s="5">
        <v>45230</v>
      </c>
      <c r="BC242" s="5">
        <v>45173</v>
      </c>
      <c r="BD242" s="5">
        <v>45173</v>
      </c>
      <c r="BE242" s="7">
        <v>45291</v>
      </c>
      <c r="BF242" s="1" t="s">
        <v>2170</v>
      </c>
      <c r="BG242" s="1"/>
      <c r="BH242" s="1"/>
      <c r="BI242" s="1" t="s">
        <v>914</v>
      </c>
    </row>
    <row r="243" spans="1:61" hidden="1" x14ac:dyDescent="0.25">
      <c r="A243" s="4">
        <v>238</v>
      </c>
      <c r="B243" s="2" t="str">
        <f>HYPERLINK("https://my.zakupivli.pro/remote/dispatcher/state_purchase_view/44066290", "UA-2023-07-21-005260-a")</f>
        <v>UA-2023-07-21-005260-a</v>
      </c>
      <c r="C243" s="2" t="s">
        <v>1516</v>
      </c>
      <c r="D243" s="1" t="s">
        <v>1869</v>
      </c>
      <c r="E243" s="1" t="s">
        <v>1869</v>
      </c>
      <c r="F243" s="1" t="s">
        <v>487</v>
      </c>
      <c r="G243" s="1" t="s">
        <v>967</v>
      </c>
      <c r="H243" s="1" t="s">
        <v>1218</v>
      </c>
      <c r="I243" s="1" t="s">
        <v>2094</v>
      </c>
      <c r="J243" s="1" t="s">
        <v>1145</v>
      </c>
      <c r="K243" s="1" t="s">
        <v>947</v>
      </c>
      <c r="L243" s="1" t="s">
        <v>1533</v>
      </c>
      <c r="M243" s="1" t="s">
        <v>1533</v>
      </c>
      <c r="N243" s="1" t="s">
        <v>110</v>
      </c>
      <c r="O243" s="1" t="s">
        <v>110</v>
      </c>
      <c r="P243" s="1" t="s">
        <v>110</v>
      </c>
      <c r="Q243" s="5">
        <v>45128</v>
      </c>
      <c r="R243" s="1"/>
      <c r="S243" s="1"/>
      <c r="T243" s="1"/>
      <c r="U243" s="1"/>
      <c r="V243" s="1" t="s">
        <v>2146</v>
      </c>
      <c r="W243" s="4">
        <v>1</v>
      </c>
      <c r="X243" s="6">
        <v>15170</v>
      </c>
      <c r="Y243" s="1" t="s">
        <v>1516</v>
      </c>
      <c r="Z243" s="1">
        <v>1</v>
      </c>
      <c r="AA243" s="6">
        <v>15170</v>
      </c>
      <c r="AB243" s="1" t="s">
        <v>2167</v>
      </c>
      <c r="AC243" s="1" t="s">
        <v>2162</v>
      </c>
      <c r="AD243" s="1" t="s">
        <v>1100</v>
      </c>
      <c r="AE243" s="1" t="s">
        <v>1522</v>
      </c>
      <c r="AF243" s="1" t="s">
        <v>1186</v>
      </c>
      <c r="AG243" s="1" t="s">
        <v>1522</v>
      </c>
      <c r="AH243" s="6">
        <v>15170</v>
      </c>
      <c r="AI243" s="6">
        <v>15170</v>
      </c>
      <c r="AJ243" s="1" t="s">
        <v>2011</v>
      </c>
      <c r="AK243" s="1"/>
      <c r="AL243" s="1"/>
      <c r="AM243" s="1" t="s">
        <v>2011</v>
      </c>
      <c r="AN243" s="1" t="s">
        <v>763</v>
      </c>
      <c r="AO243" s="1"/>
      <c r="AP243" s="1" t="s">
        <v>95</v>
      </c>
      <c r="AQ243" s="1"/>
      <c r="AR243" s="1"/>
      <c r="AS243" s="2"/>
      <c r="AT243" s="1"/>
      <c r="AU243" s="1"/>
      <c r="AV243" s="1"/>
      <c r="AW243" s="1" t="s">
        <v>2152</v>
      </c>
      <c r="AX243" s="7">
        <v>45128.526641101605</v>
      </c>
      <c r="AY243" s="1" t="s">
        <v>224</v>
      </c>
      <c r="AZ243" s="6">
        <v>15170</v>
      </c>
      <c r="BA243" s="5">
        <v>45128</v>
      </c>
      <c r="BB243" s="5">
        <v>45169</v>
      </c>
      <c r="BC243" s="5">
        <v>45128</v>
      </c>
      <c r="BD243" s="5">
        <v>45128</v>
      </c>
      <c r="BE243" s="7">
        <v>45291</v>
      </c>
      <c r="BF243" s="1" t="s">
        <v>2170</v>
      </c>
      <c r="BG243" s="1"/>
      <c r="BH243" s="1"/>
      <c r="BI243" s="1" t="s">
        <v>108</v>
      </c>
    </row>
    <row r="244" spans="1:61" hidden="1" x14ac:dyDescent="0.25">
      <c r="A244" s="4">
        <v>239</v>
      </c>
      <c r="B244" s="2" t="str">
        <f>HYPERLINK("https://my.zakupivli.pro/remote/dispatcher/state_purchase_view/44057396", "UA-2023-07-21-001527-a")</f>
        <v>UA-2023-07-21-001527-a</v>
      </c>
      <c r="C244" s="2" t="s">
        <v>1516</v>
      </c>
      <c r="D244" s="1" t="s">
        <v>1668</v>
      </c>
      <c r="E244" s="1" t="s">
        <v>2099</v>
      </c>
      <c r="F244" s="1" t="s">
        <v>487</v>
      </c>
      <c r="G244" s="1" t="s">
        <v>991</v>
      </c>
      <c r="H244" s="1" t="s">
        <v>1218</v>
      </c>
      <c r="I244" s="1" t="s">
        <v>2094</v>
      </c>
      <c r="J244" s="1" t="s">
        <v>1145</v>
      </c>
      <c r="K244" s="1" t="s">
        <v>947</v>
      </c>
      <c r="L244" s="1" t="s">
        <v>1533</v>
      </c>
      <c r="M244" s="1" t="s">
        <v>1533</v>
      </c>
      <c r="N244" s="1" t="s">
        <v>110</v>
      </c>
      <c r="O244" s="1" t="s">
        <v>110</v>
      </c>
      <c r="P244" s="1" t="s">
        <v>110</v>
      </c>
      <c r="Q244" s="5">
        <v>45128</v>
      </c>
      <c r="R244" s="1"/>
      <c r="S244" s="1"/>
      <c r="T244" s="1"/>
      <c r="U244" s="1"/>
      <c r="V244" s="1" t="s">
        <v>2146</v>
      </c>
      <c r="W244" s="4">
        <v>1</v>
      </c>
      <c r="X244" s="6">
        <v>1100</v>
      </c>
      <c r="Y244" s="1" t="s">
        <v>1516</v>
      </c>
      <c r="Z244" s="1">
        <v>4</v>
      </c>
      <c r="AA244" s="6">
        <v>275</v>
      </c>
      <c r="AB244" s="1" t="s">
        <v>2157</v>
      </c>
      <c r="AC244" s="1" t="s">
        <v>2162</v>
      </c>
      <c r="AD244" s="1" t="s">
        <v>1100</v>
      </c>
      <c r="AE244" s="1" t="s">
        <v>1522</v>
      </c>
      <c r="AF244" s="1" t="s">
        <v>1186</v>
      </c>
      <c r="AG244" s="1" t="s">
        <v>1522</v>
      </c>
      <c r="AH244" s="6">
        <v>1100</v>
      </c>
      <c r="AI244" s="6">
        <v>275</v>
      </c>
      <c r="AJ244" s="1" t="s">
        <v>2026</v>
      </c>
      <c r="AK244" s="1"/>
      <c r="AL244" s="1"/>
      <c r="AM244" s="1" t="s">
        <v>2026</v>
      </c>
      <c r="AN244" s="1" t="s">
        <v>818</v>
      </c>
      <c r="AO244" s="1"/>
      <c r="AP244" s="1" t="s">
        <v>17</v>
      </c>
      <c r="AQ244" s="1"/>
      <c r="AR244" s="1"/>
      <c r="AS244" s="2"/>
      <c r="AT244" s="1"/>
      <c r="AU244" s="1"/>
      <c r="AV244" s="1"/>
      <c r="AW244" s="1" t="s">
        <v>2152</v>
      </c>
      <c r="AX244" s="7">
        <v>45128.425843578843</v>
      </c>
      <c r="AY244" s="1" t="s">
        <v>223</v>
      </c>
      <c r="AZ244" s="6">
        <v>1100</v>
      </c>
      <c r="BA244" s="5">
        <v>45127</v>
      </c>
      <c r="BB244" s="5">
        <v>45168</v>
      </c>
      <c r="BC244" s="5">
        <v>45127</v>
      </c>
      <c r="BD244" s="5">
        <v>45127</v>
      </c>
      <c r="BE244" s="7">
        <v>45291</v>
      </c>
      <c r="BF244" s="1" t="s">
        <v>2170</v>
      </c>
      <c r="BG244" s="1"/>
      <c r="BH244" s="1"/>
      <c r="BI244" s="1" t="s">
        <v>108</v>
      </c>
    </row>
    <row r="245" spans="1:61" hidden="1" x14ac:dyDescent="0.25">
      <c r="A245" s="4">
        <v>240</v>
      </c>
      <c r="B245" s="2" t="str">
        <f>HYPERLINK("https://my.zakupivli.pro/remote/dispatcher/state_purchase_view/44048822", "UA-2023-07-20-010231-a")</f>
        <v>UA-2023-07-20-010231-a</v>
      </c>
      <c r="C245" s="2" t="s">
        <v>1516</v>
      </c>
      <c r="D245" s="1" t="s">
        <v>1848</v>
      </c>
      <c r="E245" s="1" t="s">
        <v>1848</v>
      </c>
      <c r="F245" s="1" t="s">
        <v>487</v>
      </c>
      <c r="G245" s="1" t="s">
        <v>1035</v>
      </c>
      <c r="H245" s="1" t="s">
        <v>1218</v>
      </c>
      <c r="I245" s="1" t="s">
        <v>2094</v>
      </c>
      <c r="J245" s="1" t="s">
        <v>1145</v>
      </c>
      <c r="K245" s="1" t="s">
        <v>947</v>
      </c>
      <c r="L245" s="1" t="s">
        <v>1533</v>
      </c>
      <c r="M245" s="1" t="s">
        <v>1533</v>
      </c>
      <c r="N245" s="1" t="s">
        <v>110</v>
      </c>
      <c r="O245" s="1" t="s">
        <v>110</v>
      </c>
      <c r="P245" s="1" t="s">
        <v>110</v>
      </c>
      <c r="Q245" s="5">
        <v>45127</v>
      </c>
      <c r="R245" s="1"/>
      <c r="S245" s="1"/>
      <c r="T245" s="1"/>
      <c r="U245" s="1"/>
      <c r="V245" s="1" t="s">
        <v>2146</v>
      </c>
      <c r="W245" s="4">
        <v>1</v>
      </c>
      <c r="X245" s="6">
        <v>4171.05</v>
      </c>
      <c r="Y245" s="1" t="s">
        <v>1516</v>
      </c>
      <c r="Z245" s="1">
        <v>1</v>
      </c>
      <c r="AA245" s="6">
        <v>4171.05</v>
      </c>
      <c r="AB245" s="1" t="s">
        <v>2167</v>
      </c>
      <c r="AC245" s="1" t="s">
        <v>2162</v>
      </c>
      <c r="AD245" s="1" t="s">
        <v>1100</v>
      </c>
      <c r="AE245" s="1" t="s">
        <v>1522</v>
      </c>
      <c r="AF245" s="1" t="s">
        <v>1186</v>
      </c>
      <c r="AG245" s="1" t="s">
        <v>1522</v>
      </c>
      <c r="AH245" s="6">
        <v>4171.05</v>
      </c>
      <c r="AI245" s="6">
        <v>4171.05</v>
      </c>
      <c r="AJ245" s="1" t="s">
        <v>1498</v>
      </c>
      <c r="AK245" s="1"/>
      <c r="AL245" s="1"/>
      <c r="AM245" s="1" t="s">
        <v>1498</v>
      </c>
      <c r="AN245" s="1" t="s">
        <v>785</v>
      </c>
      <c r="AO245" s="1"/>
      <c r="AP245" s="1" t="s">
        <v>81</v>
      </c>
      <c r="AQ245" s="1"/>
      <c r="AR245" s="1"/>
      <c r="AS245" s="2"/>
      <c r="AT245" s="1"/>
      <c r="AU245" s="1"/>
      <c r="AV245" s="1"/>
      <c r="AW245" s="1" t="s">
        <v>2152</v>
      </c>
      <c r="AX245" s="7">
        <v>45127.669665233232</v>
      </c>
      <c r="AY245" s="1" t="s">
        <v>222</v>
      </c>
      <c r="AZ245" s="6">
        <v>4171.05</v>
      </c>
      <c r="BA245" s="5">
        <v>45126</v>
      </c>
      <c r="BB245" s="5">
        <v>45291</v>
      </c>
      <c r="BC245" s="5">
        <v>45126</v>
      </c>
      <c r="BD245" s="5">
        <v>45126</v>
      </c>
      <c r="BE245" s="7">
        <v>45291</v>
      </c>
      <c r="BF245" s="1" t="s">
        <v>2170</v>
      </c>
      <c r="BG245" s="1"/>
      <c r="BH245" s="1"/>
      <c r="BI245" s="1" t="s">
        <v>108</v>
      </c>
    </row>
    <row r="246" spans="1:61" hidden="1" x14ac:dyDescent="0.25">
      <c r="A246" s="4">
        <v>241</v>
      </c>
      <c r="B246" s="2" t="str">
        <f>HYPERLINK("https://my.zakupivli.pro/remote/dispatcher/state_purchase_view/44049448", "UA-2023-07-20-010531-a")</f>
        <v>UA-2023-07-20-010531-a</v>
      </c>
      <c r="C246" s="2" t="s">
        <v>1516</v>
      </c>
      <c r="D246" s="1" t="s">
        <v>1846</v>
      </c>
      <c r="E246" s="1" t="s">
        <v>1846</v>
      </c>
      <c r="F246" s="1" t="s">
        <v>487</v>
      </c>
      <c r="G246" s="1" t="s">
        <v>1035</v>
      </c>
      <c r="H246" s="1" t="s">
        <v>1218</v>
      </c>
      <c r="I246" s="1" t="s">
        <v>2094</v>
      </c>
      <c r="J246" s="1" t="s">
        <v>1145</v>
      </c>
      <c r="K246" s="1" t="s">
        <v>947</v>
      </c>
      <c r="L246" s="1" t="s">
        <v>1533</v>
      </c>
      <c r="M246" s="1" t="s">
        <v>1533</v>
      </c>
      <c r="N246" s="1" t="s">
        <v>110</v>
      </c>
      <c r="O246" s="1" t="s">
        <v>110</v>
      </c>
      <c r="P246" s="1" t="s">
        <v>110</v>
      </c>
      <c r="Q246" s="5">
        <v>45127</v>
      </c>
      <c r="R246" s="1"/>
      <c r="S246" s="1"/>
      <c r="T246" s="1"/>
      <c r="U246" s="1"/>
      <c r="V246" s="1" t="s">
        <v>2146</v>
      </c>
      <c r="W246" s="4">
        <v>1</v>
      </c>
      <c r="X246" s="6">
        <v>3893.35</v>
      </c>
      <c r="Y246" s="1" t="s">
        <v>1516</v>
      </c>
      <c r="Z246" s="1">
        <v>1</v>
      </c>
      <c r="AA246" s="6">
        <v>3893.35</v>
      </c>
      <c r="AB246" s="1" t="s">
        <v>2167</v>
      </c>
      <c r="AC246" s="1" t="s">
        <v>2162</v>
      </c>
      <c r="AD246" s="1" t="s">
        <v>1100</v>
      </c>
      <c r="AE246" s="1" t="s">
        <v>1522</v>
      </c>
      <c r="AF246" s="1" t="s">
        <v>1186</v>
      </c>
      <c r="AG246" s="1" t="s">
        <v>1522</v>
      </c>
      <c r="AH246" s="6">
        <v>3893.35</v>
      </c>
      <c r="AI246" s="6">
        <v>3893.35</v>
      </c>
      <c r="AJ246" s="1" t="s">
        <v>1498</v>
      </c>
      <c r="AK246" s="1"/>
      <c r="AL246" s="1"/>
      <c r="AM246" s="1" t="s">
        <v>1498</v>
      </c>
      <c r="AN246" s="1" t="s">
        <v>785</v>
      </c>
      <c r="AO246" s="1"/>
      <c r="AP246" s="1" t="s">
        <v>81</v>
      </c>
      <c r="AQ246" s="1"/>
      <c r="AR246" s="1"/>
      <c r="AS246" s="2"/>
      <c r="AT246" s="1"/>
      <c r="AU246" s="1"/>
      <c r="AV246" s="1"/>
      <c r="AW246" s="1" t="s">
        <v>2152</v>
      </c>
      <c r="AX246" s="7">
        <v>45127.677079431793</v>
      </c>
      <c r="AY246" s="1" t="s">
        <v>219</v>
      </c>
      <c r="AZ246" s="6">
        <v>3893.35</v>
      </c>
      <c r="BA246" s="5">
        <v>45126</v>
      </c>
      <c r="BB246" s="5">
        <v>45291</v>
      </c>
      <c r="BC246" s="5">
        <v>45126</v>
      </c>
      <c r="BD246" s="5">
        <v>45126</v>
      </c>
      <c r="BE246" s="7">
        <v>45291</v>
      </c>
      <c r="BF246" s="1" t="s">
        <v>2170</v>
      </c>
      <c r="BG246" s="1"/>
      <c r="BH246" s="1"/>
      <c r="BI246" s="1" t="s">
        <v>108</v>
      </c>
    </row>
    <row r="247" spans="1:61" hidden="1" x14ac:dyDescent="0.25">
      <c r="A247" s="4">
        <v>242</v>
      </c>
      <c r="B247" s="2" t="str">
        <f>HYPERLINK("https://my.zakupivli.pro/remote/dispatcher/state_purchase_view/44049051", "UA-2023-07-20-010371-a")</f>
        <v>UA-2023-07-20-010371-a</v>
      </c>
      <c r="C247" s="2" t="s">
        <v>1516</v>
      </c>
      <c r="D247" s="1" t="s">
        <v>1847</v>
      </c>
      <c r="E247" s="1" t="s">
        <v>1847</v>
      </c>
      <c r="F247" s="1" t="s">
        <v>487</v>
      </c>
      <c r="G247" s="1" t="s">
        <v>1035</v>
      </c>
      <c r="H247" s="1" t="s">
        <v>1218</v>
      </c>
      <c r="I247" s="1" t="s">
        <v>2094</v>
      </c>
      <c r="J247" s="1" t="s">
        <v>1145</v>
      </c>
      <c r="K247" s="1" t="s">
        <v>947</v>
      </c>
      <c r="L247" s="1" t="s">
        <v>1533</v>
      </c>
      <c r="M247" s="1" t="s">
        <v>1533</v>
      </c>
      <c r="N247" s="1" t="s">
        <v>110</v>
      </c>
      <c r="O247" s="1" t="s">
        <v>110</v>
      </c>
      <c r="P247" s="1" t="s">
        <v>110</v>
      </c>
      <c r="Q247" s="5">
        <v>45127</v>
      </c>
      <c r="R247" s="1"/>
      <c r="S247" s="1"/>
      <c r="T247" s="1"/>
      <c r="U247" s="1"/>
      <c r="V247" s="1" t="s">
        <v>2146</v>
      </c>
      <c r="W247" s="4">
        <v>1</v>
      </c>
      <c r="X247" s="6">
        <v>4448.84</v>
      </c>
      <c r="Y247" s="1" t="s">
        <v>1516</v>
      </c>
      <c r="Z247" s="1">
        <v>1</v>
      </c>
      <c r="AA247" s="6">
        <v>4448.84</v>
      </c>
      <c r="AB247" s="1" t="s">
        <v>2167</v>
      </c>
      <c r="AC247" s="1" t="s">
        <v>2162</v>
      </c>
      <c r="AD247" s="1" t="s">
        <v>1100</v>
      </c>
      <c r="AE247" s="1" t="s">
        <v>1522</v>
      </c>
      <c r="AF247" s="1" t="s">
        <v>1186</v>
      </c>
      <c r="AG247" s="1" t="s">
        <v>1522</v>
      </c>
      <c r="AH247" s="6">
        <v>4448.84</v>
      </c>
      <c r="AI247" s="6">
        <v>4448.84</v>
      </c>
      <c r="AJ247" s="1" t="s">
        <v>1498</v>
      </c>
      <c r="AK247" s="1"/>
      <c r="AL247" s="1"/>
      <c r="AM247" s="1" t="s">
        <v>1498</v>
      </c>
      <c r="AN247" s="1" t="s">
        <v>785</v>
      </c>
      <c r="AO247" s="1"/>
      <c r="AP247" s="1" t="s">
        <v>81</v>
      </c>
      <c r="AQ247" s="1"/>
      <c r="AR247" s="1"/>
      <c r="AS247" s="2"/>
      <c r="AT247" s="1"/>
      <c r="AU247" s="1"/>
      <c r="AV247" s="1"/>
      <c r="AW247" s="1" t="s">
        <v>2152</v>
      </c>
      <c r="AX247" s="7">
        <v>45127.673936804436</v>
      </c>
      <c r="AY247" s="1" t="s">
        <v>221</v>
      </c>
      <c r="AZ247" s="6">
        <v>4448.84</v>
      </c>
      <c r="BA247" s="5">
        <v>45126</v>
      </c>
      <c r="BB247" s="5">
        <v>45291</v>
      </c>
      <c r="BC247" s="5">
        <v>45126</v>
      </c>
      <c r="BD247" s="5">
        <v>45126</v>
      </c>
      <c r="BE247" s="7">
        <v>45291</v>
      </c>
      <c r="BF247" s="1" t="s">
        <v>2170</v>
      </c>
      <c r="BG247" s="1"/>
      <c r="BH247" s="1"/>
      <c r="BI247" s="1" t="s">
        <v>108</v>
      </c>
    </row>
    <row r="248" spans="1:61" hidden="1" x14ac:dyDescent="0.25">
      <c r="A248" s="4">
        <v>243</v>
      </c>
      <c r="B248" s="2" t="str">
        <f>HYPERLINK("https://my.zakupivli.pro/remote/dispatcher/state_purchase_view/43929492", "UA-2023-07-14-004991-a")</f>
        <v>UA-2023-07-14-004991-a</v>
      </c>
      <c r="C248" s="2" t="s">
        <v>1516</v>
      </c>
      <c r="D248" s="1" t="s">
        <v>1699</v>
      </c>
      <c r="E248" s="1" t="s">
        <v>1689</v>
      </c>
      <c r="F248" s="1" t="s">
        <v>487</v>
      </c>
      <c r="G248" s="1" t="s">
        <v>990</v>
      </c>
      <c r="H248" s="1" t="s">
        <v>1218</v>
      </c>
      <c r="I248" s="1" t="s">
        <v>2094</v>
      </c>
      <c r="J248" s="1" t="s">
        <v>1145</v>
      </c>
      <c r="K248" s="1" t="s">
        <v>947</v>
      </c>
      <c r="L248" s="1" t="s">
        <v>1533</v>
      </c>
      <c r="M248" s="1" t="s">
        <v>1533</v>
      </c>
      <c r="N248" s="1" t="s">
        <v>110</v>
      </c>
      <c r="O248" s="1" t="s">
        <v>110</v>
      </c>
      <c r="P248" s="1" t="s">
        <v>110</v>
      </c>
      <c r="Q248" s="5">
        <v>45121</v>
      </c>
      <c r="R248" s="1"/>
      <c r="S248" s="1"/>
      <c r="T248" s="1"/>
      <c r="U248" s="1"/>
      <c r="V248" s="1" t="s">
        <v>2146</v>
      </c>
      <c r="W248" s="4">
        <v>1</v>
      </c>
      <c r="X248" s="6">
        <v>6480</v>
      </c>
      <c r="Y248" s="1" t="s">
        <v>1516</v>
      </c>
      <c r="Z248" s="1">
        <v>1</v>
      </c>
      <c r="AA248" s="6">
        <v>6480</v>
      </c>
      <c r="AB248" s="1" t="s">
        <v>2167</v>
      </c>
      <c r="AC248" s="1" t="s">
        <v>2162</v>
      </c>
      <c r="AD248" s="1" t="s">
        <v>1100</v>
      </c>
      <c r="AE248" s="1" t="s">
        <v>2094</v>
      </c>
      <c r="AF248" s="1" t="s">
        <v>1186</v>
      </c>
      <c r="AG248" s="1" t="s">
        <v>1522</v>
      </c>
      <c r="AH248" s="6">
        <v>6480</v>
      </c>
      <c r="AI248" s="6">
        <v>6480</v>
      </c>
      <c r="AJ248" s="1" t="s">
        <v>2047</v>
      </c>
      <c r="AK248" s="1"/>
      <c r="AL248" s="1"/>
      <c r="AM248" s="1" t="s">
        <v>2047</v>
      </c>
      <c r="AN248" s="1" t="s">
        <v>803</v>
      </c>
      <c r="AO248" s="1"/>
      <c r="AP248" s="1" t="s">
        <v>8</v>
      </c>
      <c r="AQ248" s="1"/>
      <c r="AR248" s="1"/>
      <c r="AS248" s="2"/>
      <c r="AT248" s="1"/>
      <c r="AU248" s="1"/>
      <c r="AV248" s="1"/>
      <c r="AW248" s="1" t="s">
        <v>2152</v>
      </c>
      <c r="AX248" s="7">
        <v>45121.49969161734</v>
      </c>
      <c r="AY248" s="1" t="s">
        <v>218</v>
      </c>
      <c r="AZ248" s="6">
        <v>6480</v>
      </c>
      <c r="BA248" s="5">
        <v>45120</v>
      </c>
      <c r="BB248" s="5">
        <v>45121</v>
      </c>
      <c r="BC248" s="5">
        <v>45120</v>
      </c>
      <c r="BD248" s="5">
        <v>45120</v>
      </c>
      <c r="BE248" s="7">
        <v>45291</v>
      </c>
      <c r="BF248" s="1" t="s">
        <v>2170</v>
      </c>
      <c r="BG248" s="1"/>
      <c r="BH248" s="1"/>
      <c r="BI248" s="1" t="s">
        <v>108</v>
      </c>
    </row>
    <row r="249" spans="1:61" hidden="1" x14ac:dyDescent="0.25">
      <c r="A249" s="4">
        <v>244</v>
      </c>
      <c r="B249" s="2" t="str">
        <f>HYPERLINK("https://my.zakupivli.pro/remote/dispatcher/state_purchase_view/43774145", "UA-2023-07-06-010201-a")</f>
        <v>UA-2023-07-06-010201-a</v>
      </c>
      <c r="C249" s="2" t="s">
        <v>1516</v>
      </c>
      <c r="D249" s="1" t="s">
        <v>1685</v>
      </c>
      <c r="E249" s="1" t="s">
        <v>2096</v>
      </c>
      <c r="F249" s="1" t="s">
        <v>487</v>
      </c>
      <c r="G249" s="1" t="s">
        <v>996</v>
      </c>
      <c r="H249" s="1" t="s">
        <v>1218</v>
      </c>
      <c r="I249" s="1" t="s">
        <v>2094</v>
      </c>
      <c r="J249" s="1" t="s">
        <v>1145</v>
      </c>
      <c r="K249" s="1" t="s">
        <v>947</v>
      </c>
      <c r="L249" s="1" t="s">
        <v>1533</v>
      </c>
      <c r="M249" s="1" t="s">
        <v>1533</v>
      </c>
      <c r="N249" s="1" t="s">
        <v>110</v>
      </c>
      <c r="O249" s="1" t="s">
        <v>110</v>
      </c>
      <c r="P249" s="1" t="s">
        <v>110</v>
      </c>
      <c r="Q249" s="5">
        <v>45113</v>
      </c>
      <c r="R249" s="1"/>
      <c r="S249" s="1"/>
      <c r="T249" s="1"/>
      <c r="U249" s="1"/>
      <c r="V249" s="1" t="s">
        <v>2146</v>
      </c>
      <c r="W249" s="4">
        <v>1</v>
      </c>
      <c r="X249" s="6">
        <v>19500</v>
      </c>
      <c r="Y249" s="1" t="s">
        <v>1516</v>
      </c>
      <c r="Z249" s="1">
        <v>30</v>
      </c>
      <c r="AA249" s="6">
        <v>650</v>
      </c>
      <c r="AB249" s="1" t="s">
        <v>2157</v>
      </c>
      <c r="AC249" s="1" t="s">
        <v>2162</v>
      </c>
      <c r="AD249" s="1" t="s">
        <v>1100</v>
      </c>
      <c r="AE249" s="1" t="s">
        <v>1522</v>
      </c>
      <c r="AF249" s="1" t="s">
        <v>1186</v>
      </c>
      <c r="AG249" s="1" t="s">
        <v>1522</v>
      </c>
      <c r="AH249" s="6">
        <v>19500</v>
      </c>
      <c r="AI249" s="6">
        <v>650</v>
      </c>
      <c r="AJ249" s="1" t="s">
        <v>1524</v>
      </c>
      <c r="AK249" s="1"/>
      <c r="AL249" s="1"/>
      <c r="AM249" s="1" t="s">
        <v>1524</v>
      </c>
      <c r="AN249" s="1" t="s">
        <v>787</v>
      </c>
      <c r="AO249" s="1"/>
      <c r="AP249" s="1" t="s">
        <v>76</v>
      </c>
      <c r="AQ249" s="1"/>
      <c r="AR249" s="1"/>
      <c r="AS249" s="2"/>
      <c r="AT249" s="1"/>
      <c r="AU249" s="1"/>
      <c r="AV249" s="1"/>
      <c r="AW249" s="1" t="s">
        <v>2152</v>
      </c>
      <c r="AX249" s="7">
        <v>45113.646902698463</v>
      </c>
      <c r="AY249" s="1" t="s">
        <v>214</v>
      </c>
      <c r="AZ249" s="6">
        <v>19500</v>
      </c>
      <c r="BA249" s="5">
        <v>45112</v>
      </c>
      <c r="BB249" s="5">
        <v>45126</v>
      </c>
      <c r="BC249" s="5">
        <v>45112</v>
      </c>
      <c r="BD249" s="5">
        <v>45112</v>
      </c>
      <c r="BE249" s="7">
        <v>45291</v>
      </c>
      <c r="BF249" s="1" t="s">
        <v>2170</v>
      </c>
      <c r="BG249" s="1"/>
      <c r="BH249" s="1"/>
      <c r="BI249" s="1" t="s">
        <v>108</v>
      </c>
    </row>
    <row r="250" spans="1:61" hidden="1" x14ac:dyDescent="0.25">
      <c r="A250" s="4">
        <v>245</v>
      </c>
      <c r="B250" s="2" t="str">
        <f>HYPERLINK("https://my.zakupivli.pro/remote/dispatcher/state_purchase_view/43767120", "UA-2023-07-06-007001-a")</f>
        <v>UA-2023-07-06-007001-a</v>
      </c>
      <c r="C250" s="2" t="s">
        <v>1516</v>
      </c>
      <c r="D250" s="1" t="s">
        <v>1433</v>
      </c>
      <c r="E250" s="1" t="s">
        <v>1433</v>
      </c>
      <c r="F250" s="1" t="s">
        <v>487</v>
      </c>
      <c r="G250" s="1" t="s">
        <v>1035</v>
      </c>
      <c r="H250" s="1" t="s">
        <v>1218</v>
      </c>
      <c r="I250" s="1" t="s">
        <v>2094</v>
      </c>
      <c r="J250" s="1" t="s">
        <v>1145</v>
      </c>
      <c r="K250" s="1" t="s">
        <v>947</v>
      </c>
      <c r="L250" s="1" t="s">
        <v>1533</v>
      </c>
      <c r="M250" s="1" t="s">
        <v>1533</v>
      </c>
      <c r="N250" s="1" t="s">
        <v>110</v>
      </c>
      <c r="O250" s="1" t="s">
        <v>110</v>
      </c>
      <c r="P250" s="1" t="s">
        <v>110</v>
      </c>
      <c r="Q250" s="5">
        <v>45113</v>
      </c>
      <c r="R250" s="1"/>
      <c r="S250" s="1"/>
      <c r="T250" s="1"/>
      <c r="U250" s="1"/>
      <c r="V250" s="1" t="s">
        <v>2146</v>
      </c>
      <c r="W250" s="4">
        <v>1</v>
      </c>
      <c r="X250" s="6">
        <v>4508</v>
      </c>
      <c r="Y250" s="1" t="s">
        <v>1516</v>
      </c>
      <c r="Z250" s="1">
        <v>1</v>
      </c>
      <c r="AA250" s="6">
        <v>4508</v>
      </c>
      <c r="AB250" s="1" t="s">
        <v>2167</v>
      </c>
      <c r="AC250" s="1" t="s">
        <v>2162</v>
      </c>
      <c r="AD250" s="1" t="s">
        <v>1100</v>
      </c>
      <c r="AE250" s="1" t="s">
        <v>1522</v>
      </c>
      <c r="AF250" s="1" t="s">
        <v>1186</v>
      </c>
      <c r="AG250" s="1" t="s">
        <v>1522</v>
      </c>
      <c r="AH250" s="6">
        <v>4508</v>
      </c>
      <c r="AI250" s="6">
        <v>4508</v>
      </c>
      <c r="AJ250" s="1" t="s">
        <v>1498</v>
      </c>
      <c r="AK250" s="1"/>
      <c r="AL250" s="1"/>
      <c r="AM250" s="1" t="s">
        <v>1498</v>
      </c>
      <c r="AN250" s="1" t="s">
        <v>785</v>
      </c>
      <c r="AO250" s="1"/>
      <c r="AP250" s="1" t="s">
        <v>81</v>
      </c>
      <c r="AQ250" s="1"/>
      <c r="AR250" s="1"/>
      <c r="AS250" s="2"/>
      <c r="AT250" s="1"/>
      <c r="AU250" s="1"/>
      <c r="AV250" s="1"/>
      <c r="AW250" s="1" t="s">
        <v>2152</v>
      </c>
      <c r="AX250" s="7">
        <v>45113.563256259607</v>
      </c>
      <c r="AY250" s="1" t="s">
        <v>213</v>
      </c>
      <c r="AZ250" s="6">
        <v>4508</v>
      </c>
      <c r="BA250" s="5">
        <v>45111</v>
      </c>
      <c r="BB250" s="5">
        <v>45291</v>
      </c>
      <c r="BC250" s="5">
        <v>45111</v>
      </c>
      <c r="BD250" s="5">
        <v>45111</v>
      </c>
      <c r="BE250" s="7">
        <v>45291</v>
      </c>
      <c r="BF250" s="1" t="s">
        <v>2170</v>
      </c>
      <c r="BG250" s="1"/>
      <c r="BH250" s="1"/>
      <c r="BI250" s="1" t="s">
        <v>108</v>
      </c>
    </row>
    <row r="251" spans="1:61" hidden="1" x14ac:dyDescent="0.25">
      <c r="A251" s="4">
        <v>246</v>
      </c>
      <c r="B251" s="2" t="str">
        <f>HYPERLINK("https://my.zakupivli.pro/remote/dispatcher/state_purchase_view/43719149", "UA-2023-07-04-010951-a")</f>
        <v>UA-2023-07-04-010951-a</v>
      </c>
      <c r="C251" s="2" t="s">
        <v>1516</v>
      </c>
      <c r="D251" s="1" t="s">
        <v>1427</v>
      </c>
      <c r="E251" s="1" t="s">
        <v>1427</v>
      </c>
      <c r="F251" s="1" t="s">
        <v>487</v>
      </c>
      <c r="G251" s="1" t="s">
        <v>1035</v>
      </c>
      <c r="H251" s="1" t="s">
        <v>1218</v>
      </c>
      <c r="I251" s="1" t="s">
        <v>2094</v>
      </c>
      <c r="J251" s="1" t="s">
        <v>1145</v>
      </c>
      <c r="K251" s="1" t="s">
        <v>947</v>
      </c>
      <c r="L251" s="1" t="s">
        <v>1533</v>
      </c>
      <c r="M251" s="1" t="s">
        <v>1533</v>
      </c>
      <c r="N251" s="1" t="s">
        <v>110</v>
      </c>
      <c r="O251" s="1" t="s">
        <v>110</v>
      </c>
      <c r="P251" s="1" t="s">
        <v>110</v>
      </c>
      <c r="Q251" s="5">
        <v>45111</v>
      </c>
      <c r="R251" s="1"/>
      <c r="S251" s="1"/>
      <c r="T251" s="1"/>
      <c r="U251" s="1"/>
      <c r="V251" s="1" t="s">
        <v>2146</v>
      </c>
      <c r="W251" s="4">
        <v>1</v>
      </c>
      <c r="X251" s="6">
        <v>8061.91</v>
      </c>
      <c r="Y251" s="1" t="s">
        <v>1516</v>
      </c>
      <c r="Z251" s="1">
        <v>1</v>
      </c>
      <c r="AA251" s="6">
        <v>8061.91</v>
      </c>
      <c r="AB251" s="1" t="s">
        <v>2167</v>
      </c>
      <c r="AC251" s="1" t="s">
        <v>2162</v>
      </c>
      <c r="AD251" s="1" t="s">
        <v>1100</v>
      </c>
      <c r="AE251" s="1" t="s">
        <v>1522</v>
      </c>
      <c r="AF251" s="1" t="s">
        <v>1186</v>
      </c>
      <c r="AG251" s="1" t="s">
        <v>1522</v>
      </c>
      <c r="AH251" s="6">
        <v>8061.91</v>
      </c>
      <c r="AI251" s="6">
        <v>8061.91</v>
      </c>
      <c r="AJ251" s="1" t="s">
        <v>1498</v>
      </c>
      <c r="AK251" s="1"/>
      <c r="AL251" s="1"/>
      <c r="AM251" s="1" t="s">
        <v>1498</v>
      </c>
      <c r="AN251" s="1" t="s">
        <v>785</v>
      </c>
      <c r="AO251" s="1"/>
      <c r="AP251" s="1" t="s">
        <v>81</v>
      </c>
      <c r="AQ251" s="1"/>
      <c r="AR251" s="1"/>
      <c r="AS251" s="2"/>
      <c r="AT251" s="1"/>
      <c r="AU251" s="1"/>
      <c r="AV251" s="1"/>
      <c r="AW251" s="1" t="s">
        <v>2152</v>
      </c>
      <c r="AX251" s="7">
        <v>45111.674391543937</v>
      </c>
      <c r="AY251" s="1" t="s">
        <v>209</v>
      </c>
      <c r="AZ251" s="6">
        <v>8061.91</v>
      </c>
      <c r="BA251" s="5">
        <v>45110</v>
      </c>
      <c r="BB251" s="5">
        <v>45291</v>
      </c>
      <c r="BC251" s="5">
        <v>45110</v>
      </c>
      <c r="BD251" s="5">
        <v>45110</v>
      </c>
      <c r="BE251" s="7">
        <v>45291</v>
      </c>
      <c r="BF251" s="1" t="s">
        <v>2170</v>
      </c>
      <c r="BG251" s="1"/>
      <c r="BH251" s="1"/>
      <c r="BI251" s="1" t="s">
        <v>108</v>
      </c>
    </row>
    <row r="252" spans="1:61" hidden="1" x14ac:dyDescent="0.25">
      <c r="A252" s="4">
        <v>247</v>
      </c>
      <c r="B252" s="2" t="str">
        <f>HYPERLINK("https://my.zakupivli.pro/remote/dispatcher/state_purchase_view/43720685", "UA-2023-07-04-011625-a")</f>
        <v>UA-2023-07-04-011625-a</v>
      </c>
      <c r="C252" s="2" t="s">
        <v>1516</v>
      </c>
      <c r="D252" s="1" t="s">
        <v>1845</v>
      </c>
      <c r="E252" s="1" t="s">
        <v>1845</v>
      </c>
      <c r="F252" s="1" t="s">
        <v>487</v>
      </c>
      <c r="G252" s="1" t="s">
        <v>1035</v>
      </c>
      <c r="H252" s="1" t="s">
        <v>1218</v>
      </c>
      <c r="I252" s="1" t="s">
        <v>2094</v>
      </c>
      <c r="J252" s="1" t="s">
        <v>1145</v>
      </c>
      <c r="K252" s="1" t="s">
        <v>947</v>
      </c>
      <c r="L252" s="1" t="s">
        <v>1533</v>
      </c>
      <c r="M252" s="1" t="s">
        <v>1533</v>
      </c>
      <c r="N252" s="1" t="s">
        <v>110</v>
      </c>
      <c r="O252" s="1" t="s">
        <v>110</v>
      </c>
      <c r="P252" s="1" t="s">
        <v>110</v>
      </c>
      <c r="Q252" s="5">
        <v>45111</v>
      </c>
      <c r="R252" s="1"/>
      <c r="S252" s="1"/>
      <c r="T252" s="1"/>
      <c r="U252" s="1"/>
      <c r="V252" s="1" t="s">
        <v>2146</v>
      </c>
      <c r="W252" s="4">
        <v>1</v>
      </c>
      <c r="X252" s="6">
        <v>2346.75</v>
      </c>
      <c r="Y252" s="1" t="s">
        <v>1516</v>
      </c>
      <c r="Z252" s="1">
        <v>1</v>
      </c>
      <c r="AA252" s="6">
        <v>2346.75</v>
      </c>
      <c r="AB252" s="1" t="s">
        <v>2167</v>
      </c>
      <c r="AC252" s="1" t="s">
        <v>2162</v>
      </c>
      <c r="AD252" s="1" t="s">
        <v>1100</v>
      </c>
      <c r="AE252" s="1" t="s">
        <v>1522</v>
      </c>
      <c r="AF252" s="1" t="s">
        <v>1186</v>
      </c>
      <c r="AG252" s="1" t="s">
        <v>1522</v>
      </c>
      <c r="AH252" s="6">
        <v>2346.75</v>
      </c>
      <c r="AI252" s="6">
        <v>2346.75</v>
      </c>
      <c r="AJ252" s="1" t="s">
        <v>1498</v>
      </c>
      <c r="AK252" s="1"/>
      <c r="AL252" s="1"/>
      <c r="AM252" s="1" t="s">
        <v>1498</v>
      </c>
      <c r="AN252" s="1" t="s">
        <v>785</v>
      </c>
      <c r="AO252" s="1"/>
      <c r="AP252" s="1" t="s">
        <v>81</v>
      </c>
      <c r="AQ252" s="1"/>
      <c r="AR252" s="1"/>
      <c r="AS252" s="2"/>
      <c r="AT252" s="1"/>
      <c r="AU252" s="1"/>
      <c r="AV252" s="1"/>
      <c r="AW252" s="1" t="s">
        <v>2152</v>
      </c>
      <c r="AX252" s="7">
        <v>45111.693106072555</v>
      </c>
      <c r="AY252" s="1" t="s">
        <v>205</v>
      </c>
      <c r="AZ252" s="6">
        <v>2346.75</v>
      </c>
      <c r="BA252" s="5">
        <v>45110</v>
      </c>
      <c r="BB252" s="5">
        <v>45291</v>
      </c>
      <c r="BC252" s="5">
        <v>45110</v>
      </c>
      <c r="BD252" s="5">
        <v>45110</v>
      </c>
      <c r="BE252" s="7">
        <v>45291</v>
      </c>
      <c r="BF252" s="1" t="s">
        <v>2170</v>
      </c>
      <c r="BG252" s="1"/>
      <c r="BH252" s="1"/>
      <c r="BI252" s="1" t="s">
        <v>108</v>
      </c>
    </row>
    <row r="253" spans="1:61" hidden="1" x14ac:dyDescent="0.25">
      <c r="A253" s="4">
        <v>248</v>
      </c>
      <c r="B253" s="2" t="str">
        <f>HYPERLINK("https://my.zakupivli.pro/remote/dispatcher/state_purchase_view/43720195", "UA-2023-07-04-011419-a")</f>
        <v>UA-2023-07-04-011419-a</v>
      </c>
      <c r="C253" s="2" t="s">
        <v>1516</v>
      </c>
      <c r="D253" s="1" t="s">
        <v>1423</v>
      </c>
      <c r="E253" s="1" t="s">
        <v>1423</v>
      </c>
      <c r="F253" s="1" t="s">
        <v>487</v>
      </c>
      <c r="G253" s="1" t="s">
        <v>1035</v>
      </c>
      <c r="H253" s="1" t="s">
        <v>1218</v>
      </c>
      <c r="I253" s="1" t="s">
        <v>2094</v>
      </c>
      <c r="J253" s="1" t="s">
        <v>1145</v>
      </c>
      <c r="K253" s="1" t="s">
        <v>947</v>
      </c>
      <c r="L253" s="1" t="s">
        <v>1533</v>
      </c>
      <c r="M253" s="1" t="s">
        <v>1533</v>
      </c>
      <c r="N253" s="1" t="s">
        <v>110</v>
      </c>
      <c r="O253" s="1" t="s">
        <v>110</v>
      </c>
      <c r="P253" s="1" t="s">
        <v>110</v>
      </c>
      <c r="Q253" s="5">
        <v>45111</v>
      </c>
      <c r="R253" s="1"/>
      <c r="S253" s="1"/>
      <c r="T253" s="1"/>
      <c r="U253" s="1"/>
      <c r="V253" s="1" t="s">
        <v>2146</v>
      </c>
      <c r="W253" s="4">
        <v>1</v>
      </c>
      <c r="X253" s="6">
        <v>488.78</v>
      </c>
      <c r="Y253" s="1" t="s">
        <v>1516</v>
      </c>
      <c r="Z253" s="1">
        <v>1</v>
      </c>
      <c r="AA253" s="6">
        <v>488.78</v>
      </c>
      <c r="AB253" s="1" t="s">
        <v>2167</v>
      </c>
      <c r="AC253" s="1" t="s">
        <v>2162</v>
      </c>
      <c r="AD253" s="1" t="s">
        <v>1100</v>
      </c>
      <c r="AE253" s="1" t="s">
        <v>1522</v>
      </c>
      <c r="AF253" s="1" t="s">
        <v>1186</v>
      </c>
      <c r="AG253" s="1" t="s">
        <v>1522</v>
      </c>
      <c r="AH253" s="6">
        <v>488.78</v>
      </c>
      <c r="AI253" s="6">
        <v>488.78</v>
      </c>
      <c r="AJ253" s="1" t="s">
        <v>1498</v>
      </c>
      <c r="AK253" s="1"/>
      <c r="AL253" s="1"/>
      <c r="AM253" s="1" t="s">
        <v>1498</v>
      </c>
      <c r="AN253" s="1" t="s">
        <v>785</v>
      </c>
      <c r="AO253" s="1"/>
      <c r="AP253" s="1" t="s">
        <v>81</v>
      </c>
      <c r="AQ253" s="1"/>
      <c r="AR253" s="1"/>
      <c r="AS253" s="2"/>
      <c r="AT253" s="1"/>
      <c r="AU253" s="1"/>
      <c r="AV253" s="1"/>
      <c r="AW253" s="1" t="s">
        <v>2152</v>
      </c>
      <c r="AX253" s="7">
        <v>45111.686558626621</v>
      </c>
      <c r="AY253" s="1" t="s">
        <v>211</v>
      </c>
      <c r="AZ253" s="6">
        <v>488.78</v>
      </c>
      <c r="BA253" s="5">
        <v>45110</v>
      </c>
      <c r="BB253" s="5">
        <v>45291</v>
      </c>
      <c r="BC253" s="5">
        <v>45110</v>
      </c>
      <c r="BD253" s="5">
        <v>45110</v>
      </c>
      <c r="BE253" s="7">
        <v>45291</v>
      </c>
      <c r="BF253" s="1" t="s">
        <v>2170</v>
      </c>
      <c r="BG253" s="1"/>
      <c r="BH253" s="1"/>
      <c r="BI253" s="1" t="s">
        <v>108</v>
      </c>
    </row>
    <row r="254" spans="1:61" hidden="1" x14ac:dyDescent="0.25">
      <c r="A254" s="4">
        <v>249</v>
      </c>
      <c r="B254" s="2" t="str">
        <f>HYPERLINK("https://my.zakupivli.pro/remote/dispatcher/state_purchase_view/43719751", "UA-2023-07-04-011219-a")</f>
        <v>UA-2023-07-04-011219-a</v>
      </c>
      <c r="C254" s="2" t="s">
        <v>1516</v>
      </c>
      <c r="D254" s="1" t="s">
        <v>1421</v>
      </c>
      <c r="E254" s="1" t="s">
        <v>1421</v>
      </c>
      <c r="F254" s="1" t="s">
        <v>487</v>
      </c>
      <c r="G254" s="1" t="s">
        <v>1035</v>
      </c>
      <c r="H254" s="1" t="s">
        <v>1218</v>
      </c>
      <c r="I254" s="1" t="s">
        <v>2094</v>
      </c>
      <c r="J254" s="1" t="s">
        <v>1145</v>
      </c>
      <c r="K254" s="1" t="s">
        <v>947</v>
      </c>
      <c r="L254" s="1" t="s">
        <v>1533</v>
      </c>
      <c r="M254" s="1" t="s">
        <v>1533</v>
      </c>
      <c r="N254" s="1" t="s">
        <v>110</v>
      </c>
      <c r="O254" s="1" t="s">
        <v>110</v>
      </c>
      <c r="P254" s="1" t="s">
        <v>110</v>
      </c>
      <c r="Q254" s="5">
        <v>45111</v>
      </c>
      <c r="R254" s="1"/>
      <c r="S254" s="1"/>
      <c r="T254" s="1"/>
      <c r="U254" s="1"/>
      <c r="V254" s="1" t="s">
        <v>2146</v>
      </c>
      <c r="W254" s="4">
        <v>1</v>
      </c>
      <c r="X254" s="6">
        <v>5620.94</v>
      </c>
      <c r="Y254" s="1" t="s">
        <v>1516</v>
      </c>
      <c r="Z254" s="1">
        <v>1</v>
      </c>
      <c r="AA254" s="6">
        <v>5620.94</v>
      </c>
      <c r="AB254" s="1" t="s">
        <v>2167</v>
      </c>
      <c r="AC254" s="1" t="s">
        <v>2162</v>
      </c>
      <c r="AD254" s="1" t="s">
        <v>1100</v>
      </c>
      <c r="AE254" s="1" t="s">
        <v>1522</v>
      </c>
      <c r="AF254" s="1" t="s">
        <v>1186</v>
      </c>
      <c r="AG254" s="1" t="s">
        <v>1522</v>
      </c>
      <c r="AH254" s="6">
        <v>5620.94</v>
      </c>
      <c r="AI254" s="6">
        <v>5620.94</v>
      </c>
      <c r="AJ254" s="1" t="s">
        <v>1498</v>
      </c>
      <c r="AK254" s="1"/>
      <c r="AL254" s="1"/>
      <c r="AM254" s="1" t="s">
        <v>1498</v>
      </c>
      <c r="AN254" s="1" t="s">
        <v>785</v>
      </c>
      <c r="AO254" s="1"/>
      <c r="AP254" s="1" t="s">
        <v>81</v>
      </c>
      <c r="AQ254" s="1"/>
      <c r="AR254" s="1"/>
      <c r="AS254" s="2"/>
      <c r="AT254" s="1"/>
      <c r="AU254" s="1"/>
      <c r="AV254" s="1"/>
      <c r="AW254" s="1" t="s">
        <v>2152</v>
      </c>
      <c r="AX254" s="7">
        <v>45111.681496931436</v>
      </c>
      <c r="AY254" s="1" t="s">
        <v>210</v>
      </c>
      <c r="AZ254" s="6">
        <v>5620.94</v>
      </c>
      <c r="BA254" s="5">
        <v>45110</v>
      </c>
      <c r="BB254" s="5">
        <v>45291</v>
      </c>
      <c r="BC254" s="5">
        <v>45110</v>
      </c>
      <c r="BD254" s="5">
        <v>45110</v>
      </c>
      <c r="BE254" s="7">
        <v>45291</v>
      </c>
      <c r="BF254" s="1" t="s">
        <v>2170</v>
      </c>
      <c r="BG254" s="1"/>
      <c r="BH254" s="1"/>
      <c r="BI254" s="1" t="s">
        <v>108</v>
      </c>
    </row>
    <row r="255" spans="1:61" hidden="1" x14ac:dyDescent="0.25">
      <c r="A255" s="4">
        <v>250</v>
      </c>
      <c r="B255" s="2" t="str">
        <f>HYPERLINK("https://my.zakupivli.pro/remote/dispatcher/state_purchase_view/43718786", "UA-2023-07-04-010737-a")</f>
        <v>UA-2023-07-04-010737-a</v>
      </c>
      <c r="C255" s="2" t="s">
        <v>1516</v>
      </c>
      <c r="D255" s="1" t="s">
        <v>1422</v>
      </c>
      <c r="E255" s="1" t="s">
        <v>1422</v>
      </c>
      <c r="F255" s="1" t="s">
        <v>487</v>
      </c>
      <c r="G255" s="1" t="s">
        <v>1035</v>
      </c>
      <c r="H255" s="1" t="s">
        <v>1218</v>
      </c>
      <c r="I255" s="1" t="s">
        <v>2094</v>
      </c>
      <c r="J255" s="1" t="s">
        <v>1145</v>
      </c>
      <c r="K255" s="1" t="s">
        <v>947</v>
      </c>
      <c r="L255" s="1" t="s">
        <v>1533</v>
      </c>
      <c r="M255" s="1" t="s">
        <v>1533</v>
      </c>
      <c r="N255" s="1" t="s">
        <v>110</v>
      </c>
      <c r="O255" s="1" t="s">
        <v>110</v>
      </c>
      <c r="P255" s="1" t="s">
        <v>110</v>
      </c>
      <c r="Q255" s="5">
        <v>45111</v>
      </c>
      <c r="R255" s="1"/>
      <c r="S255" s="1"/>
      <c r="T255" s="1"/>
      <c r="U255" s="1"/>
      <c r="V255" s="1" t="s">
        <v>2146</v>
      </c>
      <c r="W255" s="4">
        <v>1</v>
      </c>
      <c r="X255" s="6">
        <v>948.99</v>
      </c>
      <c r="Y255" s="1" t="s">
        <v>1516</v>
      </c>
      <c r="Z255" s="1">
        <v>1</v>
      </c>
      <c r="AA255" s="6">
        <v>948.99</v>
      </c>
      <c r="AB255" s="1" t="s">
        <v>2167</v>
      </c>
      <c r="AC255" s="1" t="s">
        <v>2162</v>
      </c>
      <c r="AD255" s="1" t="s">
        <v>1100</v>
      </c>
      <c r="AE255" s="1" t="s">
        <v>1522</v>
      </c>
      <c r="AF255" s="1" t="s">
        <v>1186</v>
      </c>
      <c r="AG255" s="1" t="s">
        <v>1522</v>
      </c>
      <c r="AH255" s="6">
        <v>948.99</v>
      </c>
      <c r="AI255" s="6">
        <v>948.99</v>
      </c>
      <c r="AJ255" s="1" t="s">
        <v>1498</v>
      </c>
      <c r="AK255" s="1"/>
      <c r="AL255" s="1"/>
      <c r="AM255" s="1" t="s">
        <v>1498</v>
      </c>
      <c r="AN255" s="1" t="s">
        <v>785</v>
      </c>
      <c r="AO255" s="1"/>
      <c r="AP255" s="1" t="s">
        <v>81</v>
      </c>
      <c r="AQ255" s="1"/>
      <c r="AR255" s="1"/>
      <c r="AS255" s="2"/>
      <c r="AT255" s="1"/>
      <c r="AU255" s="1"/>
      <c r="AV255" s="1"/>
      <c r="AW255" s="1" t="s">
        <v>2152</v>
      </c>
      <c r="AX255" s="7">
        <v>45111.668888930195</v>
      </c>
      <c r="AY255" s="1" t="s">
        <v>207</v>
      </c>
      <c r="AZ255" s="6">
        <v>948.99</v>
      </c>
      <c r="BA255" s="5">
        <v>45110</v>
      </c>
      <c r="BB255" s="5">
        <v>45291</v>
      </c>
      <c r="BC255" s="5">
        <v>45110</v>
      </c>
      <c r="BD255" s="5">
        <v>45110</v>
      </c>
      <c r="BE255" s="7">
        <v>45291</v>
      </c>
      <c r="BF255" s="1" t="s">
        <v>2170</v>
      </c>
      <c r="BG255" s="1"/>
      <c r="BH255" s="1"/>
      <c r="BI255" s="1" t="s">
        <v>108</v>
      </c>
    </row>
    <row r="256" spans="1:61" hidden="1" x14ac:dyDescent="0.25">
      <c r="A256" s="4">
        <v>251</v>
      </c>
      <c r="B256" s="2" t="str">
        <f>HYPERLINK("https://my.zakupivli.pro/remote/dispatcher/state_purchase_view/43718213", "UA-2023-07-04-010499-a")</f>
        <v>UA-2023-07-04-010499-a</v>
      </c>
      <c r="C256" s="2" t="s">
        <v>1516</v>
      </c>
      <c r="D256" s="1" t="s">
        <v>1426</v>
      </c>
      <c r="E256" s="1" t="s">
        <v>1426</v>
      </c>
      <c r="F256" s="1" t="s">
        <v>487</v>
      </c>
      <c r="G256" s="1" t="s">
        <v>1035</v>
      </c>
      <c r="H256" s="1" t="s">
        <v>1218</v>
      </c>
      <c r="I256" s="1" t="s">
        <v>2094</v>
      </c>
      <c r="J256" s="1" t="s">
        <v>1145</v>
      </c>
      <c r="K256" s="1" t="s">
        <v>947</v>
      </c>
      <c r="L256" s="1" t="s">
        <v>1533</v>
      </c>
      <c r="M256" s="1" t="s">
        <v>1533</v>
      </c>
      <c r="N256" s="1" t="s">
        <v>110</v>
      </c>
      <c r="O256" s="1" t="s">
        <v>110</v>
      </c>
      <c r="P256" s="1" t="s">
        <v>110</v>
      </c>
      <c r="Q256" s="5">
        <v>45111</v>
      </c>
      <c r="R256" s="1"/>
      <c r="S256" s="1"/>
      <c r="T256" s="1"/>
      <c r="U256" s="1"/>
      <c r="V256" s="1" t="s">
        <v>2146</v>
      </c>
      <c r="W256" s="4">
        <v>1</v>
      </c>
      <c r="X256" s="6">
        <v>3698.74</v>
      </c>
      <c r="Y256" s="1" t="s">
        <v>1516</v>
      </c>
      <c r="Z256" s="1">
        <v>1</v>
      </c>
      <c r="AA256" s="6">
        <v>3698.74</v>
      </c>
      <c r="AB256" s="1" t="s">
        <v>2167</v>
      </c>
      <c r="AC256" s="1" t="s">
        <v>2162</v>
      </c>
      <c r="AD256" s="1" t="s">
        <v>1100</v>
      </c>
      <c r="AE256" s="1" t="s">
        <v>1522</v>
      </c>
      <c r="AF256" s="1" t="s">
        <v>1186</v>
      </c>
      <c r="AG256" s="1" t="s">
        <v>1522</v>
      </c>
      <c r="AH256" s="6">
        <v>3698.74</v>
      </c>
      <c r="AI256" s="6">
        <v>3698.74</v>
      </c>
      <c r="AJ256" s="1" t="s">
        <v>1498</v>
      </c>
      <c r="AK256" s="1"/>
      <c r="AL256" s="1"/>
      <c r="AM256" s="1" t="s">
        <v>1498</v>
      </c>
      <c r="AN256" s="1" t="s">
        <v>785</v>
      </c>
      <c r="AO256" s="1"/>
      <c r="AP256" s="1" t="s">
        <v>81</v>
      </c>
      <c r="AQ256" s="1"/>
      <c r="AR256" s="1"/>
      <c r="AS256" s="2"/>
      <c r="AT256" s="1"/>
      <c r="AU256" s="1"/>
      <c r="AV256" s="1"/>
      <c r="AW256" s="1" t="s">
        <v>2152</v>
      </c>
      <c r="AX256" s="7">
        <v>45111.663461722062</v>
      </c>
      <c r="AY256" s="1" t="s">
        <v>206</v>
      </c>
      <c r="AZ256" s="6">
        <v>3698.74</v>
      </c>
      <c r="BA256" s="5">
        <v>45110</v>
      </c>
      <c r="BB256" s="5">
        <v>45291</v>
      </c>
      <c r="BC256" s="5">
        <v>45110</v>
      </c>
      <c r="BD256" s="5">
        <v>45110</v>
      </c>
      <c r="BE256" s="7">
        <v>45291</v>
      </c>
      <c r="BF256" s="1" t="s">
        <v>2170</v>
      </c>
      <c r="BG256" s="1"/>
      <c r="BH256" s="1"/>
      <c r="BI256" s="1" t="s">
        <v>108</v>
      </c>
    </row>
    <row r="257" spans="1:61" hidden="1" x14ac:dyDescent="0.25">
      <c r="A257" s="4">
        <v>252</v>
      </c>
      <c r="B257" s="2" t="str">
        <f>HYPERLINK("https://my.zakupivli.pro/remote/dispatcher/state_purchase_view/43426081", "UA-2023-06-20-012732-a")</f>
        <v>UA-2023-06-20-012732-a</v>
      </c>
      <c r="C257" s="2" t="str">
        <f>HYPERLINK("https://my.zakupivli.pro/remote/dispatcher/state_purchase_lot_view/974078", "UA-2023-06-20-012732-a-L1")</f>
        <v>UA-2023-06-20-012732-a-L1</v>
      </c>
      <c r="D257" s="1" t="s">
        <v>1765</v>
      </c>
      <c r="E257" s="1" t="s">
        <v>1764</v>
      </c>
      <c r="F257" s="1" t="s">
        <v>487</v>
      </c>
      <c r="G257" s="1" t="s">
        <v>966</v>
      </c>
      <c r="H257" s="1" t="s">
        <v>1185</v>
      </c>
      <c r="I257" s="1" t="s">
        <v>2094</v>
      </c>
      <c r="J257" s="1" t="s">
        <v>1145</v>
      </c>
      <c r="K257" s="1" t="s">
        <v>947</v>
      </c>
      <c r="L257" s="1" t="s">
        <v>1533</v>
      </c>
      <c r="M257" s="1" t="s">
        <v>1533</v>
      </c>
      <c r="N257" s="1" t="s">
        <v>110</v>
      </c>
      <c r="O257" s="1" t="s">
        <v>110</v>
      </c>
      <c r="P257" s="1" t="s">
        <v>110</v>
      </c>
      <c r="Q257" s="5">
        <v>45097</v>
      </c>
      <c r="R257" s="1" t="s">
        <v>543</v>
      </c>
      <c r="S257" s="1" t="s">
        <v>546</v>
      </c>
      <c r="T257" s="5">
        <v>45097</v>
      </c>
      <c r="U257" s="5">
        <v>45105</v>
      </c>
      <c r="V257" s="1" t="s">
        <v>2147</v>
      </c>
      <c r="W257" s="4">
        <v>1</v>
      </c>
      <c r="X257" s="6">
        <v>280100</v>
      </c>
      <c r="Y257" s="6">
        <v>280100</v>
      </c>
      <c r="Z257" s="1">
        <v>1</v>
      </c>
      <c r="AA257" s="6">
        <v>280100</v>
      </c>
      <c r="AB257" s="1" t="s">
        <v>2167</v>
      </c>
      <c r="AC257" s="6">
        <v>2801</v>
      </c>
      <c r="AD257" s="1" t="s">
        <v>1100</v>
      </c>
      <c r="AE257" s="1" t="s">
        <v>2094</v>
      </c>
      <c r="AF257" s="1" t="s">
        <v>1186</v>
      </c>
      <c r="AG257" s="1" t="s">
        <v>1522</v>
      </c>
      <c r="AH257" s="6">
        <v>278096.71000000002</v>
      </c>
      <c r="AI257" s="6">
        <v>278096.71000000002</v>
      </c>
      <c r="AJ257" s="1" t="s">
        <v>2037</v>
      </c>
      <c r="AK257" s="6">
        <v>2003.289999999979</v>
      </c>
      <c r="AL257" s="6">
        <v>7.1520528382719708E-3</v>
      </c>
      <c r="AM257" s="1" t="s">
        <v>2037</v>
      </c>
      <c r="AN257" s="1" t="s">
        <v>295</v>
      </c>
      <c r="AO257" s="1" t="s">
        <v>297</v>
      </c>
      <c r="AP257" s="1" t="s">
        <v>94</v>
      </c>
      <c r="AQ257" s="6">
        <v>2003.289999999979</v>
      </c>
      <c r="AR257" s="6">
        <v>7.1520528382719708E-3</v>
      </c>
      <c r="AS257" s="2"/>
      <c r="AT257" s="7">
        <v>45107.548739854537</v>
      </c>
      <c r="AU257" s="1" t="s">
        <v>550</v>
      </c>
      <c r="AV257" s="1" t="s">
        <v>552</v>
      </c>
      <c r="AW257" s="1" t="s">
        <v>2151</v>
      </c>
      <c r="AX257" s="7">
        <v>45118.703821490373</v>
      </c>
      <c r="AY257" s="1" t="s">
        <v>215</v>
      </c>
      <c r="AZ257" s="6">
        <v>278096.71000000002</v>
      </c>
      <c r="BA257" s="1"/>
      <c r="BB257" s="5">
        <v>45169</v>
      </c>
      <c r="BC257" s="5">
        <v>45118</v>
      </c>
      <c r="BD257" s="5">
        <v>45118</v>
      </c>
      <c r="BE257" s="7">
        <v>45291</v>
      </c>
      <c r="BF257" s="1" t="s">
        <v>2170</v>
      </c>
      <c r="BG257" s="1"/>
      <c r="BH257" s="1"/>
      <c r="BI257" s="1" t="s">
        <v>296</v>
      </c>
    </row>
    <row r="258" spans="1:61" hidden="1" x14ac:dyDescent="0.25">
      <c r="A258" s="4">
        <v>253</v>
      </c>
      <c r="B258" s="2" t="str">
        <f>HYPERLINK("https://my.zakupivli.pro/remote/dispatcher/state_purchase_view/43427664", "UA-2023-06-20-013410-a")</f>
        <v>UA-2023-06-20-013410-a</v>
      </c>
      <c r="C258" s="2" t="str">
        <f>HYPERLINK("https://my.zakupivli.pro/remote/dispatcher/state_purchase_lot_view/974125", "UA-2023-06-20-013410-a-L1")</f>
        <v>UA-2023-06-20-013410-a-L1</v>
      </c>
      <c r="D258" s="1" t="s">
        <v>1769</v>
      </c>
      <c r="E258" s="1" t="s">
        <v>1768</v>
      </c>
      <c r="F258" s="1" t="s">
        <v>487</v>
      </c>
      <c r="G258" s="1" t="s">
        <v>966</v>
      </c>
      <c r="H258" s="1" t="s">
        <v>1185</v>
      </c>
      <c r="I258" s="1" t="s">
        <v>2094</v>
      </c>
      <c r="J258" s="1" t="s">
        <v>1145</v>
      </c>
      <c r="K258" s="1" t="s">
        <v>947</v>
      </c>
      <c r="L258" s="1" t="s">
        <v>1533</v>
      </c>
      <c r="M258" s="1" t="s">
        <v>1533</v>
      </c>
      <c r="N258" s="1" t="s">
        <v>110</v>
      </c>
      <c r="O258" s="1" t="s">
        <v>110</v>
      </c>
      <c r="P258" s="1" t="s">
        <v>110</v>
      </c>
      <c r="Q258" s="5">
        <v>45097</v>
      </c>
      <c r="R258" s="1" t="s">
        <v>543</v>
      </c>
      <c r="S258" s="1" t="s">
        <v>546</v>
      </c>
      <c r="T258" s="5">
        <v>45097</v>
      </c>
      <c r="U258" s="5">
        <v>45105</v>
      </c>
      <c r="V258" s="1" t="s">
        <v>2147</v>
      </c>
      <c r="W258" s="4">
        <v>1</v>
      </c>
      <c r="X258" s="6">
        <v>299950</v>
      </c>
      <c r="Y258" s="6">
        <v>299950</v>
      </c>
      <c r="Z258" s="1">
        <v>1</v>
      </c>
      <c r="AA258" s="6">
        <v>299950</v>
      </c>
      <c r="AB258" s="1" t="s">
        <v>2167</v>
      </c>
      <c r="AC258" s="6">
        <v>2999.5</v>
      </c>
      <c r="AD258" s="1" t="s">
        <v>1100</v>
      </c>
      <c r="AE258" s="1" t="s">
        <v>2094</v>
      </c>
      <c r="AF258" s="1" t="s">
        <v>1186</v>
      </c>
      <c r="AG258" s="1" t="s">
        <v>1522</v>
      </c>
      <c r="AH258" s="6">
        <v>297932.33</v>
      </c>
      <c r="AI258" s="6">
        <v>297932.33</v>
      </c>
      <c r="AJ258" s="1" t="s">
        <v>2037</v>
      </c>
      <c r="AK258" s="6">
        <v>2017.6699999999837</v>
      </c>
      <c r="AL258" s="6">
        <v>6.7266877812968287E-3</v>
      </c>
      <c r="AM258" s="1" t="s">
        <v>2037</v>
      </c>
      <c r="AN258" s="1" t="s">
        <v>295</v>
      </c>
      <c r="AO258" s="1" t="s">
        <v>297</v>
      </c>
      <c r="AP258" s="1" t="s">
        <v>94</v>
      </c>
      <c r="AQ258" s="6">
        <v>2017.6699999999837</v>
      </c>
      <c r="AR258" s="6">
        <v>6.7266877812968287E-3</v>
      </c>
      <c r="AS258" s="2"/>
      <c r="AT258" s="7">
        <v>45107.553152235523</v>
      </c>
      <c r="AU258" s="1" t="s">
        <v>550</v>
      </c>
      <c r="AV258" s="1" t="s">
        <v>552</v>
      </c>
      <c r="AW258" s="1" t="s">
        <v>2151</v>
      </c>
      <c r="AX258" s="7">
        <v>45118.712127429302</v>
      </c>
      <c r="AY258" s="1" t="s">
        <v>217</v>
      </c>
      <c r="AZ258" s="6">
        <v>297932.33</v>
      </c>
      <c r="BA258" s="1"/>
      <c r="BB258" s="5">
        <v>45169</v>
      </c>
      <c r="BC258" s="5">
        <v>45118</v>
      </c>
      <c r="BD258" s="5">
        <v>45118</v>
      </c>
      <c r="BE258" s="7">
        <v>45291</v>
      </c>
      <c r="BF258" s="1" t="s">
        <v>2170</v>
      </c>
      <c r="BG258" s="1"/>
      <c r="BH258" s="1"/>
      <c r="BI258" s="1" t="s">
        <v>296</v>
      </c>
    </row>
    <row r="259" spans="1:61" hidden="1" x14ac:dyDescent="0.25">
      <c r="A259" s="4">
        <v>254</v>
      </c>
      <c r="B259" s="2" t="str">
        <f>HYPERLINK("https://my.zakupivli.pro/remote/dispatcher/state_purchase_view/43427032", "UA-2023-06-20-013218-a")</f>
        <v>UA-2023-06-20-013218-a</v>
      </c>
      <c r="C259" s="2" t="str">
        <f>HYPERLINK("https://my.zakupivli.pro/remote/dispatcher/state_purchase_lot_view/974101", "UA-2023-06-20-013218-a-L1")</f>
        <v>UA-2023-06-20-013218-a-L1</v>
      </c>
      <c r="D259" s="1" t="s">
        <v>1767</v>
      </c>
      <c r="E259" s="1" t="s">
        <v>1766</v>
      </c>
      <c r="F259" s="1" t="s">
        <v>487</v>
      </c>
      <c r="G259" s="1" t="s">
        <v>966</v>
      </c>
      <c r="H259" s="1" t="s">
        <v>1185</v>
      </c>
      <c r="I259" s="1" t="s">
        <v>2094</v>
      </c>
      <c r="J259" s="1" t="s">
        <v>1145</v>
      </c>
      <c r="K259" s="1" t="s">
        <v>947</v>
      </c>
      <c r="L259" s="1" t="s">
        <v>1533</v>
      </c>
      <c r="M259" s="1" t="s">
        <v>1533</v>
      </c>
      <c r="N259" s="1" t="s">
        <v>110</v>
      </c>
      <c r="O259" s="1" t="s">
        <v>110</v>
      </c>
      <c r="P259" s="1" t="s">
        <v>110</v>
      </c>
      <c r="Q259" s="5">
        <v>45097</v>
      </c>
      <c r="R259" s="1" t="s">
        <v>543</v>
      </c>
      <c r="S259" s="1" t="s">
        <v>546</v>
      </c>
      <c r="T259" s="5">
        <v>45097</v>
      </c>
      <c r="U259" s="5">
        <v>45105</v>
      </c>
      <c r="V259" s="1" t="s">
        <v>2147</v>
      </c>
      <c r="W259" s="4">
        <v>1</v>
      </c>
      <c r="X259" s="6">
        <v>318000</v>
      </c>
      <c r="Y259" s="6">
        <v>318000</v>
      </c>
      <c r="Z259" s="1">
        <v>1</v>
      </c>
      <c r="AA259" s="6">
        <v>318000</v>
      </c>
      <c r="AB259" s="1" t="s">
        <v>2167</v>
      </c>
      <c r="AC259" s="6">
        <v>3180</v>
      </c>
      <c r="AD259" s="1" t="s">
        <v>1100</v>
      </c>
      <c r="AE259" s="1" t="s">
        <v>2094</v>
      </c>
      <c r="AF259" s="1" t="s">
        <v>1186</v>
      </c>
      <c r="AG259" s="1" t="s">
        <v>1522</v>
      </c>
      <c r="AH259" s="6">
        <v>317774.09000000003</v>
      </c>
      <c r="AI259" s="6">
        <v>317774.09000000003</v>
      </c>
      <c r="AJ259" s="1" t="s">
        <v>2037</v>
      </c>
      <c r="AK259" s="6">
        <v>225.90999999997439</v>
      </c>
      <c r="AL259" s="6">
        <v>7.1040880503136605E-4</v>
      </c>
      <c r="AM259" s="1" t="s">
        <v>2037</v>
      </c>
      <c r="AN259" s="1" t="s">
        <v>295</v>
      </c>
      <c r="AO259" s="1" t="s">
        <v>297</v>
      </c>
      <c r="AP259" s="1" t="s">
        <v>94</v>
      </c>
      <c r="AQ259" s="6">
        <v>225.90999999997439</v>
      </c>
      <c r="AR259" s="6">
        <v>7.1040880503136605E-4</v>
      </c>
      <c r="AS259" s="2"/>
      <c r="AT259" s="7">
        <v>45107.55462762744</v>
      </c>
      <c r="AU259" s="1" t="s">
        <v>550</v>
      </c>
      <c r="AV259" s="1" t="s">
        <v>552</v>
      </c>
      <c r="AW259" s="1" t="s">
        <v>2151</v>
      </c>
      <c r="AX259" s="7">
        <v>45118.707973730488</v>
      </c>
      <c r="AY259" s="1" t="s">
        <v>216</v>
      </c>
      <c r="AZ259" s="6">
        <v>317774.09000000003</v>
      </c>
      <c r="BA259" s="1"/>
      <c r="BB259" s="5">
        <v>45169</v>
      </c>
      <c r="BC259" s="5">
        <v>45118</v>
      </c>
      <c r="BD259" s="5">
        <v>45118</v>
      </c>
      <c r="BE259" s="7">
        <v>45291</v>
      </c>
      <c r="BF259" s="1" t="s">
        <v>2170</v>
      </c>
      <c r="BG259" s="1"/>
      <c r="BH259" s="1"/>
      <c r="BI259" s="1" t="s">
        <v>296</v>
      </c>
    </row>
    <row r="260" spans="1:61" hidden="1" x14ac:dyDescent="0.25">
      <c r="A260" s="4">
        <v>255</v>
      </c>
      <c r="B260" s="2" t="str">
        <f>HYPERLINK("https://my.zakupivli.pro/remote/dispatcher/state_purchase_view/43377330", "UA-2023-06-19-005079-a")</f>
        <v>UA-2023-06-19-005079-a</v>
      </c>
      <c r="C260" s="2" t="s">
        <v>1516</v>
      </c>
      <c r="D260" s="1" t="s">
        <v>1864</v>
      </c>
      <c r="E260" s="1" t="s">
        <v>1864</v>
      </c>
      <c r="F260" s="1" t="s">
        <v>487</v>
      </c>
      <c r="G260" s="1" t="s">
        <v>966</v>
      </c>
      <c r="H260" s="1" t="s">
        <v>1218</v>
      </c>
      <c r="I260" s="1" t="s">
        <v>2094</v>
      </c>
      <c r="J260" s="1" t="s">
        <v>1145</v>
      </c>
      <c r="K260" s="1" t="s">
        <v>947</v>
      </c>
      <c r="L260" s="1" t="s">
        <v>1533</v>
      </c>
      <c r="M260" s="1" t="s">
        <v>1533</v>
      </c>
      <c r="N260" s="1" t="s">
        <v>110</v>
      </c>
      <c r="O260" s="1" t="s">
        <v>110</v>
      </c>
      <c r="P260" s="1" t="s">
        <v>110</v>
      </c>
      <c r="Q260" s="5">
        <v>45096</v>
      </c>
      <c r="R260" s="1"/>
      <c r="S260" s="1"/>
      <c r="T260" s="1"/>
      <c r="U260" s="1"/>
      <c r="V260" s="1" t="s">
        <v>2146</v>
      </c>
      <c r="W260" s="4">
        <v>1</v>
      </c>
      <c r="X260" s="6">
        <v>46989.48</v>
      </c>
      <c r="Y260" s="1" t="s">
        <v>1516</v>
      </c>
      <c r="Z260" s="1">
        <v>1</v>
      </c>
      <c r="AA260" s="6">
        <v>46989.48</v>
      </c>
      <c r="AB260" s="1" t="s">
        <v>2167</v>
      </c>
      <c r="AC260" s="1" t="s">
        <v>2162</v>
      </c>
      <c r="AD260" s="1" t="s">
        <v>1100</v>
      </c>
      <c r="AE260" s="1" t="s">
        <v>1522</v>
      </c>
      <c r="AF260" s="1" t="s">
        <v>1186</v>
      </c>
      <c r="AG260" s="1" t="s">
        <v>1522</v>
      </c>
      <c r="AH260" s="6">
        <v>46989.48</v>
      </c>
      <c r="AI260" s="6">
        <v>46989.48</v>
      </c>
      <c r="AJ260" s="1" t="s">
        <v>2044</v>
      </c>
      <c r="AK260" s="1"/>
      <c r="AL260" s="1"/>
      <c r="AM260" s="1" t="s">
        <v>2044</v>
      </c>
      <c r="AN260" s="1" t="s">
        <v>913</v>
      </c>
      <c r="AO260" s="1"/>
      <c r="AP260" s="1" t="s">
        <v>44</v>
      </c>
      <c r="AQ260" s="1"/>
      <c r="AR260" s="1"/>
      <c r="AS260" s="2"/>
      <c r="AT260" s="1"/>
      <c r="AU260" s="1"/>
      <c r="AV260" s="1"/>
      <c r="AW260" s="1" t="s">
        <v>2152</v>
      </c>
      <c r="AX260" s="7">
        <v>45096.494427652404</v>
      </c>
      <c r="AY260" s="1" t="s">
        <v>194</v>
      </c>
      <c r="AZ260" s="6">
        <v>46989.48</v>
      </c>
      <c r="BA260" s="5">
        <v>45096</v>
      </c>
      <c r="BB260" s="5">
        <v>45138</v>
      </c>
      <c r="BC260" s="5">
        <v>45096</v>
      </c>
      <c r="BD260" s="5">
        <v>45096</v>
      </c>
      <c r="BE260" s="7">
        <v>45291</v>
      </c>
      <c r="BF260" s="1" t="s">
        <v>2170</v>
      </c>
      <c r="BG260" s="1"/>
      <c r="BH260" s="1"/>
      <c r="BI260" s="1" t="s">
        <v>108</v>
      </c>
    </row>
    <row r="261" spans="1:61" hidden="1" x14ac:dyDescent="0.25">
      <c r="A261" s="4">
        <v>256</v>
      </c>
      <c r="B261" s="2" t="str">
        <f>HYPERLINK("https://my.zakupivli.pro/remote/dispatcher/state_purchase_view/43231268", "UA-2023-06-12-014860-a")</f>
        <v>UA-2023-06-12-014860-a</v>
      </c>
      <c r="C261" s="2" t="s">
        <v>1516</v>
      </c>
      <c r="D261" s="1" t="s">
        <v>1840</v>
      </c>
      <c r="E261" s="1" t="s">
        <v>1840</v>
      </c>
      <c r="F261" s="1" t="s">
        <v>487</v>
      </c>
      <c r="G261" s="1" t="s">
        <v>1035</v>
      </c>
      <c r="H261" s="1" t="s">
        <v>1218</v>
      </c>
      <c r="I261" s="1" t="s">
        <v>2094</v>
      </c>
      <c r="J261" s="1" t="s">
        <v>1145</v>
      </c>
      <c r="K261" s="1" t="s">
        <v>947</v>
      </c>
      <c r="L261" s="1" t="s">
        <v>1533</v>
      </c>
      <c r="M261" s="1" t="s">
        <v>1533</v>
      </c>
      <c r="N261" s="1" t="s">
        <v>110</v>
      </c>
      <c r="O261" s="1" t="s">
        <v>110</v>
      </c>
      <c r="P261" s="1" t="s">
        <v>110</v>
      </c>
      <c r="Q261" s="5">
        <v>45089</v>
      </c>
      <c r="R261" s="1"/>
      <c r="S261" s="1"/>
      <c r="T261" s="1"/>
      <c r="U261" s="1"/>
      <c r="V261" s="1" t="s">
        <v>2146</v>
      </c>
      <c r="W261" s="4">
        <v>1</v>
      </c>
      <c r="X261" s="6">
        <v>16804.400000000001</v>
      </c>
      <c r="Y261" s="1" t="s">
        <v>1516</v>
      </c>
      <c r="Z261" s="1">
        <v>1</v>
      </c>
      <c r="AA261" s="6">
        <v>16804.400000000001</v>
      </c>
      <c r="AB261" s="1" t="s">
        <v>2167</v>
      </c>
      <c r="AC261" s="1" t="s">
        <v>2162</v>
      </c>
      <c r="AD261" s="1" t="s">
        <v>1100</v>
      </c>
      <c r="AE261" s="1" t="s">
        <v>1522</v>
      </c>
      <c r="AF261" s="1" t="s">
        <v>1186</v>
      </c>
      <c r="AG261" s="1" t="s">
        <v>1522</v>
      </c>
      <c r="AH261" s="6">
        <v>16804.400000000001</v>
      </c>
      <c r="AI261" s="6">
        <v>16804.400000000001</v>
      </c>
      <c r="AJ261" s="1" t="s">
        <v>1498</v>
      </c>
      <c r="AK261" s="1"/>
      <c r="AL261" s="1"/>
      <c r="AM261" s="1" t="s">
        <v>1498</v>
      </c>
      <c r="AN261" s="1" t="s">
        <v>785</v>
      </c>
      <c r="AO261" s="1"/>
      <c r="AP261" s="1" t="s">
        <v>81</v>
      </c>
      <c r="AQ261" s="1"/>
      <c r="AR261" s="1"/>
      <c r="AS261" s="2"/>
      <c r="AT261" s="1"/>
      <c r="AU261" s="1"/>
      <c r="AV261" s="1"/>
      <c r="AW261" s="1" t="s">
        <v>2152</v>
      </c>
      <c r="AX261" s="7">
        <v>45089.751425463597</v>
      </c>
      <c r="AY261" s="1" t="s">
        <v>184</v>
      </c>
      <c r="AZ261" s="6">
        <v>16804.400000000001</v>
      </c>
      <c r="BA261" s="5">
        <v>45085</v>
      </c>
      <c r="BB261" s="5">
        <v>45291</v>
      </c>
      <c r="BC261" s="5">
        <v>45085</v>
      </c>
      <c r="BD261" s="5">
        <v>45085</v>
      </c>
      <c r="BE261" s="7">
        <v>45291</v>
      </c>
      <c r="BF261" s="1" t="s">
        <v>2170</v>
      </c>
      <c r="BG261" s="1"/>
      <c r="BH261" s="1"/>
      <c r="BI261" s="1" t="s">
        <v>108</v>
      </c>
    </row>
    <row r="262" spans="1:61" hidden="1" x14ac:dyDescent="0.25">
      <c r="A262" s="4">
        <v>257</v>
      </c>
      <c r="B262" s="2" t="str">
        <f>HYPERLINK("https://my.zakupivli.pro/remote/dispatcher/state_purchase_view/43231168", "UA-2023-06-12-014814-a")</f>
        <v>UA-2023-06-12-014814-a</v>
      </c>
      <c r="C262" s="2" t="s">
        <v>1516</v>
      </c>
      <c r="D262" s="1" t="s">
        <v>1837</v>
      </c>
      <c r="E262" s="1" t="s">
        <v>1837</v>
      </c>
      <c r="F262" s="1" t="s">
        <v>487</v>
      </c>
      <c r="G262" s="1" t="s">
        <v>1035</v>
      </c>
      <c r="H262" s="1" t="s">
        <v>1218</v>
      </c>
      <c r="I262" s="1" t="s">
        <v>2094</v>
      </c>
      <c r="J262" s="1" t="s">
        <v>1145</v>
      </c>
      <c r="K262" s="1" t="s">
        <v>947</v>
      </c>
      <c r="L262" s="1" t="s">
        <v>1533</v>
      </c>
      <c r="M262" s="1" t="s">
        <v>1533</v>
      </c>
      <c r="N262" s="1" t="s">
        <v>110</v>
      </c>
      <c r="O262" s="1" t="s">
        <v>110</v>
      </c>
      <c r="P262" s="1" t="s">
        <v>110</v>
      </c>
      <c r="Q262" s="5">
        <v>45089</v>
      </c>
      <c r="R262" s="1"/>
      <c r="S262" s="1"/>
      <c r="T262" s="1"/>
      <c r="U262" s="1"/>
      <c r="V262" s="1" t="s">
        <v>2146</v>
      </c>
      <c r="W262" s="4">
        <v>1</v>
      </c>
      <c r="X262" s="6">
        <v>3266.53</v>
      </c>
      <c r="Y262" s="1" t="s">
        <v>1516</v>
      </c>
      <c r="Z262" s="1">
        <v>1</v>
      </c>
      <c r="AA262" s="6">
        <v>3266.53</v>
      </c>
      <c r="AB262" s="1" t="s">
        <v>2167</v>
      </c>
      <c r="AC262" s="1" t="s">
        <v>2162</v>
      </c>
      <c r="AD262" s="1" t="s">
        <v>1100</v>
      </c>
      <c r="AE262" s="1" t="s">
        <v>1522</v>
      </c>
      <c r="AF262" s="1" t="s">
        <v>1186</v>
      </c>
      <c r="AG262" s="1" t="s">
        <v>1522</v>
      </c>
      <c r="AH262" s="6">
        <v>3266.53</v>
      </c>
      <c r="AI262" s="6">
        <v>3266.53</v>
      </c>
      <c r="AJ262" s="1" t="s">
        <v>1498</v>
      </c>
      <c r="AK262" s="1"/>
      <c r="AL262" s="1"/>
      <c r="AM262" s="1" t="s">
        <v>1498</v>
      </c>
      <c r="AN262" s="1" t="s">
        <v>785</v>
      </c>
      <c r="AO262" s="1"/>
      <c r="AP262" s="1" t="s">
        <v>81</v>
      </c>
      <c r="AQ262" s="1"/>
      <c r="AR262" s="1"/>
      <c r="AS262" s="2"/>
      <c r="AT262" s="1"/>
      <c r="AU262" s="1"/>
      <c r="AV262" s="1"/>
      <c r="AW262" s="1" t="s">
        <v>2152</v>
      </c>
      <c r="AX262" s="7">
        <v>45089.745548635321</v>
      </c>
      <c r="AY262" s="1" t="s">
        <v>181</v>
      </c>
      <c r="AZ262" s="6">
        <v>3266.53</v>
      </c>
      <c r="BA262" s="5">
        <v>45085</v>
      </c>
      <c r="BB262" s="5">
        <v>45291</v>
      </c>
      <c r="BC262" s="5">
        <v>45085</v>
      </c>
      <c r="BD262" s="5">
        <v>45085</v>
      </c>
      <c r="BE262" s="7">
        <v>45291</v>
      </c>
      <c r="BF262" s="1" t="s">
        <v>2170</v>
      </c>
      <c r="BG262" s="1"/>
      <c r="BH262" s="1"/>
      <c r="BI262" s="1" t="s">
        <v>108</v>
      </c>
    </row>
    <row r="263" spans="1:61" hidden="1" x14ac:dyDescent="0.25">
      <c r="A263" s="4">
        <v>258</v>
      </c>
      <c r="B263" s="2" t="str">
        <f>HYPERLINK("https://my.zakupivli.pro/remote/dispatcher/state_purchase_view/43230960", "UA-2023-06-12-014769-a")</f>
        <v>UA-2023-06-12-014769-a</v>
      </c>
      <c r="C263" s="2" t="s">
        <v>1516</v>
      </c>
      <c r="D263" s="1" t="s">
        <v>1839</v>
      </c>
      <c r="E263" s="1" t="s">
        <v>1839</v>
      </c>
      <c r="F263" s="1" t="s">
        <v>487</v>
      </c>
      <c r="G263" s="1" t="s">
        <v>1035</v>
      </c>
      <c r="H263" s="1" t="s">
        <v>1218</v>
      </c>
      <c r="I263" s="1" t="s">
        <v>2094</v>
      </c>
      <c r="J263" s="1" t="s">
        <v>1145</v>
      </c>
      <c r="K263" s="1" t="s">
        <v>947</v>
      </c>
      <c r="L263" s="1" t="s">
        <v>1533</v>
      </c>
      <c r="M263" s="1" t="s">
        <v>1533</v>
      </c>
      <c r="N263" s="1" t="s">
        <v>110</v>
      </c>
      <c r="O263" s="1" t="s">
        <v>110</v>
      </c>
      <c r="P263" s="1" t="s">
        <v>110</v>
      </c>
      <c r="Q263" s="5">
        <v>45089</v>
      </c>
      <c r="R263" s="1"/>
      <c r="S263" s="1"/>
      <c r="T263" s="1"/>
      <c r="U263" s="1"/>
      <c r="V263" s="1" t="s">
        <v>2146</v>
      </c>
      <c r="W263" s="4">
        <v>1</v>
      </c>
      <c r="X263" s="6">
        <v>6110.55</v>
      </c>
      <c r="Y263" s="1" t="s">
        <v>1516</v>
      </c>
      <c r="Z263" s="1">
        <v>1</v>
      </c>
      <c r="AA263" s="6">
        <v>6110.55</v>
      </c>
      <c r="AB263" s="1" t="s">
        <v>2167</v>
      </c>
      <c r="AC263" s="1" t="s">
        <v>2162</v>
      </c>
      <c r="AD263" s="1" t="s">
        <v>1100</v>
      </c>
      <c r="AE263" s="1" t="s">
        <v>1522</v>
      </c>
      <c r="AF263" s="1" t="s">
        <v>1186</v>
      </c>
      <c r="AG263" s="1" t="s">
        <v>1522</v>
      </c>
      <c r="AH263" s="6">
        <v>6110.55</v>
      </c>
      <c r="AI263" s="6">
        <v>6110.55</v>
      </c>
      <c r="AJ263" s="1" t="s">
        <v>1498</v>
      </c>
      <c r="AK263" s="1"/>
      <c r="AL263" s="1"/>
      <c r="AM263" s="1" t="s">
        <v>1498</v>
      </c>
      <c r="AN263" s="1" t="s">
        <v>785</v>
      </c>
      <c r="AO263" s="1"/>
      <c r="AP263" s="1" t="s">
        <v>81</v>
      </c>
      <c r="AQ263" s="1"/>
      <c r="AR263" s="1"/>
      <c r="AS263" s="2"/>
      <c r="AT263" s="1"/>
      <c r="AU263" s="1"/>
      <c r="AV263" s="1"/>
      <c r="AW263" s="1" t="s">
        <v>2152</v>
      </c>
      <c r="AX263" s="7">
        <v>45089.74222070921</v>
      </c>
      <c r="AY263" s="1" t="s">
        <v>182</v>
      </c>
      <c r="AZ263" s="6">
        <v>6110.55</v>
      </c>
      <c r="BA263" s="5">
        <v>45085</v>
      </c>
      <c r="BB263" s="5">
        <v>45291</v>
      </c>
      <c r="BC263" s="5">
        <v>45085</v>
      </c>
      <c r="BD263" s="5">
        <v>45085</v>
      </c>
      <c r="BE263" s="7">
        <v>45291</v>
      </c>
      <c r="BF263" s="1" t="s">
        <v>2170</v>
      </c>
      <c r="BG263" s="1"/>
      <c r="BH263" s="1"/>
      <c r="BI263" s="1" t="s">
        <v>108</v>
      </c>
    </row>
    <row r="264" spans="1:61" hidden="1" x14ac:dyDescent="0.25">
      <c r="A264" s="4">
        <v>259</v>
      </c>
      <c r="B264" s="2" t="str">
        <f>HYPERLINK("https://my.zakupivli.pro/remote/dispatcher/state_purchase_view/43230890", "UA-2023-06-12-014728-a")</f>
        <v>UA-2023-06-12-014728-a</v>
      </c>
      <c r="C264" s="2" t="s">
        <v>1516</v>
      </c>
      <c r="D264" s="1" t="s">
        <v>1838</v>
      </c>
      <c r="E264" s="1" t="s">
        <v>1838</v>
      </c>
      <c r="F264" s="1" t="s">
        <v>487</v>
      </c>
      <c r="G264" s="1" t="s">
        <v>1035</v>
      </c>
      <c r="H264" s="1" t="s">
        <v>1218</v>
      </c>
      <c r="I264" s="1" t="s">
        <v>2094</v>
      </c>
      <c r="J264" s="1" t="s">
        <v>1145</v>
      </c>
      <c r="K264" s="1" t="s">
        <v>947</v>
      </c>
      <c r="L264" s="1" t="s">
        <v>1533</v>
      </c>
      <c r="M264" s="1" t="s">
        <v>1533</v>
      </c>
      <c r="N264" s="1" t="s">
        <v>110</v>
      </c>
      <c r="O264" s="1" t="s">
        <v>110</v>
      </c>
      <c r="P264" s="1" t="s">
        <v>110</v>
      </c>
      <c r="Q264" s="5">
        <v>45089</v>
      </c>
      <c r="R264" s="1"/>
      <c r="S264" s="1"/>
      <c r="T264" s="1"/>
      <c r="U264" s="1"/>
      <c r="V264" s="1" t="s">
        <v>2146</v>
      </c>
      <c r="W264" s="4">
        <v>1</v>
      </c>
      <c r="X264" s="6">
        <v>12306.69</v>
      </c>
      <c r="Y264" s="1" t="s">
        <v>1516</v>
      </c>
      <c r="Z264" s="1">
        <v>1</v>
      </c>
      <c r="AA264" s="6">
        <v>12306.69</v>
      </c>
      <c r="AB264" s="1" t="s">
        <v>2167</v>
      </c>
      <c r="AC264" s="1" t="s">
        <v>2162</v>
      </c>
      <c r="AD264" s="1" t="s">
        <v>1100</v>
      </c>
      <c r="AE264" s="1" t="s">
        <v>1522</v>
      </c>
      <c r="AF264" s="1" t="s">
        <v>1186</v>
      </c>
      <c r="AG264" s="1" t="s">
        <v>1522</v>
      </c>
      <c r="AH264" s="6">
        <v>12306.69</v>
      </c>
      <c r="AI264" s="6">
        <v>12306.69</v>
      </c>
      <c r="AJ264" s="1" t="s">
        <v>1498</v>
      </c>
      <c r="AK264" s="1"/>
      <c r="AL264" s="1"/>
      <c r="AM264" s="1" t="s">
        <v>1498</v>
      </c>
      <c r="AN264" s="1" t="s">
        <v>785</v>
      </c>
      <c r="AO264" s="1"/>
      <c r="AP264" s="1" t="s">
        <v>81</v>
      </c>
      <c r="AQ264" s="1"/>
      <c r="AR264" s="1"/>
      <c r="AS264" s="2"/>
      <c r="AT264" s="1"/>
      <c r="AU264" s="1"/>
      <c r="AV264" s="1"/>
      <c r="AW264" s="1" t="s">
        <v>2152</v>
      </c>
      <c r="AX264" s="7">
        <v>45089.73929551641</v>
      </c>
      <c r="AY264" s="1" t="s">
        <v>183</v>
      </c>
      <c r="AZ264" s="6">
        <v>12306.69</v>
      </c>
      <c r="BA264" s="5">
        <v>45085</v>
      </c>
      <c r="BB264" s="5">
        <v>45291</v>
      </c>
      <c r="BC264" s="5">
        <v>45085</v>
      </c>
      <c r="BD264" s="5">
        <v>45085</v>
      </c>
      <c r="BE264" s="7">
        <v>45291</v>
      </c>
      <c r="BF264" s="1" t="s">
        <v>2170</v>
      </c>
      <c r="BG264" s="1"/>
      <c r="BH264" s="1"/>
      <c r="BI264" s="1" t="s">
        <v>108</v>
      </c>
    </row>
    <row r="265" spans="1:61" hidden="1" x14ac:dyDescent="0.25">
      <c r="A265" s="4">
        <v>260</v>
      </c>
      <c r="B265" s="2" t="str">
        <f>HYPERLINK("https://my.zakupivli.pro/remote/dispatcher/state_purchase_view/43230712", "UA-2023-06-12-014640-a")</f>
        <v>UA-2023-06-12-014640-a</v>
      </c>
      <c r="C265" s="2" t="s">
        <v>1516</v>
      </c>
      <c r="D265" s="1" t="s">
        <v>1841</v>
      </c>
      <c r="E265" s="1" t="s">
        <v>1841</v>
      </c>
      <c r="F265" s="1" t="s">
        <v>487</v>
      </c>
      <c r="G265" s="1" t="s">
        <v>1035</v>
      </c>
      <c r="H265" s="1" t="s">
        <v>1218</v>
      </c>
      <c r="I265" s="1" t="s">
        <v>2094</v>
      </c>
      <c r="J265" s="1" t="s">
        <v>1145</v>
      </c>
      <c r="K265" s="1" t="s">
        <v>947</v>
      </c>
      <c r="L265" s="1" t="s">
        <v>1533</v>
      </c>
      <c r="M265" s="1" t="s">
        <v>1533</v>
      </c>
      <c r="N265" s="1" t="s">
        <v>110</v>
      </c>
      <c r="O265" s="1" t="s">
        <v>110</v>
      </c>
      <c r="P265" s="1" t="s">
        <v>110</v>
      </c>
      <c r="Q265" s="5">
        <v>45089</v>
      </c>
      <c r="R265" s="1"/>
      <c r="S265" s="1"/>
      <c r="T265" s="1"/>
      <c r="U265" s="1"/>
      <c r="V265" s="1" t="s">
        <v>2146</v>
      </c>
      <c r="W265" s="4">
        <v>1</v>
      </c>
      <c r="X265" s="6">
        <v>994</v>
      </c>
      <c r="Y265" s="1" t="s">
        <v>1516</v>
      </c>
      <c r="Z265" s="1">
        <v>1</v>
      </c>
      <c r="AA265" s="6">
        <v>994</v>
      </c>
      <c r="AB265" s="1" t="s">
        <v>2167</v>
      </c>
      <c r="AC265" s="1" t="s">
        <v>2162</v>
      </c>
      <c r="AD265" s="1" t="s">
        <v>1100</v>
      </c>
      <c r="AE265" s="1" t="s">
        <v>1522</v>
      </c>
      <c r="AF265" s="1" t="s">
        <v>1186</v>
      </c>
      <c r="AG265" s="1" t="s">
        <v>1522</v>
      </c>
      <c r="AH265" s="6">
        <v>994</v>
      </c>
      <c r="AI265" s="6">
        <v>994</v>
      </c>
      <c r="AJ265" s="1" t="s">
        <v>1498</v>
      </c>
      <c r="AK265" s="1"/>
      <c r="AL265" s="1"/>
      <c r="AM265" s="1" t="s">
        <v>1498</v>
      </c>
      <c r="AN265" s="1" t="s">
        <v>785</v>
      </c>
      <c r="AO265" s="1"/>
      <c r="AP265" s="1" t="s">
        <v>81</v>
      </c>
      <c r="AQ265" s="1"/>
      <c r="AR265" s="1"/>
      <c r="AS265" s="2"/>
      <c r="AT265" s="1"/>
      <c r="AU265" s="1"/>
      <c r="AV265" s="1"/>
      <c r="AW265" s="1" t="s">
        <v>2152</v>
      </c>
      <c r="AX265" s="7">
        <v>45089.733905236957</v>
      </c>
      <c r="AY265" s="1" t="s">
        <v>179</v>
      </c>
      <c r="AZ265" s="6">
        <v>994</v>
      </c>
      <c r="BA265" s="5">
        <v>45085</v>
      </c>
      <c r="BB265" s="5">
        <v>45291</v>
      </c>
      <c r="BC265" s="5">
        <v>45085</v>
      </c>
      <c r="BD265" s="5">
        <v>45085</v>
      </c>
      <c r="BE265" s="7">
        <v>45291</v>
      </c>
      <c r="BF265" s="1" t="s">
        <v>2170</v>
      </c>
      <c r="BG265" s="1"/>
      <c r="BH265" s="1"/>
      <c r="BI265" s="1" t="s">
        <v>108</v>
      </c>
    </row>
    <row r="266" spans="1:61" hidden="1" x14ac:dyDescent="0.25">
      <c r="A266" s="4">
        <v>261</v>
      </c>
      <c r="B266" s="2" t="str">
        <f>HYPERLINK("https://my.zakupivli.pro/remote/dispatcher/state_purchase_view/43230577", "UA-2023-06-12-014581-a")</f>
        <v>UA-2023-06-12-014581-a</v>
      </c>
      <c r="C266" s="2" t="s">
        <v>1516</v>
      </c>
      <c r="D266" s="1" t="s">
        <v>1449</v>
      </c>
      <c r="E266" s="1" t="s">
        <v>1449</v>
      </c>
      <c r="F266" s="1" t="s">
        <v>487</v>
      </c>
      <c r="G266" s="1" t="s">
        <v>1035</v>
      </c>
      <c r="H266" s="1" t="s">
        <v>1218</v>
      </c>
      <c r="I266" s="1" t="s">
        <v>2094</v>
      </c>
      <c r="J266" s="1" t="s">
        <v>1145</v>
      </c>
      <c r="K266" s="1" t="s">
        <v>947</v>
      </c>
      <c r="L266" s="1" t="s">
        <v>1533</v>
      </c>
      <c r="M266" s="1" t="s">
        <v>1533</v>
      </c>
      <c r="N266" s="1" t="s">
        <v>110</v>
      </c>
      <c r="O266" s="1" t="s">
        <v>110</v>
      </c>
      <c r="P266" s="1" t="s">
        <v>110</v>
      </c>
      <c r="Q266" s="5">
        <v>45089</v>
      </c>
      <c r="R266" s="1"/>
      <c r="S266" s="1"/>
      <c r="T266" s="1"/>
      <c r="U266" s="1"/>
      <c r="V266" s="1" t="s">
        <v>2146</v>
      </c>
      <c r="W266" s="4">
        <v>1</v>
      </c>
      <c r="X266" s="6">
        <v>3360</v>
      </c>
      <c r="Y266" s="1" t="s">
        <v>1516</v>
      </c>
      <c r="Z266" s="1">
        <v>1</v>
      </c>
      <c r="AA266" s="6">
        <v>3360</v>
      </c>
      <c r="AB266" s="1" t="s">
        <v>2167</v>
      </c>
      <c r="AC266" s="1" t="s">
        <v>2162</v>
      </c>
      <c r="AD266" s="1" t="s">
        <v>1100</v>
      </c>
      <c r="AE266" s="1" t="s">
        <v>1522</v>
      </c>
      <c r="AF266" s="1" t="s">
        <v>1186</v>
      </c>
      <c r="AG266" s="1" t="s">
        <v>1522</v>
      </c>
      <c r="AH266" s="6">
        <v>3360</v>
      </c>
      <c r="AI266" s="6">
        <v>3360</v>
      </c>
      <c r="AJ266" s="1" t="s">
        <v>1498</v>
      </c>
      <c r="AK266" s="1"/>
      <c r="AL266" s="1"/>
      <c r="AM266" s="1" t="s">
        <v>1498</v>
      </c>
      <c r="AN266" s="1" t="s">
        <v>785</v>
      </c>
      <c r="AO266" s="1"/>
      <c r="AP266" s="1" t="s">
        <v>81</v>
      </c>
      <c r="AQ266" s="1"/>
      <c r="AR266" s="1"/>
      <c r="AS266" s="2"/>
      <c r="AT266" s="1"/>
      <c r="AU266" s="1"/>
      <c r="AV266" s="1"/>
      <c r="AW266" s="1" t="s">
        <v>2152</v>
      </c>
      <c r="AX266" s="7">
        <v>45089.728691668388</v>
      </c>
      <c r="AY266" s="1" t="s">
        <v>188</v>
      </c>
      <c r="AZ266" s="6">
        <v>3360</v>
      </c>
      <c r="BA266" s="5">
        <v>45085</v>
      </c>
      <c r="BB266" s="5">
        <v>45291</v>
      </c>
      <c r="BC266" s="5">
        <v>45085</v>
      </c>
      <c r="BD266" s="5">
        <v>45085</v>
      </c>
      <c r="BE266" s="7">
        <v>45291</v>
      </c>
      <c r="BF266" s="1" t="s">
        <v>2170</v>
      </c>
      <c r="BG266" s="1"/>
      <c r="BH266" s="1"/>
      <c r="BI266" s="1" t="s">
        <v>108</v>
      </c>
    </row>
    <row r="267" spans="1:61" hidden="1" x14ac:dyDescent="0.25">
      <c r="A267" s="4">
        <v>262</v>
      </c>
      <c r="B267" s="2" t="str">
        <f>HYPERLINK("https://my.zakupivli.pro/remote/dispatcher/state_purchase_view/43230513", "UA-2023-06-12-014523-a")</f>
        <v>UA-2023-06-12-014523-a</v>
      </c>
      <c r="C267" s="2" t="s">
        <v>1516</v>
      </c>
      <c r="D267" s="1" t="s">
        <v>1450</v>
      </c>
      <c r="E267" s="1" t="s">
        <v>1450</v>
      </c>
      <c r="F267" s="1" t="s">
        <v>487</v>
      </c>
      <c r="G267" s="1" t="s">
        <v>1035</v>
      </c>
      <c r="H267" s="1" t="s">
        <v>1218</v>
      </c>
      <c r="I267" s="1" t="s">
        <v>2094</v>
      </c>
      <c r="J267" s="1" t="s">
        <v>1145</v>
      </c>
      <c r="K267" s="1" t="s">
        <v>947</v>
      </c>
      <c r="L267" s="1" t="s">
        <v>1533</v>
      </c>
      <c r="M267" s="1" t="s">
        <v>1533</v>
      </c>
      <c r="N267" s="1" t="s">
        <v>110</v>
      </c>
      <c r="O267" s="1" t="s">
        <v>110</v>
      </c>
      <c r="P267" s="1" t="s">
        <v>110</v>
      </c>
      <c r="Q267" s="5">
        <v>45089</v>
      </c>
      <c r="R267" s="1"/>
      <c r="S267" s="1"/>
      <c r="T267" s="1"/>
      <c r="U267" s="1"/>
      <c r="V267" s="1" t="s">
        <v>2146</v>
      </c>
      <c r="W267" s="4">
        <v>1</v>
      </c>
      <c r="X267" s="6">
        <v>3360</v>
      </c>
      <c r="Y267" s="1" t="s">
        <v>1516</v>
      </c>
      <c r="Z267" s="1">
        <v>1</v>
      </c>
      <c r="AA267" s="6">
        <v>3360</v>
      </c>
      <c r="AB267" s="1" t="s">
        <v>2167</v>
      </c>
      <c r="AC267" s="1" t="s">
        <v>2162</v>
      </c>
      <c r="AD267" s="1" t="s">
        <v>1100</v>
      </c>
      <c r="AE267" s="1" t="s">
        <v>1522</v>
      </c>
      <c r="AF267" s="1" t="s">
        <v>1186</v>
      </c>
      <c r="AG267" s="1" t="s">
        <v>1522</v>
      </c>
      <c r="AH267" s="6">
        <v>3360</v>
      </c>
      <c r="AI267" s="6">
        <v>3360</v>
      </c>
      <c r="AJ267" s="1" t="s">
        <v>1498</v>
      </c>
      <c r="AK267" s="1"/>
      <c r="AL267" s="1"/>
      <c r="AM267" s="1" t="s">
        <v>1498</v>
      </c>
      <c r="AN267" s="1" t="s">
        <v>785</v>
      </c>
      <c r="AO267" s="1"/>
      <c r="AP267" s="1" t="s">
        <v>81</v>
      </c>
      <c r="AQ267" s="1"/>
      <c r="AR267" s="1"/>
      <c r="AS267" s="2"/>
      <c r="AT267" s="1"/>
      <c r="AU267" s="1"/>
      <c r="AV267" s="1"/>
      <c r="AW267" s="1" t="s">
        <v>2152</v>
      </c>
      <c r="AX267" s="7">
        <v>45089.725507069423</v>
      </c>
      <c r="AY267" s="1" t="s">
        <v>186</v>
      </c>
      <c r="AZ267" s="6">
        <v>3360</v>
      </c>
      <c r="BA267" s="5">
        <v>45085</v>
      </c>
      <c r="BB267" s="5">
        <v>45291</v>
      </c>
      <c r="BC267" s="5">
        <v>45085</v>
      </c>
      <c r="BD267" s="5">
        <v>45085</v>
      </c>
      <c r="BE267" s="7">
        <v>45291</v>
      </c>
      <c r="BF267" s="1" t="s">
        <v>2170</v>
      </c>
      <c r="BG267" s="1"/>
      <c r="BH267" s="1"/>
      <c r="BI267" s="1" t="s">
        <v>108</v>
      </c>
    </row>
    <row r="268" spans="1:61" hidden="1" x14ac:dyDescent="0.25">
      <c r="A268" s="4">
        <v>263</v>
      </c>
      <c r="B268" s="2" t="str">
        <f>HYPERLINK("https://my.zakupivli.pro/remote/dispatcher/state_purchase_view/43230193", "UA-2023-06-12-014346-a")</f>
        <v>UA-2023-06-12-014346-a</v>
      </c>
      <c r="C268" s="2" t="s">
        <v>1516</v>
      </c>
      <c r="D268" s="1" t="s">
        <v>1448</v>
      </c>
      <c r="E268" s="1" t="s">
        <v>1448</v>
      </c>
      <c r="F268" s="1" t="s">
        <v>487</v>
      </c>
      <c r="G268" s="1" t="s">
        <v>1035</v>
      </c>
      <c r="H268" s="1" t="s">
        <v>1218</v>
      </c>
      <c r="I268" s="1" t="s">
        <v>2094</v>
      </c>
      <c r="J268" s="1" t="s">
        <v>1145</v>
      </c>
      <c r="K268" s="1" t="s">
        <v>947</v>
      </c>
      <c r="L268" s="1" t="s">
        <v>1533</v>
      </c>
      <c r="M268" s="1" t="s">
        <v>1533</v>
      </c>
      <c r="N268" s="1" t="s">
        <v>110</v>
      </c>
      <c r="O268" s="1" t="s">
        <v>110</v>
      </c>
      <c r="P268" s="1" t="s">
        <v>110</v>
      </c>
      <c r="Q268" s="5">
        <v>45089</v>
      </c>
      <c r="R268" s="1"/>
      <c r="S268" s="1"/>
      <c r="T268" s="1"/>
      <c r="U268" s="1"/>
      <c r="V268" s="1" t="s">
        <v>2146</v>
      </c>
      <c r="W268" s="4">
        <v>1</v>
      </c>
      <c r="X268" s="6">
        <v>3360</v>
      </c>
      <c r="Y268" s="1" t="s">
        <v>1516</v>
      </c>
      <c r="Z268" s="1">
        <v>1</v>
      </c>
      <c r="AA268" s="6">
        <v>3360</v>
      </c>
      <c r="AB268" s="1" t="s">
        <v>2167</v>
      </c>
      <c r="AC268" s="1" t="s">
        <v>2162</v>
      </c>
      <c r="AD268" s="1" t="s">
        <v>1100</v>
      </c>
      <c r="AE268" s="1" t="s">
        <v>1522</v>
      </c>
      <c r="AF268" s="1" t="s">
        <v>1186</v>
      </c>
      <c r="AG268" s="1" t="s">
        <v>1522</v>
      </c>
      <c r="AH268" s="6">
        <v>3360</v>
      </c>
      <c r="AI268" s="6">
        <v>3360</v>
      </c>
      <c r="AJ268" s="1" t="s">
        <v>1498</v>
      </c>
      <c r="AK268" s="1"/>
      <c r="AL268" s="1"/>
      <c r="AM268" s="1" t="s">
        <v>1498</v>
      </c>
      <c r="AN268" s="1" t="s">
        <v>785</v>
      </c>
      <c r="AO268" s="1"/>
      <c r="AP268" s="1" t="s">
        <v>81</v>
      </c>
      <c r="AQ268" s="1"/>
      <c r="AR268" s="1"/>
      <c r="AS268" s="2"/>
      <c r="AT268" s="1"/>
      <c r="AU268" s="1"/>
      <c r="AV268" s="1"/>
      <c r="AW268" s="1" t="s">
        <v>2152</v>
      </c>
      <c r="AX268" s="7">
        <v>45089.717248149769</v>
      </c>
      <c r="AY268" s="1" t="s">
        <v>187</v>
      </c>
      <c r="AZ268" s="6">
        <v>3360</v>
      </c>
      <c r="BA268" s="5">
        <v>45085</v>
      </c>
      <c r="BB268" s="5">
        <v>45291</v>
      </c>
      <c r="BC268" s="5">
        <v>45085</v>
      </c>
      <c r="BD268" s="5">
        <v>45085</v>
      </c>
      <c r="BE268" s="7">
        <v>45291</v>
      </c>
      <c r="BF268" s="1" t="s">
        <v>2170</v>
      </c>
      <c r="BG268" s="1"/>
      <c r="BH268" s="1"/>
      <c r="BI268" s="1" t="s">
        <v>108</v>
      </c>
    </row>
    <row r="269" spans="1:61" hidden="1" x14ac:dyDescent="0.25">
      <c r="A269" s="4">
        <v>264</v>
      </c>
      <c r="B269" s="2" t="str">
        <f>HYPERLINK("https://my.zakupivli.pro/remote/dispatcher/state_purchase_view/43229474", "UA-2023-06-12-014026-a")</f>
        <v>UA-2023-06-12-014026-a</v>
      </c>
      <c r="C269" s="2" t="s">
        <v>1516</v>
      </c>
      <c r="D269" s="1" t="s">
        <v>1449</v>
      </c>
      <c r="E269" s="1" t="s">
        <v>1449</v>
      </c>
      <c r="F269" s="1" t="s">
        <v>487</v>
      </c>
      <c r="G269" s="1" t="s">
        <v>1035</v>
      </c>
      <c r="H269" s="1" t="s">
        <v>1218</v>
      </c>
      <c r="I269" s="1" t="s">
        <v>2094</v>
      </c>
      <c r="J269" s="1" t="s">
        <v>1145</v>
      </c>
      <c r="K269" s="1" t="s">
        <v>947</v>
      </c>
      <c r="L269" s="1" t="s">
        <v>1533</v>
      </c>
      <c r="M269" s="1" t="s">
        <v>1533</v>
      </c>
      <c r="N269" s="1" t="s">
        <v>110</v>
      </c>
      <c r="O269" s="1" t="s">
        <v>110</v>
      </c>
      <c r="P269" s="1" t="s">
        <v>110</v>
      </c>
      <c r="Q269" s="5">
        <v>45089</v>
      </c>
      <c r="R269" s="1"/>
      <c r="S269" s="1"/>
      <c r="T269" s="1"/>
      <c r="U269" s="1"/>
      <c r="V269" s="1" t="s">
        <v>2146</v>
      </c>
      <c r="W269" s="4">
        <v>1</v>
      </c>
      <c r="X269" s="6">
        <v>3360</v>
      </c>
      <c r="Y269" s="1" t="s">
        <v>1516</v>
      </c>
      <c r="Z269" s="1">
        <v>1</v>
      </c>
      <c r="AA269" s="6">
        <v>3360</v>
      </c>
      <c r="AB269" s="1" t="s">
        <v>2167</v>
      </c>
      <c r="AC269" s="1" t="s">
        <v>2162</v>
      </c>
      <c r="AD269" s="1" t="s">
        <v>1100</v>
      </c>
      <c r="AE269" s="1" t="s">
        <v>1522</v>
      </c>
      <c r="AF269" s="1" t="s">
        <v>1186</v>
      </c>
      <c r="AG269" s="1" t="s">
        <v>1522</v>
      </c>
      <c r="AH269" s="6">
        <v>3360</v>
      </c>
      <c r="AI269" s="6">
        <v>3360</v>
      </c>
      <c r="AJ269" s="1" t="s">
        <v>1498</v>
      </c>
      <c r="AK269" s="1"/>
      <c r="AL269" s="1"/>
      <c r="AM269" s="1" t="s">
        <v>1498</v>
      </c>
      <c r="AN269" s="1" t="s">
        <v>785</v>
      </c>
      <c r="AO269" s="1"/>
      <c r="AP269" s="1" t="s">
        <v>81</v>
      </c>
      <c r="AQ269" s="1"/>
      <c r="AR269" s="1"/>
      <c r="AS269" s="2"/>
      <c r="AT269" s="1"/>
      <c r="AU269" s="1"/>
      <c r="AV269" s="1"/>
      <c r="AW269" s="1" t="s">
        <v>2152</v>
      </c>
      <c r="AX269" s="7">
        <v>45089.712731947213</v>
      </c>
      <c r="AY269" s="1" t="s">
        <v>188</v>
      </c>
      <c r="AZ269" s="6">
        <v>3360</v>
      </c>
      <c r="BA269" s="5">
        <v>45085</v>
      </c>
      <c r="BB269" s="5">
        <v>45291</v>
      </c>
      <c r="BC269" s="5">
        <v>45085</v>
      </c>
      <c r="BD269" s="5">
        <v>45085</v>
      </c>
      <c r="BE269" s="7">
        <v>45291</v>
      </c>
      <c r="BF269" s="1" t="s">
        <v>2170</v>
      </c>
      <c r="BG269" s="1"/>
      <c r="BH269" s="1"/>
      <c r="BI269" s="1" t="s">
        <v>108</v>
      </c>
    </row>
    <row r="270" spans="1:61" hidden="1" x14ac:dyDescent="0.25">
      <c r="A270" s="4">
        <v>265</v>
      </c>
      <c r="B270" s="2" t="str">
        <f>HYPERLINK("https://my.zakupivli.pro/remote/dispatcher/state_purchase_view/43229212", "UA-2023-06-12-013880-a")</f>
        <v>UA-2023-06-12-013880-a</v>
      </c>
      <c r="C270" s="2" t="s">
        <v>1516</v>
      </c>
      <c r="D270" s="1" t="s">
        <v>1450</v>
      </c>
      <c r="E270" s="1" t="s">
        <v>1450</v>
      </c>
      <c r="F270" s="1" t="s">
        <v>487</v>
      </c>
      <c r="G270" s="1" t="s">
        <v>1035</v>
      </c>
      <c r="H270" s="1" t="s">
        <v>1218</v>
      </c>
      <c r="I270" s="1" t="s">
        <v>2094</v>
      </c>
      <c r="J270" s="1" t="s">
        <v>1145</v>
      </c>
      <c r="K270" s="1" t="s">
        <v>947</v>
      </c>
      <c r="L270" s="1" t="s">
        <v>1533</v>
      </c>
      <c r="M270" s="1" t="s">
        <v>1533</v>
      </c>
      <c r="N270" s="1" t="s">
        <v>110</v>
      </c>
      <c r="O270" s="1" t="s">
        <v>110</v>
      </c>
      <c r="P270" s="1" t="s">
        <v>110</v>
      </c>
      <c r="Q270" s="5">
        <v>45089</v>
      </c>
      <c r="R270" s="1"/>
      <c r="S270" s="1"/>
      <c r="T270" s="1"/>
      <c r="U270" s="1"/>
      <c r="V270" s="1" t="s">
        <v>2146</v>
      </c>
      <c r="W270" s="4">
        <v>1</v>
      </c>
      <c r="X270" s="6">
        <v>3360</v>
      </c>
      <c r="Y270" s="1" t="s">
        <v>1516</v>
      </c>
      <c r="Z270" s="1">
        <v>1</v>
      </c>
      <c r="AA270" s="6">
        <v>3360</v>
      </c>
      <c r="AB270" s="1" t="s">
        <v>2167</v>
      </c>
      <c r="AC270" s="1" t="s">
        <v>2162</v>
      </c>
      <c r="AD270" s="1" t="s">
        <v>1100</v>
      </c>
      <c r="AE270" s="1" t="s">
        <v>1522</v>
      </c>
      <c r="AF270" s="1" t="s">
        <v>1186</v>
      </c>
      <c r="AG270" s="1" t="s">
        <v>1522</v>
      </c>
      <c r="AH270" s="6">
        <v>3360</v>
      </c>
      <c r="AI270" s="6">
        <v>3360</v>
      </c>
      <c r="AJ270" s="1" t="s">
        <v>1498</v>
      </c>
      <c r="AK270" s="1"/>
      <c r="AL270" s="1"/>
      <c r="AM270" s="1" t="s">
        <v>1498</v>
      </c>
      <c r="AN270" s="1" t="s">
        <v>785</v>
      </c>
      <c r="AO270" s="1"/>
      <c r="AP270" s="1" t="s">
        <v>81</v>
      </c>
      <c r="AQ270" s="1"/>
      <c r="AR270" s="1"/>
      <c r="AS270" s="2"/>
      <c r="AT270" s="1"/>
      <c r="AU270" s="1"/>
      <c r="AV270" s="1"/>
      <c r="AW270" s="1" t="s">
        <v>2152</v>
      </c>
      <c r="AX270" s="7">
        <v>45089.700851510381</v>
      </c>
      <c r="AY270" s="1" t="s">
        <v>186</v>
      </c>
      <c r="AZ270" s="6">
        <v>3360</v>
      </c>
      <c r="BA270" s="5">
        <v>45085</v>
      </c>
      <c r="BB270" s="5">
        <v>45291</v>
      </c>
      <c r="BC270" s="5">
        <v>45085</v>
      </c>
      <c r="BD270" s="5">
        <v>45085</v>
      </c>
      <c r="BE270" s="7">
        <v>45291</v>
      </c>
      <c r="BF270" s="1" t="s">
        <v>2170</v>
      </c>
      <c r="BG270" s="1"/>
      <c r="BH270" s="1"/>
      <c r="BI270" s="1" t="s">
        <v>108</v>
      </c>
    </row>
    <row r="271" spans="1:61" hidden="1" x14ac:dyDescent="0.25">
      <c r="A271" s="4">
        <v>266</v>
      </c>
      <c r="B271" s="2" t="str">
        <f>HYPERLINK("https://my.zakupivli.pro/remote/dispatcher/state_purchase_view/43228882", "UA-2023-06-12-013750-a")</f>
        <v>UA-2023-06-12-013750-a</v>
      </c>
      <c r="C271" s="2" t="s">
        <v>1516</v>
      </c>
      <c r="D271" s="1" t="s">
        <v>1448</v>
      </c>
      <c r="E271" s="1" t="s">
        <v>1448</v>
      </c>
      <c r="F271" s="1" t="s">
        <v>487</v>
      </c>
      <c r="G271" s="1" t="s">
        <v>1035</v>
      </c>
      <c r="H271" s="1" t="s">
        <v>1218</v>
      </c>
      <c r="I271" s="1" t="s">
        <v>2094</v>
      </c>
      <c r="J271" s="1" t="s">
        <v>1145</v>
      </c>
      <c r="K271" s="1" t="s">
        <v>947</v>
      </c>
      <c r="L271" s="1" t="s">
        <v>1533</v>
      </c>
      <c r="M271" s="1" t="s">
        <v>1533</v>
      </c>
      <c r="N271" s="1" t="s">
        <v>110</v>
      </c>
      <c r="O271" s="1" t="s">
        <v>110</v>
      </c>
      <c r="P271" s="1" t="s">
        <v>110</v>
      </c>
      <c r="Q271" s="5">
        <v>45089</v>
      </c>
      <c r="R271" s="1"/>
      <c r="S271" s="1"/>
      <c r="T271" s="1"/>
      <c r="U271" s="1"/>
      <c r="V271" s="1" t="s">
        <v>2146</v>
      </c>
      <c r="W271" s="4">
        <v>1</v>
      </c>
      <c r="X271" s="6">
        <v>3360</v>
      </c>
      <c r="Y271" s="1" t="s">
        <v>1516</v>
      </c>
      <c r="Z271" s="1">
        <v>1</v>
      </c>
      <c r="AA271" s="6">
        <v>3360</v>
      </c>
      <c r="AB271" s="1" t="s">
        <v>2167</v>
      </c>
      <c r="AC271" s="1" t="s">
        <v>2162</v>
      </c>
      <c r="AD271" s="1" t="s">
        <v>1100</v>
      </c>
      <c r="AE271" s="1" t="s">
        <v>1522</v>
      </c>
      <c r="AF271" s="1" t="s">
        <v>1186</v>
      </c>
      <c r="AG271" s="1" t="s">
        <v>1522</v>
      </c>
      <c r="AH271" s="6">
        <v>3360</v>
      </c>
      <c r="AI271" s="6">
        <v>3360</v>
      </c>
      <c r="AJ271" s="1" t="s">
        <v>1498</v>
      </c>
      <c r="AK271" s="1"/>
      <c r="AL271" s="1"/>
      <c r="AM271" s="1" t="s">
        <v>1498</v>
      </c>
      <c r="AN271" s="1" t="s">
        <v>785</v>
      </c>
      <c r="AO271" s="1"/>
      <c r="AP271" s="1" t="s">
        <v>81</v>
      </c>
      <c r="AQ271" s="1"/>
      <c r="AR271" s="1"/>
      <c r="AS271" s="2"/>
      <c r="AT271" s="1"/>
      <c r="AU271" s="1"/>
      <c r="AV271" s="1"/>
      <c r="AW271" s="1" t="s">
        <v>2152</v>
      </c>
      <c r="AX271" s="7">
        <v>45089.697293932557</v>
      </c>
      <c r="AY271" s="1" t="s">
        <v>187</v>
      </c>
      <c r="AZ271" s="6">
        <v>3360</v>
      </c>
      <c r="BA271" s="5">
        <v>45085</v>
      </c>
      <c r="BB271" s="5">
        <v>45291</v>
      </c>
      <c r="BC271" s="5">
        <v>45085</v>
      </c>
      <c r="BD271" s="5">
        <v>45085</v>
      </c>
      <c r="BE271" s="7">
        <v>45291</v>
      </c>
      <c r="BF271" s="1" t="s">
        <v>2170</v>
      </c>
      <c r="BG271" s="1"/>
      <c r="BH271" s="1"/>
      <c r="BI271" s="1" t="s">
        <v>108</v>
      </c>
    </row>
    <row r="272" spans="1:61" hidden="1" x14ac:dyDescent="0.25">
      <c r="A272" s="4">
        <v>267</v>
      </c>
      <c r="B272" s="2" t="str">
        <f>HYPERLINK("https://my.zakupivli.pro/remote/dispatcher/state_purchase_view/43219724", "UA-2023-06-12-009647-a")</f>
        <v>UA-2023-06-12-009647-a</v>
      </c>
      <c r="C272" s="2" t="s">
        <v>1516</v>
      </c>
      <c r="D272" s="1" t="s">
        <v>1763</v>
      </c>
      <c r="E272" s="1" t="s">
        <v>1763</v>
      </c>
      <c r="F272" s="1" t="s">
        <v>487</v>
      </c>
      <c r="G272" s="1" t="s">
        <v>966</v>
      </c>
      <c r="H272" s="1" t="s">
        <v>1218</v>
      </c>
      <c r="I272" s="1" t="s">
        <v>2094</v>
      </c>
      <c r="J272" s="1" t="s">
        <v>1145</v>
      </c>
      <c r="K272" s="1" t="s">
        <v>947</v>
      </c>
      <c r="L272" s="1" t="s">
        <v>1533</v>
      </c>
      <c r="M272" s="1" t="s">
        <v>1533</v>
      </c>
      <c r="N272" s="1" t="s">
        <v>110</v>
      </c>
      <c r="O272" s="1" t="s">
        <v>110</v>
      </c>
      <c r="P272" s="1" t="s">
        <v>110</v>
      </c>
      <c r="Q272" s="5">
        <v>45089</v>
      </c>
      <c r="R272" s="1"/>
      <c r="S272" s="1"/>
      <c r="T272" s="1"/>
      <c r="U272" s="1"/>
      <c r="V272" s="1" t="s">
        <v>2146</v>
      </c>
      <c r="W272" s="4">
        <v>1</v>
      </c>
      <c r="X272" s="6">
        <v>167624.88</v>
      </c>
      <c r="Y272" s="1" t="s">
        <v>1516</v>
      </c>
      <c r="Z272" s="1">
        <v>1</v>
      </c>
      <c r="AA272" s="6">
        <v>167624.88</v>
      </c>
      <c r="AB272" s="1" t="s">
        <v>2167</v>
      </c>
      <c r="AC272" s="1" t="s">
        <v>2162</v>
      </c>
      <c r="AD272" s="1" t="s">
        <v>1100</v>
      </c>
      <c r="AE272" s="1" t="s">
        <v>1522</v>
      </c>
      <c r="AF272" s="1" t="s">
        <v>1186</v>
      </c>
      <c r="AG272" s="1" t="s">
        <v>1522</v>
      </c>
      <c r="AH272" s="6">
        <v>167624.88</v>
      </c>
      <c r="AI272" s="6">
        <v>167624.88</v>
      </c>
      <c r="AJ272" s="1" t="s">
        <v>2044</v>
      </c>
      <c r="AK272" s="1"/>
      <c r="AL272" s="1"/>
      <c r="AM272" s="1" t="s">
        <v>2044</v>
      </c>
      <c r="AN272" s="1" t="s">
        <v>913</v>
      </c>
      <c r="AO272" s="1"/>
      <c r="AP272" s="1" t="s">
        <v>44</v>
      </c>
      <c r="AQ272" s="1"/>
      <c r="AR272" s="1"/>
      <c r="AS272" s="2"/>
      <c r="AT272" s="1"/>
      <c r="AU272" s="1"/>
      <c r="AV272" s="1"/>
      <c r="AW272" s="1" t="s">
        <v>2152</v>
      </c>
      <c r="AX272" s="7">
        <v>45089.612614553254</v>
      </c>
      <c r="AY272" s="1" t="s">
        <v>189</v>
      </c>
      <c r="AZ272" s="6">
        <v>167624.88</v>
      </c>
      <c r="BA272" s="5">
        <v>45089</v>
      </c>
      <c r="BB272" s="5">
        <v>45138</v>
      </c>
      <c r="BC272" s="5">
        <v>45089</v>
      </c>
      <c r="BD272" s="5">
        <v>45089</v>
      </c>
      <c r="BE272" s="7">
        <v>45291</v>
      </c>
      <c r="BF272" s="1" t="s">
        <v>2170</v>
      </c>
      <c r="BG272" s="1"/>
      <c r="BH272" s="1"/>
      <c r="BI272" s="1" t="s">
        <v>108</v>
      </c>
    </row>
    <row r="273" spans="1:61" hidden="1" x14ac:dyDescent="0.25">
      <c r="A273" s="4">
        <v>268</v>
      </c>
      <c r="B273" s="2" t="str">
        <f>HYPERLINK("https://my.zakupivli.pro/remote/dispatcher/state_purchase_view/43228051", "UA-2023-06-12-013401-a")</f>
        <v>UA-2023-06-12-013401-a</v>
      </c>
      <c r="C273" s="2" t="str">
        <f>HYPERLINK("https://my.zakupivli.pro/remote/dispatcher/state_purchase_lot_view/967308", "UA-2023-06-12-013401-a-L1")</f>
        <v>UA-2023-06-12-013401-a-L1</v>
      </c>
      <c r="D273" s="1" t="s">
        <v>1397</v>
      </c>
      <c r="E273" s="1" t="s">
        <v>1396</v>
      </c>
      <c r="F273" s="1" t="s">
        <v>487</v>
      </c>
      <c r="G273" s="1" t="s">
        <v>967</v>
      </c>
      <c r="H273" s="1" t="s">
        <v>1185</v>
      </c>
      <c r="I273" s="1" t="s">
        <v>2094</v>
      </c>
      <c r="J273" s="1" t="s">
        <v>1145</v>
      </c>
      <c r="K273" s="1" t="s">
        <v>947</v>
      </c>
      <c r="L273" s="1" t="s">
        <v>1533</v>
      </c>
      <c r="M273" s="1" t="s">
        <v>1533</v>
      </c>
      <c r="N273" s="1" t="s">
        <v>110</v>
      </c>
      <c r="O273" s="1" t="s">
        <v>110</v>
      </c>
      <c r="P273" s="1" t="s">
        <v>110</v>
      </c>
      <c r="Q273" s="5">
        <v>45089</v>
      </c>
      <c r="R273" s="1" t="s">
        <v>537</v>
      </c>
      <c r="S273" s="1" t="s">
        <v>541</v>
      </c>
      <c r="T273" s="5">
        <v>45089</v>
      </c>
      <c r="U273" s="5">
        <v>45097</v>
      </c>
      <c r="V273" s="1" t="s">
        <v>2147</v>
      </c>
      <c r="W273" s="4">
        <v>1</v>
      </c>
      <c r="X273" s="6">
        <v>324425</v>
      </c>
      <c r="Y273" s="6">
        <v>324425</v>
      </c>
      <c r="Z273" s="1">
        <v>1</v>
      </c>
      <c r="AA273" s="6">
        <v>324425</v>
      </c>
      <c r="AB273" s="1" t="s">
        <v>2167</v>
      </c>
      <c r="AC273" s="6">
        <v>3244.25</v>
      </c>
      <c r="AD273" s="1" t="s">
        <v>1100</v>
      </c>
      <c r="AE273" s="1" t="s">
        <v>2094</v>
      </c>
      <c r="AF273" s="1" t="s">
        <v>1186</v>
      </c>
      <c r="AG273" s="1" t="s">
        <v>1522</v>
      </c>
      <c r="AH273" s="6">
        <v>322000</v>
      </c>
      <c r="AI273" s="6">
        <v>322000</v>
      </c>
      <c r="AJ273" s="1" t="s">
        <v>2044</v>
      </c>
      <c r="AK273" s="6">
        <v>2425</v>
      </c>
      <c r="AL273" s="6">
        <v>7.4747630423056179E-3</v>
      </c>
      <c r="AM273" s="1" t="s">
        <v>2044</v>
      </c>
      <c r="AN273" s="1" t="s">
        <v>913</v>
      </c>
      <c r="AO273" s="1" t="s">
        <v>1124</v>
      </c>
      <c r="AP273" s="1" t="s">
        <v>44</v>
      </c>
      <c r="AQ273" s="6">
        <v>2425</v>
      </c>
      <c r="AR273" s="6">
        <v>7.4747630423056179E-3</v>
      </c>
      <c r="AS273" s="2"/>
      <c r="AT273" s="7">
        <v>45098.682250015961</v>
      </c>
      <c r="AU273" s="1" t="s">
        <v>547</v>
      </c>
      <c r="AV273" s="1" t="s">
        <v>551</v>
      </c>
      <c r="AW273" s="1" t="s">
        <v>2151</v>
      </c>
      <c r="AX273" s="7">
        <v>45105.70743447094</v>
      </c>
      <c r="AY273" s="1" t="s">
        <v>204</v>
      </c>
      <c r="AZ273" s="6">
        <v>322000</v>
      </c>
      <c r="BA273" s="1"/>
      <c r="BB273" s="5">
        <v>45169</v>
      </c>
      <c r="BC273" s="5">
        <v>45105</v>
      </c>
      <c r="BD273" s="5">
        <v>45105</v>
      </c>
      <c r="BE273" s="7">
        <v>45291</v>
      </c>
      <c r="BF273" s="1" t="s">
        <v>2170</v>
      </c>
      <c r="BG273" s="1"/>
      <c r="BH273" s="1"/>
      <c r="BI273" s="1" t="s">
        <v>914</v>
      </c>
    </row>
    <row r="274" spans="1:61" hidden="1" x14ac:dyDescent="0.25">
      <c r="A274" s="4">
        <v>269</v>
      </c>
      <c r="B274" s="2" t="str">
        <f>HYPERLINK("https://my.zakupivli.pro/remote/dispatcher/state_purchase_view/43147255", "UA-2023-06-08-007145-a")</f>
        <v>UA-2023-06-08-007145-a</v>
      </c>
      <c r="C274" s="2" t="s">
        <v>1516</v>
      </c>
      <c r="D274" s="1" t="s">
        <v>1453</v>
      </c>
      <c r="E274" s="1" t="s">
        <v>1453</v>
      </c>
      <c r="F274" s="1" t="s">
        <v>487</v>
      </c>
      <c r="G274" s="1" t="s">
        <v>1035</v>
      </c>
      <c r="H274" s="1" t="s">
        <v>1218</v>
      </c>
      <c r="I274" s="1" t="s">
        <v>2094</v>
      </c>
      <c r="J274" s="1" t="s">
        <v>1145</v>
      </c>
      <c r="K274" s="1" t="s">
        <v>947</v>
      </c>
      <c r="L274" s="1" t="s">
        <v>1533</v>
      </c>
      <c r="M274" s="1" t="s">
        <v>1533</v>
      </c>
      <c r="N274" s="1" t="s">
        <v>110</v>
      </c>
      <c r="O274" s="1" t="s">
        <v>110</v>
      </c>
      <c r="P274" s="1" t="s">
        <v>110</v>
      </c>
      <c r="Q274" s="5">
        <v>45085</v>
      </c>
      <c r="R274" s="1"/>
      <c r="S274" s="1"/>
      <c r="T274" s="1"/>
      <c r="U274" s="1"/>
      <c r="V274" s="1" t="s">
        <v>2146</v>
      </c>
      <c r="W274" s="4">
        <v>1</v>
      </c>
      <c r="X274" s="6">
        <v>7126</v>
      </c>
      <c r="Y274" s="1" t="s">
        <v>1516</v>
      </c>
      <c r="Z274" s="1">
        <v>1</v>
      </c>
      <c r="AA274" s="6">
        <v>7126</v>
      </c>
      <c r="AB274" s="1" t="s">
        <v>2167</v>
      </c>
      <c r="AC274" s="1" t="s">
        <v>2162</v>
      </c>
      <c r="AD274" s="1" t="s">
        <v>1100</v>
      </c>
      <c r="AE274" s="1" t="s">
        <v>1522</v>
      </c>
      <c r="AF274" s="1" t="s">
        <v>1186</v>
      </c>
      <c r="AG274" s="1" t="s">
        <v>1522</v>
      </c>
      <c r="AH274" s="6">
        <v>7126</v>
      </c>
      <c r="AI274" s="6">
        <v>7126</v>
      </c>
      <c r="AJ274" s="1" t="s">
        <v>1498</v>
      </c>
      <c r="AK274" s="1"/>
      <c r="AL274" s="1"/>
      <c r="AM274" s="1" t="s">
        <v>1498</v>
      </c>
      <c r="AN274" s="1" t="s">
        <v>785</v>
      </c>
      <c r="AO274" s="1"/>
      <c r="AP274" s="1" t="s">
        <v>81</v>
      </c>
      <c r="AQ274" s="1"/>
      <c r="AR274" s="1"/>
      <c r="AS274" s="2"/>
      <c r="AT274" s="1"/>
      <c r="AU274" s="1"/>
      <c r="AV274" s="1"/>
      <c r="AW274" s="1" t="s">
        <v>2152</v>
      </c>
      <c r="AX274" s="7">
        <v>45085.530374810391</v>
      </c>
      <c r="AY274" s="1" t="s">
        <v>169</v>
      </c>
      <c r="AZ274" s="6">
        <v>7126</v>
      </c>
      <c r="BA274" s="5">
        <v>45082</v>
      </c>
      <c r="BB274" s="5">
        <v>45291</v>
      </c>
      <c r="BC274" s="5">
        <v>45082</v>
      </c>
      <c r="BD274" s="5">
        <v>45082</v>
      </c>
      <c r="BE274" s="7">
        <v>45291</v>
      </c>
      <c r="BF274" s="1" t="s">
        <v>2170</v>
      </c>
      <c r="BG274" s="1"/>
      <c r="BH274" s="1"/>
      <c r="BI274" s="1" t="s">
        <v>108</v>
      </c>
    </row>
    <row r="275" spans="1:61" hidden="1" x14ac:dyDescent="0.25">
      <c r="A275" s="4">
        <v>270</v>
      </c>
      <c r="B275" s="2" t="str">
        <f>HYPERLINK("https://my.zakupivli.pro/remote/dispatcher/state_purchase_view/43158699", "UA-2023-06-08-012310-a")</f>
        <v>UA-2023-06-08-012310-a</v>
      </c>
      <c r="C275" s="2" t="s">
        <v>1516</v>
      </c>
      <c r="D275" s="1" t="s">
        <v>1452</v>
      </c>
      <c r="E275" s="1" t="s">
        <v>1452</v>
      </c>
      <c r="F275" s="1" t="s">
        <v>487</v>
      </c>
      <c r="G275" s="1" t="s">
        <v>1035</v>
      </c>
      <c r="H275" s="1" t="s">
        <v>1218</v>
      </c>
      <c r="I275" s="1" t="s">
        <v>2094</v>
      </c>
      <c r="J275" s="1" t="s">
        <v>1145</v>
      </c>
      <c r="K275" s="1" t="s">
        <v>947</v>
      </c>
      <c r="L275" s="1" t="s">
        <v>1533</v>
      </c>
      <c r="M275" s="1" t="s">
        <v>1533</v>
      </c>
      <c r="N275" s="1" t="s">
        <v>110</v>
      </c>
      <c r="O275" s="1" t="s">
        <v>110</v>
      </c>
      <c r="P275" s="1" t="s">
        <v>110</v>
      </c>
      <c r="Q275" s="5">
        <v>45085</v>
      </c>
      <c r="R275" s="1"/>
      <c r="S275" s="1"/>
      <c r="T275" s="1"/>
      <c r="U275" s="1"/>
      <c r="V275" s="1" t="s">
        <v>2146</v>
      </c>
      <c r="W275" s="4">
        <v>1</v>
      </c>
      <c r="X275" s="6">
        <v>5575.5</v>
      </c>
      <c r="Y275" s="1" t="s">
        <v>1516</v>
      </c>
      <c r="Z275" s="1">
        <v>1</v>
      </c>
      <c r="AA275" s="6">
        <v>5575.5</v>
      </c>
      <c r="AB275" s="1" t="s">
        <v>2167</v>
      </c>
      <c r="AC275" s="1" t="s">
        <v>2162</v>
      </c>
      <c r="AD275" s="1" t="s">
        <v>1100</v>
      </c>
      <c r="AE275" s="1" t="s">
        <v>1522</v>
      </c>
      <c r="AF275" s="1" t="s">
        <v>1186</v>
      </c>
      <c r="AG275" s="1" t="s">
        <v>1522</v>
      </c>
      <c r="AH275" s="6">
        <v>5575.5</v>
      </c>
      <c r="AI275" s="6">
        <v>5575.5</v>
      </c>
      <c r="AJ275" s="1" t="s">
        <v>1498</v>
      </c>
      <c r="AK275" s="1"/>
      <c r="AL275" s="1"/>
      <c r="AM275" s="1" t="s">
        <v>1498</v>
      </c>
      <c r="AN275" s="1" t="s">
        <v>785</v>
      </c>
      <c r="AO275" s="1"/>
      <c r="AP275" s="1" t="s">
        <v>81</v>
      </c>
      <c r="AQ275" s="1"/>
      <c r="AR275" s="1"/>
      <c r="AS275" s="2"/>
      <c r="AT275" s="1"/>
      <c r="AU275" s="1"/>
      <c r="AV275" s="1"/>
      <c r="AW275" s="1" t="s">
        <v>2152</v>
      </c>
      <c r="AX275" s="7">
        <v>45085.650262485637</v>
      </c>
      <c r="AY275" s="1" t="s">
        <v>170</v>
      </c>
      <c r="AZ275" s="6">
        <v>5575.5</v>
      </c>
      <c r="BA275" s="5">
        <v>45082</v>
      </c>
      <c r="BB275" s="5">
        <v>45291</v>
      </c>
      <c r="BC275" s="5">
        <v>45082</v>
      </c>
      <c r="BD275" s="5">
        <v>45082</v>
      </c>
      <c r="BE275" s="7">
        <v>45291</v>
      </c>
      <c r="BF275" s="1" t="s">
        <v>2170</v>
      </c>
      <c r="BG275" s="1"/>
      <c r="BH275" s="1"/>
      <c r="BI275" s="1" t="s">
        <v>108</v>
      </c>
    </row>
    <row r="276" spans="1:61" hidden="1" x14ac:dyDescent="0.25">
      <c r="A276" s="4">
        <v>271</v>
      </c>
      <c r="B276" s="2" t="str">
        <f>HYPERLINK("https://my.zakupivli.pro/remote/dispatcher/state_purchase_view/43157773", "UA-2023-06-08-011995-a")</f>
        <v>UA-2023-06-08-011995-a</v>
      </c>
      <c r="C276" s="2" t="s">
        <v>1516</v>
      </c>
      <c r="D276" s="1" t="s">
        <v>1451</v>
      </c>
      <c r="E276" s="1" t="s">
        <v>1451</v>
      </c>
      <c r="F276" s="1" t="s">
        <v>487</v>
      </c>
      <c r="G276" s="1" t="s">
        <v>1035</v>
      </c>
      <c r="H276" s="1" t="s">
        <v>1218</v>
      </c>
      <c r="I276" s="1" t="s">
        <v>2094</v>
      </c>
      <c r="J276" s="1" t="s">
        <v>1145</v>
      </c>
      <c r="K276" s="1" t="s">
        <v>947</v>
      </c>
      <c r="L276" s="1" t="s">
        <v>1533</v>
      </c>
      <c r="M276" s="1" t="s">
        <v>1533</v>
      </c>
      <c r="N276" s="1" t="s">
        <v>110</v>
      </c>
      <c r="O276" s="1" t="s">
        <v>110</v>
      </c>
      <c r="P276" s="1" t="s">
        <v>110</v>
      </c>
      <c r="Q276" s="5">
        <v>45085</v>
      </c>
      <c r="R276" s="1"/>
      <c r="S276" s="1"/>
      <c r="T276" s="1"/>
      <c r="U276" s="1"/>
      <c r="V276" s="1" t="s">
        <v>2146</v>
      </c>
      <c r="W276" s="4">
        <v>1</v>
      </c>
      <c r="X276" s="6">
        <v>4690</v>
      </c>
      <c r="Y276" s="1" t="s">
        <v>1516</v>
      </c>
      <c r="Z276" s="1">
        <v>1</v>
      </c>
      <c r="AA276" s="6">
        <v>4690</v>
      </c>
      <c r="AB276" s="1" t="s">
        <v>2167</v>
      </c>
      <c r="AC276" s="1" t="s">
        <v>2162</v>
      </c>
      <c r="AD276" s="1" t="s">
        <v>1100</v>
      </c>
      <c r="AE276" s="1" t="s">
        <v>1522</v>
      </c>
      <c r="AF276" s="1" t="s">
        <v>1186</v>
      </c>
      <c r="AG276" s="1" t="s">
        <v>1522</v>
      </c>
      <c r="AH276" s="6">
        <v>4690</v>
      </c>
      <c r="AI276" s="6">
        <v>4690</v>
      </c>
      <c r="AJ276" s="1" t="s">
        <v>1498</v>
      </c>
      <c r="AK276" s="1"/>
      <c r="AL276" s="1"/>
      <c r="AM276" s="1" t="s">
        <v>1498</v>
      </c>
      <c r="AN276" s="1" t="s">
        <v>785</v>
      </c>
      <c r="AO276" s="1"/>
      <c r="AP276" s="1" t="s">
        <v>81</v>
      </c>
      <c r="AQ276" s="1"/>
      <c r="AR276" s="1"/>
      <c r="AS276" s="2"/>
      <c r="AT276" s="1"/>
      <c r="AU276" s="1"/>
      <c r="AV276" s="1"/>
      <c r="AW276" s="1" t="s">
        <v>2152</v>
      </c>
      <c r="AX276" s="7">
        <v>45085.650675263649</v>
      </c>
      <c r="AY276" s="1" t="s">
        <v>172</v>
      </c>
      <c r="AZ276" s="6">
        <v>4690</v>
      </c>
      <c r="BA276" s="5">
        <v>45082</v>
      </c>
      <c r="BB276" s="5">
        <v>45291</v>
      </c>
      <c r="BC276" s="5">
        <v>45082</v>
      </c>
      <c r="BD276" s="5">
        <v>45082</v>
      </c>
      <c r="BE276" s="7">
        <v>45291</v>
      </c>
      <c r="BF276" s="1" t="s">
        <v>2170</v>
      </c>
      <c r="BG276" s="1"/>
      <c r="BH276" s="1"/>
      <c r="BI276" s="1" t="s">
        <v>108</v>
      </c>
    </row>
    <row r="277" spans="1:61" hidden="1" x14ac:dyDescent="0.25">
      <c r="A277" s="4">
        <v>272</v>
      </c>
      <c r="B277" s="2" t="str">
        <f>HYPERLINK("https://my.zakupivli.pro/remote/dispatcher/state_purchase_view/43156157", "UA-2023-06-08-011108-a")</f>
        <v>UA-2023-06-08-011108-a</v>
      </c>
      <c r="C277" s="2" t="s">
        <v>1516</v>
      </c>
      <c r="D277" s="1" t="s">
        <v>1454</v>
      </c>
      <c r="E277" s="1" t="s">
        <v>1454</v>
      </c>
      <c r="F277" s="1" t="s">
        <v>487</v>
      </c>
      <c r="G277" s="1" t="s">
        <v>1035</v>
      </c>
      <c r="H277" s="1" t="s">
        <v>1218</v>
      </c>
      <c r="I277" s="1" t="s">
        <v>2094</v>
      </c>
      <c r="J277" s="1" t="s">
        <v>1145</v>
      </c>
      <c r="K277" s="1" t="s">
        <v>947</v>
      </c>
      <c r="L277" s="1" t="s">
        <v>1533</v>
      </c>
      <c r="M277" s="1" t="s">
        <v>1533</v>
      </c>
      <c r="N277" s="1" t="s">
        <v>110</v>
      </c>
      <c r="O277" s="1" t="s">
        <v>110</v>
      </c>
      <c r="P277" s="1" t="s">
        <v>110</v>
      </c>
      <c r="Q277" s="5">
        <v>45085</v>
      </c>
      <c r="R277" s="1"/>
      <c r="S277" s="1"/>
      <c r="T277" s="1"/>
      <c r="U277" s="1"/>
      <c r="V277" s="1" t="s">
        <v>2146</v>
      </c>
      <c r="W277" s="4">
        <v>1</v>
      </c>
      <c r="X277" s="6">
        <v>5599.72</v>
      </c>
      <c r="Y277" s="1" t="s">
        <v>1516</v>
      </c>
      <c r="Z277" s="1">
        <v>1</v>
      </c>
      <c r="AA277" s="6">
        <v>5599.72</v>
      </c>
      <c r="AB277" s="1" t="s">
        <v>2167</v>
      </c>
      <c r="AC277" s="1" t="s">
        <v>2162</v>
      </c>
      <c r="AD277" s="1" t="s">
        <v>1100</v>
      </c>
      <c r="AE277" s="1" t="s">
        <v>1522</v>
      </c>
      <c r="AF277" s="1" t="s">
        <v>1186</v>
      </c>
      <c r="AG277" s="1" t="s">
        <v>1522</v>
      </c>
      <c r="AH277" s="6">
        <v>5599.72</v>
      </c>
      <c r="AI277" s="6">
        <v>5599.72</v>
      </c>
      <c r="AJ277" s="1" t="s">
        <v>1498</v>
      </c>
      <c r="AK277" s="1"/>
      <c r="AL277" s="1"/>
      <c r="AM277" s="1" t="s">
        <v>1498</v>
      </c>
      <c r="AN277" s="1" t="s">
        <v>785</v>
      </c>
      <c r="AO277" s="1"/>
      <c r="AP277" s="1" t="s">
        <v>81</v>
      </c>
      <c r="AQ277" s="1"/>
      <c r="AR277" s="1"/>
      <c r="AS277" s="2"/>
      <c r="AT277" s="1"/>
      <c r="AU277" s="1"/>
      <c r="AV277" s="1"/>
      <c r="AW277" s="1" t="s">
        <v>2152</v>
      </c>
      <c r="AX277" s="7">
        <v>45085.62815576281</v>
      </c>
      <c r="AY277" s="1" t="s">
        <v>171</v>
      </c>
      <c r="AZ277" s="6">
        <v>5599.72</v>
      </c>
      <c r="BA277" s="5">
        <v>45082</v>
      </c>
      <c r="BB277" s="5">
        <v>45291</v>
      </c>
      <c r="BC277" s="5">
        <v>45082</v>
      </c>
      <c r="BD277" s="5">
        <v>45082</v>
      </c>
      <c r="BE277" s="7">
        <v>45291</v>
      </c>
      <c r="BF277" s="1" t="s">
        <v>2170</v>
      </c>
      <c r="BG277" s="1"/>
      <c r="BH277" s="1"/>
      <c r="BI277" s="1" t="s">
        <v>108</v>
      </c>
    </row>
    <row r="278" spans="1:61" hidden="1" x14ac:dyDescent="0.25">
      <c r="A278" s="4">
        <v>273</v>
      </c>
      <c r="B278" s="2" t="str">
        <f>HYPERLINK("https://my.zakupivli.pro/remote/dispatcher/state_purchase_view/43146795", "UA-2023-06-08-006675-a")</f>
        <v>UA-2023-06-08-006675-a</v>
      </c>
      <c r="C278" s="2" t="s">
        <v>1516</v>
      </c>
      <c r="D278" s="1" t="s">
        <v>1457</v>
      </c>
      <c r="E278" s="1" t="s">
        <v>1457</v>
      </c>
      <c r="F278" s="1" t="s">
        <v>487</v>
      </c>
      <c r="G278" s="1" t="s">
        <v>1035</v>
      </c>
      <c r="H278" s="1" t="s">
        <v>1218</v>
      </c>
      <c r="I278" s="1" t="s">
        <v>2094</v>
      </c>
      <c r="J278" s="1" t="s">
        <v>1145</v>
      </c>
      <c r="K278" s="1" t="s">
        <v>947</v>
      </c>
      <c r="L278" s="1" t="s">
        <v>1533</v>
      </c>
      <c r="M278" s="1" t="s">
        <v>1533</v>
      </c>
      <c r="N278" s="1" t="s">
        <v>110</v>
      </c>
      <c r="O278" s="1" t="s">
        <v>110</v>
      </c>
      <c r="P278" s="1" t="s">
        <v>110</v>
      </c>
      <c r="Q278" s="5">
        <v>45085</v>
      </c>
      <c r="R278" s="1"/>
      <c r="S278" s="1"/>
      <c r="T278" s="1"/>
      <c r="U278" s="1"/>
      <c r="V278" s="1" t="s">
        <v>2146</v>
      </c>
      <c r="W278" s="4">
        <v>1</v>
      </c>
      <c r="X278" s="6">
        <v>7000</v>
      </c>
      <c r="Y278" s="1" t="s">
        <v>1516</v>
      </c>
      <c r="Z278" s="1">
        <v>1</v>
      </c>
      <c r="AA278" s="6">
        <v>7000</v>
      </c>
      <c r="AB278" s="1" t="s">
        <v>2167</v>
      </c>
      <c r="AC278" s="1" t="s">
        <v>2162</v>
      </c>
      <c r="AD278" s="1" t="s">
        <v>1100</v>
      </c>
      <c r="AE278" s="1" t="s">
        <v>1522</v>
      </c>
      <c r="AF278" s="1" t="s">
        <v>1186</v>
      </c>
      <c r="AG278" s="1" t="s">
        <v>1522</v>
      </c>
      <c r="AH278" s="6">
        <v>7000</v>
      </c>
      <c r="AI278" s="6">
        <v>7000</v>
      </c>
      <c r="AJ278" s="1" t="s">
        <v>1498</v>
      </c>
      <c r="AK278" s="1"/>
      <c r="AL278" s="1"/>
      <c r="AM278" s="1" t="s">
        <v>1498</v>
      </c>
      <c r="AN278" s="1" t="s">
        <v>785</v>
      </c>
      <c r="AO278" s="1"/>
      <c r="AP278" s="1" t="s">
        <v>16</v>
      </c>
      <c r="AQ278" s="1"/>
      <c r="AR278" s="1"/>
      <c r="AS278" s="2"/>
      <c r="AT278" s="1"/>
      <c r="AU278" s="1"/>
      <c r="AV278" s="1"/>
      <c r="AW278" s="1" t="s">
        <v>2152</v>
      </c>
      <c r="AX278" s="7">
        <v>45085.515880454688</v>
      </c>
      <c r="AY278" s="1" t="s">
        <v>167</v>
      </c>
      <c r="AZ278" s="6">
        <v>7000</v>
      </c>
      <c r="BA278" s="5">
        <v>45082</v>
      </c>
      <c r="BB278" s="5">
        <v>45291</v>
      </c>
      <c r="BC278" s="5">
        <v>45082</v>
      </c>
      <c r="BD278" s="5">
        <v>45082</v>
      </c>
      <c r="BE278" s="7">
        <v>45291</v>
      </c>
      <c r="BF278" s="1" t="s">
        <v>2170</v>
      </c>
      <c r="BG278" s="1"/>
      <c r="BH278" s="1"/>
      <c r="BI278" s="1" t="s">
        <v>108</v>
      </c>
    </row>
    <row r="279" spans="1:61" hidden="1" x14ac:dyDescent="0.25">
      <c r="A279" s="4">
        <v>274</v>
      </c>
      <c r="B279" s="2" t="str">
        <f>HYPERLINK("https://my.zakupivli.pro/remote/dispatcher/state_purchase_view/43155043", "UA-2023-06-08-010884-a")</f>
        <v>UA-2023-06-08-010884-a</v>
      </c>
      <c r="C279" s="2" t="s">
        <v>1516</v>
      </c>
      <c r="D279" s="1" t="s">
        <v>1455</v>
      </c>
      <c r="E279" s="1" t="s">
        <v>1455</v>
      </c>
      <c r="F279" s="1" t="s">
        <v>487</v>
      </c>
      <c r="G279" s="1" t="s">
        <v>1035</v>
      </c>
      <c r="H279" s="1" t="s">
        <v>1218</v>
      </c>
      <c r="I279" s="1" t="s">
        <v>2094</v>
      </c>
      <c r="J279" s="1" t="s">
        <v>1145</v>
      </c>
      <c r="K279" s="1" t="s">
        <v>947</v>
      </c>
      <c r="L279" s="1" t="s">
        <v>1533</v>
      </c>
      <c r="M279" s="1" t="s">
        <v>1533</v>
      </c>
      <c r="N279" s="1" t="s">
        <v>110</v>
      </c>
      <c r="O279" s="1" t="s">
        <v>110</v>
      </c>
      <c r="P279" s="1" t="s">
        <v>110</v>
      </c>
      <c r="Q279" s="5">
        <v>45085</v>
      </c>
      <c r="R279" s="1"/>
      <c r="S279" s="1"/>
      <c r="T279" s="1"/>
      <c r="U279" s="1"/>
      <c r="V279" s="1" t="s">
        <v>2146</v>
      </c>
      <c r="W279" s="4">
        <v>1</v>
      </c>
      <c r="X279" s="6">
        <v>5096</v>
      </c>
      <c r="Y279" s="1" t="s">
        <v>1516</v>
      </c>
      <c r="Z279" s="1">
        <v>1</v>
      </c>
      <c r="AA279" s="6">
        <v>5096</v>
      </c>
      <c r="AB279" s="1" t="s">
        <v>2167</v>
      </c>
      <c r="AC279" s="1" t="s">
        <v>2162</v>
      </c>
      <c r="AD279" s="1" t="s">
        <v>1100</v>
      </c>
      <c r="AE279" s="1" t="s">
        <v>1522</v>
      </c>
      <c r="AF279" s="1" t="s">
        <v>1186</v>
      </c>
      <c r="AG279" s="1" t="s">
        <v>1522</v>
      </c>
      <c r="AH279" s="6">
        <v>5096</v>
      </c>
      <c r="AI279" s="6">
        <v>5096</v>
      </c>
      <c r="AJ279" s="1" t="s">
        <v>1498</v>
      </c>
      <c r="AK279" s="1"/>
      <c r="AL279" s="1"/>
      <c r="AM279" s="1" t="s">
        <v>1498</v>
      </c>
      <c r="AN279" s="1" t="s">
        <v>785</v>
      </c>
      <c r="AO279" s="1"/>
      <c r="AP279" s="1" t="s">
        <v>16</v>
      </c>
      <c r="AQ279" s="1"/>
      <c r="AR279" s="1"/>
      <c r="AS279" s="2"/>
      <c r="AT279" s="1"/>
      <c r="AU279" s="1"/>
      <c r="AV279" s="1"/>
      <c r="AW279" s="1" t="s">
        <v>2152</v>
      </c>
      <c r="AX279" s="7">
        <v>45085.624327469479</v>
      </c>
      <c r="AY279" s="1" t="s">
        <v>165</v>
      </c>
      <c r="AZ279" s="6">
        <v>5096</v>
      </c>
      <c r="BA279" s="5">
        <v>45082</v>
      </c>
      <c r="BB279" s="5">
        <v>45291</v>
      </c>
      <c r="BC279" s="5">
        <v>45082</v>
      </c>
      <c r="BD279" s="5">
        <v>45082</v>
      </c>
      <c r="BE279" s="7">
        <v>45291</v>
      </c>
      <c r="BF279" s="1" t="s">
        <v>2170</v>
      </c>
      <c r="BG279" s="1"/>
      <c r="BH279" s="1"/>
      <c r="BI279" s="1" t="s">
        <v>108</v>
      </c>
    </row>
    <row r="280" spans="1:61" hidden="1" x14ac:dyDescent="0.25">
      <c r="A280" s="4">
        <v>275</v>
      </c>
      <c r="B280" s="2" t="str">
        <f>HYPERLINK("https://my.zakupivli.pro/remote/dispatcher/state_purchase_view/42991780", "UA-2023-06-01-012109-a")</f>
        <v>UA-2023-06-01-012109-a</v>
      </c>
      <c r="C280" s="2" t="str">
        <f>HYPERLINK("https://my.zakupivli.pro/remote/dispatcher/state_purchase_lot_view/958978", "UA-2023-06-01-012109-a-L1")</f>
        <v>UA-2023-06-01-012109-a-L1</v>
      </c>
      <c r="D280" s="1" t="s">
        <v>1290</v>
      </c>
      <c r="E280" s="1" t="s">
        <v>1289</v>
      </c>
      <c r="F280" s="1" t="s">
        <v>487</v>
      </c>
      <c r="G280" s="1" t="s">
        <v>970</v>
      </c>
      <c r="H280" s="1" t="s">
        <v>1185</v>
      </c>
      <c r="I280" s="1" t="s">
        <v>2094</v>
      </c>
      <c r="J280" s="1" t="s">
        <v>1145</v>
      </c>
      <c r="K280" s="1" t="s">
        <v>947</v>
      </c>
      <c r="L280" s="1" t="s">
        <v>1533</v>
      </c>
      <c r="M280" s="1" t="s">
        <v>1533</v>
      </c>
      <c r="N280" s="1" t="s">
        <v>110</v>
      </c>
      <c r="O280" s="1" t="s">
        <v>110</v>
      </c>
      <c r="P280" s="1" t="s">
        <v>110</v>
      </c>
      <c r="Q280" s="5">
        <v>45078</v>
      </c>
      <c r="R280" s="1" t="s">
        <v>531</v>
      </c>
      <c r="S280" s="1" t="s">
        <v>534</v>
      </c>
      <c r="T280" s="5">
        <v>45078</v>
      </c>
      <c r="U280" s="5">
        <v>45086</v>
      </c>
      <c r="V280" s="1" t="s">
        <v>2147</v>
      </c>
      <c r="W280" s="4">
        <v>1</v>
      </c>
      <c r="X280" s="6">
        <v>68108</v>
      </c>
      <c r="Y280" s="6">
        <v>68108</v>
      </c>
      <c r="Z280" s="1">
        <v>1</v>
      </c>
      <c r="AA280" s="6">
        <v>68108</v>
      </c>
      <c r="AB280" s="1" t="s">
        <v>2167</v>
      </c>
      <c r="AC280" s="6">
        <v>681.08</v>
      </c>
      <c r="AD280" s="1" t="s">
        <v>1100</v>
      </c>
      <c r="AE280" s="1" t="s">
        <v>2094</v>
      </c>
      <c r="AF280" s="1" t="s">
        <v>1186</v>
      </c>
      <c r="AG280" s="1" t="s">
        <v>1522</v>
      </c>
      <c r="AH280" s="6">
        <v>67785</v>
      </c>
      <c r="AI280" s="6">
        <v>67785</v>
      </c>
      <c r="AJ280" s="1" t="s">
        <v>2037</v>
      </c>
      <c r="AK280" s="6">
        <v>323</v>
      </c>
      <c r="AL280" s="6">
        <v>4.742467845187056E-3</v>
      </c>
      <c r="AM280" s="1" t="s">
        <v>2037</v>
      </c>
      <c r="AN280" s="1" t="s">
        <v>295</v>
      </c>
      <c r="AO280" s="1" t="s">
        <v>297</v>
      </c>
      <c r="AP280" s="1" t="s">
        <v>94</v>
      </c>
      <c r="AQ280" s="6">
        <v>323</v>
      </c>
      <c r="AR280" s="6">
        <v>4.742467845187056E-3</v>
      </c>
      <c r="AS280" s="2"/>
      <c r="AT280" s="7">
        <v>45092.490187389732</v>
      </c>
      <c r="AU280" s="1" t="s">
        <v>544</v>
      </c>
      <c r="AV280" s="1" t="s">
        <v>549</v>
      </c>
      <c r="AW280" s="1" t="s">
        <v>2151</v>
      </c>
      <c r="AX280" s="7">
        <v>45100.571291503955</v>
      </c>
      <c r="AY280" s="1" t="s">
        <v>197</v>
      </c>
      <c r="AZ280" s="6">
        <v>67785</v>
      </c>
      <c r="BA280" s="1"/>
      <c r="BB280" s="5">
        <v>45138</v>
      </c>
      <c r="BC280" s="5">
        <v>45100</v>
      </c>
      <c r="BD280" s="5">
        <v>45100</v>
      </c>
      <c r="BE280" s="7">
        <v>45291</v>
      </c>
      <c r="BF280" s="1" t="s">
        <v>2170</v>
      </c>
      <c r="BG280" s="1"/>
      <c r="BH280" s="1"/>
      <c r="BI280" s="1" t="s">
        <v>296</v>
      </c>
    </row>
    <row r="281" spans="1:61" hidden="1" x14ac:dyDescent="0.25">
      <c r="A281" s="4">
        <v>276</v>
      </c>
      <c r="B281" s="2" t="str">
        <f>HYPERLINK("https://my.zakupivli.pro/remote/dispatcher/state_purchase_view/42989234", "UA-2023-06-01-010918-a")</f>
        <v>UA-2023-06-01-010918-a</v>
      </c>
      <c r="C281" s="2" t="str">
        <f>HYPERLINK("https://my.zakupivli.pro/remote/dispatcher/state_purchase_lot_view/958845", "UA-2023-06-01-010918-a-L1")</f>
        <v>UA-2023-06-01-010918-a-L1</v>
      </c>
      <c r="D281" s="1" t="s">
        <v>1805</v>
      </c>
      <c r="E281" s="1" t="s">
        <v>1804</v>
      </c>
      <c r="F281" s="1" t="s">
        <v>487</v>
      </c>
      <c r="G281" s="1" t="s">
        <v>1074</v>
      </c>
      <c r="H281" s="1" t="s">
        <v>1185</v>
      </c>
      <c r="I281" s="1" t="s">
        <v>2094</v>
      </c>
      <c r="J281" s="1" t="s">
        <v>1145</v>
      </c>
      <c r="K281" s="1" t="s">
        <v>947</v>
      </c>
      <c r="L281" s="1" t="s">
        <v>1533</v>
      </c>
      <c r="M281" s="1" t="s">
        <v>1533</v>
      </c>
      <c r="N281" s="1" t="s">
        <v>110</v>
      </c>
      <c r="O281" s="1" t="s">
        <v>110</v>
      </c>
      <c r="P281" s="1" t="s">
        <v>110</v>
      </c>
      <c r="Q281" s="5">
        <v>45078</v>
      </c>
      <c r="R281" s="1" t="s">
        <v>531</v>
      </c>
      <c r="S281" s="1" t="s">
        <v>534</v>
      </c>
      <c r="T281" s="5">
        <v>45078</v>
      </c>
      <c r="U281" s="5">
        <v>45086</v>
      </c>
      <c r="V281" s="1" t="s">
        <v>2147</v>
      </c>
      <c r="W281" s="4">
        <v>1</v>
      </c>
      <c r="X281" s="6">
        <v>400000</v>
      </c>
      <c r="Y281" s="6">
        <v>400000</v>
      </c>
      <c r="Z281" s="1">
        <v>1</v>
      </c>
      <c r="AA281" s="6">
        <v>400000</v>
      </c>
      <c r="AB281" s="1" t="s">
        <v>2167</v>
      </c>
      <c r="AC281" s="6">
        <v>4000</v>
      </c>
      <c r="AD281" s="1" t="s">
        <v>1100</v>
      </c>
      <c r="AE281" s="1" t="s">
        <v>2094</v>
      </c>
      <c r="AF281" s="1" t="s">
        <v>1186</v>
      </c>
      <c r="AG281" s="1" t="s">
        <v>1522</v>
      </c>
      <c r="AH281" s="6">
        <v>400000</v>
      </c>
      <c r="AI281" s="6">
        <v>400000</v>
      </c>
      <c r="AJ281" s="1" t="s">
        <v>2122</v>
      </c>
      <c r="AK281" s="1"/>
      <c r="AL281" s="1"/>
      <c r="AM281" s="1" t="s">
        <v>2122</v>
      </c>
      <c r="AN281" s="1" t="s">
        <v>225</v>
      </c>
      <c r="AO281" s="1" t="s">
        <v>1128</v>
      </c>
      <c r="AP281" s="1" t="s">
        <v>24</v>
      </c>
      <c r="AQ281" s="1"/>
      <c r="AR281" s="1"/>
      <c r="AS281" s="2"/>
      <c r="AT281" s="7">
        <v>45090.518972337173</v>
      </c>
      <c r="AU281" s="1" t="s">
        <v>542</v>
      </c>
      <c r="AV281" s="1" t="s">
        <v>548</v>
      </c>
      <c r="AW281" s="1" t="s">
        <v>2151</v>
      </c>
      <c r="AX281" s="7">
        <v>45098.428402586993</v>
      </c>
      <c r="AY281" s="1" t="s">
        <v>195</v>
      </c>
      <c r="AZ281" s="6">
        <v>400000</v>
      </c>
      <c r="BA281" s="1"/>
      <c r="BB281" s="5">
        <v>45282</v>
      </c>
      <c r="BC281" s="5">
        <v>45098</v>
      </c>
      <c r="BD281" s="5">
        <v>45098</v>
      </c>
      <c r="BE281" s="7">
        <v>45291</v>
      </c>
      <c r="BF281" s="1" t="s">
        <v>2170</v>
      </c>
      <c r="BG281" s="1"/>
      <c r="BH281" s="1"/>
      <c r="BI281" s="1" t="s">
        <v>226</v>
      </c>
    </row>
    <row r="282" spans="1:61" hidden="1" x14ac:dyDescent="0.25">
      <c r="A282" s="4">
        <v>277</v>
      </c>
      <c r="B282" s="2" t="str">
        <f>HYPERLINK("https://my.zakupivli.pro/remote/dispatcher/state_purchase_view/42989651", "UA-2023-06-01-011135-a")</f>
        <v>UA-2023-06-01-011135-a</v>
      </c>
      <c r="C282" s="2" t="str">
        <f>HYPERLINK("https://my.zakupivli.pro/remote/dispatcher/state_purchase_lot_view/958864", "UA-2023-06-01-011135-a-L1")</f>
        <v>UA-2023-06-01-011135-a-L1</v>
      </c>
      <c r="D282" s="1" t="s">
        <v>1809</v>
      </c>
      <c r="E282" s="1" t="s">
        <v>1808</v>
      </c>
      <c r="F282" s="1" t="s">
        <v>487</v>
      </c>
      <c r="G282" s="1" t="s">
        <v>1074</v>
      </c>
      <c r="H282" s="1" t="s">
        <v>1185</v>
      </c>
      <c r="I282" s="1" t="s">
        <v>2094</v>
      </c>
      <c r="J282" s="1" t="s">
        <v>1145</v>
      </c>
      <c r="K282" s="1" t="s">
        <v>947</v>
      </c>
      <c r="L282" s="1" t="s">
        <v>1533</v>
      </c>
      <c r="M282" s="1" t="s">
        <v>1533</v>
      </c>
      <c r="N282" s="1" t="s">
        <v>110</v>
      </c>
      <c r="O282" s="1" t="s">
        <v>110</v>
      </c>
      <c r="P282" s="1" t="s">
        <v>110</v>
      </c>
      <c r="Q282" s="5">
        <v>45078</v>
      </c>
      <c r="R282" s="1" t="s">
        <v>531</v>
      </c>
      <c r="S282" s="1" t="s">
        <v>534</v>
      </c>
      <c r="T282" s="5">
        <v>45078</v>
      </c>
      <c r="U282" s="5">
        <v>45086</v>
      </c>
      <c r="V282" s="1" t="s">
        <v>2147</v>
      </c>
      <c r="W282" s="4">
        <v>1</v>
      </c>
      <c r="X282" s="6">
        <v>350000</v>
      </c>
      <c r="Y282" s="6">
        <v>350000</v>
      </c>
      <c r="Z282" s="1">
        <v>1</v>
      </c>
      <c r="AA282" s="6">
        <v>350000</v>
      </c>
      <c r="AB282" s="1" t="s">
        <v>2167</v>
      </c>
      <c r="AC282" s="6">
        <v>3500</v>
      </c>
      <c r="AD282" s="1" t="s">
        <v>1100</v>
      </c>
      <c r="AE282" s="1" t="s">
        <v>2094</v>
      </c>
      <c r="AF282" s="1" t="s">
        <v>1186</v>
      </c>
      <c r="AG282" s="1" t="s">
        <v>1522</v>
      </c>
      <c r="AH282" s="6">
        <v>350000</v>
      </c>
      <c r="AI282" s="6">
        <v>350000</v>
      </c>
      <c r="AJ282" s="1" t="s">
        <v>2122</v>
      </c>
      <c r="AK282" s="1"/>
      <c r="AL282" s="1"/>
      <c r="AM282" s="1" t="s">
        <v>2122</v>
      </c>
      <c r="AN282" s="1" t="s">
        <v>225</v>
      </c>
      <c r="AO282" s="1" t="s">
        <v>1128</v>
      </c>
      <c r="AP282" s="1" t="s">
        <v>24</v>
      </c>
      <c r="AQ282" s="1"/>
      <c r="AR282" s="1"/>
      <c r="AS282" s="2"/>
      <c r="AT282" s="7">
        <v>45090.524715605854</v>
      </c>
      <c r="AU282" s="1" t="s">
        <v>542</v>
      </c>
      <c r="AV282" s="1" t="s">
        <v>548</v>
      </c>
      <c r="AW282" s="1" t="s">
        <v>2151</v>
      </c>
      <c r="AX282" s="7">
        <v>45098.421034213992</v>
      </c>
      <c r="AY282" s="1" t="s">
        <v>196</v>
      </c>
      <c r="AZ282" s="6">
        <v>350000</v>
      </c>
      <c r="BA282" s="1"/>
      <c r="BB282" s="5">
        <v>45282</v>
      </c>
      <c r="BC282" s="5">
        <v>45098</v>
      </c>
      <c r="BD282" s="5">
        <v>45098</v>
      </c>
      <c r="BE282" s="7">
        <v>45291</v>
      </c>
      <c r="BF282" s="1" t="s">
        <v>2170</v>
      </c>
      <c r="BG282" s="1"/>
      <c r="BH282" s="1"/>
      <c r="BI282" s="1" t="s">
        <v>226</v>
      </c>
    </row>
    <row r="283" spans="1:61" hidden="1" x14ac:dyDescent="0.25">
      <c r="A283" s="4">
        <v>278</v>
      </c>
      <c r="B283" s="2" t="str">
        <f>HYPERLINK("https://my.zakupivli.pro/remote/dispatcher/state_purchase_view/42990241", "UA-2023-06-01-011416-a")</f>
        <v>UA-2023-06-01-011416-a</v>
      </c>
      <c r="C283" s="2" t="str">
        <f>HYPERLINK("https://my.zakupivli.pro/remote/dispatcher/state_purchase_lot_view/958900", "UA-2023-06-01-011416-a-L1")</f>
        <v>UA-2023-06-01-011416-a-L1</v>
      </c>
      <c r="D283" s="1" t="s">
        <v>1306</v>
      </c>
      <c r="E283" s="1" t="s">
        <v>1305</v>
      </c>
      <c r="F283" s="1" t="s">
        <v>487</v>
      </c>
      <c r="G283" s="1" t="s">
        <v>970</v>
      </c>
      <c r="H283" s="1" t="s">
        <v>1185</v>
      </c>
      <c r="I283" s="1" t="s">
        <v>2094</v>
      </c>
      <c r="J283" s="1" t="s">
        <v>1145</v>
      </c>
      <c r="K283" s="1" t="s">
        <v>947</v>
      </c>
      <c r="L283" s="1" t="s">
        <v>1533</v>
      </c>
      <c r="M283" s="1" t="s">
        <v>1533</v>
      </c>
      <c r="N283" s="1" t="s">
        <v>110</v>
      </c>
      <c r="O283" s="1" t="s">
        <v>110</v>
      </c>
      <c r="P283" s="1" t="s">
        <v>110</v>
      </c>
      <c r="Q283" s="5">
        <v>45078</v>
      </c>
      <c r="R283" s="1" t="s">
        <v>531</v>
      </c>
      <c r="S283" s="1" t="s">
        <v>534</v>
      </c>
      <c r="T283" s="5">
        <v>45078</v>
      </c>
      <c r="U283" s="5">
        <v>45086</v>
      </c>
      <c r="V283" s="1" t="s">
        <v>2147</v>
      </c>
      <c r="W283" s="4">
        <v>1</v>
      </c>
      <c r="X283" s="6">
        <v>576134</v>
      </c>
      <c r="Y283" s="6">
        <v>576134</v>
      </c>
      <c r="Z283" s="1">
        <v>1</v>
      </c>
      <c r="AA283" s="6">
        <v>576134</v>
      </c>
      <c r="AB283" s="1" t="s">
        <v>2167</v>
      </c>
      <c r="AC283" s="6">
        <v>5761.34</v>
      </c>
      <c r="AD283" s="1" t="s">
        <v>1100</v>
      </c>
      <c r="AE283" s="1" t="s">
        <v>2094</v>
      </c>
      <c r="AF283" s="1" t="s">
        <v>1186</v>
      </c>
      <c r="AG283" s="1" t="s">
        <v>1522</v>
      </c>
      <c r="AH283" s="6">
        <v>575850.64</v>
      </c>
      <c r="AI283" s="6">
        <v>575850.64</v>
      </c>
      <c r="AJ283" s="1" t="s">
        <v>2118</v>
      </c>
      <c r="AK283" s="6">
        <v>283.35999999998603</v>
      </c>
      <c r="AL283" s="6">
        <v>4.9183002565372997E-4</v>
      </c>
      <c r="AM283" s="1" t="s">
        <v>2118</v>
      </c>
      <c r="AN283" s="1" t="s">
        <v>808</v>
      </c>
      <c r="AO283" s="1" t="s">
        <v>1104</v>
      </c>
      <c r="AP283" s="1" t="s">
        <v>43</v>
      </c>
      <c r="AQ283" s="6">
        <v>283.35999999998603</v>
      </c>
      <c r="AR283" s="6">
        <v>4.9183002565372997E-4</v>
      </c>
      <c r="AS283" s="2"/>
      <c r="AT283" s="7">
        <v>45086.606415868067</v>
      </c>
      <c r="AU283" s="1" t="s">
        <v>540</v>
      </c>
      <c r="AV283" s="1" t="s">
        <v>546</v>
      </c>
      <c r="AW283" s="1" t="s">
        <v>2151</v>
      </c>
      <c r="AX283" s="7">
        <v>45092.688693297627</v>
      </c>
      <c r="AY283" s="1" t="s">
        <v>191</v>
      </c>
      <c r="AZ283" s="6">
        <v>575850.64</v>
      </c>
      <c r="BA283" s="1"/>
      <c r="BB283" s="5">
        <v>45138</v>
      </c>
      <c r="BC283" s="5">
        <v>45092</v>
      </c>
      <c r="BD283" s="5">
        <v>45092</v>
      </c>
      <c r="BE283" s="7">
        <v>45291</v>
      </c>
      <c r="BF283" s="1" t="s">
        <v>2170</v>
      </c>
      <c r="BG283" s="1"/>
      <c r="BH283" s="1"/>
      <c r="BI283" s="1" t="s">
        <v>809</v>
      </c>
    </row>
    <row r="284" spans="1:61" hidden="1" x14ac:dyDescent="0.25">
      <c r="A284" s="4">
        <v>279</v>
      </c>
      <c r="B284" s="2" t="str">
        <f>HYPERLINK("https://my.zakupivli.pro/remote/dispatcher/state_purchase_view/42991003", "UA-2023-06-01-011754-a")</f>
        <v>UA-2023-06-01-011754-a</v>
      </c>
      <c r="C284" s="2" t="str">
        <f>HYPERLINK("https://my.zakupivli.pro/remote/dispatcher/state_purchase_lot_view/958930", "UA-2023-06-01-011754-a-L1")</f>
        <v>UA-2023-06-01-011754-a-L1</v>
      </c>
      <c r="D284" s="1" t="s">
        <v>1298</v>
      </c>
      <c r="E284" s="1" t="s">
        <v>1297</v>
      </c>
      <c r="F284" s="1" t="s">
        <v>487</v>
      </c>
      <c r="G284" s="1" t="s">
        <v>976</v>
      </c>
      <c r="H284" s="1" t="s">
        <v>1185</v>
      </c>
      <c r="I284" s="1" t="s">
        <v>2094</v>
      </c>
      <c r="J284" s="1" t="s">
        <v>1145</v>
      </c>
      <c r="K284" s="1" t="s">
        <v>947</v>
      </c>
      <c r="L284" s="1" t="s">
        <v>1533</v>
      </c>
      <c r="M284" s="1" t="s">
        <v>1533</v>
      </c>
      <c r="N284" s="1" t="s">
        <v>110</v>
      </c>
      <c r="O284" s="1" t="s">
        <v>110</v>
      </c>
      <c r="P284" s="1" t="s">
        <v>110</v>
      </c>
      <c r="Q284" s="5">
        <v>45078</v>
      </c>
      <c r="R284" s="1" t="s">
        <v>531</v>
      </c>
      <c r="S284" s="1" t="s">
        <v>534</v>
      </c>
      <c r="T284" s="5">
        <v>45078</v>
      </c>
      <c r="U284" s="5">
        <v>45086</v>
      </c>
      <c r="V284" s="1" t="s">
        <v>2147</v>
      </c>
      <c r="W284" s="4">
        <v>1</v>
      </c>
      <c r="X284" s="6">
        <v>264876</v>
      </c>
      <c r="Y284" s="6">
        <v>264876</v>
      </c>
      <c r="Z284" s="1">
        <v>1</v>
      </c>
      <c r="AA284" s="6">
        <v>264876</v>
      </c>
      <c r="AB284" s="1" t="s">
        <v>2167</v>
      </c>
      <c r="AC284" s="6">
        <v>2648.76</v>
      </c>
      <c r="AD284" s="1" t="s">
        <v>1100</v>
      </c>
      <c r="AE284" s="1" t="s">
        <v>2094</v>
      </c>
      <c r="AF284" s="1" t="s">
        <v>1186</v>
      </c>
      <c r="AG284" s="1" t="s">
        <v>1522</v>
      </c>
      <c r="AH284" s="6">
        <v>264196</v>
      </c>
      <c r="AI284" s="6">
        <v>264196</v>
      </c>
      <c r="AJ284" s="1" t="s">
        <v>2037</v>
      </c>
      <c r="AK284" s="6">
        <v>680</v>
      </c>
      <c r="AL284" s="6">
        <v>2.5672390099518265E-3</v>
      </c>
      <c r="AM284" s="1" t="s">
        <v>2037</v>
      </c>
      <c r="AN284" s="1" t="s">
        <v>295</v>
      </c>
      <c r="AO284" s="1" t="s">
        <v>297</v>
      </c>
      <c r="AP284" s="1" t="s">
        <v>94</v>
      </c>
      <c r="AQ284" s="6">
        <v>680</v>
      </c>
      <c r="AR284" s="6">
        <v>2.5672390099518265E-3</v>
      </c>
      <c r="AS284" s="2"/>
      <c r="AT284" s="7">
        <v>45092.511514184283</v>
      </c>
      <c r="AU284" s="1" t="s">
        <v>544</v>
      </c>
      <c r="AV284" s="1" t="s">
        <v>549</v>
      </c>
      <c r="AW284" s="1" t="s">
        <v>2151</v>
      </c>
      <c r="AX284" s="7">
        <v>45100.573573713555</v>
      </c>
      <c r="AY284" s="1" t="s">
        <v>203</v>
      </c>
      <c r="AZ284" s="6">
        <v>264196</v>
      </c>
      <c r="BA284" s="1"/>
      <c r="BB284" s="5">
        <v>45138</v>
      </c>
      <c r="BC284" s="5">
        <v>45100</v>
      </c>
      <c r="BD284" s="5">
        <v>45100</v>
      </c>
      <c r="BE284" s="7">
        <v>45291</v>
      </c>
      <c r="BF284" s="1" t="s">
        <v>2170</v>
      </c>
      <c r="BG284" s="1"/>
      <c r="BH284" s="1"/>
      <c r="BI284" s="1" t="s">
        <v>296</v>
      </c>
    </row>
    <row r="285" spans="1:61" hidden="1" x14ac:dyDescent="0.25">
      <c r="A285" s="4">
        <v>280</v>
      </c>
      <c r="B285" s="2" t="str">
        <f>HYPERLINK("https://my.zakupivli.pro/remote/dispatcher/state_purchase_view/42900920", "UA-2023-05-29-007342-a")</f>
        <v>UA-2023-05-29-007342-a</v>
      </c>
      <c r="C285" s="2" t="s">
        <v>1516</v>
      </c>
      <c r="D285" s="1" t="s">
        <v>1861</v>
      </c>
      <c r="E285" s="1" t="s">
        <v>1861</v>
      </c>
      <c r="F285" s="1" t="s">
        <v>487</v>
      </c>
      <c r="G285" s="1" t="s">
        <v>966</v>
      </c>
      <c r="H285" s="1" t="s">
        <v>1218</v>
      </c>
      <c r="I285" s="1" t="s">
        <v>2094</v>
      </c>
      <c r="J285" s="1" t="s">
        <v>1145</v>
      </c>
      <c r="K285" s="1" t="s">
        <v>947</v>
      </c>
      <c r="L285" s="1" t="s">
        <v>1533</v>
      </c>
      <c r="M285" s="1" t="s">
        <v>1533</v>
      </c>
      <c r="N285" s="1" t="s">
        <v>110</v>
      </c>
      <c r="O285" s="1" t="s">
        <v>110</v>
      </c>
      <c r="P285" s="1" t="s">
        <v>110</v>
      </c>
      <c r="Q285" s="5">
        <v>45075</v>
      </c>
      <c r="R285" s="1"/>
      <c r="S285" s="1"/>
      <c r="T285" s="1"/>
      <c r="U285" s="1"/>
      <c r="V285" s="1" t="s">
        <v>2146</v>
      </c>
      <c r="W285" s="4">
        <v>1</v>
      </c>
      <c r="X285" s="6">
        <v>49640</v>
      </c>
      <c r="Y285" s="1" t="s">
        <v>1516</v>
      </c>
      <c r="Z285" s="1">
        <v>1</v>
      </c>
      <c r="AA285" s="6">
        <v>49640</v>
      </c>
      <c r="AB285" s="1" t="s">
        <v>2167</v>
      </c>
      <c r="AC285" s="1" t="s">
        <v>2162</v>
      </c>
      <c r="AD285" s="1" t="s">
        <v>1100</v>
      </c>
      <c r="AE285" s="1" t="s">
        <v>1522</v>
      </c>
      <c r="AF285" s="1" t="s">
        <v>1186</v>
      </c>
      <c r="AG285" s="1" t="s">
        <v>1522</v>
      </c>
      <c r="AH285" s="6">
        <v>49640</v>
      </c>
      <c r="AI285" s="6">
        <v>49640</v>
      </c>
      <c r="AJ285" s="1" t="s">
        <v>2044</v>
      </c>
      <c r="AK285" s="1"/>
      <c r="AL285" s="1"/>
      <c r="AM285" s="1" t="s">
        <v>2044</v>
      </c>
      <c r="AN285" s="1" t="s">
        <v>913</v>
      </c>
      <c r="AO285" s="1"/>
      <c r="AP285" s="1" t="s">
        <v>44</v>
      </c>
      <c r="AQ285" s="1"/>
      <c r="AR285" s="1"/>
      <c r="AS285" s="2"/>
      <c r="AT285" s="1"/>
      <c r="AU285" s="1"/>
      <c r="AV285" s="1"/>
      <c r="AW285" s="1" t="s">
        <v>2152</v>
      </c>
      <c r="AX285" s="7">
        <v>45075.588174316275</v>
      </c>
      <c r="AY285" s="1" t="s">
        <v>158</v>
      </c>
      <c r="AZ285" s="6">
        <v>49640</v>
      </c>
      <c r="BA285" s="5">
        <v>45070</v>
      </c>
      <c r="BB285" s="5">
        <v>45137</v>
      </c>
      <c r="BC285" s="5">
        <v>45070</v>
      </c>
      <c r="BD285" s="5">
        <v>45070</v>
      </c>
      <c r="BE285" s="7">
        <v>45291</v>
      </c>
      <c r="BF285" s="1" t="s">
        <v>2170</v>
      </c>
      <c r="BG285" s="1"/>
      <c r="BH285" s="1"/>
      <c r="BI285" s="1" t="s">
        <v>108</v>
      </c>
    </row>
    <row r="286" spans="1:61" hidden="1" x14ac:dyDescent="0.25">
      <c r="A286" s="4">
        <v>281</v>
      </c>
      <c r="B286" s="2" t="str">
        <f>HYPERLINK("https://my.zakupivli.pro/remote/dispatcher/state_purchase_view/42900763", "UA-2023-05-29-007224-a")</f>
        <v>UA-2023-05-29-007224-a</v>
      </c>
      <c r="C286" s="2" t="s">
        <v>1516</v>
      </c>
      <c r="D286" s="1" t="s">
        <v>1860</v>
      </c>
      <c r="E286" s="1" t="s">
        <v>1860</v>
      </c>
      <c r="F286" s="1" t="s">
        <v>487</v>
      </c>
      <c r="G286" s="1" t="s">
        <v>966</v>
      </c>
      <c r="H286" s="1" t="s">
        <v>1218</v>
      </c>
      <c r="I286" s="1" t="s">
        <v>2094</v>
      </c>
      <c r="J286" s="1" t="s">
        <v>1145</v>
      </c>
      <c r="K286" s="1" t="s">
        <v>947</v>
      </c>
      <c r="L286" s="1" t="s">
        <v>1533</v>
      </c>
      <c r="M286" s="1" t="s">
        <v>1533</v>
      </c>
      <c r="N286" s="1" t="s">
        <v>110</v>
      </c>
      <c r="O286" s="1" t="s">
        <v>110</v>
      </c>
      <c r="P286" s="1" t="s">
        <v>110</v>
      </c>
      <c r="Q286" s="5">
        <v>45075</v>
      </c>
      <c r="R286" s="1"/>
      <c r="S286" s="1"/>
      <c r="T286" s="1"/>
      <c r="U286" s="1"/>
      <c r="V286" s="1" t="s">
        <v>2146</v>
      </c>
      <c r="W286" s="4">
        <v>1</v>
      </c>
      <c r="X286" s="6">
        <v>49640</v>
      </c>
      <c r="Y286" s="1" t="s">
        <v>1516</v>
      </c>
      <c r="Z286" s="1">
        <v>1</v>
      </c>
      <c r="AA286" s="6">
        <v>49640</v>
      </c>
      <c r="AB286" s="1" t="s">
        <v>2167</v>
      </c>
      <c r="AC286" s="1" t="s">
        <v>2162</v>
      </c>
      <c r="AD286" s="1" t="s">
        <v>1100</v>
      </c>
      <c r="AE286" s="1" t="s">
        <v>1522</v>
      </c>
      <c r="AF286" s="1" t="s">
        <v>1186</v>
      </c>
      <c r="AG286" s="1" t="s">
        <v>1522</v>
      </c>
      <c r="AH286" s="6">
        <v>49640</v>
      </c>
      <c r="AI286" s="6">
        <v>49640</v>
      </c>
      <c r="AJ286" s="1" t="s">
        <v>2044</v>
      </c>
      <c r="AK286" s="1"/>
      <c r="AL286" s="1"/>
      <c r="AM286" s="1" t="s">
        <v>2044</v>
      </c>
      <c r="AN286" s="1" t="s">
        <v>913</v>
      </c>
      <c r="AO286" s="1"/>
      <c r="AP286" s="1" t="s">
        <v>44</v>
      </c>
      <c r="AQ286" s="1"/>
      <c r="AR286" s="1"/>
      <c r="AS286" s="2"/>
      <c r="AT286" s="1"/>
      <c r="AU286" s="1"/>
      <c r="AV286" s="1"/>
      <c r="AW286" s="1" t="s">
        <v>2152</v>
      </c>
      <c r="AX286" s="7">
        <v>45075.584896005159</v>
      </c>
      <c r="AY286" s="1" t="s">
        <v>159</v>
      </c>
      <c r="AZ286" s="6">
        <v>49640</v>
      </c>
      <c r="BA286" s="5">
        <v>45070</v>
      </c>
      <c r="BB286" s="5">
        <v>45137</v>
      </c>
      <c r="BC286" s="5">
        <v>45070</v>
      </c>
      <c r="BD286" s="5">
        <v>45070</v>
      </c>
      <c r="BE286" s="7">
        <v>45291</v>
      </c>
      <c r="BF286" s="1" t="s">
        <v>2170</v>
      </c>
      <c r="BG286" s="1"/>
      <c r="BH286" s="1"/>
      <c r="BI286" s="1" t="s">
        <v>108</v>
      </c>
    </row>
    <row r="287" spans="1:61" hidden="1" x14ac:dyDescent="0.25">
      <c r="A287" s="4">
        <v>282</v>
      </c>
      <c r="B287" s="2" t="str">
        <f>HYPERLINK("https://my.zakupivli.pro/remote/dispatcher/state_purchase_view/42823242", "UA-2023-05-24-014660-a")</f>
        <v>UA-2023-05-24-014660-a</v>
      </c>
      <c r="C287" s="2" t="str">
        <f>HYPERLINK("https://my.zakupivli.pro/remote/dispatcher/state_purchase_lot_view/953018", "UA-2023-05-24-014660-a-L1")</f>
        <v>UA-2023-05-24-014660-a-L1</v>
      </c>
      <c r="D287" s="1" t="s">
        <v>1288</v>
      </c>
      <c r="E287" s="1" t="s">
        <v>1287</v>
      </c>
      <c r="F287" s="1" t="s">
        <v>487</v>
      </c>
      <c r="G287" s="1" t="s">
        <v>976</v>
      </c>
      <c r="H287" s="1" t="s">
        <v>1185</v>
      </c>
      <c r="I287" s="1" t="s">
        <v>2094</v>
      </c>
      <c r="J287" s="1" t="s">
        <v>1145</v>
      </c>
      <c r="K287" s="1" t="s">
        <v>947</v>
      </c>
      <c r="L287" s="1" t="s">
        <v>1533</v>
      </c>
      <c r="M287" s="1" t="s">
        <v>1533</v>
      </c>
      <c r="N287" s="1" t="s">
        <v>110</v>
      </c>
      <c r="O287" s="1" t="s">
        <v>110</v>
      </c>
      <c r="P287" s="1" t="s">
        <v>110</v>
      </c>
      <c r="Q287" s="5">
        <v>45070</v>
      </c>
      <c r="R287" s="1" t="s">
        <v>528</v>
      </c>
      <c r="S287" s="1" t="s">
        <v>529</v>
      </c>
      <c r="T287" s="5">
        <v>45070</v>
      </c>
      <c r="U287" s="5">
        <v>45078</v>
      </c>
      <c r="V287" s="1" t="s">
        <v>2147</v>
      </c>
      <c r="W287" s="4">
        <v>1</v>
      </c>
      <c r="X287" s="6">
        <v>401913</v>
      </c>
      <c r="Y287" s="6">
        <v>401913</v>
      </c>
      <c r="Z287" s="1">
        <v>1</v>
      </c>
      <c r="AA287" s="6">
        <v>401913</v>
      </c>
      <c r="AB287" s="1" t="s">
        <v>2167</v>
      </c>
      <c r="AC287" s="6">
        <v>4019.13</v>
      </c>
      <c r="AD287" s="1" t="s">
        <v>1100</v>
      </c>
      <c r="AE287" s="1" t="s">
        <v>2094</v>
      </c>
      <c r="AF287" s="1" t="s">
        <v>1186</v>
      </c>
      <c r="AG287" s="1" t="s">
        <v>1522</v>
      </c>
      <c r="AH287" s="6">
        <v>401495.44</v>
      </c>
      <c r="AI287" s="6">
        <v>401495.44</v>
      </c>
      <c r="AJ287" s="1" t="s">
        <v>2037</v>
      </c>
      <c r="AK287" s="6">
        <v>417.55999999999767</v>
      </c>
      <c r="AL287" s="6">
        <v>1.0389313110051122E-3</v>
      </c>
      <c r="AM287" s="1" t="s">
        <v>2037</v>
      </c>
      <c r="AN287" s="1" t="s">
        <v>295</v>
      </c>
      <c r="AO287" s="1" t="s">
        <v>297</v>
      </c>
      <c r="AP287" s="1" t="s">
        <v>94</v>
      </c>
      <c r="AQ287" s="6">
        <v>417.55999999999767</v>
      </c>
      <c r="AR287" s="6">
        <v>1.0389313110051122E-3</v>
      </c>
      <c r="AS287" s="2"/>
      <c r="AT287" s="7">
        <v>45084.525863889117</v>
      </c>
      <c r="AU287" s="1" t="s">
        <v>538</v>
      </c>
      <c r="AV287" s="1" t="s">
        <v>545</v>
      </c>
      <c r="AW287" s="1" t="s">
        <v>2151</v>
      </c>
      <c r="AX287" s="7">
        <v>45092.687384338889</v>
      </c>
      <c r="AY287" s="1" t="s">
        <v>191</v>
      </c>
      <c r="AZ287" s="6">
        <v>401495.44</v>
      </c>
      <c r="BA287" s="1"/>
      <c r="BB287" s="5">
        <v>45138</v>
      </c>
      <c r="BC287" s="5">
        <v>45092</v>
      </c>
      <c r="BD287" s="5">
        <v>45092</v>
      </c>
      <c r="BE287" s="7">
        <v>45291</v>
      </c>
      <c r="BF287" s="1" t="s">
        <v>2170</v>
      </c>
      <c r="BG287" s="1"/>
      <c r="BH287" s="1"/>
      <c r="BI287" s="1" t="s">
        <v>296</v>
      </c>
    </row>
    <row r="288" spans="1:61" hidden="1" x14ac:dyDescent="0.25">
      <c r="A288" s="4">
        <v>283</v>
      </c>
      <c r="B288" s="2" t="str">
        <f>HYPERLINK("https://my.zakupivli.pro/remote/dispatcher/state_purchase_view/42823000", "UA-2023-05-24-014558-a")</f>
        <v>UA-2023-05-24-014558-a</v>
      </c>
      <c r="C288" s="2" t="str">
        <f>HYPERLINK("https://my.zakupivli.pro/remote/dispatcher/state_purchase_lot_view/953012", "UA-2023-05-24-014558-a-L1")</f>
        <v>UA-2023-05-24-014558-a-L1</v>
      </c>
      <c r="D288" s="1" t="s">
        <v>1290</v>
      </c>
      <c r="E288" s="1" t="s">
        <v>1289</v>
      </c>
      <c r="F288" s="1" t="s">
        <v>487</v>
      </c>
      <c r="G288" s="1" t="s">
        <v>970</v>
      </c>
      <c r="H288" s="1" t="s">
        <v>1185</v>
      </c>
      <c r="I288" s="1" t="s">
        <v>2094</v>
      </c>
      <c r="J288" s="1" t="s">
        <v>1145</v>
      </c>
      <c r="K288" s="1" t="s">
        <v>947</v>
      </c>
      <c r="L288" s="1" t="s">
        <v>1533</v>
      </c>
      <c r="M288" s="1" t="s">
        <v>1533</v>
      </c>
      <c r="N288" s="1" t="s">
        <v>110</v>
      </c>
      <c r="O288" s="1" t="s">
        <v>110</v>
      </c>
      <c r="P288" s="1" t="s">
        <v>110</v>
      </c>
      <c r="Q288" s="5">
        <v>45070</v>
      </c>
      <c r="R288" s="1" t="s">
        <v>528</v>
      </c>
      <c r="S288" s="1" t="s">
        <v>529</v>
      </c>
      <c r="T288" s="5">
        <v>45070</v>
      </c>
      <c r="U288" s="5">
        <v>45078</v>
      </c>
      <c r="V288" s="1" t="s">
        <v>2147</v>
      </c>
      <c r="W288" s="4">
        <v>0</v>
      </c>
      <c r="X288" s="6">
        <v>264876</v>
      </c>
      <c r="Y288" s="6">
        <v>264876</v>
      </c>
      <c r="Z288" s="1">
        <v>1</v>
      </c>
      <c r="AA288" s="6">
        <v>264876</v>
      </c>
      <c r="AB288" s="1" t="s">
        <v>2167</v>
      </c>
      <c r="AC288" s="6">
        <v>2648.76</v>
      </c>
      <c r="AD288" s="1" t="s">
        <v>1100</v>
      </c>
      <c r="AE288" s="1" t="s">
        <v>2094</v>
      </c>
      <c r="AF288" s="1" t="s">
        <v>1186</v>
      </c>
      <c r="AG288" s="1" t="s">
        <v>1522</v>
      </c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2"/>
      <c r="AT288" s="1"/>
      <c r="AU288" s="1"/>
      <c r="AV288" s="1"/>
      <c r="AW288" s="1" t="s">
        <v>2153</v>
      </c>
      <c r="AX288" s="7">
        <v>45078.001782824547</v>
      </c>
      <c r="AY288" s="1"/>
      <c r="AZ288" s="1"/>
      <c r="BA288" s="1"/>
      <c r="BB288" s="5">
        <v>45138</v>
      </c>
      <c r="BC288" s="1" t="s">
        <v>109</v>
      </c>
      <c r="BD288" s="1" t="s">
        <v>109</v>
      </c>
      <c r="BE288" s="1"/>
      <c r="BF288" s="1"/>
      <c r="BG288" s="1"/>
      <c r="BH288" s="1"/>
      <c r="BI288" s="1"/>
    </row>
    <row r="289" spans="1:61" hidden="1" x14ac:dyDescent="0.25">
      <c r="A289" s="4">
        <v>284</v>
      </c>
      <c r="B289" s="2" t="str">
        <f>HYPERLINK("https://my.zakupivli.pro/remote/dispatcher/state_purchase_view/42822846", "UA-2023-05-24-014474-a")</f>
        <v>UA-2023-05-24-014474-a</v>
      </c>
      <c r="C289" s="2" t="str">
        <f>HYPERLINK("https://my.zakupivli.pro/remote/dispatcher/state_purchase_lot_view/953000", "UA-2023-05-24-014474-a-L1")</f>
        <v>UA-2023-05-24-014474-a-L1</v>
      </c>
      <c r="D289" s="1" t="s">
        <v>1298</v>
      </c>
      <c r="E289" s="1" t="s">
        <v>1297</v>
      </c>
      <c r="F289" s="1" t="s">
        <v>487</v>
      </c>
      <c r="G289" s="1" t="s">
        <v>976</v>
      </c>
      <c r="H289" s="1" t="s">
        <v>1185</v>
      </c>
      <c r="I289" s="1" t="s">
        <v>2094</v>
      </c>
      <c r="J289" s="1" t="s">
        <v>1145</v>
      </c>
      <c r="K289" s="1" t="s">
        <v>947</v>
      </c>
      <c r="L289" s="1" t="s">
        <v>1533</v>
      </c>
      <c r="M289" s="1" t="s">
        <v>1533</v>
      </c>
      <c r="N289" s="1" t="s">
        <v>110</v>
      </c>
      <c r="O289" s="1" t="s">
        <v>110</v>
      </c>
      <c r="P289" s="1" t="s">
        <v>110</v>
      </c>
      <c r="Q289" s="5">
        <v>45070</v>
      </c>
      <c r="R289" s="1" t="s">
        <v>528</v>
      </c>
      <c r="S289" s="1" t="s">
        <v>529</v>
      </c>
      <c r="T289" s="5">
        <v>45070</v>
      </c>
      <c r="U289" s="5">
        <v>45078</v>
      </c>
      <c r="V289" s="1" t="s">
        <v>2147</v>
      </c>
      <c r="W289" s="4">
        <v>0</v>
      </c>
      <c r="X289" s="6">
        <v>68108</v>
      </c>
      <c r="Y289" s="6">
        <v>68108</v>
      </c>
      <c r="Z289" s="1">
        <v>1</v>
      </c>
      <c r="AA289" s="6">
        <v>68108</v>
      </c>
      <c r="AB289" s="1" t="s">
        <v>2167</v>
      </c>
      <c r="AC289" s="6">
        <v>681.08</v>
      </c>
      <c r="AD289" s="1" t="s">
        <v>1100</v>
      </c>
      <c r="AE289" s="1" t="s">
        <v>2094</v>
      </c>
      <c r="AF289" s="1" t="s">
        <v>1186</v>
      </c>
      <c r="AG289" s="1" t="s">
        <v>1522</v>
      </c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2"/>
      <c r="AT289" s="1"/>
      <c r="AU289" s="1"/>
      <c r="AV289" s="1"/>
      <c r="AW289" s="1" t="s">
        <v>2153</v>
      </c>
      <c r="AX289" s="7">
        <v>45078.002905387497</v>
      </c>
      <c r="AY289" s="1"/>
      <c r="AZ289" s="1"/>
      <c r="BA289" s="1"/>
      <c r="BB289" s="5">
        <v>45138</v>
      </c>
      <c r="BC289" s="1" t="s">
        <v>109</v>
      </c>
      <c r="BD289" s="1" t="s">
        <v>109</v>
      </c>
      <c r="BE289" s="1"/>
      <c r="BF289" s="1"/>
      <c r="BG289" s="1"/>
      <c r="BH289" s="1"/>
      <c r="BI289" s="1"/>
    </row>
    <row r="290" spans="1:61" hidden="1" x14ac:dyDescent="0.25">
      <c r="A290" s="4">
        <v>285</v>
      </c>
      <c r="B290" s="2" t="str">
        <f>HYPERLINK("https://my.zakupivli.pro/remote/dispatcher/state_purchase_view/42822723", "UA-2023-05-24-014389-a")</f>
        <v>UA-2023-05-24-014389-a</v>
      </c>
      <c r="C290" s="2" t="str">
        <f>HYPERLINK("https://my.zakupivli.pro/remote/dispatcher/state_purchase_lot_view/952991", "UA-2023-05-24-014389-a-L1")</f>
        <v>UA-2023-05-24-014389-a-L1</v>
      </c>
      <c r="D290" s="1" t="s">
        <v>1306</v>
      </c>
      <c r="E290" s="1" t="s">
        <v>1305</v>
      </c>
      <c r="F290" s="1" t="s">
        <v>487</v>
      </c>
      <c r="G290" s="1" t="s">
        <v>970</v>
      </c>
      <c r="H290" s="1" t="s">
        <v>1185</v>
      </c>
      <c r="I290" s="1" t="s">
        <v>2094</v>
      </c>
      <c r="J290" s="1" t="s">
        <v>1145</v>
      </c>
      <c r="K290" s="1" t="s">
        <v>947</v>
      </c>
      <c r="L290" s="1" t="s">
        <v>1533</v>
      </c>
      <c r="M290" s="1" t="s">
        <v>1533</v>
      </c>
      <c r="N290" s="1" t="s">
        <v>110</v>
      </c>
      <c r="O290" s="1" t="s">
        <v>110</v>
      </c>
      <c r="P290" s="1" t="s">
        <v>110</v>
      </c>
      <c r="Q290" s="5">
        <v>45070</v>
      </c>
      <c r="R290" s="1" t="s">
        <v>528</v>
      </c>
      <c r="S290" s="1" t="s">
        <v>529</v>
      </c>
      <c r="T290" s="5">
        <v>45070</v>
      </c>
      <c r="U290" s="5">
        <v>45078</v>
      </c>
      <c r="V290" s="1" t="s">
        <v>2147</v>
      </c>
      <c r="W290" s="4">
        <v>0</v>
      </c>
      <c r="X290" s="6">
        <v>576134</v>
      </c>
      <c r="Y290" s="6">
        <v>576134</v>
      </c>
      <c r="Z290" s="1">
        <v>1</v>
      </c>
      <c r="AA290" s="6">
        <v>576134</v>
      </c>
      <c r="AB290" s="1" t="s">
        <v>2167</v>
      </c>
      <c r="AC290" s="6">
        <v>5761.34</v>
      </c>
      <c r="AD290" s="1" t="s">
        <v>1100</v>
      </c>
      <c r="AE290" s="1" t="s">
        <v>2094</v>
      </c>
      <c r="AF290" s="1" t="s">
        <v>1186</v>
      </c>
      <c r="AG290" s="1" t="s">
        <v>1522</v>
      </c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2"/>
      <c r="AT290" s="1"/>
      <c r="AU290" s="1"/>
      <c r="AV290" s="1"/>
      <c r="AW290" s="1" t="s">
        <v>2153</v>
      </c>
      <c r="AX290" s="7">
        <v>45078.000347589048</v>
      </c>
      <c r="AY290" s="1"/>
      <c r="AZ290" s="1"/>
      <c r="BA290" s="1"/>
      <c r="BB290" s="5">
        <v>45138</v>
      </c>
      <c r="BC290" s="1" t="s">
        <v>109</v>
      </c>
      <c r="BD290" s="1" t="s">
        <v>109</v>
      </c>
      <c r="BE290" s="1"/>
      <c r="BF290" s="1"/>
      <c r="BG290" s="1"/>
      <c r="BH290" s="1"/>
      <c r="BI290" s="1"/>
    </row>
    <row r="291" spans="1:61" hidden="1" x14ac:dyDescent="0.25">
      <c r="A291" s="4">
        <v>286</v>
      </c>
      <c r="B291" s="2" t="str">
        <f>HYPERLINK("https://my.zakupivli.pro/remote/dispatcher/state_purchase_view/42822083", "UA-2023-05-24-014069-a")</f>
        <v>UA-2023-05-24-014069-a</v>
      </c>
      <c r="C291" s="2" t="str">
        <f>HYPERLINK("https://my.zakupivli.pro/remote/dispatcher/state_purchase_lot_view/952962", "UA-2023-05-24-014069-a-L1")</f>
        <v>UA-2023-05-24-014069-a-L1</v>
      </c>
      <c r="D291" s="1" t="s">
        <v>1397</v>
      </c>
      <c r="E291" s="1" t="s">
        <v>1396</v>
      </c>
      <c r="F291" s="1" t="s">
        <v>487</v>
      </c>
      <c r="G291" s="1" t="s">
        <v>967</v>
      </c>
      <c r="H291" s="1" t="s">
        <v>1185</v>
      </c>
      <c r="I291" s="1" t="s">
        <v>2094</v>
      </c>
      <c r="J291" s="1" t="s">
        <v>1145</v>
      </c>
      <c r="K291" s="1" t="s">
        <v>947</v>
      </c>
      <c r="L291" s="1" t="s">
        <v>1533</v>
      </c>
      <c r="M291" s="1" t="s">
        <v>1533</v>
      </c>
      <c r="N291" s="1" t="s">
        <v>110</v>
      </c>
      <c r="O291" s="1" t="s">
        <v>110</v>
      </c>
      <c r="P291" s="1" t="s">
        <v>110</v>
      </c>
      <c r="Q291" s="5">
        <v>45070</v>
      </c>
      <c r="R291" s="1" t="s">
        <v>528</v>
      </c>
      <c r="S291" s="1" t="s">
        <v>529</v>
      </c>
      <c r="T291" s="5">
        <v>45070</v>
      </c>
      <c r="U291" s="5">
        <v>45078</v>
      </c>
      <c r="V291" s="1" t="s">
        <v>2147</v>
      </c>
      <c r="W291" s="4">
        <v>1</v>
      </c>
      <c r="X291" s="6">
        <v>324425</v>
      </c>
      <c r="Y291" s="6">
        <v>324425</v>
      </c>
      <c r="Z291" s="1">
        <v>1</v>
      </c>
      <c r="AA291" s="6">
        <v>324425</v>
      </c>
      <c r="AB291" s="1" t="s">
        <v>2167</v>
      </c>
      <c r="AC291" s="6">
        <v>3244.25</v>
      </c>
      <c r="AD291" s="1" t="s">
        <v>1100</v>
      </c>
      <c r="AE291" s="1" t="s">
        <v>2094</v>
      </c>
      <c r="AF291" s="1" t="s">
        <v>1186</v>
      </c>
      <c r="AG291" s="1" t="s">
        <v>1522</v>
      </c>
      <c r="AH291" s="6">
        <v>322000</v>
      </c>
      <c r="AI291" s="6">
        <v>322000</v>
      </c>
      <c r="AJ291" s="1" t="s">
        <v>2044</v>
      </c>
      <c r="AK291" s="6">
        <v>2425</v>
      </c>
      <c r="AL291" s="6">
        <v>7.4747630423056179E-3</v>
      </c>
      <c r="AM291" s="1"/>
      <c r="AN291" s="1"/>
      <c r="AO291" s="1"/>
      <c r="AP291" s="1"/>
      <c r="AQ291" s="1"/>
      <c r="AR291" s="1"/>
      <c r="AS291" s="2"/>
      <c r="AT291" s="7">
        <v>45084.583698766932</v>
      </c>
      <c r="AU291" s="1"/>
      <c r="AV291" s="1"/>
      <c r="AW291" s="1" t="s">
        <v>2153</v>
      </c>
      <c r="AX291" s="7">
        <v>45090.000995883682</v>
      </c>
      <c r="AY291" s="1"/>
      <c r="AZ291" s="1"/>
      <c r="BA291" s="1"/>
      <c r="BB291" s="5">
        <v>45138</v>
      </c>
      <c r="BC291" s="1" t="s">
        <v>109</v>
      </c>
      <c r="BD291" s="1" t="s">
        <v>109</v>
      </c>
      <c r="BE291" s="1"/>
      <c r="BF291" s="1"/>
      <c r="BG291" s="1"/>
      <c r="BH291" s="1"/>
      <c r="BI291" s="1" t="s">
        <v>914</v>
      </c>
    </row>
    <row r="292" spans="1:61" hidden="1" x14ac:dyDescent="0.25">
      <c r="A292" s="4">
        <v>287</v>
      </c>
      <c r="B292" s="2" t="str">
        <f>HYPERLINK("https://my.zakupivli.pro/remote/dispatcher/state_purchase_view/42817344", "UA-2023-05-24-011908-a")</f>
        <v>UA-2023-05-24-011908-a</v>
      </c>
      <c r="C292" s="2" t="s">
        <v>1516</v>
      </c>
      <c r="D292" s="1" t="s">
        <v>1504</v>
      </c>
      <c r="E292" s="1" t="s">
        <v>1503</v>
      </c>
      <c r="F292" s="1" t="s">
        <v>487</v>
      </c>
      <c r="G292" s="1" t="s">
        <v>756</v>
      </c>
      <c r="H292" s="1" t="s">
        <v>1218</v>
      </c>
      <c r="I292" s="1" t="s">
        <v>2094</v>
      </c>
      <c r="J292" s="1" t="s">
        <v>1145</v>
      </c>
      <c r="K292" s="1" t="s">
        <v>947</v>
      </c>
      <c r="L292" s="1" t="s">
        <v>1533</v>
      </c>
      <c r="M292" s="1" t="s">
        <v>1533</v>
      </c>
      <c r="N292" s="1" t="s">
        <v>110</v>
      </c>
      <c r="O292" s="1" t="s">
        <v>110</v>
      </c>
      <c r="P292" s="1" t="s">
        <v>110</v>
      </c>
      <c r="Q292" s="5">
        <v>45070</v>
      </c>
      <c r="R292" s="1"/>
      <c r="S292" s="1"/>
      <c r="T292" s="1"/>
      <c r="U292" s="1"/>
      <c r="V292" s="1" t="s">
        <v>2146</v>
      </c>
      <c r="W292" s="4">
        <v>1</v>
      </c>
      <c r="X292" s="6">
        <v>970</v>
      </c>
      <c r="Y292" s="1" t="s">
        <v>1516</v>
      </c>
      <c r="Z292" s="1">
        <v>1</v>
      </c>
      <c r="AA292" s="6">
        <v>970</v>
      </c>
      <c r="AB292" s="1" t="s">
        <v>2175</v>
      </c>
      <c r="AC292" s="1" t="s">
        <v>2162</v>
      </c>
      <c r="AD292" s="1" t="s">
        <v>1100</v>
      </c>
      <c r="AE292" s="1" t="s">
        <v>1522</v>
      </c>
      <c r="AF292" s="1" t="s">
        <v>1186</v>
      </c>
      <c r="AG292" s="1" t="s">
        <v>1522</v>
      </c>
      <c r="AH292" s="6">
        <v>970</v>
      </c>
      <c r="AI292" s="6">
        <v>970</v>
      </c>
      <c r="AJ292" s="1" t="s">
        <v>2140</v>
      </c>
      <c r="AK292" s="1"/>
      <c r="AL292" s="1"/>
      <c r="AM292" s="1" t="s">
        <v>2140</v>
      </c>
      <c r="AN292" s="1" t="s">
        <v>764</v>
      </c>
      <c r="AO292" s="1"/>
      <c r="AP292" s="1" t="s">
        <v>30</v>
      </c>
      <c r="AQ292" s="1"/>
      <c r="AR292" s="1"/>
      <c r="AS292" s="2"/>
      <c r="AT292" s="1"/>
      <c r="AU292" s="1"/>
      <c r="AV292" s="1"/>
      <c r="AW292" s="1" t="s">
        <v>2152</v>
      </c>
      <c r="AX292" s="7">
        <v>45070.657641376551</v>
      </c>
      <c r="AY292" s="1" t="s">
        <v>1082</v>
      </c>
      <c r="AZ292" s="6">
        <v>970</v>
      </c>
      <c r="BA292" s="5">
        <v>45065</v>
      </c>
      <c r="BB292" s="5">
        <v>45075</v>
      </c>
      <c r="BC292" s="5">
        <v>45065</v>
      </c>
      <c r="BD292" s="5">
        <v>45065</v>
      </c>
      <c r="BE292" s="7">
        <v>45291</v>
      </c>
      <c r="BF292" s="1" t="s">
        <v>2170</v>
      </c>
      <c r="BG292" s="1"/>
      <c r="BH292" s="1"/>
      <c r="BI292" s="1" t="s">
        <v>108</v>
      </c>
    </row>
    <row r="293" spans="1:61" hidden="1" x14ac:dyDescent="0.25">
      <c r="A293" s="4">
        <v>288</v>
      </c>
      <c r="B293" s="2" t="str">
        <f>HYPERLINK("https://my.zakupivli.pro/remote/dispatcher/state_purchase_view/42812823", "UA-2023-05-24-009628-a")</f>
        <v>UA-2023-05-24-009628-a</v>
      </c>
      <c r="C293" s="2" t="s">
        <v>1516</v>
      </c>
      <c r="D293" s="1" t="s">
        <v>1811</v>
      </c>
      <c r="E293" s="1" t="s">
        <v>1811</v>
      </c>
      <c r="F293" s="1" t="s">
        <v>487</v>
      </c>
      <c r="G293" s="1" t="s">
        <v>967</v>
      </c>
      <c r="H293" s="1" t="s">
        <v>1218</v>
      </c>
      <c r="I293" s="1" t="s">
        <v>2094</v>
      </c>
      <c r="J293" s="1" t="s">
        <v>1145</v>
      </c>
      <c r="K293" s="1" t="s">
        <v>947</v>
      </c>
      <c r="L293" s="1" t="s">
        <v>1533</v>
      </c>
      <c r="M293" s="1" t="s">
        <v>1533</v>
      </c>
      <c r="N293" s="1" t="s">
        <v>110</v>
      </c>
      <c r="O293" s="1" t="s">
        <v>110</v>
      </c>
      <c r="P293" s="1" t="s">
        <v>110</v>
      </c>
      <c r="Q293" s="5">
        <v>45070</v>
      </c>
      <c r="R293" s="1"/>
      <c r="S293" s="1"/>
      <c r="T293" s="1"/>
      <c r="U293" s="1"/>
      <c r="V293" s="1" t="s">
        <v>2146</v>
      </c>
      <c r="W293" s="4">
        <v>1</v>
      </c>
      <c r="X293" s="6">
        <v>71000</v>
      </c>
      <c r="Y293" s="1" t="s">
        <v>1516</v>
      </c>
      <c r="Z293" s="1">
        <v>1</v>
      </c>
      <c r="AA293" s="6">
        <v>71000</v>
      </c>
      <c r="AB293" s="1" t="s">
        <v>2167</v>
      </c>
      <c r="AC293" s="1" t="s">
        <v>2162</v>
      </c>
      <c r="AD293" s="1" t="s">
        <v>1100</v>
      </c>
      <c r="AE293" s="1" t="s">
        <v>1522</v>
      </c>
      <c r="AF293" s="1" t="s">
        <v>1186</v>
      </c>
      <c r="AG293" s="1" t="s">
        <v>1522</v>
      </c>
      <c r="AH293" s="6">
        <v>71000</v>
      </c>
      <c r="AI293" s="6">
        <v>71000</v>
      </c>
      <c r="AJ293" s="1" t="s">
        <v>2043</v>
      </c>
      <c r="AK293" s="1"/>
      <c r="AL293" s="1"/>
      <c r="AM293" s="1" t="s">
        <v>2043</v>
      </c>
      <c r="AN293" s="1" t="s">
        <v>945</v>
      </c>
      <c r="AO293" s="1"/>
      <c r="AP293" s="1" t="s">
        <v>85</v>
      </c>
      <c r="AQ293" s="1"/>
      <c r="AR293" s="1"/>
      <c r="AS293" s="2"/>
      <c r="AT293" s="1"/>
      <c r="AU293" s="1"/>
      <c r="AV293" s="1"/>
      <c r="AW293" s="1" t="s">
        <v>2152</v>
      </c>
      <c r="AX293" s="7">
        <v>45070.611011254361</v>
      </c>
      <c r="AY293" s="1" t="s">
        <v>156</v>
      </c>
      <c r="AZ293" s="6">
        <v>71000</v>
      </c>
      <c r="BA293" s="5">
        <v>45069</v>
      </c>
      <c r="BB293" s="5">
        <v>45138</v>
      </c>
      <c r="BC293" s="5">
        <v>45069</v>
      </c>
      <c r="BD293" s="5">
        <v>45069</v>
      </c>
      <c r="BE293" s="7">
        <v>45291</v>
      </c>
      <c r="BF293" s="1" t="s">
        <v>2170</v>
      </c>
      <c r="BG293" s="1"/>
      <c r="BH293" s="1"/>
      <c r="BI293" s="1" t="s">
        <v>108</v>
      </c>
    </row>
    <row r="294" spans="1:61" hidden="1" x14ac:dyDescent="0.25">
      <c r="A294" s="4">
        <v>289</v>
      </c>
      <c r="B294" s="2" t="str">
        <f>HYPERLINK("https://my.zakupivli.pro/remote/dispatcher/state_purchase_view/42816405", "UA-2023-05-24-011386-a")</f>
        <v>UA-2023-05-24-011386-a</v>
      </c>
      <c r="C294" s="2" t="s">
        <v>1516</v>
      </c>
      <c r="D294" s="1" t="s">
        <v>1153</v>
      </c>
      <c r="E294" s="1" t="s">
        <v>2138</v>
      </c>
      <c r="F294" s="1" t="s">
        <v>487</v>
      </c>
      <c r="G294" s="1" t="s">
        <v>841</v>
      </c>
      <c r="H294" s="1" t="s">
        <v>1218</v>
      </c>
      <c r="I294" s="1" t="s">
        <v>2094</v>
      </c>
      <c r="J294" s="1" t="s">
        <v>1145</v>
      </c>
      <c r="K294" s="1" t="s">
        <v>947</v>
      </c>
      <c r="L294" s="1" t="s">
        <v>1533</v>
      </c>
      <c r="M294" s="1" t="s">
        <v>1533</v>
      </c>
      <c r="N294" s="1" t="s">
        <v>110</v>
      </c>
      <c r="O294" s="1" t="s">
        <v>110</v>
      </c>
      <c r="P294" s="1" t="s">
        <v>110</v>
      </c>
      <c r="Q294" s="5">
        <v>45070</v>
      </c>
      <c r="R294" s="1"/>
      <c r="S294" s="1"/>
      <c r="T294" s="1"/>
      <c r="U294" s="1"/>
      <c r="V294" s="1" t="s">
        <v>2146</v>
      </c>
      <c r="W294" s="4">
        <v>1</v>
      </c>
      <c r="X294" s="6">
        <v>1400</v>
      </c>
      <c r="Y294" s="1" t="s">
        <v>1516</v>
      </c>
      <c r="Z294" s="1">
        <v>5</v>
      </c>
      <c r="AA294" s="6">
        <v>280</v>
      </c>
      <c r="AB294" s="1" t="s">
        <v>2157</v>
      </c>
      <c r="AC294" s="1" t="s">
        <v>2162</v>
      </c>
      <c r="AD294" s="1" t="s">
        <v>1100</v>
      </c>
      <c r="AE294" s="1" t="s">
        <v>1522</v>
      </c>
      <c r="AF294" s="1" t="s">
        <v>1186</v>
      </c>
      <c r="AG294" s="1" t="s">
        <v>1522</v>
      </c>
      <c r="AH294" s="6">
        <v>1400</v>
      </c>
      <c r="AI294" s="6">
        <v>280</v>
      </c>
      <c r="AJ294" s="1" t="s">
        <v>2140</v>
      </c>
      <c r="AK294" s="1"/>
      <c r="AL294" s="1"/>
      <c r="AM294" s="1" t="s">
        <v>2140</v>
      </c>
      <c r="AN294" s="1" t="s">
        <v>764</v>
      </c>
      <c r="AO294" s="1"/>
      <c r="AP294" s="1" t="s">
        <v>30</v>
      </c>
      <c r="AQ294" s="1"/>
      <c r="AR294" s="1"/>
      <c r="AS294" s="2"/>
      <c r="AT294" s="1"/>
      <c r="AU294" s="1"/>
      <c r="AV294" s="1"/>
      <c r="AW294" s="1" t="s">
        <v>2152</v>
      </c>
      <c r="AX294" s="7">
        <v>45070.647707971955</v>
      </c>
      <c r="AY294" s="1" t="s">
        <v>1081</v>
      </c>
      <c r="AZ294" s="6">
        <v>1400</v>
      </c>
      <c r="BA294" s="5">
        <v>45065</v>
      </c>
      <c r="BB294" s="5">
        <v>45075</v>
      </c>
      <c r="BC294" s="5">
        <v>45065</v>
      </c>
      <c r="BD294" s="5">
        <v>45065</v>
      </c>
      <c r="BE294" s="7">
        <v>45291</v>
      </c>
      <c r="BF294" s="1" t="s">
        <v>2170</v>
      </c>
      <c r="BG294" s="1"/>
      <c r="BH294" s="1"/>
      <c r="BI294" s="1" t="s">
        <v>108</v>
      </c>
    </row>
    <row r="295" spans="1:61" hidden="1" x14ac:dyDescent="0.25">
      <c r="A295" s="4">
        <v>290</v>
      </c>
      <c r="B295" s="2" t="str">
        <f>HYPERLINK("https://my.zakupivli.pro/remote/dispatcher/state_purchase_view/42823334", "UA-2023-05-24-014713-a")</f>
        <v>UA-2023-05-24-014713-a</v>
      </c>
      <c r="C295" s="2" t="str">
        <f>HYPERLINK("https://my.zakupivli.pro/remote/dispatcher/state_purchase_lot_view/953021", "UA-2023-05-24-014713-a-L1")</f>
        <v>UA-2023-05-24-014713-a-L1</v>
      </c>
      <c r="D295" s="1" t="s">
        <v>1292</v>
      </c>
      <c r="E295" s="1" t="s">
        <v>1291</v>
      </c>
      <c r="F295" s="1" t="s">
        <v>487</v>
      </c>
      <c r="G295" s="1" t="s">
        <v>971</v>
      </c>
      <c r="H295" s="1" t="s">
        <v>1185</v>
      </c>
      <c r="I295" s="1" t="s">
        <v>2094</v>
      </c>
      <c r="J295" s="1" t="s">
        <v>1145</v>
      </c>
      <c r="K295" s="1" t="s">
        <v>947</v>
      </c>
      <c r="L295" s="1" t="s">
        <v>1533</v>
      </c>
      <c r="M295" s="1" t="s">
        <v>1533</v>
      </c>
      <c r="N295" s="1" t="s">
        <v>110</v>
      </c>
      <c r="O295" s="1" t="s">
        <v>110</v>
      </c>
      <c r="P295" s="1" t="s">
        <v>110</v>
      </c>
      <c r="Q295" s="5">
        <v>45070</v>
      </c>
      <c r="R295" s="1" t="s">
        <v>528</v>
      </c>
      <c r="S295" s="1" t="s">
        <v>529</v>
      </c>
      <c r="T295" s="5">
        <v>45070</v>
      </c>
      <c r="U295" s="5">
        <v>45078</v>
      </c>
      <c r="V295" s="1" t="s">
        <v>2147</v>
      </c>
      <c r="W295" s="4">
        <v>1</v>
      </c>
      <c r="X295" s="6">
        <v>35225</v>
      </c>
      <c r="Y295" s="6">
        <v>35225</v>
      </c>
      <c r="Z295" s="1">
        <v>1</v>
      </c>
      <c r="AA295" s="6">
        <v>35225</v>
      </c>
      <c r="AB295" s="1" t="s">
        <v>2167</v>
      </c>
      <c r="AC295" s="6">
        <v>352.25</v>
      </c>
      <c r="AD295" s="1" t="s">
        <v>1100</v>
      </c>
      <c r="AE295" s="1" t="s">
        <v>2094</v>
      </c>
      <c r="AF295" s="1" t="s">
        <v>1186</v>
      </c>
      <c r="AG295" s="1" t="s">
        <v>1522</v>
      </c>
      <c r="AH295" s="6">
        <v>34913.1</v>
      </c>
      <c r="AI295" s="6">
        <v>34913.1</v>
      </c>
      <c r="AJ295" s="1" t="s">
        <v>2037</v>
      </c>
      <c r="AK295" s="6">
        <v>311.90000000000146</v>
      </c>
      <c r="AL295" s="6">
        <v>8.8545067423705173E-3</v>
      </c>
      <c r="AM295" s="1" t="s">
        <v>2037</v>
      </c>
      <c r="AN295" s="1" t="s">
        <v>295</v>
      </c>
      <c r="AO295" s="1" t="s">
        <v>297</v>
      </c>
      <c r="AP295" s="1" t="s">
        <v>94</v>
      </c>
      <c r="AQ295" s="6">
        <v>311.90000000000146</v>
      </c>
      <c r="AR295" s="6">
        <v>8.8545067423705173E-3</v>
      </c>
      <c r="AS295" s="2"/>
      <c r="AT295" s="7">
        <v>45082.667468731619</v>
      </c>
      <c r="AU295" s="1" t="s">
        <v>536</v>
      </c>
      <c r="AV295" s="1" t="s">
        <v>544</v>
      </c>
      <c r="AW295" s="1" t="s">
        <v>2151</v>
      </c>
      <c r="AX295" s="7">
        <v>45092.683016569339</v>
      </c>
      <c r="AY295" s="1" t="s">
        <v>193</v>
      </c>
      <c r="AZ295" s="6">
        <v>34913.1</v>
      </c>
      <c r="BA295" s="1"/>
      <c r="BB295" s="5">
        <v>45138</v>
      </c>
      <c r="BC295" s="5">
        <v>45092</v>
      </c>
      <c r="BD295" s="5">
        <v>45092</v>
      </c>
      <c r="BE295" s="7">
        <v>45291</v>
      </c>
      <c r="BF295" s="1" t="s">
        <v>2170</v>
      </c>
      <c r="BG295" s="1"/>
      <c r="BH295" s="1"/>
      <c r="BI295" s="1" t="s">
        <v>296</v>
      </c>
    </row>
    <row r="296" spans="1:61" hidden="1" x14ac:dyDescent="0.25">
      <c r="A296" s="4">
        <v>291</v>
      </c>
      <c r="B296" s="2" t="str">
        <f>HYPERLINK("https://my.zakupivli.pro/remote/dispatcher/state_purchase_view/42683833", "UA-2023-05-18-007777-a")</f>
        <v>UA-2023-05-18-007777-a</v>
      </c>
      <c r="C296" s="2" t="s">
        <v>1516</v>
      </c>
      <c r="D296" s="1" t="s">
        <v>1458</v>
      </c>
      <c r="E296" s="1" t="s">
        <v>1458</v>
      </c>
      <c r="F296" s="1" t="s">
        <v>487</v>
      </c>
      <c r="G296" s="1" t="s">
        <v>1035</v>
      </c>
      <c r="H296" s="1" t="s">
        <v>1218</v>
      </c>
      <c r="I296" s="1" t="s">
        <v>2094</v>
      </c>
      <c r="J296" s="1" t="s">
        <v>1145</v>
      </c>
      <c r="K296" s="1" t="s">
        <v>947</v>
      </c>
      <c r="L296" s="1" t="s">
        <v>1533</v>
      </c>
      <c r="M296" s="1" t="s">
        <v>1533</v>
      </c>
      <c r="N296" s="1" t="s">
        <v>110</v>
      </c>
      <c r="O296" s="1" t="s">
        <v>110</v>
      </c>
      <c r="P296" s="1" t="s">
        <v>110</v>
      </c>
      <c r="Q296" s="5">
        <v>45064</v>
      </c>
      <c r="R296" s="1"/>
      <c r="S296" s="1"/>
      <c r="T296" s="1"/>
      <c r="U296" s="1"/>
      <c r="V296" s="1" t="s">
        <v>2146</v>
      </c>
      <c r="W296" s="4">
        <v>1</v>
      </c>
      <c r="X296" s="6">
        <v>1771</v>
      </c>
      <c r="Y296" s="1" t="s">
        <v>1516</v>
      </c>
      <c r="Z296" s="1">
        <v>1</v>
      </c>
      <c r="AA296" s="6">
        <v>1771</v>
      </c>
      <c r="AB296" s="1" t="s">
        <v>2167</v>
      </c>
      <c r="AC296" s="1" t="s">
        <v>2162</v>
      </c>
      <c r="AD296" s="1" t="s">
        <v>1100</v>
      </c>
      <c r="AE296" s="1" t="s">
        <v>1522</v>
      </c>
      <c r="AF296" s="1" t="s">
        <v>1186</v>
      </c>
      <c r="AG296" s="1" t="s">
        <v>1522</v>
      </c>
      <c r="AH296" s="6">
        <v>1771</v>
      </c>
      <c r="AI296" s="6">
        <v>1771</v>
      </c>
      <c r="AJ296" s="1" t="s">
        <v>1498</v>
      </c>
      <c r="AK296" s="1"/>
      <c r="AL296" s="1"/>
      <c r="AM296" s="1" t="s">
        <v>1498</v>
      </c>
      <c r="AN296" s="1" t="s">
        <v>785</v>
      </c>
      <c r="AO296" s="1"/>
      <c r="AP296" s="1" t="s">
        <v>81</v>
      </c>
      <c r="AQ296" s="1"/>
      <c r="AR296" s="1"/>
      <c r="AS296" s="2"/>
      <c r="AT296" s="1"/>
      <c r="AU296" s="1"/>
      <c r="AV296" s="1"/>
      <c r="AW296" s="1" t="s">
        <v>2152</v>
      </c>
      <c r="AX296" s="7">
        <v>45064.567926197058</v>
      </c>
      <c r="AY296" s="1" t="s">
        <v>1063</v>
      </c>
      <c r="AZ296" s="6">
        <v>1771</v>
      </c>
      <c r="BA296" s="5">
        <v>45061</v>
      </c>
      <c r="BB296" s="5">
        <v>45291</v>
      </c>
      <c r="BC296" s="5">
        <v>45061</v>
      </c>
      <c r="BD296" s="5">
        <v>45061</v>
      </c>
      <c r="BE296" s="7">
        <v>45291</v>
      </c>
      <c r="BF296" s="1" t="s">
        <v>2170</v>
      </c>
      <c r="BG296" s="1"/>
      <c r="BH296" s="1"/>
      <c r="BI296" s="1" t="s">
        <v>108</v>
      </c>
    </row>
    <row r="297" spans="1:61" hidden="1" x14ac:dyDescent="0.25">
      <c r="A297" s="4">
        <v>292</v>
      </c>
      <c r="B297" s="2" t="str">
        <f>HYPERLINK("https://my.zakupivli.pro/remote/dispatcher/state_purchase_view/42693731", "UA-2023-05-18-012535-a")</f>
        <v>UA-2023-05-18-012535-a</v>
      </c>
      <c r="C297" s="2" t="s">
        <v>1516</v>
      </c>
      <c r="D297" s="1" t="s">
        <v>1445</v>
      </c>
      <c r="E297" s="1" t="s">
        <v>1445</v>
      </c>
      <c r="F297" s="1" t="s">
        <v>487</v>
      </c>
      <c r="G297" s="1" t="s">
        <v>1035</v>
      </c>
      <c r="H297" s="1" t="s">
        <v>1218</v>
      </c>
      <c r="I297" s="1" t="s">
        <v>2094</v>
      </c>
      <c r="J297" s="1" t="s">
        <v>1145</v>
      </c>
      <c r="K297" s="1" t="s">
        <v>947</v>
      </c>
      <c r="L297" s="1" t="s">
        <v>1533</v>
      </c>
      <c r="M297" s="1" t="s">
        <v>1533</v>
      </c>
      <c r="N297" s="1" t="s">
        <v>110</v>
      </c>
      <c r="O297" s="1" t="s">
        <v>110</v>
      </c>
      <c r="P297" s="1" t="s">
        <v>110</v>
      </c>
      <c r="Q297" s="5">
        <v>45064</v>
      </c>
      <c r="R297" s="1"/>
      <c r="S297" s="1"/>
      <c r="T297" s="1"/>
      <c r="U297" s="1"/>
      <c r="V297" s="1" t="s">
        <v>2146</v>
      </c>
      <c r="W297" s="4">
        <v>1</v>
      </c>
      <c r="X297" s="6">
        <v>403.9</v>
      </c>
      <c r="Y297" s="1" t="s">
        <v>1516</v>
      </c>
      <c r="Z297" s="1">
        <v>1</v>
      </c>
      <c r="AA297" s="6">
        <v>403.9</v>
      </c>
      <c r="AB297" s="1" t="s">
        <v>2167</v>
      </c>
      <c r="AC297" s="1" t="s">
        <v>2162</v>
      </c>
      <c r="AD297" s="1" t="s">
        <v>1100</v>
      </c>
      <c r="AE297" s="1" t="s">
        <v>1522</v>
      </c>
      <c r="AF297" s="1" t="s">
        <v>1186</v>
      </c>
      <c r="AG297" s="1" t="s">
        <v>1522</v>
      </c>
      <c r="AH297" s="6">
        <v>403.9</v>
      </c>
      <c r="AI297" s="6">
        <v>403.9</v>
      </c>
      <c r="AJ297" s="1" t="s">
        <v>1498</v>
      </c>
      <c r="AK297" s="1"/>
      <c r="AL297" s="1"/>
      <c r="AM297" s="1" t="s">
        <v>1498</v>
      </c>
      <c r="AN297" s="1" t="s">
        <v>785</v>
      </c>
      <c r="AO297" s="1"/>
      <c r="AP297" s="1" t="s">
        <v>81</v>
      </c>
      <c r="AQ297" s="1"/>
      <c r="AR297" s="1"/>
      <c r="AS297" s="2"/>
      <c r="AT297" s="1"/>
      <c r="AU297" s="1"/>
      <c r="AV297" s="1"/>
      <c r="AW297" s="1" t="s">
        <v>2152</v>
      </c>
      <c r="AX297" s="7">
        <v>45064.668282842707</v>
      </c>
      <c r="AY297" s="1" t="s">
        <v>1053</v>
      </c>
      <c r="AZ297" s="6">
        <v>403.9</v>
      </c>
      <c r="BA297" s="5">
        <v>45061</v>
      </c>
      <c r="BB297" s="5">
        <v>45291</v>
      </c>
      <c r="BC297" s="5">
        <v>45061</v>
      </c>
      <c r="BD297" s="5">
        <v>45061</v>
      </c>
      <c r="BE297" s="7">
        <v>45291</v>
      </c>
      <c r="BF297" s="1" t="s">
        <v>2170</v>
      </c>
      <c r="BG297" s="1"/>
      <c r="BH297" s="1"/>
      <c r="BI297" s="1" t="s">
        <v>108</v>
      </c>
    </row>
    <row r="298" spans="1:61" hidden="1" x14ac:dyDescent="0.25">
      <c r="A298" s="4">
        <v>293</v>
      </c>
      <c r="B298" s="2" t="str">
        <f>HYPERLINK("https://my.zakupivli.pro/remote/dispatcher/state_purchase_view/42693204", "UA-2023-05-18-012296-a")</f>
        <v>UA-2023-05-18-012296-a</v>
      </c>
      <c r="C298" s="2" t="s">
        <v>1516</v>
      </c>
      <c r="D298" s="1" t="s">
        <v>1444</v>
      </c>
      <c r="E298" s="1" t="s">
        <v>1444</v>
      </c>
      <c r="F298" s="1" t="s">
        <v>487</v>
      </c>
      <c r="G298" s="1" t="s">
        <v>1035</v>
      </c>
      <c r="H298" s="1" t="s">
        <v>1218</v>
      </c>
      <c r="I298" s="1" t="s">
        <v>2094</v>
      </c>
      <c r="J298" s="1" t="s">
        <v>1145</v>
      </c>
      <c r="K298" s="1" t="s">
        <v>947</v>
      </c>
      <c r="L298" s="1" t="s">
        <v>1533</v>
      </c>
      <c r="M298" s="1" t="s">
        <v>1533</v>
      </c>
      <c r="N298" s="1" t="s">
        <v>110</v>
      </c>
      <c r="O298" s="1" t="s">
        <v>110</v>
      </c>
      <c r="P298" s="1" t="s">
        <v>110</v>
      </c>
      <c r="Q298" s="5">
        <v>45064</v>
      </c>
      <c r="R298" s="1"/>
      <c r="S298" s="1"/>
      <c r="T298" s="1"/>
      <c r="U298" s="1"/>
      <c r="V298" s="1" t="s">
        <v>2146</v>
      </c>
      <c r="W298" s="4">
        <v>1</v>
      </c>
      <c r="X298" s="6">
        <v>2799.85</v>
      </c>
      <c r="Y298" s="1" t="s">
        <v>1516</v>
      </c>
      <c r="Z298" s="1">
        <v>1</v>
      </c>
      <c r="AA298" s="6">
        <v>2799.85</v>
      </c>
      <c r="AB298" s="1" t="s">
        <v>2167</v>
      </c>
      <c r="AC298" s="1" t="s">
        <v>2162</v>
      </c>
      <c r="AD298" s="1" t="s">
        <v>1100</v>
      </c>
      <c r="AE298" s="1" t="s">
        <v>1522</v>
      </c>
      <c r="AF298" s="1" t="s">
        <v>1186</v>
      </c>
      <c r="AG298" s="1" t="s">
        <v>1522</v>
      </c>
      <c r="AH298" s="6">
        <v>2799.85</v>
      </c>
      <c r="AI298" s="6">
        <v>2799.85</v>
      </c>
      <c r="AJ298" s="1" t="s">
        <v>1498</v>
      </c>
      <c r="AK298" s="1"/>
      <c r="AL298" s="1"/>
      <c r="AM298" s="1" t="s">
        <v>1498</v>
      </c>
      <c r="AN298" s="1" t="s">
        <v>785</v>
      </c>
      <c r="AO298" s="1"/>
      <c r="AP298" s="1" t="s">
        <v>81</v>
      </c>
      <c r="AQ298" s="1"/>
      <c r="AR298" s="1"/>
      <c r="AS298" s="2"/>
      <c r="AT298" s="1"/>
      <c r="AU298" s="1"/>
      <c r="AV298" s="1"/>
      <c r="AW298" s="1" t="s">
        <v>2152</v>
      </c>
      <c r="AX298" s="7">
        <v>45064.663766517515</v>
      </c>
      <c r="AY298" s="1" t="s">
        <v>1078</v>
      </c>
      <c r="AZ298" s="6">
        <v>2799.85</v>
      </c>
      <c r="BA298" s="5">
        <v>45061</v>
      </c>
      <c r="BB298" s="5">
        <v>45291</v>
      </c>
      <c r="BC298" s="5">
        <v>45061</v>
      </c>
      <c r="BD298" s="5">
        <v>45061</v>
      </c>
      <c r="BE298" s="7">
        <v>45291</v>
      </c>
      <c r="BF298" s="1" t="s">
        <v>2170</v>
      </c>
      <c r="BG298" s="1"/>
      <c r="BH298" s="1"/>
      <c r="BI298" s="1" t="s">
        <v>108</v>
      </c>
    </row>
    <row r="299" spans="1:61" hidden="1" x14ac:dyDescent="0.25">
      <c r="A299" s="4">
        <v>294</v>
      </c>
      <c r="B299" s="2" t="str">
        <f>HYPERLINK("https://my.zakupivli.pro/remote/dispatcher/state_purchase_view/42692239", "UA-2023-05-18-011802-a")</f>
        <v>UA-2023-05-18-011802-a</v>
      </c>
      <c r="C299" s="2" t="s">
        <v>1516</v>
      </c>
      <c r="D299" s="1" t="s">
        <v>1447</v>
      </c>
      <c r="E299" s="1" t="s">
        <v>1447</v>
      </c>
      <c r="F299" s="1" t="s">
        <v>487</v>
      </c>
      <c r="G299" s="1" t="s">
        <v>1035</v>
      </c>
      <c r="H299" s="1" t="s">
        <v>1218</v>
      </c>
      <c r="I299" s="1" t="s">
        <v>2094</v>
      </c>
      <c r="J299" s="1" t="s">
        <v>1145</v>
      </c>
      <c r="K299" s="1" t="s">
        <v>947</v>
      </c>
      <c r="L299" s="1" t="s">
        <v>1533</v>
      </c>
      <c r="M299" s="1" t="s">
        <v>1533</v>
      </c>
      <c r="N299" s="1" t="s">
        <v>110</v>
      </c>
      <c r="O299" s="1" t="s">
        <v>110</v>
      </c>
      <c r="P299" s="1" t="s">
        <v>110</v>
      </c>
      <c r="Q299" s="5">
        <v>45064</v>
      </c>
      <c r="R299" s="1"/>
      <c r="S299" s="1"/>
      <c r="T299" s="1"/>
      <c r="U299" s="1"/>
      <c r="V299" s="1" t="s">
        <v>2146</v>
      </c>
      <c r="W299" s="4">
        <v>1</v>
      </c>
      <c r="X299" s="6">
        <v>2730</v>
      </c>
      <c r="Y299" s="1" t="s">
        <v>1516</v>
      </c>
      <c r="Z299" s="1">
        <v>1</v>
      </c>
      <c r="AA299" s="6">
        <v>2730</v>
      </c>
      <c r="AB299" s="1" t="s">
        <v>2167</v>
      </c>
      <c r="AC299" s="1" t="s">
        <v>2162</v>
      </c>
      <c r="AD299" s="1" t="s">
        <v>1100</v>
      </c>
      <c r="AE299" s="1" t="s">
        <v>1522</v>
      </c>
      <c r="AF299" s="1" t="s">
        <v>1186</v>
      </c>
      <c r="AG299" s="1" t="s">
        <v>1522</v>
      </c>
      <c r="AH299" s="6">
        <v>2730</v>
      </c>
      <c r="AI299" s="6">
        <v>2730</v>
      </c>
      <c r="AJ299" s="1" t="s">
        <v>1498</v>
      </c>
      <c r="AK299" s="1"/>
      <c r="AL299" s="1"/>
      <c r="AM299" s="1" t="s">
        <v>1498</v>
      </c>
      <c r="AN299" s="1" t="s">
        <v>785</v>
      </c>
      <c r="AO299" s="1"/>
      <c r="AP299" s="1" t="s">
        <v>81</v>
      </c>
      <c r="AQ299" s="1"/>
      <c r="AR299" s="1"/>
      <c r="AS299" s="2"/>
      <c r="AT299" s="1"/>
      <c r="AU299" s="1"/>
      <c r="AV299" s="1"/>
      <c r="AW299" s="1" t="s">
        <v>2152</v>
      </c>
      <c r="AX299" s="7">
        <v>45064.65845611861</v>
      </c>
      <c r="AY299" s="1" t="s">
        <v>1072</v>
      </c>
      <c r="AZ299" s="6">
        <v>2730</v>
      </c>
      <c r="BA299" s="5">
        <v>45061</v>
      </c>
      <c r="BB299" s="5">
        <v>45291</v>
      </c>
      <c r="BC299" s="5">
        <v>45061</v>
      </c>
      <c r="BD299" s="5">
        <v>45061</v>
      </c>
      <c r="BE299" s="7">
        <v>45291</v>
      </c>
      <c r="BF299" s="1" t="s">
        <v>2170</v>
      </c>
      <c r="BG299" s="1"/>
      <c r="BH299" s="1"/>
      <c r="BI299" s="1" t="s">
        <v>108</v>
      </c>
    </row>
    <row r="300" spans="1:61" hidden="1" x14ac:dyDescent="0.25">
      <c r="A300" s="4">
        <v>295</v>
      </c>
      <c r="B300" s="2" t="str">
        <f>HYPERLINK("https://my.zakupivli.pro/remote/dispatcher/state_purchase_view/42688982", "UA-2023-05-18-010262-a")</f>
        <v>UA-2023-05-18-010262-a</v>
      </c>
      <c r="C300" s="2" t="s">
        <v>1516</v>
      </c>
      <c r="D300" s="1" t="s">
        <v>1442</v>
      </c>
      <c r="E300" s="1" t="s">
        <v>1442</v>
      </c>
      <c r="F300" s="1" t="s">
        <v>487</v>
      </c>
      <c r="G300" s="1" t="s">
        <v>1035</v>
      </c>
      <c r="H300" s="1" t="s">
        <v>1218</v>
      </c>
      <c r="I300" s="1" t="s">
        <v>2094</v>
      </c>
      <c r="J300" s="1" t="s">
        <v>1145</v>
      </c>
      <c r="K300" s="1" t="s">
        <v>947</v>
      </c>
      <c r="L300" s="1" t="s">
        <v>1533</v>
      </c>
      <c r="M300" s="1" t="s">
        <v>1533</v>
      </c>
      <c r="N300" s="1" t="s">
        <v>110</v>
      </c>
      <c r="O300" s="1" t="s">
        <v>110</v>
      </c>
      <c r="P300" s="1" t="s">
        <v>110</v>
      </c>
      <c r="Q300" s="5">
        <v>45064</v>
      </c>
      <c r="R300" s="1"/>
      <c r="S300" s="1"/>
      <c r="T300" s="1"/>
      <c r="U300" s="1"/>
      <c r="V300" s="1" t="s">
        <v>2146</v>
      </c>
      <c r="W300" s="4">
        <v>1</v>
      </c>
      <c r="X300" s="6">
        <v>2761.73</v>
      </c>
      <c r="Y300" s="1" t="s">
        <v>1516</v>
      </c>
      <c r="Z300" s="1">
        <v>1</v>
      </c>
      <c r="AA300" s="6">
        <v>2761.73</v>
      </c>
      <c r="AB300" s="1" t="s">
        <v>2167</v>
      </c>
      <c r="AC300" s="1" t="s">
        <v>2162</v>
      </c>
      <c r="AD300" s="1" t="s">
        <v>1100</v>
      </c>
      <c r="AE300" s="1" t="s">
        <v>1522</v>
      </c>
      <c r="AF300" s="1" t="s">
        <v>1186</v>
      </c>
      <c r="AG300" s="1" t="s">
        <v>1522</v>
      </c>
      <c r="AH300" s="6">
        <v>2761.73</v>
      </c>
      <c r="AI300" s="6">
        <v>2761.73</v>
      </c>
      <c r="AJ300" s="1" t="s">
        <v>1498</v>
      </c>
      <c r="AK300" s="1"/>
      <c r="AL300" s="1"/>
      <c r="AM300" s="1" t="s">
        <v>1498</v>
      </c>
      <c r="AN300" s="1" t="s">
        <v>785</v>
      </c>
      <c r="AO300" s="1"/>
      <c r="AP300" s="1" t="s">
        <v>81</v>
      </c>
      <c r="AQ300" s="1"/>
      <c r="AR300" s="1"/>
      <c r="AS300" s="2"/>
      <c r="AT300" s="1"/>
      <c r="AU300" s="1"/>
      <c r="AV300" s="1"/>
      <c r="AW300" s="1" t="s">
        <v>2152</v>
      </c>
      <c r="AX300" s="7">
        <v>45064.624274996575</v>
      </c>
      <c r="AY300" s="1" t="s">
        <v>1070</v>
      </c>
      <c r="AZ300" s="6">
        <v>2761.73</v>
      </c>
      <c r="BA300" s="5">
        <v>45061</v>
      </c>
      <c r="BB300" s="5">
        <v>45291</v>
      </c>
      <c r="BC300" s="5">
        <v>45061</v>
      </c>
      <c r="BD300" s="5">
        <v>45061</v>
      </c>
      <c r="BE300" s="7">
        <v>45291</v>
      </c>
      <c r="BF300" s="1" t="s">
        <v>2170</v>
      </c>
      <c r="BG300" s="1"/>
      <c r="BH300" s="1"/>
      <c r="BI300" s="1" t="s">
        <v>108</v>
      </c>
    </row>
    <row r="301" spans="1:61" hidden="1" x14ac:dyDescent="0.25">
      <c r="A301" s="4">
        <v>296</v>
      </c>
      <c r="B301" s="2" t="str">
        <f>HYPERLINK("https://my.zakupivli.pro/remote/dispatcher/state_purchase_view/42686730", "UA-2023-05-18-009164-a")</f>
        <v>UA-2023-05-18-009164-a</v>
      </c>
      <c r="C301" s="2" t="s">
        <v>1516</v>
      </c>
      <c r="D301" s="1" t="s">
        <v>1446</v>
      </c>
      <c r="E301" s="1" t="s">
        <v>1446</v>
      </c>
      <c r="F301" s="1" t="s">
        <v>487</v>
      </c>
      <c r="G301" s="1" t="s">
        <v>1035</v>
      </c>
      <c r="H301" s="1" t="s">
        <v>1218</v>
      </c>
      <c r="I301" s="1" t="s">
        <v>2094</v>
      </c>
      <c r="J301" s="1" t="s">
        <v>1145</v>
      </c>
      <c r="K301" s="1" t="s">
        <v>947</v>
      </c>
      <c r="L301" s="1" t="s">
        <v>1533</v>
      </c>
      <c r="M301" s="1" t="s">
        <v>1533</v>
      </c>
      <c r="N301" s="1" t="s">
        <v>110</v>
      </c>
      <c r="O301" s="1" t="s">
        <v>110</v>
      </c>
      <c r="P301" s="1" t="s">
        <v>110</v>
      </c>
      <c r="Q301" s="5">
        <v>45064</v>
      </c>
      <c r="R301" s="1"/>
      <c r="S301" s="1"/>
      <c r="T301" s="1"/>
      <c r="U301" s="1"/>
      <c r="V301" s="1" t="s">
        <v>2146</v>
      </c>
      <c r="W301" s="4">
        <v>1</v>
      </c>
      <c r="X301" s="6">
        <v>2436</v>
      </c>
      <c r="Y301" s="1" t="s">
        <v>1516</v>
      </c>
      <c r="Z301" s="1">
        <v>1</v>
      </c>
      <c r="AA301" s="6">
        <v>2436</v>
      </c>
      <c r="AB301" s="1" t="s">
        <v>2167</v>
      </c>
      <c r="AC301" s="1" t="s">
        <v>2162</v>
      </c>
      <c r="AD301" s="1" t="s">
        <v>1100</v>
      </c>
      <c r="AE301" s="1" t="s">
        <v>1522</v>
      </c>
      <c r="AF301" s="1" t="s">
        <v>1186</v>
      </c>
      <c r="AG301" s="1" t="s">
        <v>1522</v>
      </c>
      <c r="AH301" s="6">
        <v>2436</v>
      </c>
      <c r="AI301" s="6">
        <v>2436</v>
      </c>
      <c r="AJ301" s="1" t="s">
        <v>1498</v>
      </c>
      <c r="AK301" s="1"/>
      <c r="AL301" s="1"/>
      <c r="AM301" s="1" t="s">
        <v>1498</v>
      </c>
      <c r="AN301" s="1" t="s">
        <v>785</v>
      </c>
      <c r="AO301" s="1"/>
      <c r="AP301" s="1" t="s">
        <v>81</v>
      </c>
      <c r="AQ301" s="1"/>
      <c r="AR301" s="1"/>
      <c r="AS301" s="2"/>
      <c r="AT301" s="1"/>
      <c r="AU301" s="1"/>
      <c r="AV301" s="1"/>
      <c r="AW301" s="1" t="s">
        <v>2152</v>
      </c>
      <c r="AX301" s="7">
        <v>45064.601616640568</v>
      </c>
      <c r="AY301" s="1" t="s">
        <v>1066</v>
      </c>
      <c r="AZ301" s="6">
        <v>2436</v>
      </c>
      <c r="BA301" s="5">
        <v>45061</v>
      </c>
      <c r="BB301" s="5">
        <v>45291</v>
      </c>
      <c r="BC301" s="5">
        <v>45061</v>
      </c>
      <c r="BD301" s="5">
        <v>45061</v>
      </c>
      <c r="BE301" s="7">
        <v>45291</v>
      </c>
      <c r="BF301" s="1" t="s">
        <v>2170</v>
      </c>
      <c r="BG301" s="1"/>
      <c r="BH301" s="1"/>
      <c r="BI301" s="1" t="s">
        <v>108</v>
      </c>
    </row>
    <row r="302" spans="1:61" hidden="1" x14ac:dyDescent="0.25">
      <c r="A302" s="4">
        <v>297</v>
      </c>
      <c r="B302" s="2" t="str">
        <f>HYPERLINK("https://my.zakupivli.pro/remote/dispatcher/state_purchase_view/42686234", "UA-2023-05-18-008886-a")</f>
        <v>UA-2023-05-18-008886-a</v>
      </c>
      <c r="C302" s="2" t="s">
        <v>1516</v>
      </c>
      <c r="D302" s="1" t="s">
        <v>1443</v>
      </c>
      <c r="E302" s="1" t="s">
        <v>1443</v>
      </c>
      <c r="F302" s="1" t="s">
        <v>487</v>
      </c>
      <c r="G302" s="1" t="s">
        <v>1035</v>
      </c>
      <c r="H302" s="1" t="s">
        <v>1218</v>
      </c>
      <c r="I302" s="1" t="s">
        <v>2094</v>
      </c>
      <c r="J302" s="1" t="s">
        <v>1145</v>
      </c>
      <c r="K302" s="1" t="s">
        <v>947</v>
      </c>
      <c r="L302" s="1" t="s">
        <v>1533</v>
      </c>
      <c r="M302" s="1" t="s">
        <v>1533</v>
      </c>
      <c r="N302" s="1" t="s">
        <v>110</v>
      </c>
      <c r="O302" s="1" t="s">
        <v>110</v>
      </c>
      <c r="P302" s="1" t="s">
        <v>110</v>
      </c>
      <c r="Q302" s="5">
        <v>45064</v>
      </c>
      <c r="R302" s="1"/>
      <c r="S302" s="1"/>
      <c r="T302" s="1"/>
      <c r="U302" s="1"/>
      <c r="V302" s="1" t="s">
        <v>2146</v>
      </c>
      <c r="W302" s="4">
        <v>1</v>
      </c>
      <c r="X302" s="6">
        <v>2352</v>
      </c>
      <c r="Y302" s="1" t="s">
        <v>1516</v>
      </c>
      <c r="Z302" s="1">
        <v>1</v>
      </c>
      <c r="AA302" s="6">
        <v>2352</v>
      </c>
      <c r="AB302" s="1" t="s">
        <v>2167</v>
      </c>
      <c r="AC302" s="1" t="s">
        <v>2162</v>
      </c>
      <c r="AD302" s="1" t="s">
        <v>1100</v>
      </c>
      <c r="AE302" s="1" t="s">
        <v>1522</v>
      </c>
      <c r="AF302" s="1" t="s">
        <v>1186</v>
      </c>
      <c r="AG302" s="1" t="s">
        <v>1522</v>
      </c>
      <c r="AH302" s="6">
        <v>2352</v>
      </c>
      <c r="AI302" s="6">
        <v>2352</v>
      </c>
      <c r="AJ302" s="1" t="s">
        <v>1498</v>
      </c>
      <c r="AK302" s="1"/>
      <c r="AL302" s="1"/>
      <c r="AM302" s="1" t="s">
        <v>1498</v>
      </c>
      <c r="AN302" s="1" t="s">
        <v>785</v>
      </c>
      <c r="AO302" s="1"/>
      <c r="AP302" s="1" t="s">
        <v>81</v>
      </c>
      <c r="AQ302" s="1"/>
      <c r="AR302" s="1"/>
      <c r="AS302" s="2"/>
      <c r="AT302" s="1"/>
      <c r="AU302" s="1"/>
      <c r="AV302" s="1"/>
      <c r="AW302" s="1" t="s">
        <v>2152</v>
      </c>
      <c r="AX302" s="7">
        <v>45064.596225918416</v>
      </c>
      <c r="AY302" s="1" t="s">
        <v>1065</v>
      </c>
      <c r="AZ302" s="6">
        <v>2352</v>
      </c>
      <c r="BA302" s="5">
        <v>45061</v>
      </c>
      <c r="BB302" s="5">
        <v>45291</v>
      </c>
      <c r="BC302" s="5">
        <v>45061</v>
      </c>
      <c r="BD302" s="5">
        <v>45061</v>
      </c>
      <c r="BE302" s="7">
        <v>45291</v>
      </c>
      <c r="BF302" s="1" t="s">
        <v>2170</v>
      </c>
      <c r="BG302" s="1"/>
      <c r="BH302" s="1"/>
      <c r="BI302" s="1" t="s">
        <v>108</v>
      </c>
    </row>
    <row r="303" spans="1:61" hidden="1" x14ac:dyDescent="0.25">
      <c r="A303" s="4">
        <v>298</v>
      </c>
      <c r="B303" s="2" t="str">
        <f>HYPERLINK("https://my.zakupivli.pro/remote/dispatcher/state_purchase_view/42685670", "UA-2023-05-18-008645-a")</f>
        <v>UA-2023-05-18-008645-a</v>
      </c>
      <c r="C303" s="2" t="s">
        <v>1516</v>
      </c>
      <c r="D303" s="1" t="s">
        <v>1456</v>
      </c>
      <c r="E303" s="1" t="s">
        <v>1456</v>
      </c>
      <c r="F303" s="1" t="s">
        <v>487</v>
      </c>
      <c r="G303" s="1" t="s">
        <v>1035</v>
      </c>
      <c r="H303" s="1" t="s">
        <v>1218</v>
      </c>
      <c r="I303" s="1" t="s">
        <v>2094</v>
      </c>
      <c r="J303" s="1" t="s">
        <v>1145</v>
      </c>
      <c r="K303" s="1" t="s">
        <v>947</v>
      </c>
      <c r="L303" s="1" t="s">
        <v>1533</v>
      </c>
      <c r="M303" s="1" t="s">
        <v>1533</v>
      </c>
      <c r="N303" s="1" t="s">
        <v>110</v>
      </c>
      <c r="O303" s="1" t="s">
        <v>110</v>
      </c>
      <c r="P303" s="1" t="s">
        <v>110</v>
      </c>
      <c r="Q303" s="5">
        <v>45064</v>
      </c>
      <c r="R303" s="1"/>
      <c r="S303" s="1"/>
      <c r="T303" s="1"/>
      <c r="U303" s="1"/>
      <c r="V303" s="1" t="s">
        <v>2146</v>
      </c>
      <c r="W303" s="4">
        <v>1</v>
      </c>
      <c r="X303" s="6">
        <v>2799.64</v>
      </c>
      <c r="Y303" s="1" t="s">
        <v>1516</v>
      </c>
      <c r="Z303" s="1">
        <v>1</v>
      </c>
      <c r="AA303" s="6">
        <v>2799.64</v>
      </c>
      <c r="AB303" s="1" t="s">
        <v>2167</v>
      </c>
      <c r="AC303" s="1" t="s">
        <v>2162</v>
      </c>
      <c r="AD303" s="1" t="s">
        <v>1100</v>
      </c>
      <c r="AE303" s="1" t="s">
        <v>1522</v>
      </c>
      <c r="AF303" s="1" t="s">
        <v>1186</v>
      </c>
      <c r="AG303" s="1" t="s">
        <v>1522</v>
      </c>
      <c r="AH303" s="6">
        <v>2799.64</v>
      </c>
      <c r="AI303" s="6">
        <v>2799.64</v>
      </c>
      <c r="AJ303" s="1" t="s">
        <v>1498</v>
      </c>
      <c r="AK303" s="1"/>
      <c r="AL303" s="1"/>
      <c r="AM303" s="1" t="s">
        <v>1498</v>
      </c>
      <c r="AN303" s="1" t="s">
        <v>785</v>
      </c>
      <c r="AO303" s="1"/>
      <c r="AP303" s="1" t="s">
        <v>81</v>
      </c>
      <c r="AQ303" s="1"/>
      <c r="AR303" s="1"/>
      <c r="AS303" s="2"/>
      <c r="AT303" s="1"/>
      <c r="AU303" s="1"/>
      <c r="AV303" s="1"/>
      <c r="AW303" s="1" t="s">
        <v>2152</v>
      </c>
      <c r="AX303" s="7">
        <v>45064.590079879592</v>
      </c>
      <c r="AY303" s="1" t="s">
        <v>1064</v>
      </c>
      <c r="AZ303" s="6">
        <v>2799.64</v>
      </c>
      <c r="BA303" s="5">
        <v>45061</v>
      </c>
      <c r="BB303" s="5">
        <v>45291</v>
      </c>
      <c r="BC303" s="5">
        <v>45061</v>
      </c>
      <c r="BD303" s="5">
        <v>45061</v>
      </c>
      <c r="BE303" s="7">
        <v>45291</v>
      </c>
      <c r="BF303" s="1" t="s">
        <v>2170</v>
      </c>
      <c r="BG303" s="1"/>
      <c r="BH303" s="1"/>
      <c r="BI303" s="1" t="s">
        <v>108</v>
      </c>
    </row>
    <row r="304" spans="1:61" hidden="1" x14ac:dyDescent="0.25">
      <c r="A304" s="4">
        <v>299</v>
      </c>
      <c r="B304" s="2" t="str">
        <f>HYPERLINK("https://my.zakupivli.pro/remote/dispatcher/state_purchase_view/42684633", "UA-2023-05-18-008151-a")</f>
        <v>UA-2023-05-18-008151-a</v>
      </c>
      <c r="C304" s="2" t="s">
        <v>1516</v>
      </c>
      <c r="D304" s="1" t="s">
        <v>1459</v>
      </c>
      <c r="E304" s="1" t="s">
        <v>1459</v>
      </c>
      <c r="F304" s="1" t="s">
        <v>487</v>
      </c>
      <c r="G304" s="1" t="s">
        <v>1035</v>
      </c>
      <c r="H304" s="1" t="s">
        <v>1218</v>
      </c>
      <c r="I304" s="1" t="s">
        <v>2094</v>
      </c>
      <c r="J304" s="1" t="s">
        <v>1145</v>
      </c>
      <c r="K304" s="1" t="s">
        <v>947</v>
      </c>
      <c r="L304" s="1" t="s">
        <v>1533</v>
      </c>
      <c r="M304" s="1" t="s">
        <v>1533</v>
      </c>
      <c r="N304" s="1" t="s">
        <v>110</v>
      </c>
      <c r="O304" s="1" t="s">
        <v>110</v>
      </c>
      <c r="P304" s="1" t="s">
        <v>110</v>
      </c>
      <c r="Q304" s="5">
        <v>45064</v>
      </c>
      <c r="R304" s="1"/>
      <c r="S304" s="1"/>
      <c r="T304" s="1"/>
      <c r="U304" s="1"/>
      <c r="V304" s="1" t="s">
        <v>2146</v>
      </c>
      <c r="W304" s="4">
        <v>1</v>
      </c>
      <c r="X304" s="6">
        <v>1143.0999999999999</v>
      </c>
      <c r="Y304" s="1" t="s">
        <v>1516</v>
      </c>
      <c r="Z304" s="1">
        <v>1</v>
      </c>
      <c r="AA304" s="6">
        <v>1143.0999999999999</v>
      </c>
      <c r="AB304" s="1" t="s">
        <v>2167</v>
      </c>
      <c r="AC304" s="1" t="s">
        <v>2162</v>
      </c>
      <c r="AD304" s="1" t="s">
        <v>1100</v>
      </c>
      <c r="AE304" s="1" t="s">
        <v>1522</v>
      </c>
      <c r="AF304" s="1" t="s">
        <v>1186</v>
      </c>
      <c r="AG304" s="1" t="s">
        <v>1522</v>
      </c>
      <c r="AH304" s="6">
        <v>1143.0999999999999</v>
      </c>
      <c r="AI304" s="6">
        <v>1143.0999999999999</v>
      </c>
      <c r="AJ304" s="1" t="s">
        <v>1498</v>
      </c>
      <c r="AK304" s="1"/>
      <c r="AL304" s="1"/>
      <c r="AM304" s="1" t="s">
        <v>1498</v>
      </c>
      <c r="AN304" s="1" t="s">
        <v>785</v>
      </c>
      <c r="AO304" s="1"/>
      <c r="AP304" s="1" t="s">
        <v>81</v>
      </c>
      <c r="AQ304" s="1"/>
      <c r="AR304" s="1"/>
      <c r="AS304" s="2"/>
      <c r="AT304" s="1"/>
      <c r="AU304" s="1"/>
      <c r="AV304" s="1"/>
      <c r="AW304" s="1" t="s">
        <v>2152</v>
      </c>
      <c r="AX304" s="7">
        <v>45064.578047574883</v>
      </c>
      <c r="AY304" s="1" t="s">
        <v>1061</v>
      </c>
      <c r="AZ304" s="6">
        <v>1143.0999999999999</v>
      </c>
      <c r="BA304" s="5">
        <v>45061</v>
      </c>
      <c r="BB304" s="5">
        <v>45291</v>
      </c>
      <c r="BC304" s="5">
        <v>45061</v>
      </c>
      <c r="BD304" s="5">
        <v>45061</v>
      </c>
      <c r="BE304" s="7">
        <v>45291</v>
      </c>
      <c r="BF304" s="1" t="s">
        <v>2170</v>
      </c>
      <c r="BG304" s="1"/>
      <c r="BH304" s="1"/>
      <c r="BI304" s="1" t="s">
        <v>108</v>
      </c>
    </row>
    <row r="305" spans="1:61" hidden="1" x14ac:dyDescent="0.25">
      <c r="A305" s="4">
        <v>300</v>
      </c>
      <c r="B305" s="2" t="str">
        <f>HYPERLINK("https://my.zakupivli.pro/remote/dispatcher/state_purchase_view/42683353", "UA-2023-05-18-007572-a")</f>
        <v>UA-2023-05-18-007572-a</v>
      </c>
      <c r="C305" s="2" t="s">
        <v>1516</v>
      </c>
      <c r="D305" s="1" t="s">
        <v>1468</v>
      </c>
      <c r="E305" s="1" t="s">
        <v>1468</v>
      </c>
      <c r="F305" s="1" t="s">
        <v>487</v>
      </c>
      <c r="G305" s="1" t="s">
        <v>1035</v>
      </c>
      <c r="H305" s="1" t="s">
        <v>1218</v>
      </c>
      <c r="I305" s="1" t="s">
        <v>2094</v>
      </c>
      <c r="J305" s="1" t="s">
        <v>1145</v>
      </c>
      <c r="K305" s="1" t="s">
        <v>947</v>
      </c>
      <c r="L305" s="1" t="s">
        <v>1533</v>
      </c>
      <c r="M305" s="1" t="s">
        <v>1533</v>
      </c>
      <c r="N305" s="1" t="s">
        <v>110</v>
      </c>
      <c r="O305" s="1" t="s">
        <v>110</v>
      </c>
      <c r="P305" s="1" t="s">
        <v>110</v>
      </c>
      <c r="Q305" s="5">
        <v>45064</v>
      </c>
      <c r="R305" s="1"/>
      <c r="S305" s="1"/>
      <c r="T305" s="1"/>
      <c r="U305" s="1"/>
      <c r="V305" s="1" t="s">
        <v>2146</v>
      </c>
      <c r="W305" s="4">
        <v>1</v>
      </c>
      <c r="X305" s="6">
        <v>2797.09</v>
      </c>
      <c r="Y305" s="1" t="s">
        <v>1516</v>
      </c>
      <c r="Z305" s="1">
        <v>1</v>
      </c>
      <c r="AA305" s="6">
        <v>2797.09</v>
      </c>
      <c r="AB305" s="1" t="s">
        <v>2167</v>
      </c>
      <c r="AC305" s="1" t="s">
        <v>2162</v>
      </c>
      <c r="AD305" s="1" t="s">
        <v>1100</v>
      </c>
      <c r="AE305" s="1" t="s">
        <v>1522</v>
      </c>
      <c r="AF305" s="1" t="s">
        <v>1186</v>
      </c>
      <c r="AG305" s="1" t="s">
        <v>1522</v>
      </c>
      <c r="AH305" s="6">
        <v>2797.09</v>
      </c>
      <c r="AI305" s="6">
        <v>2797.09</v>
      </c>
      <c r="AJ305" s="1" t="s">
        <v>1498</v>
      </c>
      <c r="AK305" s="1"/>
      <c r="AL305" s="1"/>
      <c r="AM305" s="1" t="s">
        <v>1498</v>
      </c>
      <c r="AN305" s="1" t="s">
        <v>785</v>
      </c>
      <c r="AO305" s="1"/>
      <c r="AP305" s="1" t="s">
        <v>81</v>
      </c>
      <c r="AQ305" s="1"/>
      <c r="AR305" s="1"/>
      <c r="AS305" s="2"/>
      <c r="AT305" s="1"/>
      <c r="AU305" s="1"/>
      <c r="AV305" s="1"/>
      <c r="AW305" s="1" t="s">
        <v>2152</v>
      </c>
      <c r="AX305" s="7">
        <v>45064.55868426706</v>
      </c>
      <c r="AY305" s="1" t="s">
        <v>1069</v>
      </c>
      <c r="AZ305" s="6">
        <v>2797.09</v>
      </c>
      <c r="BA305" s="5">
        <v>45061</v>
      </c>
      <c r="BB305" s="5">
        <v>45291</v>
      </c>
      <c r="BC305" s="5">
        <v>45061</v>
      </c>
      <c r="BD305" s="5">
        <v>45061</v>
      </c>
      <c r="BE305" s="7">
        <v>45291</v>
      </c>
      <c r="BF305" s="1" t="s">
        <v>2170</v>
      </c>
      <c r="BG305" s="1"/>
      <c r="BH305" s="1"/>
      <c r="BI305" s="1" t="s">
        <v>108</v>
      </c>
    </row>
    <row r="306" spans="1:61" hidden="1" x14ac:dyDescent="0.25">
      <c r="A306" s="4">
        <v>301</v>
      </c>
      <c r="B306" s="2" t="str">
        <f>HYPERLINK("https://my.zakupivli.pro/remote/dispatcher/state_purchase_view/42683014", "UA-2023-05-18-007409-a")</f>
        <v>UA-2023-05-18-007409-a</v>
      </c>
      <c r="C306" s="2" t="s">
        <v>1516</v>
      </c>
      <c r="D306" s="1" t="s">
        <v>1466</v>
      </c>
      <c r="E306" s="1" t="s">
        <v>1466</v>
      </c>
      <c r="F306" s="1" t="s">
        <v>487</v>
      </c>
      <c r="G306" s="1" t="s">
        <v>1035</v>
      </c>
      <c r="H306" s="1" t="s">
        <v>1218</v>
      </c>
      <c r="I306" s="1" t="s">
        <v>2094</v>
      </c>
      <c r="J306" s="1" t="s">
        <v>1145</v>
      </c>
      <c r="K306" s="1" t="s">
        <v>947</v>
      </c>
      <c r="L306" s="1" t="s">
        <v>1533</v>
      </c>
      <c r="M306" s="1" t="s">
        <v>1533</v>
      </c>
      <c r="N306" s="1" t="s">
        <v>110</v>
      </c>
      <c r="O306" s="1" t="s">
        <v>110</v>
      </c>
      <c r="P306" s="1" t="s">
        <v>110</v>
      </c>
      <c r="Q306" s="5">
        <v>45064</v>
      </c>
      <c r="R306" s="1"/>
      <c r="S306" s="1"/>
      <c r="T306" s="1"/>
      <c r="U306" s="1"/>
      <c r="V306" s="1" t="s">
        <v>2146</v>
      </c>
      <c r="W306" s="4">
        <v>1</v>
      </c>
      <c r="X306" s="6">
        <v>1806</v>
      </c>
      <c r="Y306" s="1" t="s">
        <v>1516</v>
      </c>
      <c r="Z306" s="1">
        <v>1</v>
      </c>
      <c r="AA306" s="6">
        <v>1806</v>
      </c>
      <c r="AB306" s="1" t="s">
        <v>2167</v>
      </c>
      <c r="AC306" s="1" t="s">
        <v>2162</v>
      </c>
      <c r="AD306" s="1" t="s">
        <v>1100</v>
      </c>
      <c r="AE306" s="1" t="s">
        <v>1522</v>
      </c>
      <c r="AF306" s="1" t="s">
        <v>1186</v>
      </c>
      <c r="AG306" s="1" t="s">
        <v>1522</v>
      </c>
      <c r="AH306" s="6">
        <v>1806</v>
      </c>
      <c r="AI306" s="6">
        <v>1806</v>
      </c>
      <c r="AJ306" s="1" t="s">
        <v>1498</v>
      </c>
      <c r="AK306" s="1"/>
      <c r="AL306" s="1"/>
      <c r="AM306" s="1" t="s">
        <v>1498</v>
      </c>
      <c r="AN306" s="1" t="s">
        <v>785</v>
      </c>
      <c r="AO306" s="1"/>
      <c r="AP306" s="1" t="s">
        <v>81</v>
      </c>
      <c r="AQ306" s="1"/>
      <c r="AR306" s="1"/>
      <c r="AS306" s="2"/>
      <c r="AT306" s="1"/>
      <c r="AU306" s="1"/>
      <c r="AV306" s="1"/>
      <c r="AW306" s="1" t="s">
        <v>2152</v>
      </c>
      <c r="AX306" s="7">
        <v>45064.552818092568</v>
      </c>
      <c r="AY306" s="1" t="s">
        <v>1068</v>
      </c>
      <c r="AZ306" s="6">
        <v>1806</v>
      </c>
      <c r="BA306" s="5">
        <v>45061</v>
      </c>
      <c r="BB306" s="5">
        <v>45291</v>
      </c>
      <c r="BC306" s="5">
        <v>45061</v>
      </c>
      <c r="BD306" s="5">
        <v>45061</v>
      </c>
      <c r="BE306" s="7">
        <v>45291</v>
      </c>
      <c r="BF306" s="1" t="s">
        <v>2170</v>
      </c>
      <c r="BG306" s="1"/>
      <c r="BH306" s="1"/>
      <c r="BI306" s="1" t="s">
        <v>108</v>
      </c>
    </row>
    <row r="307" spans="1:61" hidden="1" x14ac:dyDescent="0.25">
      <c r="A307" s="4">
        <v>302</v>
      </c>
      <c r="B307" s="2" t="str">
        <f>HYPERLINK("https://my.zakupivli.pro/remote/dispatcher/state_purchase_view/42682772", "UA-2023-05-18-007298-a")</f>
        <v>UA-2023-05-18-007298-a</v>
      </c>
      <c r="C307" s="2" t="s">
        <v>1516</v>
      </c>
      <c r="D307" s="1" t="s">
        <v>1467</v>
      </c>
      <c r="E307" s="1" t="s">
        <v>1467</v>
      </c>
      <c r="F307" s="1" t="s">
        <v>487</v>
      </c>
      <c r="G307" s="1" t="s">
        <v>1035</v>
      </c>
      <c r="H307" s="1" t="s">
        <v>1218</v>
      </c>
      <c r="I307" s="1" t="s">
        <v>2094</v>
      </c>
      <c r="J307" s="1" t="s">
        <v>1145</v>
      </c>
      <c r="K307" s="1" t="s">
        <v>947</v>
      </c>
      <c r="L307" s="1" t="s">
        <v>1533</v>
      </c>
      <c r="M307" s="1" t="s">
        <v>1533</v>
      </c>
      <c r="N307" s="1" t="s">
        <v>110</v>
      </c>
      <c r="O307" s="1" t="s">
        <v>110</v>
      </c>
      <c r="P307" s="1" t="s">
        <v>110</v>
      </c>
      <c r="Q307" s="5">
        <v>45064</v>
      </c>
      <c r="R307" s="1"/>
      <c r="S307" s="1"/>
      <c r="T307" s="1"/>
      <c r="U307" s="1"/>
      <c r="V307" s="1" t="s">
        <v>2146</v>
      </c>
      <c r="W307" s="4">
        <v>1</v>
      </c>
      <c r="X307" s="6">
        <v>2189.6</v>
      </c>
      <c r="Y307" s="1" t="s">
        <v>1516</v>
      </c>
      <c r="Z307" s="1">
        <v>1</v>
      </c>
      <c r="AA307" s="6">
        <v>2189.6</v>
      </c>
      <c r="AB307" s="1" t="s">
        <v>2167</v>
      </c>
      <c r="AC307" s="1" t="s">
        <v>2162</v>
      </c>
      <c r="AD307" s="1" t="s">
        <v>1100</v>
      </c>
      <c r="AE307" s="1" t="s">
        <v>1522</v>
      </c>
      <c r="AF307" s="1" t="s">
        <v>1186</v>
      </c>
      <c r="AG307" s="1" t="s">
        <v>1522</v>
      </c>
      <c r="AH307" s="6">
        <v>2189.6</v>
      </c>
      <c r="AI307" s="6">
        <v>2189.6</v>
      </c>
      <c r="AJ307" s="1" t="s">
        <v>1498</v>
      </c>
      <c r="AK307" s="1"/>
      <c r="AL307" s="1"/>
      <c r="AM307" s="1" t="s">
        <v>1498</v>
      </c>
      <c r="AN307" s="1" t="s">
        <v>785</v>
      </c>
      <c r="AO307" s="1"/>
      <c r="AP307" s="1" t="s">
        <v>81</v>
      </c>
      <c r="AQ307" s="1"/>
      <c r="AR307" s="1"/>
      <c r="AS307" s="2"/>
      <c r="AT307" s="1"/>
      <c r="AU307" s="1"/>
      <c r="AV307" s="1"/>
      <c r="AW307" s="1" t="s">
        <v>2152</v>
      </c>
      <c r="AX307" s="7">
        <v>45064.548980777698</v>
      </c>
      <c r="AY307" s="1" t="s">
        <v>1060</v>
      </c>
      <c r="AZ307" s="6">
        <v>2189.6</v>
      </c>
      <c r="BA307" s="5">
        <v>45061</v>
      </c>
      <c r="BB307" s="5">
        <v>45291</v>
      </c>
      <c r="BC307" s="5">
        <v>45061</v>
      </c>
      <c r="BD307" s="5">
        <v>45061</v>
      </c>
      <c r="BE307" s="7">
        <v>45291</v>
      </c>
      <c r="BF307" s="1" t="s">
        <v>2170</v>
      </c>
      <c r="BG307" s="1"/>
      <c r="BH307" s="1"/>
      <c r="BI307" s="1" t="s">
        <v>108</v>
      </c>
    </row>
    <row r="308" spans="1:61" hidden="1" x14ac:dyDescent="0.25">
      <c r="A308" s="4">
        <v>303</v>
      </c>
      <c r="B308" s="2" t="str">
        <f>HYPERLINK("https://my.zakupivli.pro/remote/dispatcher/state_purchase_view/42682456", "UA-2023-05-18-007139-a")</f>
        <v>UA-2023-05-18-007139-a</v>
      </c>
      <c r="C308" s="2" t="s">
        <v>1516</v>
      </c>
      <c r="D308" s="1" t="s">
        <v>1465</v>
      </c>
      <c r="E308" s="1" t="s">
        <v>1465</v>
      </c>
      <c r="F308" s="1" t="s">
        <v>487</v>
      </c>
      <c r="G308" s="1" t="s">
        <v>1035</v>
      </c>
      <c r="H308" s="1" t="s">
        <v>1218</v>
      </c>
      <c r="I308" s="1" t="s">
        <v>2094</v>
      </c>
      <c r="J308" s="1" t="s">
        <v>1145</v>
      </c>
      <c r="K308" s="1" t="s">
        <v>947</v>
      </c>
      <c r="L308" s="1" t="s">
        <v>1533</v>
      </c>
      <c r="M308" s="1" t="s">
        <v>1533</v>
      </c>
      <c r="N308" s="1" t="s">
        <v>110</v>
      </c>
      <c r="O308" s="1" t="s">
        <v>110</v>
      </c>
      <c r="P308" s="1" t="s">
        <v>110</v>
      </c>
      <c r="Q308" s="5">
        <v>45064</v>
      </c>
      <c r="R308" s="1"/>
      <c r="S308" s="1"/>
      <c r="T308" s="1"/>
      <c r="U308" s="1"/>
      <c r="V308" s="1" t="s">
        <v>2146</v>
      </c>
      <c r="W308" s="4">
        <v>1</v>
      </c>
      <c r="X308" s="6">
        <v>2799.85</v>
      </c>
      <c r="Y308" s="1" t="s">
        <v>1516</v>
      </c>
      <c r="Z308" s="1">
        <v>1</v>
      </c>
      <c r="AA308" s="6">
        <v>2799.85</v>
      </c>
      <c r="AB308" s="1" t="s">
        <v>2167</v>
      </c>
      <c r="AC308" s="1" t="s">
        <v>2162</v>
      </c>
      <c r="AD308" s="1" t="s">
        <v>1100</v>
      </c>
      <c r="AE308" s="1" t="s">
        <v>1522</v>
      </c>
      <c r="AF308" s="1" t="s">
        <v>1186</v>
      </c>
      <c r="AG308" s="1" t="s">
        <v>1522</v>
      </c>
      <c r="AH308" s="6">
        <v>2799.85</v>
      </c>
      <c r="AI308" s="6">
        <v>2799.85</v>
      </c>
      <c r="AJ308" s="1" t="s">
        <v>1498</v>
      </c>
      <c r="AK308" s="1"/>
      <c r="AL308" s="1"/>
      <c r="AM308" s="1" t="s">
        <v>1498</v>
      </c>
      <c r="AN308" s="1" t="s">
        <v>785</v>
      </c>
      <c r="AO308" s="1"/>
      <c r="AP308" s="1" t="s">
        <v>81</v>
      </c>
      <c r="AQ308" s="1"/>
      <c r="AR308" s="1"/>
      <c r="AS308" s="2"/>
      <c r="AT308" s="1"/>
      <c r="AU308" s="1"/>
      <c r="AV308" s="1"/>
      <c r="AW308" s="1" t="s">
        <v>2152</v>
      </c>
      <c r="AX308" s="7">
        <v>45064.543311345449</v>
      </c>
      <c r="AY308" s="1" t="s">
        <v>1058</v>
      </c>
      <c r="AZ308" s="6">
        <v>2799.85</v>
      </c>
      <c r="BA308" s="5">
        <v>45061</v>
      </c>
      <c r="BB308" s="5">
        <v>45291</v>
      </c>
      <c r="BC308" s="5">
        <v>45061</v>
      </c>
      <c r="BD308" s="5">
        <v>45061</v>
      </c>
      <c r="BE308" s="7">
        <v>45291</v>
      </c>
      <c r="BF308" s="1" t="s">
        <v>2170</v>
      </c>
      <c r="BG308" s="1"/>
      <c r="BH308" s="1"/>
      <c r="BI308" s="1" t="s">
        <v>108</v>
      </c>
    </row>
    <row r="309" spans="1:61" hidden="1" x14ac:dyDescent="0.25">
      <c r="A309" s="4">
        <v>304</v>
      </c>
      <c r="B309" s="2" t="str">
        <f>HYPERLINK("https://my.zakupivli.pro/remote/dispatcher/state_purchase_view/42682083", "UA-2023-05-18-006971-a")</f>
        <v>UA-2023-05-18-006971-a</v>
      </c>
      <c r="C309" s="2" t="s">
        <v>1516</v>
      </c>
      <c r="D309" s="1" t="s">
        <v>1464</v>
      </c>
      <c r="E309" s="1" t="s">
        <v>1464</v>
      </c>
      <c r="F309" s="1" t="s">
        <v>487</v>
      </c>
      <c r="G309" s="1" t="s">
        <v>1035</v>
      </c>
      <c r="H309" s="1" t="s">
        <v>1218</v>
      </c>
      <c r="I309" s="1" t="s">
        <v>2094</v>
      </c>
      <c r="J309" s="1" t="s">
        <v>1145</v>
      </c>
      <c r="K309" s="1" t="s">
        <v>947</v>
      </c>
      <c r="L309" s="1" t="s">
        <v>1533</v>
      </c>
      <c r="M309" s="1" t="s">
        <v>1533</v>
      </c>
      <c r="N309" s="1" t="s">
        <v>110</v>
      </c>
      <c r="O309" s="1" t="s">
        <v>110</v>
      </c>
      <c r="P309" s="1" t="s">
        <v>110</v>
      </c>
      <c r="Q309" s="5">
        <v>45064</v>
      </c>
      <c r="R309" s="1"/>
      <c r="S309" s="1"/>
      <c r="T309" s="1"/>
      <c r="U309" s="1"/>
      <c r="V309" s="1" t="s">
        <v>2146</v>
      </c>
      <c r="W309" s="4">
        <v>1</v>
      </c>
      <c r="X309" s="6">
        <v>2793</v>
      </c>
      <c r="Y309" s="1" t="s">
        <v>1516</v>
      </c>
      <c r="Z309" s="1">
        <v>1</v>
      </c>
      <c r="AA309" s="6">
        <v>2793</v>
      </c>
      <c r="AB309" s="1" t="s">
        <v>2167</v>
      </c>
      <c r="AC309" s="1" t="s">
        <v>2162</v>
      </c>
      <c r="AD309" s="1" t="s">
        <v>1100</v>
      </c>
      <c r="AE309" s="1" t="s">
        <v>1522</v>
      </c>
      <c r="AF309" s="1" t="s">
        <v>1186</v>
      </c>
      <c r="AG309" s="1" t="s">
        <v>1522</v>
      </c>
      <c r="AH309" s="6">
        <v>2793</v>
      </c>
      <c r="AI309" s="6">
        <v>2793</v>
      </c>
      <c r="AJ309" s="1" t="s">
        <v>1498</v>
      </c>
      <c r="AK309" s="1"/>
      <c r="AL309" s="1"/>
      <c r="AM309" s="1" t="s">
        <v>1498</v>
      </c>
      <c r="AN309" s="1" t="s">
        <v>785</v>
      </c>
      <c r="AO309" s="1"/>
      <c r="AP309" s="1" t="s">
        <v>81</v>
      </c>
      <c r="AQ309" s="1"/>
      <c r="AR309" s="1"/>
      <c r="AS309" s="2"/>
      <c r="AT309" s="1"/>
      <c r="AU309" s="1"/>
      <c r="AV309" s="1"/>
      <c r="AW309" s="1" t="s">
        <v>2152</v>
      </c>
      <c r="AX309" s="7">
        <v>45064.538861505564</v>
      </c>
      <c r="AY309" s="1" t="s">
        <v>1054</v>
      </c>
      <c r="AZ309" s="6">
        <v>2793</v>
      </c>
      <c r="BA309" s="5">
        <v>45061</v>
      </c>
      <c r="BB309" s="5">
        <v>45291</v>
      </c>
      <c r="BC309" s="5">
        <v>45061</v>
      </c>
      <c r="BD309" s="5">
        <v>45061</v>
      </c>
      <c r="BE309" s="7">
        <v>45291</v>
      </c>
      <c r="BF309" s="1" t="s">
        <v>2170</v>
      </c>
      <c r="BG309" s="1"/>
      <c r="BH309" s="1"/>
      <c r="BI309" s="1" t="s">
        <v>108</v>
      </c>
    </row>
    <row r="310" spans="1:61" hidden="1" x14ac:dyDescent="0.25">
      <c r="A310" s="4">
        <v>305</v>
      </c>
      <c r="B310" s="2" t="str">
        <f>HYPERLINK("https://my.zakupivli.pro/remote/dispatcher/state_purchase_view/42663600", "UA-2023-05-17-013982-a")</f>
        <v>UA-2023-05-17-013982-a</v>
      </c>
      <c r="C310" s="2" t="s">
        <v>1516</v>
      </c>
      <c r="D310" s="1" t="s">
        <v>1849</v>
      </c>
      <c r="E310" s="1" t="s">
        <v>1849</v>
      </c>
      <c r="F310" s="1" t="s">
        <v>487</v>
      </c>
      <c r="G310" s="1" t="s">
        <v>1035</v>
      </c>
      <c r="H310" s="1" t="s">
        <v>1218</v>
      </c>
      <c r="I310" s="1" t="s">
        <v>2094</v>
      </c>
      <c r="J310" s="1" t="s">
        <v>1145</v>
      </c>
      <c r="K310" s="1" t="s">
        <v>947</v>
      </c>
      <c r="L310" s="1" t="s">
        <v>1533</v>
      </c>
      <c r="M310" s="1" t="s">
        <v>1533</v>
      </c>
      <c r="N310" s="1" t="s">
        <v>110</v>
      </c>
      <c r="O310" s="1" t="s">
        <v>110</v>
      </c>
      <c r="P310" s="1" t="s">
        <v>110</v>
      </c>
      <c r="Q310" s="5">
        <v>45063</v>
      </c>
      <c r="R310" s="1"/>
      <c r="S310" s="1"/>
      <c r="T310" s="1"/>
      <c r="U310" s="1"/>
      <c r="V310" s="1" t="s">
        <v>2146</v>
      </c>
      <c r="W310" s="4">
        <v>1</v>
      </c>
      <c r="X310" s="6">
        <v>11742</v>
      </c>
      <c r="Y310" s="1" t="s">
        <v>1516</v>
      </c>
      <c r="Z310" s="1">
        <v>1</v>
      </c>
      <c r="AA310" s="6">
        <v>11742</v>
      </c>
      <c r="AB310" s="1" t="s">
        <v>2167</v>
      </c>
      <c r="AC310" s="1" t="s">
        <v>2162</v>
      </c>
      <c r="AD310" s="1" t="s">
        <v>1100</v>
      </c>
      <c r="AE310" s="1" t="s">
        <v>1522</v>
      </c>
      <c r="AF310" s="1" t="s">
        <v>1186</v>
      </c>
      <c r="AG310" s="1" t="s">
        <v>1522</v>
      </c>
      <c r="AH310" s="6">
        <v>11742</v>
      </c>
      <c r="AI310" s="6">
        <v>11742</v>
      </c>
      <c r="AJ310" s="1" t="s">
        <v>1498</v>
      </c>
      <c r="AK310" s="1"/>
      <c r="AL310" s="1"/>
      <c r="AM310" s="1" t="s">
        <v>1498</v>
      </c>
      <c r="AN310" s="1" t="s">
        <v>785</v>
      </c>
      <c r="AO310" s="1"/>
      <c r="AP310" s="1" t="s">
        <v>81</v>
      </c>
      <c r="AQ310" s="1"/>
      <c r="AR310" s="1"/>
      <c r="AS310" s="2"/>
      <c r="AT310" s="1"/>
      <c r="AU310" s="1"/>
      <c r="AV310" s="1"/>
      <c r="AW310" s="1" t="s">
        <v>2152</v>
      </c>
      <c r="AX310" s="7">
        <v>45063.692428818875</v>
      </c>
      <c r="AY310" s="1" t="s">
        <v>1042</v>
      </c>
      <c r="AZ310" s="6">
        <v>11742</v>
      </c>
      <c r="BA310" s="5">
        <v>45058</v>
      </c>
      <c r="BB310" s="5">
        <v>45291</v>
      </c>
      <c r="BC310" s="5">
        <v>45058</v>
      </c>
      <c r="BD310" s="5">
        <v>45058</v>
      </c>
      <c r="BE310" s="7">
        <v>45291</v>
      </c>
      <c r="BF310" s="1" t="s">
        <v>2170</v>
      </c>
      <c r="BG310" s="1"/>
      <c r="BH310" s="1"/>
      <c r="BI310" s="1" t="s">
        <v>108</v>
      </c>
    </row>
    <row r="311" spans="1:61" hidden="1" x14ac:dyDescent="0.25">
      <c r="A311" s="4">
        <v>306</v>
      </c>
      <c r="B311" s="2" t="str">
        <f>HYPERLINK("https://my.zakupivli.pro/remote/dispatcher/state_purchase_view/42664261", "UA-2023-05-17-014360-a")</f>
        <v>UA-2023-05-17-014360-a</v>
      </c>
      <c r="C311" s="2" t="s">
        <v>1516</v>
      </c>
      <c r="D311" s="1" t="s">
        <v>1463</v>
      </c>
      <c r="E311" s="1" t="s">
        <v>1463</v>
      </c>
      <c r="F311" s="1" t="s">
        <v>487</v>
      </c>
      <c r="G311" s="1" t="s">
        <v>1035</v>
      </c>
      <c r="H311" s="1" t="s">
        <v>1218</v>
      </c>
      <c r="I311" s="1" t="s">
        <v>2094</v>
      </c>
      <c r="J311" s="1" t="s">
        <v>1145</v>
      </c>
      <c r="K311" s="1" t="s">
        <v>947</v>
      </c>
      <c r="L311" s="1" t="s">
        <v>1533</v>
      </c>
      <c r="M311" s="1" t="s">
        <v>1533</v>
      </c>
      <c r="N311" s="1" t="s">
        <v>110</v>
      </c>
      <c r="O311" s="1" t="s">
        <v>110</v>
      </c>
      <c r="P311" s="1" t="s">
        <v>110</v>
      </c>
      <c r="Q311" s="5">
        <v>45063</v>
      </c>
      <c r="R311" s="1"/>
      <c r="S311" s="1"/>
      <c r="T311" s="1"/>
      <c r="U311" s="1"/>
      <c r="V311" s="1" t="s">
        <v>2146</v>
      </c>
      <c r="W311" s="4">
        <v>1</v>
      </c>
      <c r="X311" s="6">
        <v>2380</v>
      </c>
      <c r="Y311" s="1" t="s">
        <v>1516</v>
      </c>
      <c r="Z311" s="1">
        <v>1</v>
      </c>
      <c r="AA311" s="6">
        <v>2380</v>
      </c>
      <c r="AB311" s="1" t="s">
        <v>2167</v>
      </c>
      <c r="AC311" s="1" t="s">
        <v>2162</v>
      </c>
      <c r="AD311" s="1" t="s">
        <v>1100</v>
      </c>
      <c r="AE311" s="1" t="s">
        <v>1522</v>
      </c>
      <c r="AF311" s="1" t="s">
        <v>1186</v>
      </c>
      <c r="AG311" s="1" t="s">
        <v>1522</v>
      </c>
      <c r="AH311" s="6">
        <v>2380</v>
      </c>
      <c r="AI311" s="6">
        <v>2380</v>
      </c>
      <c r="AJ311" s="1" t="s">
        <v>1498</v>
      </c>
      <c r="AK311" s="1"/>
      <c r="AL311" s="1"/>
      <c r="AM311" s="1" t="s">
        <v>1498</v>
      </c>
      <c r="AN311" s="1" t="s">
        <v>785</v>
      </c>
      <c r="AO311" s="1"/>
      <c r="AP311" s="1" t="s">
        <v>81</v>
      </c>
      <c r="AQ311" s="1"/>
      <c r="AR311" s="1"/>
      <c r="AS311" s="2"/>
      <c r="AT311" s="1"/>
      <c r="AU311" s="1"/>
      <c r="AV311" s="1"/>
      <c r="AW311" s="1" t="s">
        <v>2152</v>
      </c>
      <c r="AX311" s="7">
        <v>45063.704155702872</v>
      </c>
      <c r="AY311" s="1" t="s">
        <v>1047</v>
      </c>
      <c r="AZ311" s="6">
        <v>2380</v>
      </c>
      <c r="BA311" s="5">
        <v>45058</v>
      </c>
      <c r="BB311" s="5">
        <v>45291</v>
      </c>
      <c r="BC311" s="5">
        <v>45058</v>
      </c>
      <c r="BD311" s="5">
        <v>45058</v>
      </c>
      <c r="BE311" s="7">
        <v>45291</v>
      </c>
      <c r="BF311" s="1" t="s">
        <v>2170</v>
      </c>
      <c r="BG311" s="1"/>
      <c r="BH311" s="1"/>
      <c r="BI311" s="1" t="s">
        <v>108</v>
      </c>
    </row>
    <row r="312" spans="1:61" hidden="1" x14ac:dyDescent="0.25">
      <c r="A312" s="4">
        <v>307</v>
      </c>
      <c r="B312" s="2" t="str">
        <f>HYPERLINK("https://my.zakupivli.pro/remote/dispatcher/state_purchase_view/42665049", "UA-2023-05-17-014697-a")</f>
        <v>UA-2023-05-17-014697-a</v>
      </c>
      <c r="C312" s="2" t="s">
        <v>1516</v>
      </c>
      <c r="D312" s="1" t="s">
        <v>1461</v>
      </c>
      <c r="E312" s="1" t="s">
        <v>1461</v>
      </c>
      <c r="F312" s="1" t="s">
        <v>487</v>
      </c>
      <c r="G312" s="1" t="s">
        <v>1035</v>
      </c>
      <c r="H312" s="1" t="s">
        <v>1218</v>
      </c>
      <c r="I312" s="1" t="s">
        <v>2094</v>
      </c>
      <c r="J312" s="1" t="s">
        <v>1145</v>
      </c>
      <c r="K312" s="1" t="s">
        <v>947</v>
      </c>
      <c r="L312" s="1" t="s">
        <v>1533</v>
      </c>
      <c r="M312" s="1" t="s">
        <v>1533</v>
      </c>
      <c r="N312" s="1" t="s">
        <v>110</v>
      </c>
      <c r="O312" s="1" t="s">
        <v>110</v>
      </c>
      <c r="P312" s="1" t="s">
        <v>110</v>
      </c>
      <c r="Q312" s="5">
        <v>45063</v>
      </c>
      <c r="R312" s="1"/>
      <c r="S312" s="1"/>
      <c r="T312" s="1"/>
      <c r="U312" s="1"/>
      <c r="V312" s="1" t="s">
        <v>2146</v>
      </c>
      <c r="W312" s="4">
        <v>1</v>
      </c>
      <c r="X312" s="6">
        <v>2799.97</v>
      </c>
      <c r="Y312" s="1" t="s">
        <v>1516</v>
      </c>
      <c r="Z312" s="1">
        <v>1</v>
      </c>
      <c r="AA312" s="6">
        <v>2799.97</v>
      </c>
      <c r="AB312" s="1" t="s">
        <v>2167</v>
      </c>
      <c r="AC312" s="1" t="s">
        <v>2162</v>
      </c>
      <c r="AD312" s="1" t="s">
        <v>1100</v>
      </c>
      <c r="AE312" s="1" t="s">
        <v>1522</v>
      </c>
      <c r="AF312" s="1" t="s">
        <v>1186</v>
      </c>
      <c r="AG312" s="1" t="s">
        <v>1522</v>
      </c>
      <c r="AH312" s="6">
        <v>2799.97</v>
      </c>
      <c r="AI312" s="6">
        <v>2799.97</v>
      </c>
      <c r="AJ312" s="1" t="s">
        <v>1498</v>
      </c>
      <c r="AK312" s="1"/>
      <c r="AL312" s="1"/>
      <c r="AM312" s="1" t="s">
        <v>1498</v>
      </c>
      <c r="AN312" s="1" t="s">
        <v>785</v>
      </c>
      <c r="AO312" s="1"/>
      <c r="AP312" s="1" t="s">
        <v>81</v>
      </c>
      <c r="AQ312" s="1"/>
      <c r="AR312" s="1"/>
      <c r="AS312" s="2"/>
      <c r="AT312" s="1"/>
      <c r="AU312" s="1"/>
      <c r="AV312" s="1"/>
      <c r="AW312" s="1" t="s">
        <v>2152</v>
      </c>
      <c r="AX312" s="7">
        <v>45063.7183824944</v>
      </c>
      <c r="AY312" s="1" t="s">
        <v>1048</v>
      </c>
      <c r="AZ312" s="6">
        <v>2799.97</v>
      </c>
      <c r="BA312" s="5">
        <v>45058</v>
      </c>
      <c r="BB312" s="5">
        <v>45291</v>
      </c>
      <c r="BC312" s="5">
        <v>45058</v>
      </c>
      <c r="BD312" s="5">
        <v>45058</v>
      </c>
      <c r="BE312" s="7">
        <v>45291</v>
      </c>
      <c r="BF312" s="1" t="s">
        <v>2170</v>
      </c>
      <c r="BG312" s="1"/>
      <c r="BH312" s="1"/>
      <c r="BI312" s="1" t="s">
        <v>108</v>
      </c>
    </row>
    <row r="313" spans="1:61" hidden="1" x14ac:dyDescent="0.25">
      <c r="A313" s="4">
        <v>308</v>
      </c>
      <c r="B313" s="2" t="str">
        <f>HYPERLINK("https://my.zakupivli.pro/remote/dispatcher/state_purchase_view/42664928", "UA-2023-05-17-014634-a")</f>
        <v>UA-2023-05-17-014634-a</v>
      </c>
      <c r="C313" s="2" t="s">
        <v>1516</v>
      </c>
      <c r="D313" s="1" t="s">
        <v>1460</v>
      </c>
      <c r="E313" s="1" t="s">
        <v>1460</v>
      </c>
      <c r="F313" s="1" t="s">
        <v>487</v>
      </c>
      <c r="G313" s="1" t="s">
        <v>1035</v>
      </c>
      <c r="H313" s="1" t="s">
        <v>1218</v>
      </c>
      <c r="I313" s="1" t="s">
        <v>2094</v>
      </c>
      <c r="J313" s="1" t="s">
        <v>1145</v>
      </c>
      <c r="K313" s="1" t="s">
        <v>947</v>
      </c>
      <c r="L313" s="1" t="s">
        <v>1533</v>
      </c>
      <c r="M313" s="1" t="s">
        <v>1533</v>
      </c>
      <c r="N313" s="1" t="s">
        <v>110</v>
      </c>
      <c r="O313" s="1" t="s">
        <v>110</v>
      </c>
      <c r="P313" s="1" t="s">
        <v>110</v>
      </c>
      <c r="Q313" s="5">
        <v>45063</v>
      </c>
      <c r="R313" s="1"/>
      <c r="S313" s="1"/>
      <c r="T313" s="1"/>
      <c r="U313" s="1"/>
      <c r="V313" s="1" t="s">
        <v>2146</v>
      </c>
      <c r="W313" s="4">
        <v>1</v>
      </c>
      <c r="X313" s="6">
        <v>2548</v>
      </c>
      <c r="Y313" s="1" t="s">
        <v>1516</v>
      </c>
      <c r="Z313" s="1">
        <v>1</v>
      </c>
      <c r="AA313" s="6">
        <v>2548</v>
      </c>
      <c r="AB313" s="1" t="s">
        <v>2167</v>
      </c>
      <c r="AC313" s="1" t="s">
        <v>2162</v>
      </c>
      <c r="AD313" s="1" t="s">
        <v>1100</v>
      </c>
      <c r="AE313" s="1" t="s">
        <v>1522</v>
      </c>
      <c r="AF313" s="1" t="s">
        <v>1186</v>
      </c>
      <c r="AG313" s="1" t="s">
        <v>1522</v>
      </c>
      <c r="AH313" s="6">
        <v>2548</v>
      </c>
      <c r="AI313" s="6">
        <v>2548</v>
      </c>
      <c r="AJ313" s="1" t="s">
        <v>1498</v>
      </c>
      <c r="AK313" s="1"/>
      <c r="AL313" s="1"/>
      <c r="AM313" s="1" t="s">
        <v>1498</v>
      </c>
      <c r="AN313" s="1" t="s">
        <v>785</v>
      </c>
      <c r="AO313" s="1"/>
      <c r="AP313" s="1" t="s">
        <v>81</v>
      </c>
      <c r="AQ313" s="1"/>
      <c r="AR313" s="1"/>
      <c r="AS313" s="2"/>
      <c r="AT313" s="1"/>
      <c r="AU313" s="1"/>
      <c r="AV313" s="1"/>
      <c r="AW313" s="1" t="s">
        <v>2152</v>
      </c>
      <c r="AX313" s="7">
        <v>45063.712243186943</v>
      </c>
      <c r="AY313" s="1" t="s">
        <v>1045</v>
      </c>
      <c r="AZ313" s="6">
        <v>2548</v>
      </c>
      <c r="BA313" s="5">
        <v>45058</v>
      </c>
      <c r="BB313" s="5">
        <v>45291</v>
      </c>
      <c r="BC313" s="5">
        <v>45058</v>
      </c>
      <c r="BD313" s="5">
        <v>45058</v>
      </c>
      <c r="BE313" s="7">
        <v>45291</v>
      </c>
      <c r="BF313" s="1" t="s">
        <v>2170</v>
      </c>
      <c r="BG313" s="1"/>
      <c r="BH313" s="1"/>
      <c r="BI313" s="1" t="s">
        <v>108</v>
      </c>
    </row>
    <row r="314" spans="1:61" hidden="1" x14ac:dyDescent="0.25">
      <c r="A314" s="4">
        <v>309</v>
      </c>
      <c r="B314" s="2" t="str">
        <f>HYPERLINK("https://my.zakupivli.pro/remote/dispatcher/state_purchase_view/42664749", "UA-2023-05-17-014564-a")</f>
        <v>UA-2023-05-17-014564-a</v>
      </c>
      <c r="C314" s="2" t="s">
        <v>1516</v>
      </c>
      <c r="D314" s="1" t="s">
        <v>1462</v>
      </c>
      <c r="E314" s="1" t="s">
        <v>1462</v>
      </c>
      <c r="F314" s="1" t="s">
        <v>487</v>
      </c>
      <c r="G314" s="1" t="s">
        <v>1035</v>
      </c>
      <c r="H314" s="1" t="s">
        <v>1218</v>
      </c>
      <c r="I314" s="1" t="s">
        <v>2094</v>
      </c>
      <c r="J314" s="1" t="s">
        <v>1145</v>
      </c>
      <c r="K314" s="1" t="s">
        <v>947</v>
      </c>
      <c r="L314" s="1" t="s">
        <v>1533</v>
      </c>
      <c r="M314" s="1" t="s">
        <v>1533</v>
      </c>
      <c r="N314" s="1" t="s">
        <v>110</v>
      </c>
      <c r="O314" s="1" t="s">
        <v>110</v>
      </c>
      <c r="P314" s="1" t="s">
        <v>110</v>
      </c>
      <c r="Q314" s="5">
        <v>45063</v>
      </c>
      <c r="R314" s="1"/>
      <c r="S314" s="1"/>
      <c r="T314" s="1"/>
      <c r="U314" s="1"/>
      <c r="V314" s="1" t="s">
        <v>2146</v>
      </c>
      <c r="W314" s="4">
        <v>1</v>
      </c>
      <c r="X314" s="6">
        <v>2242.8000000000002</v>
      </c>
      <c r="Y314" s="1" t="s">
        <v>1516</v>
      </c>
      <c r="Z314" s="1">
        <v>1</v>
      </c>
      <c r="AA314" s="6">
        <v>2242.8000000000002</v>
      </c>
      <c r="AB314" s="1" t="s">
        <v>2167</v>
      </c>
      <c r="AC314" s="1" t="s">
        <v>2162</v>
      </c>
      <c r="AD314" s="1" t="s">
        <v>1100</v>
      </c>
      <c r="AE314" s="1" t="s">
        <v>1522</v>
      </c>
      <c r="AF314" s="1" t="s">
        <v>1186</v>
      </c>
      <c r="AG314" s="1" t="s">
        <v>1522</v>
      </c>
      <c r="AH314" s="6">
        <v>2242.8000000000002</v>
      </c>
      <c r="AI314" s="6">
        <v>2242.8000000000002</v>
      </c>
      <c r="AJ314" s="1" t="s">
        <v>1498</v>
      </c>
      <c r="AK314" s="1"/>
      <c r="AL314" s="1"/>
      <c r="AM314" s="1" t="s">
        <v>1498</v>
      </c>
      <c r="AN314" s="1" t="s">
        <v>785</v>
      </c>
      <c r="AO314" s="1"/>
      <c r="AP314" s="1" t="s">
        <v>81</v>
      </c>
      <c r="AQ314" s="1"/>
      <c r="AR314" s="1"/>
      <c r="AS314" s="2"/>
      <c r="AT314" s="1"/>
      <c r="AU314" s="1"/>
      <c r="AV314" s="1"/>
      <c r="AW314" s="1" t="s">
        <v>2152</v>
      </c>
      <c r="AX314" s="7">
        <v>45063.70877223531</v>
      </c>
      <c r="AY314" s="1" t="s">
        <v>1044</v>
      </c>
      <c r="AZ314" s="6">
        <v>2242.8000000000002</v>
      </c>
      <c r="BA314" s="5">
        <v>45058</v>
      </c>
      <c r="BB314" s="5">
        <v>45291</v>
      </c>
      <c r="BC314" s="5">
        <v>45058</v>
      </c>
      <c r="BD314" s="5">
        <v>45058</v>
      </c>
      <c r="BE314" s="7">
        <v>45291</v>
      </c>
      <c r="BF314" s="1" t="s">
        <v>2170</v>
      </c>
      <c r="BG314" s="1"/>
      <c r="BH314" s="1"/>
      <c r="BI314" s="1" t="s">
        <v>108</v>
      </c>
    </row>
    <row r="315" spans="1:61" hidden="1" x14ac:dyDescent="0.25">
      <c r="A315" s="4">
        <v>310</v>
      </c>
      <c r="B315" s="2" t="str">
        <f>HYPERLINK("https://my.zakupivli.pro/remote/dispatcher/state_purchase_view/42610153", "UA-2023-05-16-003820-a")</f>
        <v>UA-2023-05-16-003820-a</v>
      </c>
      <c r="C315" s="2" t="s">
        <v>1516</v>
      </c>
      <c r="D315" s="1" t="s">
        <v>1699</v>
      </c>
      <c r="E315" s="1" t="s">
        <v>1690</v>
      </c>
      <c r="F315" s="1" t="s">
        <v>487</v>
      </c>
      <c r="G315" s="1" t="s">
        <v>990</v>
      </c>
      <c r="H315" s="1" t="s">
        <v>1218</v>
      </c>
      <c r="I315" s="1" t="s">
        <v>2094</v>
      </c>
      <c r="J315" s="1" t="s">
        <v>1145</v>
      </c>
      <c r="K315" s="1" t="s">
        <v>947</v>
      </c>
      <c r="L315" s="1" t="s">
        <v>1533</v>
      </c>
      <c r="M315" s="1" t="s">
        <v>1533</v>
      </c>
      <c r="N315" s="1" t="s">
        <v>110</v>
      </c>
      <c r="O315" s="1" t="s">
        <v>110</v>
      </c>
      <c r="P315" s="1" t="s">
        <v>110</v>
      </c>
      <c r="Q315" s="5">
        <v>45062</v>
      </c>
      <c r="R315" s="1"/>
      <c r="S315" s="1"/>
      <c r="T315" s="1"/>
      <c r="U315" s="1"/>
      <c r="V315" s="1" t="s">
        <v>2146</v>
      </c>
      <c r="W315" s="4">
        <v>1</v>
      </c>
      <c r="X315" s="6">
        <v>3114</v>
      </c>
      <c r="Y315" s="1" t="s">
        <v>1516</v>
      </c>
      <c r="Z315" s="1">
        <v>1</v>
      </c>
      <c r="AA315" s="6">
        <v>3114</v>
      </c>
      <c r="AB315" s="1" t="s">
        <v>2167</v>
      </c>
      <c r="AC315" s="1" t="s">
        <v>2162</v>
      </c>
      <c r="AD315" s="1" t="s">
        <v>1100</v>
      </c>
      <c r="AE315" s="1" t="s">
        <v>2094</v>
      </c>
      <c r="AF315" s="1" t="s">
        <v>1186</v>
      </c>
      <c r="AG315" s="1" t="s">
        <v>1522</v>
      </c>
      <c r="AH315" s="6">
        <v>3114</v>
      </c>
      <c r="AI315" s="6">
        <v>3114</v>
      </c>
      <c r="AJ315" s="1" t="s">
        <v>2085</v>
      </c>
      <c r="AK315" s="1"/>
      <c r="AL315" s="1"/>
      <c r="AM315" s="1" t="s">
        <v>2085</v>
      </c>
      <c r="AN315" s="1" t="s">
        <v>803</v>
      </c>
      <c r="AO315" s="1"/>
      <c r="AP315" s="1" t="s">
        <v>28</v>
      </c>
      <c r="AQ315" s="1"/>
      <c r="AR315" s="1"/>
      <c r="AS315" s="2"/>
      <c r="AT315" s="1"/>
      <c r="AU315" s="1"/>
      <c r="AV315" s="1"/>
      <c r="AW315" s="1" t="s">
        <v>2152</v>
      </c>
      <c r="AX315" s="7">
        <v>45062.46399095557</v>
      </c>
      <c r="AY315" s="1" t="s">
        <v>1079</v>
      </c>
      <c r="AZ315" s="6">
        <v>3114</v>
      </c>
      <c r="BA315" s="5">
        <v>45059</v>
      </c>
      <c r="BB315" s="5">
        <v>45061</v>
      </c>
      <c r="BC315" s="5">
        <v>45058</v>
      </c>
      <c r="BD315" s="5">
        <v>45058</v>
      </c>
      <c r="BE315" s="7">
        <v>45291</v>
      </c>
      <c r="BF315" s="1" t="s">
        <v>2170</v>
      </c>
      <c r="BG315" s="1"/>
      <c r="BH315" s="1"/>
      <c r="BI315" s="1" t="s">
        <v>108</v>
      </c>
    </row>
    <row r="316" spans="1:61" hidden="1" x14ac:dyDescent="0.25">
      <c r="A316" s="4">
        <v>311</v>
      </c>
      <c r="B316" s="2" t="str">
        <f>HYPERLINK("https://my.zakupivli.pro/remote/dispatcher/state_purchase_view/42631367", "UA-2023-05-16-014173-a")</f>
        <v>UA-2023-05-16-014173-a</v>
      </c>
      <c r="C316" s="2" t="str">
        <f>HYPERLINK("https://my.zakupivli.pro/remote/dispatcher/state_purchase_lot_view/946361", "UA-2023-05-16-014173-a-L1")</f>
        <v>UA-2023-05-16-014173-a-L1</v>
      </c>
      <c r="D316" s="1" t="s">
        <v>1736</v>
      </c>
      <c r="E316" s="1" t="s">
        <v>1735</v>
      </c>
      <c r="F316" s="1" t="s">
        <v>487</v>
      </c>
      <c r="G316" s="1" t="s">
        <v>966</v>
      </c>
      <c r="H316" s="1" t="s">
        <v>1185</v>
      </c>
      <c r="I316" s="1" t="s">
        <v>2094</v>
      </c>
      <c r="J316" s="1" t="s">
        <v>1145</v>
      </c>
      <c r="K316" s="1" t="s">
        <v>947</v>
      </c>
      <c r="L316" s="1" t="s">
        <v>1533</v>
      </c>
      <c r="M316" s="1" t="s">
        <v>1533</v>
      </c>
      <c r="N316" s="1" t="s">
        <v>110</v>
      </c>
      <c r="O316" s="1" t="s">
        <v>110</v>
      </c>
      <c r="P316" s="1" t="s">
        <v>110</v>
      </c>
      <c r="Q316" s="5">
        <v>45062</v>
      </c>
      <c r="R316" s="1" t="s">
        <v>524</v>
      </c>
      <c r="S316" s="1" t="s">
        <v>526</v>
      </c>
      <c r="T316" s="5">
        <v>45062</v>
      </c>
      <c r="U316" s="5">
        <v>45070</v>
      </c>
      <c r="V316" s="1" t="s">
        <v>2147</v>
      </c>
      <c r="W316" s="4">
        <v>0</v>
      </c>
      <c r="X316" s="6">
        <v>298420</v>
      </c>
      <c r="Y316" s="6">
        <v>298420</v>
      </c>
      <c r="Z316" s="1">
        <v>1</v>
      </c>
      <c r="AA316" s="6">
        <v>298420</v>
      </c>
      <c r="AB316" s="1" t="s">
        <v>2167</v>
      </c>
      <c r="AC316" s="6">
        <v>2984.2</v>
      </c>
      <c r="AD316" s="1" t="s">
        <v>1100</v>
      </c>
      <c r="AE316" s="1" t="s">
        <v>2094</v>
      </c>
      <c r="AF316" s="1" t="s">
        <v>1186</v>
      </c>
      <c r="AG316" s="1" t="s">
        <v>1522</v>
      </c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2"/>
      <c r="AT316" s="1"/>
      <c r="AU316" s="1"/>
      <c r="AV316" s="1"/>
      <c r="AW316" s="1" t="s">
        <v>2153</v>
      </c>
      <c r="AX316" s="7">
        <v>45070.001378504014</v>
      </c>
      <c r="AY316" s="1"/>
      <c r="AZ316" s="1"/>
      <c r="BA316" s="1"/>
      <c r="BB316" s="5">
        <v>45138</v>
      </c>
      <c r="BC316" s="1" t="s">
        <v>109</v>
      </c>
      <c r="BD316" s="1" t="s">
        <v>109</v>
      </c>
      <c r="BE316" s="1"/>
      <c r="BF316" s="1"/>
      <c r="BG316" s="1"/>
      <c r="BH316" s="1"/>
      <c r="BI316" s="1"/>
    </row>
    <row r="317" spans="1:61" hidden="1" x14ac:dyDescent="0.25">
      <c r="A317" s="4">
        <v>312</v>
      </c>
      <c r="B317" s="2" t="str">
        <f>HYPERLINK("https://my.zakupivli.pro/remote/dispatcher/state_purchase_view/42630828", "UA-2023-05-16-013915-a")</f>
        <v>UA-2023-05-16-013915-a</v>
      </c>
      <c r="C317" s="2" t="str">
        <f>HYPERLINK("https://my.zakupivli.pro/remote/dispatcher/state_purchase_lot_view/946314", "UA-2023-05-16-013915-a-L1")</f>
        <v>UA-2023-05-16-013915-a-L1</v>
      </c>
      <c r="D317" s="1" t="s">
        <v>1734</v>
      </c>
      <c r="E317" s="1" t="s">
        <v>1733</v>
      </c>
      <c r="F317" s="1" t="s">
        <v>487</v>
      </c>
      <c r="G317" s="1" t="s">
        <v>966</v>
      </c>
      <c r="H317" s="1" t="s">
        <v>1185</v>
      </c>
      <c r="I317" s="1" t="s">
        <v>2094</v>
      </c>
      <c r="J317" s="1" t="s">
        <v>1145</v>
      </c>
      <c r="K317" s="1" t="s">
        <v>947</v>
      </c>
      <c r="L317" s="1" t="s">
        <v>1533</v>
      </c>
      <c r="M317" s="1" t="s">
        <v>1533</v>
      </c>
      <c r="N317" s="1" t="s">
        <v>110</v>
      </c>
      <c r="O317" s="1" t="s">
        <v>110</v>
      </c>
      <c r="P317" s="1" t="s">
        <v>110</v>
      </c>
      <c r="Q317" s="5">
        <v>45062</v>
      </c>
      <c r="R317" s="1" t="s">
        <v>524</v>
      </c>
      <c r="S317" s="1" t="s">
        <v>526</v>
      </c>
      <c r="T317" s="5">
        <v>45062</v>
      </c>
      <c r="U317" s="5">
        <v>45070</v>
      </c>
      <c r="V317" s="1" t="s">
        <v>2147</v>
      </c>
      <c r="W317" s="4">
        <v>1</v>
      </c>
      <c r="X317" s="6">
        <v>234074</v>
      </c>
      <c r="Y317" s="6">
        <v>234074</v>
      </c>
      <c r="Z317" s="1">
        <v>1</v>
      </c>
      <c r="AA317" s="6">
        <v>234074</v>
      </c>
      <c r="AB317" s="1" t="s">
        <v>2167</v>
      </c>
      <c r="AC317" s="6">
        <v>2340.7399999999998</v>
      </c>
      <c r="AD317" s="1" t="s">
        <v>1100</v>
      </c>
      <c r="AE317" s="1" t="s">
        <v>2094</v>
      </c>
      <c r="AF317" s="1" t="s">
        <v>1186</v>
      </c>
      <c r="AG317" s="1" t="s">
        <v>1522</v>
      </c>
      <c r="AH317" s="6">
        <v>233323.44</v>
      </c>
      <c r="AI317" s="6">
        <v>233323.44</v>
      </c>
      <c r="AJ317" s="1" t="s">
        <v>2043</v>
      </c>
      <c r="AK317" s="6">
        <v>750.55999999999767</v>
      </c>
      <c r="AL317" s="6">
        <v>3.2065073438314281E-3</v>
      </c>
      <c r="AM317" s="1" t="s">
        <v>2043</v>
      </c>
      <c r="AN317" s="1" t="s">
        <v>945</v>
      </c>
      <c r="AO317" s="1" t="s">
        <v>1113</v>
      </c>
      <c r="AP317" s="1" t="s">
        <v>85</v>
      </c>
      <c r="AQ317" s="6">
        <v>750.55999999999767</v>
      </c>
      <c r="AR317" s="6">
        <v>3.2065073438314281E-3</v>
      </c>
      <c r="AS317" s="2"/>
      <c r="AT317" s="7">
        <v>45071.688080840962</v>
      </c>
      <c r="AU317" s="1" t="s">
        <v>530</v>
      </c>
      <c r="AV317" s="1" t="s">
        <v>535</v>
      </c>
      <c r="AW317" s="1" t="s">
        <v>2151</v>
      </c>
      <c r="AX317" s="7">
        <v>45079.58073485527</v>
      </c>
      <c r="AY317" s="1" t="s">
        <v>160</v>
      </c>
      <c r="AZ317" s="6">
        <v>233323.44</v>
      </c>
      <c r="BA317" s="1"/>
      <c r="BB317" s="5">
        <v>45138</v>
      </c>
      <c r="BC317" s="5">
        <v>45079</v>
      </c>
      <c r="BD317" s="5">
        <v>45079</v>
      </c>
      <c r="BE317" s="7">
        <v>45291</v>
      </c>
      <c r="BF317" s="1" t="s">
        <v>2170</v>
      </c>
      <c r="BG317" s="1"/>
      <c r="BH317" s="1"/>
      <c r="BI317" s="1" t="s">
        <v>946</v>
      </c>
    </row>
    <row r="318" spans="1:61" hidden="1" x14ac:dyDescent="0.25">
      <c r="A318" s="4">
        <v>313</v>
      </c>
      <c r="B318" s="2" t="str">
        <f>HYPERLINK("https://my.zakupivli.pro/remote/dispatcher/state_purchase_view/42630203", "UA-2023-05-16-013463-a")</f>
        <v>UA-2023-05-16-013463-a</v>
      </c>
      <c r="C318" s="2" t="str">
        <f>HYPERLINK("https://my.zakupivli.pro/remote/dispatcher/state_purchase_lot_view/946267", "UA-2023-05-16-013463-a-L1")</f>
        <v>UA-2023-05-16-013463-a-L1</v>
      </c>
      <c r="D318" s="1" t="s">
        <v>1740</v>
      </c>
      <c r="E318" s="1" t="s">
        <v>1739</v>
      </c>
      <c r="F318" s="1" t="s">
        <v>487</v>
      </c>
      <c r="G318" s="1" t="s">
        <v>966</v>
      </c>
      <c r="H318" s="1" t="s">
        <v>1185</v>
      </c>
      <c r="I318" s="1" t="s">
        <v>2094</v>
      </c>
      <c r="J318" s="1" t="s">
        <v>1145</v>
      </c>
      <c r="K318" s="1" t="s">
        <v>947</v>
      </c>
      <c r="L318" s="1" t="s">
        <v>1533</v>
      </c>
      <c r="M318" s="1" t="s">
        <v>1533</v>
      </c>
      <c r="N318" s="1" t="s">
        <v>110</v>
      </c>
      <c r="O318" s="1" t="s">
        <v>110</v>
      </c>
      <c r="P318" s="1" t="s">
        <v>110</v>
      </c>
      <c r="Q318" s="5">
        <v>45062</v>
      </c>
      <c r="R318" s="1" t="s">
        <v>524</v>
      </c>
      <c r="S318" s="1" t="s">
        <v>526</v>
      </c>
      <c r="T318" s="5">
        <v>45062</v>
      </c>
      <c r="U318" s="5">
        <v>45070</v>
      </c>
      <c r="V318" s="1" t="s">
        <v>2147</v>
      </c>
      <c r="W318" s="4">
        <v>1</v>
      </c>
      <c r="X318" s="6">
        <v>436726</v>
      </c>
      <c r="Y318" s="6">
        <v>436726</v>
      </c>
      <c r="Z318" s="1">
        <v>1</v>
      </c>
      <c r="AA318" s="6">
        <v>436726</v>
      </c>
      <c r="AB318" s="1" t="s">
        <v>2167</v>
      </c>
      <c r="AC318" s="6">
        <v>4367.26</v>
      </c>
      <c r="AD318" s="1" t="s">
        <v>1100</v>
      </c>
      <c r="AE318" s="1" t="s">
        <v>2094</v>
      </c>
      <c r="AF318" s="1" t="s">
        <v>1186</v>
      </c>
      <c r="AG318" s="1" t="s">
        <v>1522</v>
      </c>
      <c r="AH318" s="6">
        <v>436468</v>
      </c>
      <c r="AI318" s="6">
        <v>436468</v>
      </c>
      <c r="AJ318" s="1" t="s">
        <v>2044</v>
      </c>
      <c r="AK318" s="6">
        <v>258</v>
      </c>
      <c r="AL318" s="6">
        <v>5.907594235287114E-4</v>
      </c>
      <c r="AM318" s="1" t="s">
        <v>2044</v>
      </c>
      <c r="AN318" s="1" t="s">
        <v>913</v>
      </c>
      <c r="AO318" s="1" t="s">
        <v>1124</v>
      </c>
      <c r="AP318" s="1" t="s">
        <v>44</v>
      </c>
      <c r="AQ318" s="6">
        <v>258</v>
      </c>
      <c r="AR318" s="6">
        <v>5.907594235287114E-4</v>
      </c>
      <c r="AS318" s="2"/>
      <c r="AT318" s="7">
        <v>45075.439460936919</v>
      </c>
      <c r="AU318" s="1" t="s">
        <v>533</v>
      </c>
      <c r="AV318" s="1" t="s">
        <v>539</v>
      </c>
      <c r="AW318" s="1" t="s">
        <v>2151</v>
      </c>
      <c r="AX318" s="7">
        <v>45082.43651026539</v>
      </c>
      <c r="AY318" s="1" t="s">
        <v>161</v>
      </c>
      <c r="AZ318" s="6">
        <v>436468</v>
      </c>
      <c r="BA318" s="1"/>
      <c r="BB318" s="5">
        <v>45138</v>
      </c>
      <c r="BC318" s="5">
        <v>45082</v>
      </c>
      <c r="BD318" s="5">
        <v>45082</v>
      </c>
      <c r="BE318" s="7">
        <v>45291</v>
      </c>
      <c r="BF318" s="1" t="s">
        <v>2170</v>
      </c>
      <c r="BG318" s="1"/>
      <c r="BH318" s="1"/>
      <c r="BI318" s="1" t="s">
        <v>914</v>
      </c>
    </row>
    <row r="319" spans="1:61" hidden="1" x14ac:dyDescent="0.25">
      <c r="A319" s="4">
        <v>314</v>
      </c>
      <c r="B319" s="2" t="str">
        <f>HYPERLINK("https://my.zakupivli.pro/remote/dispatcher/state_purchase_view/42628319", "UA-2023-05-16-012658-a")</f>
        <v>UA-2023-05-16-012658-a</v>
      </c>
      <c r="C319" s="2" t="str">
        <f>HYPERLINK("https://my.zakupivli.pro/remote/dispatcher/state_purchase_lot_view/946173", "UA-2023-05-16-012658-a-L1")</f>
        <v>UA-2023-05-16-012658-a-L1</v>
      </c>
      <c r="D319" s="1" t="s">
        <v>1738</v>
      </c>
      <c r="E319" s="1" t="s">
        <v>1737</v>
      </c>
      <c r="F319" s="1" t="s">
        <v>487</v>
      </c>
      <c r="G319" s="1" t="s">
        <v>966</v>
      </c>
      <c r="H319" s="1" t="s">
        <v>1185</v>
      </c>
      <c r="I319" s="1" t="s">
        <v>2094</v>
      </c>
      <c r="J319" s="1" t="s">
        <v>1145</v>
      </c>
      <c r="K319" s="1" t="s">
        <v>947</v>
      </c>
      <c r="L319" s="1" t="s">
        <v>1533</v>
      </c>
      <c r="M319" s="1" t="s">
        <v>1533</v>
      </c>
      <c r="N319" s="1" t="s">
        <v>110</v>
      </c>
      <c r="O319" s="1" t="s">
        <v>110</v>
      </c>
      <c r="P319" s="1" t="s">
        <v>110</v>
      </c>
      <c r="Q319" s="5">
        <v>45062</v>
      </c>
      <c r="R319" s="1" t="s">
        <v>524</v>
      </c>
      <c r="S319" s="1" t="s">
        <v>526</v>
      </c>
      <c r="T319" s="5">
        <v>45062</v>
      </c>
      <c r="U319" s="5">
        <v>45070</v>
      </c>
      <c r="V319" s="1" t="s">
        <v>2147</v>
      </c>
      <c r="W319" s="4">
        <v>1</v>
      </c>
      <c r="X319" s="6">
        <v>879800</v>
      </c>
      <c r="Y319" s="6">
        <v>879800</v>
      </c>
      <c r="Z319" s="1">
        <v>1</v>
      </c>
      <c r="AA319" s="6">
        <v>879800</v>
      </c>
      <c r="AB319" s="1" t="s">
        <v>2167</v>
      </c>
      <c r="AC319" s="6">
        <v>8798</v>
      </c>
      <c r="AD319" s="1" t="s">
        <v>1100</v>
      </c>
      <c r="AE319" s="1" t="s">
        <v>2094</v>
      </c>
      <c r="AF319" s="1" t="s">
        <v>1186</v>
      </c>
      <c r="AG319" s="1" t="s">
        <v>1522</v>
      </c>
      <c r="AH319" s="6">
        <v>879049.8</v>
      </c>
      <c r="AI319" s="6">
        <v>879049.8</v>
      </c>
      <c r="AJ319" s="1" t="s">
        <v>2130</v>
      </c>
      <c r="AK319" s="6">
        <v>750.19999999995343</v>
      </c>
      <c r="AL319" s="6">
        <v>8.5269379404404803E-4</v>
      </c>
      <c r="AM319" s="1" t="s">
        <v>2130</v>
      </c>
      <c r="AN319" s="1" t="s">
        <v>796</v>
      </c>
      <c r="AO319" s="1" t="s">
        <v>1115</v>
      </c>
      <c r="AP319" s="1" t="s">
        <v>72</v>
      </c>
      <c r="AQ319" s="6">
        <v>750.19999999995343</v>
      </c>
      <c r="AR319" s="6">
        <v>8.5269379404404803E-4</v>
      </c>
      <c r="AS319" s="2"/>
      <c r="AT319" s="7">
        <v>45075.478275521935</v>
      </c>
      <c r="AU319" s="1" t="s">
        <v>533</v>
      </c>
      <c r="AV319" s="1" t="s">
        <v>539</v>
      </c>
      <c r="AW319" s="1" t="s">
        <v>2151</v>
      </c>
      <c r="AX319" s="7">
        <v>45082.675438718332</v>
      </c>
      <c r="AY319" s="1" t="s">
        <v>164</v>
      </c>
      <c r="AZ319" s="6">
        <v>879049.8</v>
      </c>
      <c r="BA319" s="1"/>
      <c r="BB319" s="5">
        <v>45138</v>
      </c>
      <c r="BC319" s="5">
        <v>45082</v>
      </c>
      <c r="BD319" s="5">
        <v>45082</v>
      </c>
      <c r="BE319" s="7">
        <v>45291</v>
      </c>
      <c r="BF319" s="1" t="s">
        <v>2170</v>
      </c>
      <c r="BG319" s="1"/>
      <c r="BH319" s="1"/>
      <c r="BI319" s="1" t="s">
        <v>797</v>
      </c>
    </row>
    <row r="320" spans="1:61" hidden="1" x14ac:dyDescent="0.25">
      <c r="A320" s="4">
        <v>315</v>
      </c>
      <c r="B320" s="2" t="str">
        <f>HYPERLINK("https://my.zakupivli.pro/remote/dispatcher/state_purchase_view/42623706", "UA-2023-05-16-010396-a")</f>
        <v>UA-2023-05-16-010396-a</v>
      </c>
      <c r="C320" s="2" t="str">
        <f>HYPERLINK("https://my.zakupivli.pro/remote/dispatcher/state_purchase_lot_view/945917", "UA-2023-05-16-010396-a-L1")</f>
        <v>UA-2023-05-16-010396-a-L1</v>
      </c>
      <c r="D320" s="1" t="s">
        <v>1745</v>
      </c>
      <c r="E320" s="1" t="s">
        <v>1744</v>
      </c>
      <c r="F320" s="1" t="s">
        <v>487</v>
      </c>
      <c r="G320" s="1" t="s">
        <v>966</v>
      </c>
      <c r="H320" s="1" t="s">
        <v>1185</v>
      </c>
      <c r="I320" s="1" t="s">
        <v>2094</v>
      </c>
      <c r="J320" s="1" t="s">
        <v>1145</v>
      </c>
      <c r="K320" s="1" t="s">
        <v>947</v>
      </c>
      <c r="L320" s="1" t="s">
        <v>1533</v>
      </c>
      <c r="M320" s="1" t="s">
        <v>1533</v>
      </c>
      <c r="N320" s="1" t="s">
        <v>110</v>
      </c>
      <c r="O320" s="1" t="s">
        <v>110</v>
      </c>
      <c r="P320" s="1" t="s">
        <v>110</v>
      </c>
      <c r="Q320" s="5">
        <v>45062</v>
      </c>
      <c r="R320" s="1" t="s">
        <v>524</v>
      </c>
      <c r="S320" s="1" t="s">
        <v>526</v>
      </c>
      <c r="T320" s="5">
        <v>45062</v>
      </c>
      <c r="U320" s="5">
        <v>45070</v>
      </c>
      <c r="V320" s="1" t="s">
        <v>2147</v>
      </c>
      <c r="W320" s="4">
        <v>1</v>
      </c>
      <c r="X320" s="6">
        <v>2401533</v>
      </c>
      <c r="Y320" s="6">
        <v>2401533</v>
      </c>
      <c r="Z320" s="1">
        <v>1</v>
      </c>
      <c r="AA320" s="6">
        <v>2401533</v>
      </c>
      <c r="AB320" s="1" t="s">
        <v>2167</v>
      </c>
      <c r="AC320" s="6">
        <v>24015.33</v>
      </c>
      <c r="AD320" s="1" t="s">
        <v>1100</v>
      </c>
      <c r="AE320" s="1" t="s">
        <v>2094</v>
      </c>
      <c r="AF320" s="1" t="s">
        <v>1186</v>
      </c>
      <c r="AG320" s="1" t="s">
        <v>1522</v>
      </c>
      <c r="AH320" s="6">
        <v>2400629.1800000002</v>
      </c>
      <c r="AI320" s="6">
        <v>2400629.1800000002</v>
      </c>
      <c r="AJ320" s="1" t="s">
        <v>2112</v>
      </c>
      <c r="AK320" s="6">
        <v>903.81999999983236</v>
      </c>
      <c r="AL320" s="6">
        <v>3.7635127229142067E-4</v>
      </c>
      <c r="AM320" s="1" t="s">
        <v>2112</v>
      </c>
      <c r="AN320" s="1" t="s">
        <v>821</v>
      </c>
      <c r="AO320" s="1" t="s">
        <v>1096</v>
      </c>
      <c r="AP320" s="1" t="s">
        <v>873</v>
      </c>
      <c r="AQ320" s="6">
        <v>903.81999999983236</v>
      </c>
      <c r="AR320" s="6">
        <v>3.7635127229142067E-4</v>
      </c>
      <c r="AS320" s="2"/>
      <c r="AT320" s="7">
        <v>45075.514377540188</v>
      </c>
      <c r="AU320" s="1" t="s">
        <v>533</v>
      </c>
      <c r="AV320" s="1" t="s">
        <v>539</v>
      </c>
      <c r="AW320" s="1" t="s">
        <v>2151</v>
      </c>
      <c r="AX320" s="7">
        <v>45083.63692948252</v>
      </c>
      <c r="AY320" s="1" t="s">
        <v>173</v>
      </c>
      <c r="AZ320" s="6">
        <v>2400629.1800000002</v>
      </c>
      <c r="BA320" s="1"/>
      <c r="BB320" s="5">
        <v>45138</v>
      </c>
      <c r="BC320" s="5">
        <v>45083</v>
      </c>
      <c r="BD320" s="5">
        <v>45083</v>
      </c>
      <c r="BE320" s="7">
        <v>45291</v>
      </c>
      <c r="BF320" s="1" t="s">
        <v>2170</v>
      </c>
      <c r="BG320" s="1"/>
      <c r="BH320" s="1"/>
      <c r="BI320" s="1" t="s">
        <v>822</v>
      </c>
    </row>
    <row r="321" spans="1:61" hidden="1" x14ac:dyDescent="0.25">
      <c r="A321" s="4">
        <v>316</v>
      </c>
      <c r="B321" s="2" t="str">
        <f>HYPERLINK("https://my.zakupivli.pro/remote/dispatcher/state_purchase_view/42621160", "UA-2023-05-16-009138-a")</f>
        <v>UA-2023-05-16-009138-a</v>
      </c>
      <c r="C321" s="2" t="str">
        <f>HYPERLINK("https://my.zakupivli.pro/remote/dispatcher/state_purchase_lot_view/945801", "UA-2023-05-16-009138-a-L1")</f>
        <v>UA-2023-05-16-009138-a-L1</v>
      </c>
      <c r="D321" s="1" t="s">
        <v>1805</v>
      </c>
      <c r="E321" s="1" t="s">
        <v>1804</v>
      </c>
      <c r="F321" s="1" t="s">
        <v>487</v>
      </c>
      <c r="G321" s="1" t="s">
        <v>1074</v>
      </c>
      <c r="H321" s="1" t="s">
        <v>1185</v>
      </c>
      <c r="I321" s="1" t="s">
        <v>2094</v>
      </c>
      <c r="J321" s="1" t="s">
        <v>1145</v>
      </c>
      <c r="K321" s="1" t="s">
        <v>947</v>
      </c>
      <c r="L321" s="1" t="s">
        <v>1533</v>
      </c>
      <c r="M321" s="1" t="s">
        <v>1533</v>
      </c>
      <c r="N321" s="1" t="s">
        <v>110</v>
      </c>
      <c r="O321" s="1" t="s">
        <v>110</v>
      </c>
      <c r="P321" s="1" t="s">
        <v>110</v>
      </c>
      <c r="Q321" s="5">
        <v>45062</v>
      </c>
      <c r="R321" s="1" t="s">
        <v>524</v>
      </c>
      <c r="S321" s="1" t="s">
        <v>526</v>
      </c>
      <c r="T321" s="5">
        <v>45062</v>
      </c>
      <c r="U321" s="5">
        <v>45070</v>
      </c>
      <c r="V321" s="1" t="s">
        <v>2147</v>
      </c>
      <c r="W321" s="4">
        <v>1</v>
      </c>
      <c r="X321" s="6">
        <v>300000</v>
      </c>
      <c r="Y321" s="6">
        <v>300000</v>
      </c>
      <c r="Z321" s="1">
        <v>1</v>
      </c>
      <c r="AA321" s="6">
        <v>300000</v>
      </c>
      <c r="AB321" s="1" t="s">
        <v>2167</v>
      </c>
      <c r="AC321" s="6">
        <v>3000</v>
      </c>
      <c r="AD321" s="1" t="s">
        <v>1100</v>
      </c>
      <c r="AE321" s="1" t="s">
        <v>2094</v>
      </c>
      <c r="AF321" s="1" t="s">
        <v>1186</v>
      </c>
      <c r="AG321" s="1" t="s">
        <v>1522</v>
      </c>
      <c r="AH321" s="6">
        <v>300000</v>
      </c>
      <c r="AI321" s="6">
        <v>300000</v>
      </c>
      <c r="AJ321" s="1" t="s">
        <v>2122</v>
      </c>
      <c r="AK321" s="1"/>
      <c r="AL321" s="1"/>
      <c r="AM321" s="1" t="s">
        <v>2122</v>
      </c>
      <c r="AN321" s="1" t="s">
        <v>225</v>
      </c>
      <c r="AO321" s="1" t="s">
        <v>1128</v>
      </c>
      <c r="AP321" s="1" t="s">
        <v>24</v>
      </c>
      <c r="AQ321" s="1"/>
      <c r="AR321" s="1"/>
      <c r="AS321" s="2"/>
      <c r="AT321" s="7">
        <v>45075.47065450815</v>
      </c>
      <c r="AU321" s="1" t="s">
        <v>533</v>
      </c>
      <c r="AV321" s="1" t="s">
        <v>539</v>
      </c>
      <c r="AW321" s="1" t="s">
        <v>2151</v>
      </c>
      <c r="AX321" s="7">
        <v>45082.426416733702</v>
      </c>
      <c r="AY321" s="1" t="s">
        <v>163</v>
      </c>
      <c r="AZ321" s="6">
        <v>300000</v>
      </c>
      <c r="BA321" s="1"/>
      <c r="BB321" s="5">
        <v>45282</v>
      </c>
      <c r="BC321" s="5">
        <v>45082</v>
      </c>
      <c r="BD321" s="5">
        <v>45082</v>
      </c>
      <c r="BE321" s="7">
        <v>45291</v>
      </c>
      <c r="BF321" s="1" t="s">
        <v>2170</v>
      </c>
      <c r="BG321" s="1"/>
      <c r="BH321" s="1"/>
      <c r="BI321" s="1" t="s">
        <v>226</v>
      </c>
    </row>
    <row r="322" spans="1:61" hidden="1" x14ac:dyDescent="0.25">
      <c r="A322" s="4">
        <v>317</v>
      </c>
      <c r="B322" s="2" t="str">
        <f>HYPERLINK("https://my.zakupivli.pro/remote/dispatcher/state_purchase_view/42620542", "UA-2023-05-16-008873-a")</f>
        <v>UA-2023-05-16-008873-a</v>
      </c>
      <c r="C322" s="2" t="str">
        <f>HYPERLINK("https://my.zakupivli.pro/remote/dispatcher/state_purchase_lot_view/945770", "UA-2023-05-16-008873-a-L1")</f>
        <v>UA-2023-05-16-008873-a-L1</v>
      </c>
      <c r="D322" s="1" t="s">
        <v>1810</v>
      </c>
      <c r="E322" s="1" t="s">
        <v>1808</v>
      </c>
      <c r="F322" s="1" t="s">
        <v>487</v>
      </c>
      <c r="G322" s="1" t="s">
        <v>1074</v>
      </c>
      <c r="H322" s="1" t="s">
        <v>1185</v>
      </c>
      <c r="I322" s="1" t="s">
        <v>2094</v>
      </c>
      <c r="J322" s="1" t="s">
        <v>1145</v>
      </c>
      <c r="K322" s="1" t="s">
        <v>947</v>
      </c>
      <c r="L322" s="1" t="s">
        <v>1533</v>
      </c>
      <c r="M322" s="1" t="s">
        <v>1533</v>
      </c>
      <c r="N322" s="1" t="s">
        <v>110</v>
      </c>
      <c r="O322" s="1" t="s">
        <v>110</v>
      </c>
      <c r="P322" s="1" t="s">
        <v>110</v>
      </c>
      <c r="Q322" s="5">
        <v>45062</v>
      </c>
      <c r="R322" s="1" t="s">
        <v>524</v>
      </c>
      <c r="S322" s="1" t="s">
        <v>526</v>
      </c>
      <c r="T322" s="5">
        <v>45062</v>
      </c>
      <c r="U322" s="5">
        <v>45070</v>
      </c>
      <c r="V322" s="1" t="s">
        <v>2147</v>
      </c>
      <c r="W322" s="4">
        <v>1</v>
      </c>
      <c r="X322" s="6">
        <v>300000</v>
      </c>
      <c r="Y322" s="6">
        <v>300000</v>
      </c>
      <c r="Z322" s="1">
        <v>1</v>
      </c>
      <c r="AA322" s="6">
        <v>300000</v>
      </c>
      <c r="AB322" s="1" t="s">
        <v>2167</v>
      </c>
      <c r="AC322" s="6">
        <v>3000</v>
      </c>
      <c r="AD322" s="1" t="s">
        <v>1100</v>
      </c>
      <c r="AE322" s="1" t="s">
        <v>2094</v>
      </c>
      <c r="AF322" s="1" t="s">
        <v>1186</v>
      </c>
      <c r="AG322" s="1" t="s">
        <v>1522</v>
      </c>
      <c r="AH322" s="6">
        <v>300000</v>
      </c>
      <c r="AI322" s="6">
        <v>300000</v>
      </c>
      <c r="AJ322" s="1" t="s">
        <v>2122</v>
      </c>
      <c r="AK322" s="1"/>
      <c r="AL322" s="1"/>
      <c r="AM322" s="1" t="s">
        <v>2122</v>
      </c>
      <c r="AN322" s="1" t="s">
        <v>225</v>
      </c>
      <c r="AO322" s="1" t="s">
        <v>1128</v>
      </c>
      <c r="AP322" s="1" t="s">
        <v>24</v>
      </c>
      <c r="AQ322" s="1"/>
      <c r="AR322" s="1"/>
      <c r="AS322" s="2"/>
      <c r="AT322" s="7">
        <v>45075.462025012028</v>
      </c>
      <c r="AU322" s="1" t="s">
        <v>533</v>
      </c>
      <c r="AV322" s="1" t="s">
        <v>539</v>
      </c>
      <c r="AW322" s="1" t="s">
        <v>2151</v>
      </c>
      <c r="AX322" s="7">
        <v>45082.429158897416</v>
      </c>
      <c r="AY322" s="1" t="s">
        <v>162</v>
      </c>
      <c r="AZ322" s="6">
        <v>300000</v>
      </c>
      <c r="BA322" s="1"/>
      <c r="BB322" s="5">
        <v>45282</v>
      </c>
      <c r="BC322" s="5">
        <v>45082</v>
      </c>
      <c r="BD322" s="5">
        <v>45082</v>
      </c>
      <c r="BE322" s="7">
        <v>45291</v>
      </c>
      <c r="BF322" s="1" t="s">
        <v>2170</v>
      </c>
      <c r="BG322" s="1"/>
      <c r="BH322" s="1"/>
      <c r="BI322" s="1" t="s">
        <v>226</v>
      </c>
    </row>
    <row r="323" spans="1:61" hidden="1" x14ac:dyDescent="0.25">
      <c r="A323" s="4">
        <v>318</v>
      </c>
      <c r="B323" s="2" t="str">
        <f>HYPERLINK("https://my.zakupivli.pro/remote/dispatcher/state_purchase_view/42579474", "UA-2023-05-15-003939-a")</f>
        <v>UA-2023-05-15-003939-a</v>
      </c>
      <c r="C323" s="2" t="s">
        <v>1516</v>
      </c>
      <c r="D323" s="1" t="s">
        <v>1699</v>
      </c>
      <c r="E323" s="1" t="s">
        <v>1693</v>
      </c>
      <c r="F323" s="1" t="s">
        <v>487</v>
      </c>
      <c r="G323" s="1" t="s">
        <v>990</v>
      </c>
      <c r="H323" s="1" t="s">
        <v>1218</v>
      </c>
      <c r="I323" s="1" t="s">
        <v>2094</v>
      </c>
      <c r="J323" s="1" t="s">
        <v>1145</v>
      </c>
      <c r="K323" s="1" t="s">
        <v>947</v>
      </c>
      <c r="L323" s="1" t="s">
        <v>1533</v>
      </c>
      <c r="M323" s="1" t="s">
        <v>1533</v>
      </c>
      <c r="N323" s="1" t="s">
        <v>110</v>
      </c>
      <c r="O323" s="1" t="s">
        <v>110</v>
      </c>
      <c r="P323" s="1" t="s">
        <v>110</v>
      </c>
      <c r="Q323" s="5">
        <v>45061</v>
      </c>
      <c r="R323" s="1"/>
      <c r="S323" s="1"/>
      <c r="T323" s="1"/>
      <c r="U323" s="1"/>
      <c r="V323" s="1" t="s">
        <v>2146</v>
      </c>
      <c r="W323" s="4">
        <v>1</v>
      </c>
      <c r="X323" s="6">
        <v>6878.42</v>
      </c>
      <c r="Y323" s="1" t="s">
        <v>1516</v>
      </c>
      <c r="Z323" s="1">
        <v>1</v>
      </c>
      <c r="AA323" s="6">
        <v>6878.42</v>
      </c>
      <c r="AB323" s="1" t="s">
        <v>2167</v>
      </c>
      <c r="AC323" s="1" t="s">
        <v>2162</v>
      </c>
      <c r="AD323" s="1" t="s">
        <v>1100</v>
      </c>
      <c r="AE323" s="1" t="s">
        <v>2094</v>
      </c>
      <c r="AF323" s="1" t="s">
        <v>1186</v>
      </c>
      <c r="AG323" s="1" t="s">
        <v>1522</v>
      </c>
      <c r="AH323" s="6">
        <v>6878.42</v>
      </c>
      <c r="AI323" s="6">
        <v>6878.42</v>
      </c>
      <c r="AJ323" s="1" t="s">
        <v>2055</v>
      </c>
      <c r="AK323" s="1"/>
      <c r="AL323" s="1"/>
      <c r="AM323" s="1" t="s">
        <v>2055</v>
      </c>
      <c r="AN323" s="1" t="s">
        <v>961</v>
      </c>
      <c r="AO323" s="1"/>
      <c r="AP323" s="1" t="s">
        <v>102</v>
      </c>
      <c r="AQ323" s="1"/>
      <c r="AR323" s="1"/>
      <c r="AS323" s="2"/>
      <c r="AT323" s="1"/>
      <c r="AU323" s="1"/>
      <c r="AV323" s="1"/>
      <c r="AW323" s="1" t="s">
        <v>2152</v>
      </c>
      <c r="AX323" s="7">
        <v>45061.469487127441</v>
      </c>
      <c r="AY323" s="1" t="s">
        <v>1037</v>
      </c>
      <c r="AZ323" s="6">
        <v>6878.42</v>
      </c>
      <c r="BA323" s="5">
        <v>45059</v>
      </c>
      <c r="BB323" s="5">
        <v>45061</v>
      </c>
      <c r="BC323" s="5">
        <v>45058</v>
      </c>
      <c r="BD323" s="5">
        <v>45058</v>
      </c>
      <c r="BE323" s="7">
        <v>45291</v>
      </c>
      <c r="BF323" s="1" t="s">
        <v>2170</v>
      </c>
      <c r="BG323" s="1"/>
      <c r="BH323" s="1"/>
      <c r="BI323" s="1" t="s">
        <v>108</v>
      </c>
    </row>
    <row r="324" spans="1:61" hidden="1" x14ac:dyDescent="0.25">
      <c r="A324" s="4">
        <v>319</v>
      </c>
      <c r="B324" s="2" t="str">
        <f>HYPERLINK("https://my.zakupivli.pro/remote/dispatcher/state_purchase_view/42562164", "UA-2023-05-12-009815-a")</f>
        <v>UA-2023-05-12-009815-a</v>
      </c>
      <c r="C324" s="2" t="str">
        <f>HYPERLINK("https://my.zakupivli.pro/remote/dispatcher/state_purchase_lot_view/943569", "UA-2023-05-12-009815-a-L1")</f>
        <v>UA-2023-05-12-009815-a-L1</v>
      </c>
      <c r="D324" s="1" t="s">
        <v>1328</v>
      </c>
      <c r="E324" s="1" t="s">
        <v>1327</v>
      </c>
      <c r="F324" s="1" t="s">
        <v>487</v>
      </c>
      <c r="G324" s="1" t="s">
        <v>994</v>
      </c>
      <c r="H324" s="1" t="s">
        <v>1185</v>
      </c>
      <c r="I324" s="1" t="s">
        <v>2094</v>
      </c>
      <c r="J324" s="1" t="s">
        <v>1145</v>
      </c>
      <c r="K324" s="1" t="s">
        <v>947</v>
      </c>
      <c r="L324" s="1" t="s">
        <v>1533</v>
      </c>
      <c r="M324" s="1" t="s">
        <v>1533</v>
      </c>
      <c r="N324" s="1" t="s">
        <v>110</v>
      </c>
      <c r="O324" s="1" t="s">
        <v>110</v>
      </c>
      <c r="P324" s="1" t="s">
        <v>110</v>
      </c>
      <c r="Q324" s="5">
        <v>45058</v>
      </c>
      <c r="R324" s="1" t="s">
        <v>522</v>
      </c>
      <c r="S324" s="1" t="s">
        <v>525</v>
      </c>
      <c r="T324" s="5">
        <v>45058</v>
      </c>
      <c r="U324" s="5">
        <v>45068</v>
      </c>
      <c r="V324" s="1" t="s">
        <v>2147</v>
      </c>
      <c r="W324" s="4">
        <v>1</v>
      </c>
      <c r="X324" s="6">
        <v>240815</v>
      </c>
      <c r="Y324" s="6">
        <v>240815</v>
      </c>
      <c r="Z324" s="1">
        <v>1</v>
      </c>
      <c r="AA324" s="6">
        <v>240815</v>
      </c>
      <c r="AB324" s="1" t="s">
        <v>2167</v>
      </c>
      <c r="AC324" s="6">
        <v>2408.15</v>
      </c>
      <c r="AD324" s="1" t="s">
        <v>1100</v>
      </c>
      <c r="AE324" s="1" t="s">
        <v>2094</v>
      </c>
      <c r="AF324" s="1" t="s">
        <v>1186</v>
      </c>
      <c r="AG324" s="1" t="s">
        <v>1522</v>
      </c>
      <c r="AH324" s="6">
        <v>240000</v>
      </c>
      <c r="AI324" s="6">
        <v>240000</v>
      </c>
      <c r="AJ324" s="1" t="s">
        <v>2048</v>
      </c>
      <c r="AK324" s="6">
        <v>815</v>
      </c>
      <c r="AL324" s="6">
        <v>3.384340676452879E-3</v>
      </c>
      <c r="AM324" s="1" t="s">
        <v>2048</v>
      </c>
      <c r="AN324" s="1" t="s">
        <v>831</v>
      </c>
      <c r="AO324" s="1" t="s">
        <v>1099</v>
      </c>
      <c r="AP324" s="1" t="s">
        <v>88</v>
      </c>
      <c r="AQ324" s="6">
        <v>815</v>
      </c>
      <c r="AR324" s="6">
        <v>3.384340676452879E-3</v>
      </c>
      <c r="AS324" s="2"/>
      <c r="AT324" s="7">
        <v>45075.57325003462</v>
      </c>
      <c r="AU324" s="1" t="s">
        <v>533</v>
      </c>
      <c r="AV324" s="1" t="s">
        <v>539</v>
      </c>
      <c r="AW324" s="1" t="s">
        <v>2151</v>
      </c>
      <c r="AX324" s="7">
        <v>45086.422220191875</v>
      </c>
      <c r="AY324" s="1" t="s">
        <v>177</v>
      </c>
      <c r="AZ324" s="6">
        <v>240000</v>
      </c>
      <c r="BA324" s="1"/>
      <c r="BB324" s="5">
        <v>45138</v>
      </c>
      <c r="BC324" s="5">
        <v>45084</v>
      </c>
      <c r="BD324" s="5">
        <v>45084</v>
      </c>
      <c r="BE324" s="7">
        <v>45291</v>
      </c>
      <c r="BF324" s="1" t="s">
        <v>2170</v>
      </c>
      <c r="BG324" s="1"/>
      <c r="BH324" s="1"/>
      <c r="BI324" s="1" t="s">
        <v>832</v>
      </c>
    </row>
    <row r="325" spans="1:61" hidden="1" x14ac:dyDescent="0.25">
      <c r="A325" s="4">
        <v>320</v>
      </c>
      <c r="B325" s="2" t="str">
        <f>HYPERLINK("https://my.zakupivli.pro/remote/dispatcher/state_purchase_view/42562698", "UA-2023-05-12-010051-a")</f>
        <v>UA-2023-05-12-010051-a</v>
      </c>
      <c r="C325" s="2" t="str">
        <f>HYPERLINK("https://my.zakupivli.pro/remote/dispatcher/state_purchase_lot_view/943599", "UA-2023-05-12-010051-a-L1")</f>
        <v>UA-2023-05-12-010051-a-L1</v>
      </c>
      <c r="D325" s="1" t="s">
        <v>1324</v>
      </c>
      <c r="E325" s="1" t="s">
        <v>1323</v>
      </c>
      <c r="F325" s="1" t="s">
        <v>487</v>
      </c>
      <c r="G325" s="1" t="s">
        <v>994</v>
      </c>
      <c r="H325" s="1" t="s">
        <v>1185</v>
      </c>
      <c r="I325" s="1" t="s">
        <v>2094</v>
      </c>
      <c r="J325" s="1" t="s">
        <v>1145</v>
      </c>
      <c r="K325" s="1" t="s">
        <v>947</v>
      </c>
      <c r="L325" s="1" t="s">
        <v>1533</v>
      </c>
      <c r="M325" s="1" t="s">
        <v>1533</v>
      </c>
      <c r="N325" s="1" t="s">
        <v>110</v>
      </c>
      <c r="O325" s="1" t="s">
        <v>110</v>
      </c>
      <c r="P325" s="1" t="s">
        <v>110</v>
      </c>
      <c r="Q325" s="5">
        <v>45058</v>
      </c>
      <c r="R325" s="1" t="s">
        <v>522</v>
      </c>
      <c r="S325" s="1" t="s">
        <v>525</v>
      </c>
      <c r="T325" s="5">
        <v>45058</v>
      </c>
      <c r="U325" s="5">
        <v>45068</v>
      </c>
      <c r="V325" s="1" t="s">
        <v>2147</v>
      </c>
      <c r="W325" s="4">
        <v>1</v>
      </c>
      <c r="X325" s="6">
        <v>240815</v>
      </c>
      <c r="Y325" s="6">
        <v>240815</v>
      </c>
      <c r="Z325" s="1">
        <v>1</v>
      </c>
      <c r="AA325" s="6">
        <v>240815</v>
      </c>
      <c r="AB325" s="1" t="s">
        <v>2167</v>
      </c>
      <c r="AC325" s="6">
        <v>2408.15</v>
      </c>
      <c r="AD325" s="1" t="s">
        <v>1100</v>
      </c>
      <c r="AE325" s="1" t="s">
        <v>2094</v>
      </c>
      <c r="AF325" s="1" t="s">
        <v>1186</v>
      </c>
      <c r="AG325" s="1" t="s">
        <v>1522</v>
      </c>
      <c r="AH325" s="6">
        <v>240000</v>
      </c>
      <c r="AI325" s="6">
        <v>240000</v>
      </c>
      <c r="AJ325" s="1" t="s">
        <v>2048</v>
      </c>
      <c r="AK325" s="6">
        <v>815</v>
      </c>
      <c r="AL325" s="6">
        <v>3.384340676452879E-3</v>
      </c>
      <c r="AM325" s="1" t="s">
        <v>2048</v>
      </c>
      <c r="AN325" s="1" t="s">
        <v>831</v>
      </c>
      <c r="AO325" s="1" t="s">
        <v>1099</v>
      </c>
      <c r="AP325" s="1" t="s">
        <v>88</v>
      </c>
      <c r="AQ325" s="6">
        <v>815</v>
      </c>
      <c r="AR325" s="6">
        <v>3.384340676452879E-3</v>
      </c>
      <c r="AS325" s="2"/>
      <c r="AT325" s="7">
        <v>45075.569368268239</v>
      </c>
      <c r="AU325" s="1" t="s">
        <v>533</v>
      </c>
      <c r="AV325" s="1" t="s">
        <v>539</v>
      </c>
      <c r="AW325" s="1" t="s">
        <v>2151</v>
      </c>
      <c r="AX325" s="7">
        <v>45086.430273113321</v>
      </c>
      <c r="AY325" s="1" t="s">
        <v>176</v>
      </c>
      <c r="AZ325" s="6">
        <v>240000</v>
      </c>
      <c r="BA325" s="1"/>
      <c r="BB325" s="5">
        <v>45138</v>
      </c>
      <c r="BC325" s="5">
        <v>45084</v>
      </c>
      <c r="BD325" s="5">
        <v>45084</v>
      </c>
      <c r="BE325" s="7">
        <v>45291</v>
      </c>
      <c r="BF325" s="1" t="s">
        <v>2170</v>
      </c>
      <c r="BG325" s="1"/>
      <c r="BH325" s="1"/>
      <c r="BI325" s="1" t="s">
        <v>832</v>
      </c>
    </row>
    <row r="326" spans="1:61" hidden="1" x14ac:dyDescent="0.25">
      <c r="A326" s="4">
        <v>321</v>
      </c>
      <c r="B326" s="2" t="str">
        <f>HYPERLINK("https://my.zakupivli.pro/remote/dispatcher/state_purchase_view/42561310", "UA-2023-05-12-009398-a")</f>
        <v>UA-2023-05-12-009398-a</v>
      </c>
      <c r="C326" s="2" t="str">
        <f>HYPERLINK("https://my.zakupivli.pro/remote/dispatcher/state_purchase_lot_view/943531", "UA-2023-05-12-009398-a-L1")</f>
        <v>UA-2023-05-12-009398-a-L1</v>
      </c>
      <c r="D326" s="1" t="s">
        <v>1326</v>
      </c>
      <c r="E326" s="1" t="s">
        <v>1325</v>
      </c>
      <c r="F326" s="1" t="s">
        <v>487</v>
      </c>
      <c r="G326" s="1" t="s">
        <v>994</v>
      </c>
      <c r="H326" s="1" t="s">
        <v>1185</v>
      </c>
      <c r="I326" s="1" t="s">
        <v>2094</v>
      </c>
      <c r="J326" s="1" t="s">
        <v>1145</v>
      </c>
      <c r="K326" s="1" t="s">
        <v>947</v>
      </c>
      <c r="L326" s="1" t="s">
        <v>1533</v>
      </c>
      <c r="M326" s="1" t="s">
        <v>1533</v>
      </c>
      <c r="N326" s="1" t="s">
        <v>110</v>
      </c>
      <c r="O326" s="1" t="s">
        <v>110</v>
      </c>
      <c r="P326" s="1" t="s">
        <v>110</v>
      </c>
      <c r="Q326" s="5">
        <v>45058</v>
      </c>
      <c r="R326" s="1" t="s">
        <v>522</v>
      </c>
      <c r="S326" s="1" t="s">
        <v>525</v>
      </c>
      <c r="T326" s="5">
        <v>45058</v>
      </c>
      <c r="U326" s="5">
        <v>45068</v>
      </c>
      <c r="V326" s="1" t="s">
        <v>2147</v>
      </c>
      <c r="W326" s="4">
        <v>1</v>
      </c>
      <c r="X326" s="6">
        <v>240815</v>
      </c>
      <c r="Y326" s="6">
        <v>240815</v>
      </c>
      <c r="Z326" s="1">
        <v>1</v>
      </c>
      <c r="AA326" s="6">
        <v>240815</v>
      </c>
      <c r="AB326" s="1" t="s">
        <v>2167</v>
      </c>
      <c r="AC326" s="6">
        <v>2408.15</v>
      </c>
      <c r="AD326" s="1" t="s">
        <v>1100</v>
      </c>
      <c r="AE326" s="1" t="s">
        <v>2094</v>
      </c>
      <c r="AF326" s="1" t="s">
        <v>1186</v>
      </c>
      <c r="AG326" s="1" t="s">
        <v>1522</v>
      </c>
      <c r="AH326" s="6">
        <v>240000</v>
      </c>
      <c r="AI326" s="6">
        <v>240000</v>
      </c>
      <c r="AJ326" s="1" t="s">
        <v>2048</v>
      </c>
      <c r="AK326" s="6">
        <v>815</v>
      </c>
      <c r="AL326" s="6">
        <v>3.384340676452879E-3</v>
      </c>
      <c r="AM326" s="1" t="s">
        <v>2048</v>
      </c>
      <c r="AN326" s="1" t="s">
        <v>831</v>
      </c>
      <c r="AO326" s="1" t="s">
        <v>1099</v>
      </c>
      <c r="AP326" s="1" t="s">
        <v>88</v>
      </c>
      <c r="AQ326" s="6">
        <v>815</v>
      </c>
      <c r="AR326" s="6">
        <v>3.384340676452879E-3</v>
      </c>
      <c r="AS326" s="2"/>
      <c r="AT326" s="7">
        <v>45075.571509481837</v>
      </c>
      <c r="AU326" s="1" t="s">
        <v>533</v>
      </c>
      <c r="AV326" s="1" t="s">
        <v>539</v>
      </c>
      <c r="AW326" s="1" t="s">
        <v>2151</v>
      </c>
      <c r="AX326" s="7">
        <v>45086.428248441815</v>
      </c>
      <c r="AY326" s="1" t="s">
        <v>178</v>
      </c>
      <c r="AZ326" s="6">
        <v>240000</v>
      </c>
      <c r="BA326" s="1"/>
      <c r="BB326" s="5">
        <v>45138</v>
      </c>
      <c r="BC326" s="5">
        <v>45084</v>
      </c>
      <c r="BD326" s="5">
        <v>45084</v>
      </c>
      <c r="BE326" s="7">
        <v>45291</v>
      </c>
      <c r="BF326" s="1" t="s">
        <v>2170</v>
      </c>
      <c r="BG326" s="1"/>
      <c r="BH326" s="1"/>
      <c r="BI326" s="1" t="s">
        <v>832</v>
      </c>
    </row>
    <row r="327" spans="1:61" hidden="1" x14ac:dyDescent="0.25">
      <c r="A327" s="4">
        <v>322</v>
      </c>
      <c r="B327" s="2" t="str">
        <f>HYPERLINK("https://my.zakupivli.pro/remote/dispatcher/state_purchase_view/42491892", "UA-2023-05-10-006617-a")</f>
        <v>UA-2023-05-10-006617-a</v>
      </c>
      <c r="C327" s="2" t="s">
        <v>1516</v>
      </c>
      <c r="D327" s="1" t="s">
        <v>1340</v>
      </c>
      <c r="E327" s="1" t="s">
        <v>1339</v>
      </c>
      <c r="F327" s="1" t="s">
        <v>487</v>
      </c>
      <c r="G327" s="1" t="s">
        <v>994</v>
      </c>
      <c r="H327" s="1" t="s">
        <v>1218</v>
      </c>
      <c r="I327" s="1" t="s">
        <v>2094</v>
      </c>
      <c r="J327" s="1" t="s">
        <v>1145</v>
      </c>
      <c r="K327" s="1" t="s">
        <v>947</v>
      </c>
      <c r="L327" s="1" t="s">
        <v>1533</v>
      </c>
      <c r="M327" s="1" t="s">
        <v>1533</v>
      </c>
      <c r="N327" s="1" t="s">
        <v>110</v>
      </c>
      <c r="O327" s="1" t="s">
        <v>110</v>
      </c>
      <c r="P327" s="1" t="s">
        <v>110</v>
      </c>
      <c r="Q327" s="5">
        <v>45056</v>
      </c>
      <c r="R327" s="1"/>
      <c r="S327" s="1"/>
      <c r="T327" s="1"/>
      <c r="U327" s="1"/>
      <c r="V327" s="1" t="s">
        <v>2146</v>
      </c>
      <c r="W327" s="4">
        <v>1</v>
      </c>
      <c r="X327" s="6">
        <v>199998</v>
      </c>
      <c r="Y327" s="1" t="s">
        <v>1516</v>
      </c>
      <c r="Z327" s="1">
        <v>1</v>
      </c>
      <c r="AA327" s="6">
        <v>199998</v>
      </c>
      <c r="AB327" s="1" t="s">
        <v>2167</v>
      </c>
      <c r="AC327" s="1" t="s">
        <v>2162</v>
      </c>
      <c r="AD327" s="1" t="s">
        <v>1100</v>
      </c>
      <c r="AE327" s="1" t="s">
        <v>1522</v>
      </c>
      <c r="AF327" s="1" t="s">
        <v>1186</v>
      </c>
      <c r="AG327" s="1" t="s">
        <v>1522</v>
      </c>
      <c r="AH327" s="6">
        <v>199998</v>
      </c>
      <c r="AI327" s="6">
        <v>199998</v>
      </c>
      <c r="AJ327" s="1" t="s">
        <v>2087</v>
      </c>
      <c r="AK327" s="1"/>
      <c r="AL327" s="1"/>
      <c r="AM327" s="1" t="s">
        <v>2087</v>
      </c>
      <c r="AN327" s="1" t="s">
        <v>831</v>
      </c>
      <c r="AO327" s="1"/>
      <c r="AP327" s="1" t="s">
        <v>88</v>
      </c>
      <c r="AQ327" s="1"/>
      <c r="AR327" s="1"/>
      <c r="AS327" s="2"/>
      <c r="AT327" s="1"/>
      <c r="AU327" s="1"/>
      <c r="AV327" s="1"/>
      <c r="AW327" s="1" t="s">
        <v>2152</v>
      </c>
      <c r="AX327" s="7">
        <v>45056.526714391191</v>
      </c>
      <c r="AY327" s="1" t="s">
        <v>1033</v>
      </c>
      <c r="AZ327" s="6">
        <v>199998</v>
      </c>
      <c r="BA327" s="5">
        <v>45054</v>
      </c>
      <c r="BB327" s="5">
        <v>45107</v>
      </c>
      <c r="BC327" s="5">
        <v>45054</v>
      </c>
      <c r="BD327" s="5">
        <v>45054</v>
      </c>
      <c r="BE327" s="7">
        <v>45291</v>
      </c>
      <c r="BF327" s="1" t="s">
        <v>2170</v>
      </c>
      <c r="BG327" s="1"/>
      <c r="BH327" s="1"/>
      <c r="BI327" s="1" t="s">
        <v>108</v>
      </c>
    </row>
    <row r="328" spans="1:61" hidden="1" x14ac:dyDescent="0.25">
      <c r="A328" s="4">
        <v>323</v>
      </c>
      <c r="B328" s="2" t="str">
        <f>HYPERLINK("https://my.zakupivli.pro/remote/dispatcher/state_purchase_view/42492099", "UA-2023-05-10-006745-a")</f>
        <v>UA-2023-05-10-006745-a</v>
      </c>
      <c r="C328" s="2" t="s">
        <v>1516</v>
      </c>
      <c r="D328" s="1" t="s">
        <v>1338</v>
      </c>
      <c r="E328" s="1" t="s">
        <v>1337</v>
      </c>
      <c r="F328" s="1" t="s">
        <v>487</v>
      </c>
      <c r="G328" s="1" t="s">
        <v>994</v>
      </c>
      <c r="H328" s="1" t="s">
        <v>1218</v>
      </c>
      <c r="I328" s="1" t="s">
        <v>2094</v>
      </c>
      <c r="J328" s="1" t="s">
        <v>1145</v>
      </c>
      <c r="K328" s="1" t="s">
        <v>947</v>
      </c>
      <c r="L328" s="1" t="s">
        <v>1533</v>
      </c>
      <c r="M328" s="1" t="s">
        <v>1533</v>
      </c>
      <c r="N328" s="1" t="s">
        <v>110</v>
      </c>
      <c r="O328" s="1" t="s">
        <v>110</v>
      </c>
      <c r="P328" s="1" t="s">
        <v>110</v>
      </c>
      <c r="Q328" s="5">
        <v>45056</v>
      </c>
      <c r="R328" s="1"/>
      <c r="S328" s="1"/>
      <c r="T328" s="1"/>
      <c r="U328" s="1"/>
      <c r="V328" s="1" t="s">
        <v>2146</v>
      </c>
      <c r="W328" s="4">
        <v>1</v>
      </c>
      <c r="X328" s="6">
        <v>182000</v>
      </c>
      <c r="Y328" s="1" t="s">
        <v>1516</v>
      </c>
      <c r="Z328" s="1">
        <v>1</v>
      </c>
      <c r="AA328" s="6">
        <v>182000</v>
      </c>
      <c r="AB328" s="1" t="s">
        <v>2167</v>
      </c>
      <c r="AC328" s="1" t="s">
        <v>2162</v>
      </c>
      <c r="AD328" s="1" t="s">
        <v>1100</v>
      </c>
      <c r="AE328" s="1" t="s">
        <v>1522</v>
      </c>
      <c r="AF328" s="1" t="s">
        <v>1186</v>
      </c>
      <c r="AG328" s="1" t="s">
        <v>1522</v>
      </c>
      <c r="AH328" s="6">
        <v>182000</v>
      </c>
      <c r="AI328" s="6">
        <v>182000</v>
      </c>
      <c r="AJ328" s="1" t="s">
        <v>2087</v>
      </c>
      <c r="AK328" s="1"/>
      <c r="AL328" s="1"/>
      <c r="AM328" s="1" t="s">
        <v>2087</v>
      </c>
      <c r="AN328" s="1" t="s">
        <v>831</v>
      </c>
      <c r="AO328" s="1"/>
      <c r="AP328" s="1" t="s">
        <v>88</v>
      </c>
      <c r="AQ328" s="1"/>
      <c r="AR328" s="1"/>
      <c r="AS328" s="2"/>
      <c r="AT328" s="1"/>
      <c r="AU328" s="1"/>
      <c r="AV328" s="1"/>
      <c r="AW328" s="1" t="s">
        <v>2152</v>
      </c>
      <c r="AX328" s="7">
        <v>45056.529515943519</v>
      </c>
      <c r="AY328" s="1" t="s">
        <v>1029</v>
      </c>
      <c r="AZ328" s="6">
        <v>182000</v>
      </c>
      <c r="BA328" s="5">
        <v>45054</v>
      </c>
      <c r="BB328" s="5">
        <v>45107</v>
      </c>
      <c r="BC328" s="5">
        <v>45054</v>
      </c>
      <c r="BD328" s="5">
        <v>45054</v>
      </c>
      <c r="BE328" s="7">
        <v>45291</v>
      </c>
      <c r="BF328" s="1" t="s">
        <v>2170</v>
      </c>
      <c r="BG328" s="1"/>
      <c r="BH328" s="1"/>
      <c r="BI328" s="1" t="s">
        <v>108</v>
      </c>
    </row>
    <row r="329" spans="1:61" hidden="1" x14ac:dyDescent="0.25">
      <c r="A329" s="4">
        <v>324</v>
      </c>
      <c r="B329" s="2" t="str">
        <f>HYPERLINK("https://my.zakupivli.pro/remote/dispatcher/state_purchase_view/42492353", "UA-2023-05-10-006819-a")</f>
        <v>UA-2023-05-10-006819-a</v>
      </c>
      <c r="C329" s="2" t="s">
        <v>1516</v>
      </c>
      <c r="D329" s="1" t="s">
        <v>1343</v>
      </c>
      <c r="E329" s="1" t="s">
        <v>1342</v>
      </c>
      <c r="F329" s="1" t="s">
        <v>487</v>
      </c>
      <c r="G329" s="1" t="s">
        <v>994</v>
      </c>
      <c r="H329" s="1" t="s">
        <v>1218</v>
      </c>
      <c r="I329" s="1" t="s">
        <v>2094</v>
      </c>
      <c r="J329" s="1" t="s">
        <v>1145</v>
      </c>
      <c r="K329" s="1" t="s">
        <v>947</v>
      </c>
      <c r="L329" s="1" t="s">
        <v>1533</v>
      </c>
      <c r="M329" s="1" t="s">
        <v>1533</v>
      </c>
      <c r="N329" s="1" t="s">
        <v>110</v>
      </c>
      <c r="O329" s="1" t="s">
        <v>110</v>
      </c>
      <c r="P329" s="1" t="s">
        <v>110</v>
      </c>
      <c r="Q329" s="5">
        <v>45056</v>
      </c>
      <c r="R329" s="1"/>
      <c r="S329" s="1"/>
      <c r="T329" s="1"/>
      <c r="U329" s="1"/>
      <c r="V329" s="1" t="s">
        <v>2146</v>
      </c>
      <c r="W329" s="4">
        <v>1</v>
      </c>
      <c r="X329" s="6">
        <v>160200</v>
      </c>
      <c r="Y329" s="1" t="s">
        <v>1516</v>
      </c>
      <c r="Z329" s="1">
        <v>1</v>
      </c>
      <c r="AA329" s="6">
        <v>160200</v>
      </c>
      <c r="AB329" s="1" t="s">
        <v>2167</v>
      </c>
      <c r="AC329" s="1" t="s">
        <v>2162</v>
      </c>
      <c r="AD329" s="1" t="s">
        <v>1100</v>
      </c>
      <c r="AE329" s="1" t="s">
        <v>1522</v>
      </c>
      <c r="AF329" s="1" t="s">
        <v>1186</v>
      </c>
      <c r="AG329" s="1" t="s">
        <v>1522</v>
      </c>
      <c r="AH329" s="6">
        <v>160200</v>
      </c>
      <c r="AI329" s="6">
        <v>160200</v>
      </c>
      <c r="AJ329" s="1" t="s">
        <v>2087</v>
      </c>
      <c r="AK329" s="1"/>
      <c r="AL329" s="1"/>
      <c r="AM329" s="1" t="s">
        <v>2087</v>
      </c>
      <c r="AN329" s="1" t="s">
        <v>831</v>
      </c>
      <c r="AO329" s="1"/>
      <c r="AP329" s="1" t="s">
        <v>88</v>
      </c>
      <c r="AQ329" s="1"/>
      <c r="AR329" s="1"/>
      <c r="AS329" s="2"/>
      <c r="AT329" s="1"/>
      <c r="AU329" s="1"/>
      <c r="AV329" s="1"/>
      <c r="AW329" s="1" t="s">
        <v>2152</v>
      </c>
      <c r="AX329" s="7">
        <v>45056.532587101647</v>
      </c>
      <c r="AY329" s="1" t="s">
        <v>1028</v>
      </c>
      <c r="AZ329" s="6">
        <v>160200</v>
      </c>
      <c r="BA329" s="5">
        <v>45054</v>
      </c>
      <c r="BB329" s="5">
        <v>45107</v>
      </c>
      <c r="BC329" s="5">
        <v>45054</v>
      </c>
      <c r="BD329" s="5">
        <v>45054</v>
      </c>
      <c r="BE329" s="7">
        <v>45291</v>
      </c>
      <c r="BF329" s="1" t="s">
        <v>2170</v>
      </c>
      <c r="BG329" s="1"/>
      <c r="BH329" s="1"/>
      <c r="BI329" s="1" t="s">
        <v>108</v>
      </c>
    </row>
    <row r="330" spans="1:61" hidden="1" x14ac:dyDescent="0.25">
      <c r="A330" s="4">
        <v>325</v>
      </c>
      <c r="B330" s="2" t="str">
        <f>HYPERLINK("https://my.zakupivli.pro/remote/dispatcher/state_purchase_view/42492582", "UA-2023-05-10-007002-a")</f>
        <v>UA-2023-05-10-007002-a</v>
      </c>
      <c r="C330" s="2" t="s">
        <v>1516</v>
      </c>
      <c r="D330" s="1" t="s">
        <v>1345</v>
      </c>
      <c r="E330" s="1" t="s">
        <v>1344</v>
      </c>
      <c r="F330" s="1" t="s">
        <v>487</v>
      </c>
      <c r="G330" s="1" t="s">
        <v>994</v>
      </c>
      <c r="H330" s="1" t="s">
        <v>1218</v>
      </c>
      <c r="I330" s="1" t="s">
        <v>2094</v>
      </c>
      <c r="J330" s="1" t="s">
        <v>1145</v>
      </c>
      <c r="K330" s="1" t="s">
        <v>947</v>
      </c>
      <c r="L330" s="1" t="s">
        <v>1533</v>
      </c>
      <c r="M330" s="1" t="s">
        <v>1533</v>
      </c>
      <c r="N330" s="1" t="s">
        <v>110</v>
      </c>
      <c r="O330" s="1" t="s">
        <v>110</v>
      </c>
      <c r="P330" s="1" t="s">
        <v>110</v>
      </c>
      <c r="Q330" s="5">
        <v>45056</v>
      </c>
      <c r="R330" s="1"/>
      <c r="S330" s="1"/>
      <c r="T330" s="1"/>
      <c r="U330" s="1"/>
      <c r="V330" s="1" t="s">
        <v>2146</v>
      </c>
      <c r="W330" s="4">
        <v>1</v>
      </c>
      <c r="X330" s="6">
        <v>170000</v>
      </c>
      <c r="Y330" s="1" t="s">
        <v>1516</v>
      </c>
      <c r="Z330" s="1">
        <v>1</v>
      </c>
      <c r="AA330" s="6">
        <v>170000</v>
      </c>
      <c r="AB330" s="1" t="s">
        <v>2167</v>
      </c>
      <c r="AC330" s="1" t="s">
        <v>2162</v>
      </c>
      <c r="AD330" s="1" t="s">
        <v>1100</v>
      </c>
      <c r="AE330" s="1" t="s">
        <v>1522</v>
      </c>
      <c r="AF330" s="1" t="s">
        <v>1186</v>
      </c>
      <c r="AG330" s="1" t="s">
        <v>1522</v>
      </c>
      <c r="AH330" s="6">
        <v>170000</v>
      </c>
      <c r="AI330" s="6">
        <v>170000</v>
      </c>
      <c r="AJ330" s="1" t="s">
        <v>2087</v>
      </c>
      <c r="AK330" s="1"/>
      <c r="AL330" s="1"/>
      <c r="AM330" s="1" t="s">
        <v>2087</v>
      </c>
      <c r="AN330" s="1" t="s">
        <v>831</v>
      </c>
      <c r="AO330" s="1"/>
      <c r="AP330" s="1" t="s">
        <v>88</v>
      </c>
      <c r="AQ330" s="1"/>
      <c r="AR330" s="1"/>
      <c r="AS330" s="2"/>
      <c r="AT330" s="1"/>
      <c r="AU330" s="1"/>
      <c r="AV330" s="1"/>
      <c r="AW330" s="1" t="s">
        <v>2152</v>
      </c>
      <c r="AX330" s="7">
        <v>45056.537203283238</v>
      </c>
      <c r="AY330" s="1" t="s">
        <v>1032</v>
      </c>
      <c r="AZ330" s="6">
        <v>170000</v>
      </c>
      <c r="BA330" s="5">
        <v>45054</v>
      </c>
      <c r="BB330" s="5">
        <v>45107</v>
      </c>
      <c r="BC330" s="5">
        <v>45054</v>
      </c>
      <c r="BD330" s="5">
        <v>45054</v>
      </c>
      <c r="BE330" s="7">
        <v>45291</v>
      </c>
      <c r="BF330" s="1" t="s">
        <v>2170</v>
      </c>
      <c r="BG330" s="1"/>
      <c r="BH330" s="1"/>
      <c r="BI330" s="1" t="s">
        <v>108</v>
      </c>
    </row>
    <row r="331" spans="1:61" hidden="1" x14ac:dyDescent="0.25">
      <c r="A331" s="4">
        <v>326</v>
      </c>
      <c r="B331" s="2" t="str">
        <f>HYPERLINK("https://my.zakupivli.pro/remote/dispatcher/state_purchase_view/42405535", "UA-2023-05-05-008985-a")</f>
        <v>UA-2023-05-05-008985-a</v>
      </c>
      <c r="C331" s="2" t="s">
        <v>1516</v>
      </c>
      <c r="D331" s="1" t="s">
        <v>1403</v>
      </c>
      <c r="E331" s="1" t="s">
        <v>1402</v>
      </c>
      <c r="F331" s="1" t="s">
        <v>487</v>
      </c>
      <c r="G331" s="1" t="s">
        <v>971</v>
      </c>
      <c r="H331" s="1" t="s">
        <v>1218</v>
      </c>
      <c r="I331" s="1" t="s">
        <v>2094</v>
      </c>
      <c r="J331" s="1" t="s">
        <v>1145</v>
      </c>
      <c r="K331" s="1" t="s">
        <v>947</v>
      </c>
      <c r="L331" s="1" t="s">
        <v>1533</v>
      </c>
      <c r="M331" s="1" t="s">
        <v>1533</v>
      </c>
      <c r="N331" s="1" t="s">
        <v>110</v>
      </c>
      <c r="O331" s="1" t="s">
        <v>110</v>
      </c>
      <c r="P331" s="1" t="s">
        <v>110</v>
      </c>
      <c r="Q331" s="5">
        <v>45051</v>
      </c>
      <c r="R331" s="1"/>
      <c r="S331" s="1"/>
      <c r="T331" s="1"/>
      <c r="U331" s="1"/>
      <c r="V331" s="1" t="s">
        <v>2146</v>
      </c>
      <c r="W331" s="4">
        <v>1</v>
      </c>
      <c r="X331" s="6">
        <v>129000</v>
      </c>
      <c r="Y331" s="1" t="s">
        <v>1516</v>
      </c>
      <c r="Z331" s="1">
        <v>1</v>
      </c>
      <c r="AA331" s="6">
        <v>129000</v>
      </c>
      <c r="AB331" s="1" t="s">
        <v>2167</v>
      </c>
      <c r="AC331" s="1" t="s">
        <v>2162</v>
      </c>
      <c r="AD331" s="1" t="s">
        <v>1100</v>
      </c>
      <c r="AE331" s="1" t="s">
        <v>1522</v>
      </c>
      <c r="AF331" s="1" t="s">
        <v>1186</v>
      </c>
      <c r="AG331" s="1" t="s">
        <v>1522</v>
      </c>
      <c r="AH331" s="6">
        <v>129000</v>
      </c>
      <c r="AI331" s="6">
        <v>129000</v>
      </c>
      <c r="AJ331" s="1" t="s">
        <v>2011</v>
      </c>
      <c r="AK331" s="1"/>
      <c r="AL331" s="1"/>
      <c r="AM331" s="1" t="s">
        <v>2011</v>
      </c>
      <c r="AN331" s="1" t="s">
        <v>763</v>
      </c>
      <c r="AO331" s="1"/>
      <c r="AP331" s="1" t="s">
        <v>95</v>
      </c>
      <c r="AQ331" s="1"/>
      <c r="AR331" s="1"/>
      <c r="AS331" s="2"/>
      <c r="AT331" s="1"/>
      <c r="AU331" s="1"/>
      <c r="AV331" s="1"/>
      <c r="AW331" s="1" t="s">
        <v>2152</v>
      </c>
      <c r="AX331" s="7">
        <v>45051.594956082918</v>
      </c>
      <c r="AY331" s="1" t="s">
        <v>1018</v>
      </c>
      <c r="AZ331" s="6">
        <v>129000</v>
      </c>
      <c r="BA331" s="1"/>
      <c r="BB331" s="5">
        <v>45107</v>
      </c>
      <c r="BC331" s="5">
        <v>45050</v>
      </c>
      <c r="BD331" s="5">
        <v>45050</v>
      </c>
      <c r="BE331" s="7">
        <v>45291</v>
      </c>
      <c r="BF331" s="1" t="s">
        <v>2170</v>
      </c>
      <c r="BG331" s="1"/>
      <c r="BH331" s="1"/>
      <c r="BI331" s="1" t="s">
        <v>108</v>
      </c>
    </row>
    <row r="332" spans="1:61" hidden="1" x14ac:dyDescent="0.25">
      <c r="A332" s="4">
        <v>327</v>
      </c>
      <c r="B332" s="2" t="str">
        <f>HYPERLINK("https://my.zakupivli.pro/remote/dispatcher/state_purchase_view/42402489", "UA-2023-05-05-007527-a")</f>
        <v>UA-2023-05-05-007527-a</v>
      </c>
      <c r="C332" s="2" t="s">
        <v>1516</v>
      </c>
      <c r="D332" s="1" t="s">
        <v>1310</v>
      </c>
      <c r="E332" s="1" t="s">
        <v>1310</v>
      </c>
      <c r="F332" s="1" t="s">
        <v>487</v>
      </c>
      <c r="G332" s="1" t="s">
        <v>970</v>
      </c>
      <c r="H332" s="1" t="s">
        <v>1218</v>
      </c>
      <c r="I332" s="1" t="s">
        <v>2094</v>
      </c>
      <c r="J332" s="1" t="s">
        <v>1145</v>
      </c>
      <c r="K332" s="1" t="s">
        <v>947</v>
      </c>
      <c r="L332" s="1" t="s">
        <v>1533</v>
      </c>
      <c r="M332" s="1" t="s">
        <v>1533</v>
      </c>
      <c r="N332" s="1" t="s">
        <v>110</v>
      </c>
      <c r="O332" s="1" t="s">
        <v>110</v>
      </c>
      <c r="P332" s="1" t="s">
        <v>110</v>
      </c>
      <c r="Q332" s="5">
        <v>45051</v>
      </c>
      <c r="R332" s="1"/>
      <c r="S332" s="1"/>
      <c r="T332" s="1"/>
      <c r="U332" s="1"/>
      <c r="V332" s="1" t="s">
        <v>2146</v>
      </c>
      <c r="W332" s="4">
        <v>1</v>
      </c>
      <c r="X332" s="6">
        <v>199989.38</v>
      </c>
      <c r="Y332" s="1" t="s">
        <v>1516</v>
      </c>
      <c r="Z332" s="1">
        <v>1</v>
      </c>
      <c r="AA332" s="6">
        <v>199989.38</v>
      </c>
      <c r="AB332" s="1" t="s">
        <v>2167</v>
      </c>
      <c r="AC332" s="1" t="s">
        <v>2162</v>
      </c>
      <c r="AD332" s="1" t="s">
        <v>1100</v>
      </c>
      <c r="AE332" s="1" t="s">
        <v>2094</v>
      </c>
      <c r="AF332" s="1" t="s">
        <v>1186</v>
      </c>
      <c r="AG332" s="1" t="s">
        <v>1522</v>
      </c>
      <c r="AH332" s="6">
        <v>199989.38</v>
      </c>
      <c r="AI332" s="6">
        <v>199989.38</v>
      </c>
      <c r="AJ332" s="1" t="s">
        <v>2050</v>
      </c>
      <c r="AK332" s="1"/>
      <c r="AL332" s="1"/>
      <c r="AM332" s="1" t="s">
        <v>2050</v>
      </c>
      <c r="AN332" s="1" t="s">
        <v>954</v>
      </c>
      <c r="AO332" s="1"/>
      <c r="AP332" s="1" t="s">
        <v>20</v>
      </c>
      <c r="AQ332" s="1"/>
      <c r="AR332" s="1"/>
      <c r="AS332" s="2"/>
      <c r="AT332" s="1"/>
      <c r="AU332" s="1"/>
      <c r="AV332" s="1"/>
      <c r="AW332" s="1" t="s">
        <v>2152</v>
      </c>
      <c r="AX332" s="7">
        <v>45051.552453260621</v>
      </c>
      <c r="AY332" s="1" t="s">
        <v>1025</v>
      </c>
      <c r="AZ332" s="6">
        <v>199989.38</v>
      </c>
      <c r="BA332" s="1"/>
      <c r="BB332" s="5">
        <v>45107</v>
      </c>
      <c r="BC332" s="5">
        <v>45050</v>
      </c>
      <c r="BD332" s="5">
        <v>45050</v>
      </c>
      <c r="BE332" s="7">
        <v>45291</v>
      </c>
      <c r="BF332" s="1" t="s">
        <v>2170</v>
      </c>
      <c r="BG332" s="1"/>
      <c r="BH332" s="1"/>
      <c r="BI332" s="1" t="s">
        <v>108</v>
      </c>
    </row>
    <row r="333" spans="1:61" hidden="1" x14ac:dyDescent="0.25">
      <c r="A333" s="4">
        <v>328</v>
      </c>
      <c r="B333" s="2" t="str">
        <f>HYPERLINK("https://my.zakupivli.pro/remote/dispatcher/state_purchase_view/42401381", "UA-2023-05-05-006984-a")</f>
        <v>UA-2023-05-05-006984-a</v>
      </c>
      <c r="C333" s="2" t="s">
        <v>1516</v>
      </c>
      <c r="D333" s="1" t="s">
        <v>1310</v>
      </c>
      <c r="E333" s="1" t="s">
        <v>1309</v>
      </c>
      <c r="F333" s="1" t="s">
        <v>487</v>
      </c>
      <c r="G333" s="1" t="s">
        <v>970</v>
      </c>
      <c r="H333" s="1" t="s">
        <v>1218</v>
      </c>
      <c r="I333" s="1" t="s">
        <v>2094</v>
      </c>
      <c r="J333" s="1" t="s">
        <v>1145</v>
      </c>
      <c r="K333" s="1" t="s">
        <v>947</v>
      </c>
      <c r="L333" s="1" t="s">
        <v>1533</v>
      </c>
      <c r="M333" s="1" t="s">
        <v>1533</v>
      </c>
      <c r="N333" s="1" t="s">
        <v>110</v>
      </c>
      <c r="O333" s="1" t="s">
        <v>110</v>
      </c>
      <c r="P333" s="1" t="s">
        <v>110</v>
      </c>
      <c r="Q333" s="5">
        <v>45051</v>
      </c>
      <c r="R333" s="1"/>
      <c r="S333" s="1"/>
      <c r="T333" s="1"/>
      <c r="U333" s="1"/>
      <c r="V333" s="1" t="s">
        <v>2146</v>
      </c>
      <c r="W333" s="4">
        <v>1</v>
      </c>
      <c r="X333" s="6">
        <v>199989.38</v>
      </c>
      <c r="Y333" s="1" t="s">
        <v>1516</v>
      </c>
      <c r="Z333" s="1">
        <v>1</v>
      </c>
      <c r="AA333" s="6">
        <v>199989.38</v>
      </c>
      <c r="AB333" s="1" t="s">
        <v>2167</v>
      </c>
      <c r="AC333" s="1" t="s">
        <v>2162</v>
      </c>
      <c r="AD333" s="1" t="s">
        <v>1100</v>
      </c>
      <c r="AE333" s="1" t="s">
        <v>1522</v>
      </c>
      <c r="AF333" s="1" t="s">
        <v>1186</v>
      </c>
      <c r="AG333" s="1" t="s">
        <v>1522</v>
      </c>
      <c r="AH333" s="6">
        <v>199989.38</v>
      </c>
      <c r="AI333" s="6">
        <v>199989.38</v>
      </c>
      <c r="AJ333" s="1" t="s">
        <v>2050</v>
      </c>
      <c r="AK333" s="1"/>
      <c r="AL333" s="1"/>
      <c r="AM333" s="1" t="s">
        <v>2050</v>
      </c>
      <c r="AN333" s="1" t="s">
        <v>954</v>
      </c>
      <c r="AO333" s="1"/>
      <c r="AP333" s="1" t="s">
        <v>20</v>
      </c>
      <c r="AQ333" s="1"/>
      <c r="AR333" s="1"/>
      <c r="AS333" s="2"/>
      <c r="AT333" s="1"/>
      <c r="AU333" s="1"/>
      <c r="AV333" s="1"/>
      <c r="AW333" s="1" t="s">
        <v>2152</v>
      </c>
      <c r="AX333" s="7">
        <v>45051.53234766212</v>
      </c>
      <c r="AY333" s="1" t="s">
        <v>1025</v>
      </c>
      <c r="AZ333" s="6">
        <v>199989.38</v>
      </c>
      <c r="BA333" s="1"/>
      <c r="BB333" s="5">
        <v>45107</v>
      </c>
      <c r="BC333" s="5">
        <v>45050</v>
      </c>
      <c r="BD333" s="5">
        <v>45050</v>
      </c>
      <c r="BE333" s="7">
        <v>45291</v>
      </c>
      <c r="BF333" s="1" t="s">
        <v>2170</v>
      </c>
      <c r="BG333" s="1"/>
      <c r="BH333" s="1"/>
      <c r="BI333" s="1" t="s">
        <v>108</v>
      </c>
    </row>
    <row r="334" spans="1:61" hidden="1" x14ac:dyDescent="0.25">
      <c r="A334" s="4">
        <v>329</v>
      </c>
      <c r="B334" s="2" t="str">
        <f>HYPERLINK("https://my.zakupivli.pro/remote/dispatcher/state_purchase_view/42401022", "UA-2023-05-05-006819-a")</f>
        <v>UA-2023-05-05-006819-a</v>
      </c>
      <c r="C334" s="2" t="s">
        <v>1516</v>
      </c>
      <c r="D334" s="1" t="s">
        <v>1381</v>
      </c>
      <c r="E334" s="1" t="s">
        <v>1381</v>
      </c>
      <c r="F334" s="1" t="s">
        <v>487</v>
      </c>
      <c r="G334" s="1" t="s">
        <v>967</v>
      </c>
      <c r="H334" s="1" t="s">
        <v>1218</v>
      </c>
      <c r="I334" s="1" t="s">
        <v>2094</v>
      </c>
      <c r="J334" s="1" t="s">
        <v>1145</v>
      </c>
      <c r="K334" s="1" t="s">
        <v>947</v>
      </c>
      <c r="L334" s="1" t="s">
        <v>1533</v>
      </c>
      <c r="M334" s="1" t="s">
        <v>1533</v>
      </c>
      <c r="N334" s="1" t="s">
        <v>110</v>
      </c>
      <c r="O334" s="1" t="s">
        <v>110</v>
      </c>
      <c r="P334" s="1" t="s">
        <v>110</v>
      </c>
      <c r="Q334" s="5">
        <v>45051</v>
      </c>
      <c r="R334" s="1"/>
      <c r="S334" s="1"/>
      <c r="T334" s="1"/>
      <c r="U334" s="1"/>
      <c r="V334" s="1" t="s">
        <v>2146</v>
      </c>
      <c r="W334" s="4">
        <v>1</v>
      </c>
      <c r="X334" s="6">
        <v>199500</v>
      </c>
      <c r="Y334" s="1" t="s">
        <v>1516</v>
      </c>
      <c r="Z334" s="1">
        <v>1</v>
      </c>
      <c r="AA334" s="6">
        <v>199500</v>
      </c>
      <c r="AB334" s="1" t="s">
        <v>2167</v>
      </c>
      <c r="AC334" s="1" t="s">
        <v>2162</v>
      </c>
      <c r="AD334" s="1" t="s">
        <v>1100</v>
      </c>
      <c r="AE334" s="1" t="s">
        <v>1522</v>
      </c>
      <c r="AF334" s="1" t="s">
        <v>1186</v>
      </c>
      <c r="AG334" s="1" t="s">
        <v>1522</v>
      </c>
      <c r="AH334" s="6">
        <v>199500</v>
      </c>
      <c r="AI334" s="6">
        <v>199500</v>
      </c>
      <c r="AJ334" s="1" t="s">
        <v>2044</v>
      </c>
      <c r="AK334" s="1"/>
      <c r="AL334" s="1"/>
      <c r="AM334" s="1" t="s">
        <v>2044</v>
      </c>
      <c r="AN334" s="1" t="s">
        <v>913</v>
      </c>
      <c r="AO334" s="1"/>
      <c r="AP334" s="1" t="s">
        <v>44</v>
      </c>
      <c r="AQ334" s="1"/>
      <c r="AR334" s="1"/>
      <c r="AS334" s="2"/>
      <c r="AT334" s="1"/>
      <c r="AU334" s="1"/>
      <c r="AV334" s="1"/>
      <c r="AW334" s="1" t="s">
        <v>2152</v>
      </c>
      <c r="AX334" s="7">
        <v>45051.525670191179</v>
      </c>
      <c r="AY334" s="1" t="s">
        <v>1000</v>
      </c>
      <c r="AZ334" s="6">
        <v>199500</v>
      </c>
      <c r="BA334" s="1"/>
      <c r="BB334" s="5">
        <v>45107</v>
      </c>
      <c r="BC334" s="5">
        <v>45050</v>
      </c>
      <c r="BD334" s="5">
        <v>45050</v>
      </c>
      <c r="BE334" s="7">
        <v>45291</v>
      </c>
      <c r="BF334" s="1" t="s">
        <v>2170</v>
      </c>
      <c r="BG334" s="1"/>
      <c r="BH334" s="1"/>
      <c r="BI334" s="1" t="s">
        <v>108</v>
      </c>
    </row>
    <row r="335" spans="1:61" hidden="1" x14ac:dyDescent="0.25">
      <c r="A335" s="4">
        <v>330</v>
      </c>
      <c r="B335" s="2" t="str">
        <f>HYPERLINK("https://my.zakupivli.pro/remote/dispatcher/state_purchase_view/42400827", "UA-2023-05-05-006685-a")</f>
        <v>UA-2023-05-05-006685-a</v>
      </c>
      <c r="C335" s="2" t="s">
        <v>1516</v>
      </c>
      <c r="D335" s="1" t="s">
        <v>1382</v>
      </c>
      <c r="E335" s="1" t="s">
        <v>1382</v>
      </c>
      <c r="F335" s="1" t="s">
        <v>487</v>
      </c>
      <c r="G335" s="1" t="s">
        <v>967</v>
      </c>
      <c r="H335" s="1" t="s">
        <v>1218</v>
      </c>
      <c r="I335" s="1" t="s">
        <v>2094</v>
      </c>
      <c r="J335" s="1" t="s">
        <v>1145</v>
      </c>
      <c r="K335" s="1" t="s">
        <v>947</v>
      </c>
      <c r="L335" s="1" t="s">
        <v>1533</v>
      </c>
      <c r="M335" s="1" t="s">
        <v>1533</v>
      </c>
      <c r="N335" s="1" t="s">
        <v>110</v>
      </c>
      <c r="O335" s="1" t="s">
        <v>110</v>
      </c>
      <c r="P335" s="1" t="s">
        <v>110</v>
      </c>
      <c r="Q335" s="5">
        <v>45051</v>
      </c>
      <c r="R335" s="1"/>
      <c r="S335" s="1"/>
      <c r="T335" s="1"/>
      <c r="U335" s="1"/>
      <c r="V335" s="1" t="s">
        <v>2146</v>
      </c>
      <c r="W335" s="4">
        <v>1</v>
      </c>
      <c r="X335" s="6">
        <v>199989.63</v>
      </c>
      <c r="Y335" s="1" t="s">
        <v>1516</v>
      </c>
      <c r="Z335" s="1">
        <v>1</v>
      </c>
      <c r="AA335" s="6">
        <v>199989.63</v>
      </c>
      <c r="AB335" s="1" t="s">
        <v>2167</v>
      </c>
      <c r="AC335" s="1" t="s">
        <v>2162</v>
      </c>
      <c r="AD335" s="1" t="s">
        <v>1100</v>
      </c>
      <c r="AE335" s="1" t="s">
        <v>1522</v>
      </c>
      <c r="AF335" s="1" t="s">
        <v>1186</v>
      </c>
      <c r="AG335" s="1" t="s">
        <v>1522</v>
      </c>
      <c r="AH335" s="6">
        <v>199989.63</v>
      </c>
      <c r="AI335" s="6">
        <v>199989.63</v>
      </c>
      <c r="AJ335" s="1" t="s">
        <v>2044</v>
      </c>
      <c r="AK335" s="1"/>
      <c r="AL335" s="1"/>
      <c r="AM335" s="1" t="s">
        <v>2044</v>
      </c>
      <c r="AN335" s="1" t="s">
        <v>913</v>
      </c>
      <c r="AO335" s="1"/>
      <c r="AP335" s="1" t="s">
        <v>44</v>
      </c>
      <c r="AQ335" s="1"/>
      <c r="AR335" s="1"/>
      <c r="AS335" s="2"/>
      <c r="AT335" s="1"/>
      <c r="AU335" s="1"/>
      <c r="AV335" s="1"/>
      <c r="AW335" s="1" t="s">
        <v>2152</v>
      </c>
      <c r="AX335" s="7">
        <v>45051.521725115657</v>
      </c>
      <c r="AY335" s="1" t="s">
        <v>1001</v>
      </c>
      <c r="AZ335" s="6">
        <v>199989.63</v>
      </c>
      <c r="BA335" s="1"/>
      <c r="BB335" s="5">
        <v>45107</v>
      </c>
      <c r="BC335" s="5">
        <v>45050</v>
      </c>
      <c r="BD335" s="5">
        <v>45050</v>
      </c>
      <c r="BE335" s="7">
        <v>45291</v>
      </c>
      <c r="BF335" s="1" t="s">
        <v>2170</v>
      </c>
      <c r="BG335" s="1"/>
      <c r="BH335" s="1"/>
      <c r="BI335" s="1" t="s">
        <v>108</v>
      </c>
    </row>
    <row r="336" spans="1:61" hidden="1" x14ac:dyDescent="0.25">
      <c r="A336" s="4">
        <v>331</v>
      </c>
      <c r="B336" s="2" t="str">
        <f>HYPERLINK("https://my.zakupivli.pro/remote/dispatcher/state_purchase_view/42400575", "UA-2023-05-05-006566-a")</f>
        <v>UA-2023-05-05-006566-a</v>
      </c>
      <c r="C336" s="2" t="s">
        <v>1516</v>
      </c>
      <c r="D336" s="1" t="s">
        <v>1318</v>
      </c>
      <c r="E336" s="1" t="s">
        <v>1317</v>
      </c>
      <c r="F336" s="1" t="s">
        <v>487</v>
      </c>
      <c r="G336" s="1" t="s">
        <v>971</v>
      </c>
      <c r="H336" s="1" t="s">
        <v>1218</v>
      </c>
      <c r="I336" s="1" t="s">
        <v>2094</v>
      </c>
      <c r="J336" s="1" t="s">
        <v>1145</v>
      </c>
      <c r="K336" s="1" t="s">
        <v>947</v>
      </c>
      <c r="L336" s="1" t="s">
        <v>1533</v>
      </c>
      <c r="M336" s="1" t="s">
        <v>1533</v>
      </c>
      <c r="N336" s="1" t="s">
        <v>110</v>
      </c>
      <c r="O336" s="1" t="s">
        <v>110</v>
      </c>
      <c r="P336" s="1" t="s">
        <v>110</v>
      </c>
      <c r="Q336" s="5">
        <v>45051</v>
      </c>
      <c r="R336" s="1"/>
      <c r="S336" s="1"/>
      <c r="T336" s="1"/>
      <c r="U336" s="1"/>
      <c r="V336" s="1" t="s">
        <v>2146</v>
      </c>
      <c r="W336" s="4">
        <v>1</v>
      </c>
      <c r="X336" s="6">
        <v>126500</v>
      </c>
      <c r="Y336" s="1" t="s">
        <v>1516</v>
      </c>
      <c r="Z336" s="1">
        <v>1</v>
      </c>
      <c r="AA336" s="6">
        <v>126500</v>
      </c>
      <c r="AB336" s="1" t="s">
        <v>2167</v>
      </c>
      <c r="AC336" s="1" t="s">
        <v>2162</v>
      </c>
      <c r="AD336" s="1" t="s">
        <v>1100</v>
      </c>
      <c r="AE336" s="1" t="s">
        <v>1522</v>
      </c>
      <c r="AF336" s="1" t="s">
        <v>1186</v>
      </c>
      <c r="AG336" s="1" t="s">
        <v>1522</v>
      </c>
      <c r="AH336" s="6">
        <v>126500</v>
      </c>
      <c r="AI336" s="6">
        <v>126500</v>
      </c>
      <c r="AJ336" s="1" t="s">
        <v>2044</v>
      </c>
      <c r="AK336" s="1"/>
      <c r="AL336" s="1"/>
      <c r="AM336" s="1" t="s">
        <v>2044</v>
      </c>
      <c r="AN336" s="1" t="s">
        <v>913</v>
      </c>
      <c r="AO336" s="1"/>
      <c r="AP336" s="1" t="s">
        <v>44</v>
      </c>
      <c r="AQ336" s="1"/>
      <c r="AR336" s="1"/>
      <c r="AS336" s="2"/>
      <c r="AT336" s="1"/>
      <c r="AU336" s="1"/>
      <c r="AV336" s="1"/>
      <c r="AW336" s="1" t="s">
        <v>2152</v>
      </c>
      <c r="AX336" s="7">
        <v>45051.518365237884</v>
      </c>
      <c r="AY336" s="1" t="s">
        <v>1005</v>
      </c>
      <c r="AZ336" s="6">
        <v>126500</v>
      </c>
      <c r="BA336" s="1"/>
      <c r="BB336" s="5">
        <v>45107</v>
      </c>
      <c r="BC336" s="5">
        <v>45050</v>
      </c>
      <c r="BD336" s="5">
        <v>45050</v>
      </c>
      <c r="BE336" s="7">
        <v>45291</v>
      </c>
      <c r="BF336" s="1" t="s">
        <v>2170</v>
      </c>
      <c r="BG336" s="1"/>
      <c r="BH336" s="1"/>
      <c r="BI336" s="1" t="s">
        <v>108</v>
      </c>
    </row>
    <row r="337" spans="1:61" hidden="1" x14ac:dyDescent="0.25">
      <c r="A337" s="4">
        <v>332</v>
      </c>
      <c r="B337" s="2" t="str">
        <f>HYPERLINK("https://my.zakupivli.pro/remote/dispatcher/state_purchase_view/42399478", "UA-2023-05-05-006093-a")</f>
        <v>UA-2023-05-05-006093-a</v>
      </c>
      <c r="C337" s="2" t="s">
        <v>1516</v>
      </c>
      <c r="D337" s="1" t="s">
        <v>1313</v>
      </c>
      <c r="E337" s="1" t="s">
        <v>1312</v>
      </c>
      <c r="F337" s="1" t="s">
        <v>487</v>
      </c>
      <c r="G337" s="1" t="s">
        <v>970</v>
      </c>
      <c r="H337" s="1" t="s">
        <v>1218</v>
      </c>
      <c r="I337" s="1" t="s">
        <v>2094</v>
      </c>
      <c r="J337" s="1" t="s">
        <v>1145</v>
      </c>
      <c r="K337" s="1" t="s">
        <v>947</v>
      </c>
      <c r="L337" s="1" t="s">
        <v>1533</v>
      </c>
      <c r="M337" s="1" t="s">
        <v>1533</v>
      </c>
      <c r="N337" s="1" t="s">
        <v>110</v>
      </c>
      <c r="O337" s="1" t="s">
        <v>110</v>
      </c>
      <c r="P337" s="1" t="s">
        <v>110</v>
      </c>
      <c r="Q337" s="5">
        <v>45051</v>
      </c>
      <c r="R337" s="1"/>
      <c r="S337" s="1"/>
      <c r="T337" s="1"/>
      <c r="U337" s="1"/>
      <c r="V337" s="1" t="s">
        <v>2146</v>
      </c>
      <c r="W337" s="4">
        <v>1</v>
      </c>
      <c r="X337" s="6">
        <v>28850</v>
      </c>
      <c r="Y337" s="1" t="s">
        <v>1516</v>
      </c>
      <c r="Z337" s="1">
        <v>1</v>
      </c>
      <c r="AA337" s="6">
        <v>28850</v>
      </c>
      <c r="AB337" s="1" t="s">
        <v>2167</v>
      </c>
      <c r="AC337" s="1" t="s">
        <v>2162</v>
      </c>
      <c r="AD337" s="1" t="s">
        <v>1100</v>
      </c>
      <c r="AE337" s="1" t="s">
        <v>1522</v>
      </c>
      <c r="AF337" s="1" t="s">
        <v>1186</v>
      </c>
      <c r="AG337" s="1" t="s">
        <v>1522</v>
      </c>
      <c r="AH337" s="6">
        <v>28850</v>
      </c>
      <c r="AI337" s="6">
        <v>28850</v>
      </c>
      <c r="AJ337" s="1" t="s">
        <v>2044</v>
      </c>
      <c r="AK337" s="1"/>
      <c r="AL337" s="1"/>
      <c r="AM337" s="1" t="s">
        <v>2044</v>
      </c>
      <c r="AN337" s="1" t="s">
        <v>913</v>
      </c>
      <c r="AO337" s="1"/>
      <c r="AP337" s="1" t="s">
        <v>44</v>
      </c>
      <c r="AQ337" s="1"/>
      <c r="AR337" s="1"/>
      <c r="AS337" s="2"/>
      <c r="AT337" s="1"/>
      <c r="AU337" s="1"/>
      <c r="AV337" s="1"/>
      <c r="AW337" s="1" t="s">
        <v>2152</v>
      </c>
      <c r="AX337" s="7">
        <v>45051.503891230015</v>
      </c>
      <c r="AY337" s="1" t="s">
        <v>999</v>
      </c>
      <c r="AZ337" s="6">
        <v>28850</v>
      </c>
      <c r="BA337" s="1"/>
      <c r="BB337" s="5">
        <v>45107</v>
      </c>
      <c r="BC337" s="5">
        <v>45050</v>
      </c>
      <c r="BD337" s="5">
        <v>45050</v>
      </c>
      <c r="BE337" s="7">
        <v>45291</v>
      </c>
      <c r="BF337" s="1" t="s">
        <v>2170</v>
      </c>
      <c r="BG337" s="1"/>
      <c r="BH337" s="1"/>
      <c r="BI337" s="1" t="s">
        <v>108</v>
      </c>
    </row>
    <row r="338" spans="1:61" hidden="1" x14ac:dyDescent="0.25">
      <c r="A338" s="4">
        <v>333</v>
      </c>
      <c r="B338" s="2" t="str">
        <f>HYPERLINK("https://my.zakupivli.pro/remote/dispatcher/state_purchase_view/42398222", "UA-2023-05-05-005709-a")</f>
        <v>UA-2023-05-05-005709-a</v>
      </c>
      <c r="C338" s="2" t="s">
        <v>1516</v>
      </c>
      <c r="D338" s="1" t="s">
        <v>1320</v>
      </c>
      <c r="E338" s="1" t="s">
        <v>1319</v>
      </c>
      <c r="F338" s="1" t="s">
        <v>487</v>
      </c>
      <c r="G338" s="1" t="s">
        <v>971</v>
      </c>
      <c r="H338" s="1" t="s">
        <v>1218</v>
      </c>
      <c r="I338" s="1" t="s">
        <v>2094</v>
      </c>
      <c r="J338" s="1" t="s">
        <v>1145</v>
      </c>
      <c r="K338" s="1" t="s">
        <v>947</v>
      </c>
      <c r="L338" s="1" t="s">
        <v>1533</v>
      </c>
      <c r="M338" s="1" t="s">
        <v>1533</v>
      </c>
      <c r="N338" s="1" t="s">
        <v>110</v>
      </c>
      <c r="O338" s="1" t="s">
        <v>110</v>
      </c>
      <c r="P338" s="1" t="s">
        <v>110</v>
      </c>
      <c r="Q338" s="5">
        <v>45051</v>
      </c>
      <c r="R338" s="1"/>
      <c r="S338" s="1"/>
      <c r="T338" s="1"/>
      <c r="U338" s="1"/>
      <c r="V338" s="1" t="s">
        <v>2146</v>
      </c>
      <c r="W338" s="4">
        <v>1</v>
      </c>
      <c r="X338" s="6">
        <v>81650</v>
      </c>
      <c r="Y338" s="1" t="s">
        <v>1516</v>
      </c>
      <c r="Z338" s="1">
        <v>1</v>
      </c>
      <c r="AA338" s="6">
        <v>81650</v>
      </c>
      <c r="AB338" s="1" t="s">
        <v>2167</v>
      </c>
      <c r="AC338" s="1" t="s">
        <v>2162</v>
      </c>
      <c r="AD338" s="1" t="s">
        <v>1100</v>
      </c>
      <c r="AE338" s="1" t="s">
        <v>1522</v>
      </c>
      <c r="AF338" s="1" t="s">
        <v>1186</v>
      </c>
      <c r="AG338" s="1" t="s">
        <v>1522</v>
      </c>
      <c r="AH338" s="6">
        <v>81650</v>
      </c>
      <c r="AI338" s="6">
        <v>81650</v>
      </c>
      <c r="AJ338" s="1" t="s">
        <v>2043</v>
      </c>
      <c r="AK338" s="1"/>
      <c r="AL338" s="1"/>
      <c r="AM338" s="1" t="s">
        <v>2043</v>
      </c>
      <c r="AN338" s="1" t="s">
        <v>945</v>
      </c>
      <c r="AO338" s="1"/>
      <c r="AP338" s="1" t="s">
        <v>85</v>
      </c>
      <c r="AQ338" s="1"/>
      <c r="AR338" s="1"/>
      <c r="AS338" s="2"/>
      <c r="AT338" s="1"/>
      <c r="AU338" s="1"/>
      <c r="AV338" s="1"/>
      <c r="AW338" s="1" t="s">
        <v>2152</v>
      </c>
      <c r="AX338" s="7">
        <v>45051.494751271654</v>
      </c>
      <c r="AY338" s="1" t="s">
        <v>1004</v>
      </c>
      <c r="AZ338" s="6">
        <v>81650</v>
      </c>
      <c r="BA338" s="1"/>
      <c r="BB338" s="5">
        <v>45107</v>
      </c>
      <c r="BC338" s="5">
        <v>45050</v>
      </c>
      <c r="BD338" s="5">
        <v>45050</v>
      </c>
      <c r="BE338" s="7">
        <v>45291</v>
      </c>
      <c r="BF338" s="1" t="s">
        <v>2170</v>
      </c>
      <c r="BG338" s="1"/>
      <c r="BH338" s="1"/>
      <c r="BI338" s="1" t="s">
        <v>108</v>
      </c>
    </row>
    <row r="339" spans="1:61" hidden="1" x14ac:dyDescent="0.25">
      <c r="A339" s="4">
        <v>334</v>
      </c>
      <c r="B339" s="2" t="str">
        <f>HYPERLINK("https://my.zakupivli.pro/remote/dispatcher/state_purchase_view/42397908", "UA-2023-05-05-005300-a")</f>
        <v>UA-2023-05-05-005300-a</v>
      </c>
      <c r="C339" s="2" t="s">
        <v>1516</v>
      </c>
      <c r="D339" s="1" t="s">
        <v>1405</v>
      </c>
      <c r="E339" s="1" t="s">
        <v>1404</v>
      </c>
      <c r="F339" s="1" t="s">
        <v>487</v>
      </c>
      <c r="G339" s="1" t="s">
        <v>971</v>
      </c>
      <c r="H339" s="1" t="s">
        <v>1218</v>
      </c>
      <c r="I339" s="1" t="s">
        <v>2094</v>
      </c>
      <c r="J339" s="1" t="s">
        <v>1145</v>
      </c>
      <c r="K339" s="1" t="s">
        <v>947</v>
      </c>
      <c r="L339" s="1" t="s">
        <v>1533</v>
      </c>
      <c r="M339" s="1" t="s">
        <v>1533</v>
      </c>
      <c r="N339" s="1" t="s">
        <v>110</v>
      </c>
      <c r="O339" s="1" t="s">
        <v>110</v>
      </c>
      <c r="P339" s="1" t="s">
        <v>110</v>
      </c>
      <c r="Q339" s="5">
        <v>45051</v>
      </c>
      <c r="R339" s="1"/>
      <c r="S339" s="1"/>
      <c r="T339" s="1"/>
      <c r="U339" s="1"/>
      <c r="V339" s="1" t="s">
        <v>2146</v>
      </c>
      <c r="W339" s="4">
        <v>1</v>
      </c>
      <c r="X339" s="6">
        <v>156400</v>
      </c>
      <c r="Y339" s="1" t="s">
        <v>1516</v>
      </c>
      <c r="Z339" s="1">
        <v>1</v>
      </c>
      <c r="AA339" s="6">
        <v>156400</v>
      </c>
      <c r="AB339" s="1" t="s">
        <v>2167</v>
      </c>
      <c r="AC339" s="1" t="s">
        <v>2162</v>
      </c>
      <c r="AD339" s="1" t="s">
        <v>1100</v>
      </c>
      <c r="AE339" s="1" t="s">
        <v>1522</v>
      </c>
      <c r="AF339" s="1" t="s">
        <v>1186</v>
      </c>
      <c r="AG339" s="1" t="s">
        <v>1522</v>
      </c>
      <c r="AH339" s="6">
        <v>156400</v>
      </c>
      <c r="AI339" s="6">
        <v>156400</v>
      </c>
      <c r="AJ339" s="1" t="s">
        <v>2043</v>
      </c>
      <c r="AK339" s="1"/>
      <c r="AL339" s="1"/>
      <c r="AM339" s="1" t="s">
        <v>2043</v>
      </c>
      <c r="AN339" s="1" t="s">
        <v>945</v>
      </c>
      <c r="AO339" s="1"/>
      <c r="AP339" s="1" t="s">
        <v>85</v>
      </c>
      <c r="AQ339" s="1"/>
      <c r="AR339" s="1"/>
      <c r="AS339" s="2"/>
      <c r="AT339" s="1"/>
      <c r="AU339" s="1"/>
      <c r="AV339" s="1"/>
      <c r="AW339" s="1" t="s">
        <v>2152</v>
      </c>
      <c r="AX339" s="7">
        <v>45051.485850174213</v>
      </c>
      <c r="AY339" s="1" t="s">
        <v>1003</v>
      </c>
      <c r="AZ339" s="6">
        <v>156400</v>
      </c>
      <c r="BA339" s="1"/>
      <c r="BB339" s="5">
        <v>45107</v>
      </c>
      <c r="BC339" s="5">
        <v>45050</v>
      </c>
      <c r="BD339" s="5">
        <v>45050</v>
      </c>
      <c r="BE339" s="7">
        <v>45291</v>
      </c>
      <c r="BF339" s="1" t="s">
        <v>2170</v>
      </c>
      <c r="BG339" s="1"/>
      <c r="BH339" s="1"/>
      <c r="BI339" s="1" t="s">
        <v>108</v>
      </c>
    </row>
    <row r="340" spans="1:61" hidden="1" x14ac:dyDescent="0.25">
      <c r="A340" s="4">
        <v>335</v>
      </c>
      <c r="B340" s="2" t="str">
        <f>HYPERLINK("https://my.zakupivli.pro/remote/dispatcher/state_purchase_view/42404606", "UA-2023-05-05-008524-a")</f>
        <v>UA-2023-05-05-008524-a</v>
      </c>
      <c r="C340" s="2" t="s">
        <v>1516</v>
      </c>
      <c r="D340" s="1" t="s">
        <v>1308</v>
      </c>
      <c r="E340" s="1" t="s">
        <v>1307</v>
      </c>
      <c r="F340" s="1" t="s">
        <v>487</v>
      </c>
      <c r="G340" s="1" t="s">
        <v>970</v>
      </c>
      <c r="H340" s="1" t="s">
        <v>1218</v>
      </c>
      <c r="I340" s="1" t="s">
        <v>2094</v>
      </c>
      <c r="J340" s="1" t="s">
        <v>1145</v>
      </c>
      <c r="K340" s="1" t="s">
        <v>947</v>
      </c>
      <c r="L340" s="1" t="s">
        <v>1533</v>
      </c>
      <c r="M340" s="1" t="s">
        <v>1533</v>
      </c>
      <c r="N340" s="1" t="s">
        <v>110</v>
      </c>
      <c r="O340" s="1" t="s">
        <v>110</v>
      </c>
      <c r="P340" s="1" t="s">
        <v>110</v>
      </c>
      <c r="Q340" s="5">
        <v>45051</v>
      </c>
      <c r="R340" s="1"/>
      <c r="S340" s="1"/>
      <c r="T340" s="1"/>
      <c r="U340" s="1"/>
      <c r="V340" s="1" t="s">
        <v>2146</v>
      </c>
      <c r="W340" s="4">
        <v>1</v>
      </c>
      <c r="X340" s="6">
        <v>168000</v>
      </c>
      <c r="Y340" s="1" t="s">
        <v>1516</v>
      </c>
      <c r="Z340" s="1">
        <v>1</v>
      </c>
      <c r="AA340" s="6">
        <v>168000</v>
      </c>
      <c r="AB340" s="1" t="s">
        <v>2167</v>
      </c>
      <c r="AC340" s="1" t="s">
        <v>2162</v>
      </c>
      <c r="AD340" s="1" t="s">
        <v>1100</v>
      </c>
      <c r="AE340" s="1" t="s">
        <v>1522</v>
      </c>
      <c r="AF340" s="1" t="s">
        <v>1186</v>
      </c>
      <c r="AG340" s="1" t="s">
        <v>1522</v>
      </c>
      <c r="AH340" s="6">
        <v>168000</v>
      </c>
      <c r="AI340" s="6">
        <v>168000</v>
      </c>
      <c r="AJ340" s="1" t="s">
        <v>2011</v>
      </c>
      <c r="AK340" s="1"/>
      <c r="AL340" s="1"/>
      <c r="AM340" s="1" t="s">
        <v>2011</v>
      </c>
      <c r="AN340" s="1" t="s">
        <v>763</v>
      </c>
      <c r="AO340" s="1"/>
      <c r="AP340" s="1" t="s">
        <v>95</v>
      </c>
      <c r="AQ340" s="1"/>
      <c r="AR340" s="1"/>
      <c r="AS340" s="2"/>
      <c r="AT340" s="1"/>
      <c r="AU340" s="1"/>
      <c r="AV340" s="1"/>
      <c r="AW340" s="1" t="s">
        <v>2152</v>
      </c>
      <c r="AX340" s="7">
        <v>45051.583801585432</v>
      </c>
      <c r="AY340" s="1" t="s">
        <v>1008</v>
      </c>
      <c r="AZ340" s="6">
        <v>168000</v>
      </c>
      <c r="BA340" s="1"/>
      <c r="BB340" s="5">
        <v>45107</v>
      </c>
      <c r="BC340" s="5">
        <v>45050</v>
      </c>
      <c r="BD340" s="5">
        <v>45050</v>
      </c>
      <c r="BE340" s="7">
        <v>45291</v>
      </c>
      <c r="BF340" s="1" t="s">
        <v>2170</v>
      </c>
      <c r="BG340" s="1"/>
      <c r="BH340" s="1"/>
      <c r="BI340" s="1" t="s">
        <v>108</v>
      </c>
    </row>
    <row r="341" spans="1:61" hidden="1" x14ac:dyDescent="0.25">
      <c r="A341" s="4">
        <v>336</v>
      </c>
      <c r="B341" s="2" t="str">
        <f>HYPERLINK("https://my.zakupivli.pro/remote/dispatcher/state_purchase_view/42405120", "UA-2023-05-05-008818-a")</f>
        <v>UA-2023-05-05-008818-a</v>
      </c>
      <c r="C341" s="2" t="s">
        <v>1516</v>
      </c>
      <c r="D341" s="1" t="s">
        <v>1311</v>
      </c>
      <c r="E341" s="1" t="s">
        <v>1311</v>
      </c>
      <c r="F341" s="1" t="s">
        <v>487</v>
      </c>
      <c r="G341" s="1" t="s">
        <v>970</v>
      </c>
      <c r="H341" s="1" t="s">
        <v>1218</v>
      </c>
      <c r="I341" s="1" t="s">
        <v>2094</v>
      </c>
      <c r="J341" s="1" t="s">
        <v>1145</v>
      </c>
      <c r="K341" s="1" t="s">
        <v>947</v>
      </c>
      <c r="L341" s="1" t="s">
        <v>1533</v>
      </c>
      <c r="M341" s="1" t="s">
        <v>1533</v>
      </c>
      <c r="N341" s="1" t="s">
        <v>110</v>
      </c>
      <c r="O341" s="1" t="s">
        <v>110</v>
      </c>
      <c r="P341" s="1" t="s">
        <v>110</v>
      </c>
      <c r="Q341" s="5">
        <v>45051</v>
      </c>
      <c r="R341" s="1"/>
      <c r="S341" s="1"/>
      <c r="T341" s="1"/>
      <c r="U341" s="1"/>
      <c r="V341" s="1" t="s">
        <v>2146</v>
      </c>
      <c r="W341" s="4">
        <v>1</v>
      </c>
      <c r="X341" s="6">
        <v>174000</v>
      </c>
      <c r="Y341" s="1" t="s">
        <v>1516</v>
      </c>
      <c r="Z341" s="1">
        <v>1</v>
      </c>
      <c r="AA341" s="6">
        <v>174000</v>
      </c>
      <c r="AB341" s="1" t="s">
        <v>2167</v>
      </c>
      <c r="AC341" s="1" t="s">
        <v>2162</v>
      </c>
      <c r="AD341" s="1" t="s">
        <v>1100</v>
      </c>
      <c r="AE341" s="1" t="s">
        <v>1522</v>
      </c>
      <c r="AF341" s="1" t="s">
        <v>1186</v>
      </c>
      <c r="AG341" s="1" t="s">
        <v>1522</v>
      </c>
      <c r="AH341" s="6">
        <v>174000</v>
      </c>
      <c r="AI341" s="6">
        <v>174000</v>
      </c>
      <c r="AJ341" s="1" t="s">
        <v>2011</v>
      </c>
      <c r="AK341" s="1"/>
      <c r="AL341" s="1"/>
      <c r="AM341" s="1" t="s">
        <v>2011</v>
      </c>
      <c r="AN341" s="1" t="s">
        <v>763</v>
      </c>
      <c r="AO341" s="1"/>
      <c r="AP341" s="1" t="s">
        <v>95</v>
      </c>
      <c r="AQ341" s="1"/>
      <c r="AR341" s="1"/>
      <c r="AS341" s="2"/>
      <c r="AT341" s="1"/>
      <c r="AU341" s="1"/>
      <c r="AV341" s="1"/>
      <c r="AW341" s="1" t="s">
        <v>2152</v>
      </c>
      <c r="AX341" s="7">
        <v>45051.590735195277</v>
      </c>
      <c r="AY341" s="1" t="s">
        <v>1012</v>
      </c>
      <c r="AZ341" s="6">
        <v>174000</v>
      </c>
      <c r="BA341" s="1"/>
      <c r="BB341" s="5">
        <v>45107</v>
      </c>
      <c r="BC341" s="5">
        <v>45050</v>
      </c>
      <c r="BD341" s="5">
        <v>45050</v>
      </c>
      <c r="BE341" s="7">
        <v>45291</v>
      </c>
      <c r="BF341" s="1" t="s">
        <v>2170</v>
      </c>
      <c r="BG341" s="1"/>
      <c r="BH341" s="1"/>
      <c r="BI341" s="1" t="s">
        <v>108</v>
      </c>
    </row>
    <row r="342" spans="1:61" hidden="1" x14ac:dyDescent="0.25">
      <c r="A342" s="4">
        <v>337</v>
      </c>
      <c r="B342" s="2" t="str">
        <f>HYPERLINK("https://my.zakupivli.pro/remote/dispatcher/state_purchase_view/42404279", "UA-2023-05-05-008404-a")</f>
        <v>UA-2023-05-05-008404-a</v>
      </c>
      <c r="C342" s="2" t="s">
        <v>1516</v>
      </c>
      <c r="D342" s="1" t="s">
        <v>1401</v>
      </c>
      <c r="E342" s="1" t="s">
        <v>1400</v>
      </c>
      <c r="F342" s="1" t="s">
        <v>487</v>
      </c>
      <c r="G342" s="1" t="s">
        <v>971</v>
      </c>
      <c r="H342" s="1" t="s">
        <v>1218</v>
      </c>
      <c r="I342" s="1" t="s">
        <v>2094</v>
      </c>
      <c r="J342" s="1" t="s">
        <v>1145</v>
      </c>
      <c r="K342" s="1" t="s">
        <v>947</v>
      </c>
      <c r="L342" s="1" t="s">
        <v>1533</v>
      </c>
      <c r="M342" s="1" t="s">
        <v>1533</v>
      </c>
      <c r="N342" s="1" t="s">
        <v>110</v>
      </c>
      <c r="O342" s="1" t="s">
        <v>110</v>
      </c>
      <c r="P342" s="1" t="s">
        <v>110</v>
      </c>
      <c r="Q342" s="5">
        <v>45051</v>
      </c>
      <c r="R342" s="1"/>
      <c r="S342" s="1"/>
      <c r="T342" s="1"/>
      <c r="U342" s="1"/>
      <c r="V342" s="1" t="s">
        <v>2146</v>
      </c>
      <c r="W342" s="4">
        <v>1</v>
      </c>
      <c r="X342" s="6">
        <v>199974</v>
      </c>
      <c r="Y342" s="1" t="s">
        <v>1516</v>
      </c>
      <c r="Z342" s="1">
        <v>1</v>
      </c>
      <c r="AA342" s="6">
        <v>199974</v>
      </c>
      <c r="AB342" s="1" t="s">
        <v>2167</v>
      </c>
      <c r="AC342" s="1" t="s">
        <v>2162</v>
      </c>
      <c r="AD342" s="1" t="s">
        <v>1100</v>
      </c>
      <c r="AE342" s="1" t="s">
        <v>1522</v>
      </c>
      <c r="AF342" s="1" t="s">
        <v>1186</v>
      </c>
      <c r="AG342" s="1" t="s">
        <v>1522</v>
      </c>
      <c r="AH342" s="6">
        <v>199974</v>
      </c>
      <c r="AI342" s="6">
        <v>199974</v>
      </c>
      <c r="AJ342" s="1" t="s">
        <v>2011</v>
      </c>
      <c r="AK342" s="1"/>
      <c r="AL342" s="1"/>
      <c r="AM342" s="1" t="s">
        <v>2011</v>
      </c>
      <c r="AN342" s="1" t="s">
        <v>763</v>
      </c>
      <c r="AO342" s="1"/>
      <c r="AP342" s="1" t="s">
        <v>95</v>
      </c>
      <c r="AQ342" s="1"/>
      <c r="AR342" s="1"/>
      <c r="AS342" s="2"/>
      <c r="AT342" s="1"/>
      <c r="AU342" s="1"/>
      <c r="AV342" s="1"/>
      <c r="AW342" s="1" t="s">
        <v>2152</v>
      </c>
      <c r="AX342" s="7">
        <v>45051.579617222225</v>
      </c>
      <c r="AY342" s="1" t="s">
        <v>1006</v>
      </c>
      <c r="AZ342" s="6">
        <v>199974</v>
      </c>
      <c r="BA342" s="1"/>
      <c r="BB342" s="5">
        <v>45107</v>
      </c>
      <c r="BC342" s="5">
        <v>45050</v>
      </c>
      <c r="BD342" s="5">
        <v>45050</v>
      </c>
      <c r="BE342" s="7">
        <v>45291</v>
      </c>
      <c r="BF342" s="1" t="s">
        <v>2170</v>
      </c>
      <c r="BG342" s="1"/>
      <c r="BH342" s="1"/>
      <c r="BI342" s="1" t="s">
        <v>108</v>
      </c>
    </row>
    <row r="343" spans="1:61" hidden="1" x14ac:dyDescent="0.25">
      <c r="A343" s="4">
        <v>338</v>
      </c>
      <c r="B343" s="2" t="str">
        <f>HYPERLINK("https://my.zakupivli.pro/remote/dispatcher/state_purchase_view/42404147", "UA-2023-05-05-008307-a")</f>
        <v>UA-2023-05-05-008307-a</v>
      </c>
      <c r="C343" s="2" t="s">
        <v>1516</v>
      </c>
      <c r="D343" s="1" t="s">
        <v>1411</v>
      </c>
      <c r="E343" s="1" t="s">
        <v>1411</v>
      </c>
      <c r="F343" s="1" t="s">
        <v>487</v>
      </c>
      <c r="G343" s="1" t="s">
        <v>995</v>
      </c>
      <c r="H343" s="1" t="s">
        <v>1218</v>
      </c>
      <c r="I343" s="1" t="s">
        <v>2094</v>
      </c>
      <c r="J343" s="1" t="s">
        <v>1145</v>
      </c>
      <c r="K343" s="1" t="s">
        <v>947</v>
      </c>
      <c r="L343" s="1" t="s">
        <v>1533</v>
      </c>
      <c r="M343" s="1" t="s">
        <v>1533</v>
      </c>
      <c r="N343" s="1" t="s">
        <v>110</v>
      </c>
      <c r="O343" s="1" t="s">
        <v>110</v>
      </c>
      <c r="P343" s="1" t="s">
        <v>110</v>
      </c>
      <c r="Q343" s="5">
        <v>45051</v>
      </c>
      <c r="R343" s="1"/>
      <c r="S343" s="1"/>
      <c r="T343" s="1"/>
      <c r="U343" s="1"/>
      <c r="V343" s="1" t="s">
        <v>2146</v>
      </c>
      <c r="W343" s="4">
        <v>1</v>
      </c>
      <c r="X343" s="6">
        <v>199792.19</v>
      </c>
      <c r="Y343" s="1" t="s">
        <v>1516</v>
      </c>
      <c r="Z343" s="1">
        <v>1</v>
      </c>
      <c r="AA343" s="6">
        <v>199792.19</v>
      </c>
      <c r="AB343" s="1" t="s">
        <v>2167</v>
      </c>
      <c r="AC343" s="1" t="s">
        <v>2162</v>
      </c>
      <c r="AD343" s="1" t="s">
        <v>1100</v>
      </c>
      <c r="AE343" s="1" t="s">
        <v>2094</v>
      </c>
      <c r="AF343" s="1" t="s">
        <v>1186</v>
      </c>
      <c r="AG343" s="1" t="s">
        <v>1522</v>
      </c>
      <c r="AH343" s="6">
        <v>199792.19</v>
      </c>
      <c r="AI343" s="6">
        <v>199792.19</v>
      </c>
      <c r="AJ343" s="1" t="s">
        <v>2050</v>
      </c>
      <c r="AK343" s="1"/>
      <c r="AL343" s="1"/>
      <c r="AM343" s="1" t="s">
        <v>2050</v>
      </c>
      <c r="AN343" s="1" t="s">
        <v>954</v>
      </c>
      <c r="AO343" s="1"/>
      <c r="AP343" s="1" t="s">
        <v>20</v>
      </c>
      <c r="AQ343" s="1"/>
      <c r="AR343" s="1"/>
      <c r="AS343" s="2"/>
      <c r="AT343" s="1"/>
      <c r="AU343" s="1"/>
      <c r="AV343" s="1"/>
      <c r="AW343" s="1" t="s">
        <v>2152</v>
      </c>
      <c r="AX343" s="7">
        <v>45051.576259666734</v>
      </c>
      <c r="AY343" s="1" t="s">
        <v>1019</v>
      </c>
      <c r="AZ343" s="6">
        <v>199792.19</v>
      </c>
      <c r="BA343" s="1"/>
      <c r="BB343" s="5">
        <v>45107</v>
      </c>
      <c r="BC343" s="5">
        <v>45050</v>
      </c>
      <c r="BD343" s="5">
        <v>45050</v>
      </c>
      <c r="BE343" s="7">
        <v>45291</v>
      </c>
      <c r="BF343" s="1" t="s">
        <v>2170</v>
      </c>
      <c r="BG343" s="1"/>
      <c r="BH343" s="1"/>
      <c r="BI343" s="1" t="s">
        <v>108</v>
      </c>
    </row>
    <row r="344" spans="1:61" hidden="1" x14ac:dyDescent="0.25">
      <c r="A344" s="4">
        <v>339</v>
      </c>
      <c r="B344" s="2" t="str">
        <f>HYPERLINK("https://my.zakupivli.pro/remote/dispatcher/state_purchase_view/42403164", "UA-2023-05-05-007834-a")</f>
        <v>UA-2023-05-05-007834-a</v>
      </c>
      <c r="C344" s="2" t="s">
        <v>1516</v>
      </c>
      <c r="D344" s="1" t="s">
        <v>1280</v>
      </c>
      <c r="E344" s="1" t="s">
        <v>1279</v>
      </c>
      <c r="F344" s="1" t="s">
        <v>487</v>
      </c>
      <c r="G344" s="1" t="s">
        <v>976</v>
      </c>
      <c r="H344" s="1" t="s">
        <v>1218</v>
      </c>
      <c r="I344" s="1" t="s">
        <v>2094</v>
      </c>
      <c r="J344" s="1" t="s">
        <v>1145</v>
      </c>
      <c r="K344" s="1" t="s">
        <v>947</v>
      </c>
      <c r="L344" s="1" t="s">
        <v>1533</v>
      </c>
      <c r="M344" s="1" t="s">
        <v>1533</v>
      </c>
      <c r="N344" s="1" t="s">
        <v>110</v>
      </c>
      <c r="O344" s="1" t="s">
        <v>110</v>
      </c>
      <c r="P344" s="1" t="s">
        <v>110</v>
      </c>
      <c r="Q344" s="5">
        <v>45051</v>
      </c>
      <c r="R344" s="1"/>
      <c r="S344" s="1"/>
      <c r="T344" s="1"/>
      <c r="U344" s="1"/>
      <c r="V344" s="1" t="s">
        <v>2146</v>
      </c>
      <c r="W344" s="4">
        <v>1</v>
      </c>
      <c r="X344" s="6">
        <v>197266.46</v>
      </c>
      <c r="Y344" s="1" t="s">
        <v>1516</v>
      </c>
      <c r="Z344" s="1">
        <v>1</v>
      </c>
      <c r="AA344" s="6">
        <v>197266.46</v>
      </c>
      <c r="AB344" s="1" t="s">
        <v>2167</v>
      </c>
      <c r="AC344" s="1" t="s">
        <v>2162</v>
      </c>
      <c r="AD344" s="1" t="s">
        <v>1100</v>
      </c>
      <c r="AE344" s="1" t="s">
        <v>2094</v>
      </c>
      <c r="AF344" s="1" t="s">
        <v>1186</v>
      </c>
      <c r="AG344" s="1" t="s">
        <v>1522</v>
      </c>
      <c r="AH344" s="6">
        <v>197266.46</v>
      </c>
      <c r="AI344" s="6">
        <v>197266.46</v>
      </c>
      <c r="AJ344" s="1" t="s">
        <v>2050</v>
      </c>
      <c r="AK344" s="1"/>
      <c r="AL344" s="1"/>
      <c r="AM344" s="1" t="s">
        <v>2050</v>
      </c>
      <c r="AN344" s="1" t="s">
        <v>954</v>
      </c>
      <c r="AO344" s="1"/>
      <c r="AP344" s="1" t="s">
        <v>20</v>
      </c>
      <c r="AQ344" s="1"/>
      <c r="AR344" s="1"/>
      <c r="AS344" s="2"/>
      <c r="AT344" s="1"/>
      <c r="AU344" s="1"/>
      <c r="AV344" s="1"/>
      <c r="AW344" s="1" t="s">
        <v>2152</v>
      </c>
      <c r="AX344" s="7">
        <v>45051.568762992931</v>
      </c>
      <c r="AY344" s="1" t="s">
        <v>1025</v>
      </c>
      <c r="AZ344" s="6">
        <v>197266.46</v>
      </c>
      <c r="BA344" s="1"/>
      <c r="BB344" s="5">
        <v>45107</v>
      </c>
      <c r="BC344" s="5">
        <v>45050</v>
      </c>
      <c r="BD344" s="5">
        <v>45050</v>
      </c>
      <c r="BE344" s="7">
        <v>45291</v>
      </c>
      <c r="BF344" s="1" t="s">
        <v>2170</v>
      </c>
      <c r="BG344" s="1"/>
      <c r="BH344" s="1"/>
      <c r="BI344" s="1" t="s">
        <v>108</v>
      </c>
    </row>
    <row r="345" spans="1:61" hidden="1" x14ac:dyDescent="0.25">
      <c r="A345" s="4">
        <v>340</v>
      </c>
      <c r="B345" s="2" t="str">
        <f>HYPERLINK("https://my.zakupivli.pro/remote/dispatcher/state_purchase_view/42402828", "UA-2023-05-05-007671-a")</f>
        <v>UA-2023-05-05-007671-a</v>
      </c>
      <c r="C345" s="2" t="s">
        <v>1516</v>
      </c>
      <c r="D345" s="1" t="s">
        <v>1322</v>
      </c>
      <c r="E345" s="1" t="s">
        <v>1321</v>
      </c>
      <c r="F345" s="1" t="s">
        <v>487</v>
      </c>
      <c r="G345" s="1" t="s">
        <v>971</v>
      </c>
      <c r="H345" s="1" t="s">
        <v>1218</v>
      </c>
      <c r="I345" s="1" t="s">
        <v>2094</v>
      </c>
      <c r="J345" s="1" t="s">
        <v>1145</v>
      </c>
      <c r="K345" s="1" t="s">
        <v>947</v>
      </c>
      <c r="L345" s="1" t="s">
        <v>1533</v>
      </c>
      <c r="M345" s="1" t="s">
        <v>1533</v>
      </c>
      <c r="N345" s="1" t="s">
        <v>110</v>
      </c>
      <c r="O345" s="1" t="s">
        <v>110</v>
      </c>
      <c r="P345" s="1" t="s">
        <v>110</v>
      </c>
      <c r="Q345" s="5">
        <v>45051</v>
      </c>
      <c r="R345" s="1"/>
      <c r="S345" s="1"/>
      <c r="T345" s="1"/>
      <c r="U345" s="1"/>
      <c r="V345" s="1" t="s">
        <v>2146</v>
      </c>
      <c r="W345" s="4">
        <v>1</v>
      </c>
      <c r="X345" s="6">
        <v>195000</v>
      </c>
      <c r="Y345" s="1" t="s">
        <v>1516</v>
      </c>
      <c r="Z345" s="1">
        <v>1</v>
      </c>
      <c r="AA345" s="6">
        <v>195000</v>
      </c>
      <c r="AB345" s="1" t="s">
        <v>2167</v>
      </c>
      <c r="AC345" s="1" t="s">
        <v>2162</v>
      </c>
      <c r="AD345" s="1" t="s">
        <v>1100</v>
      </c>
      <c r="AE345" s="1" t="s">
        <v>2094</v>
      </c>
      <c r="AF345" s="1" t="s">
        <v>1186</v>
      </c>
      <c r="AG345" s="1" t="s">
        <v>1522</v>
      </c>
      <c r="AH345" s="6">
        <v>195000</v>
      </c>
      <c r="AI345" s="6">
        <v>195000</v>
      </c>
      <c r="AJ345" s="1" t="s">
        <v>2050</v>
      </c>
      <c r="AK345" s="1"/>
      <c r="AL345" s="1"/>
      <c r="AM345" s="1" t="s">
        <v>2050</v>
      </c>
      <c r="AN345" s="1" t="s">
        <v>954</v>
      </c>
      <c r="AO345" s="1"/>
      <c r="AP345" s="1" t="s">
        <v>20</v>
      </c>
      <c r="AQ345" s="1"/>
      <c r="AR345" s="1"/>
      <c r="AS345" s="2"/>
      <c r="AT345" s="1"/>
      <c r="AU345" s="1"/>
      <c r="AV345" s="1"/>
      <c r="AW345" s="1" t="s">
        <v>2152</v>
      </c>
      <c r="AX345" s="7">
        <v>45051.556611250904</v>
      </c>
      <c r="AY345" s="1" t="s">
        <v>1022</v>
      </c>
      <c r="AZ345" s="6">
        <v>195000</v>
      </c>
      <c r="BA345" s="1"/>
      <c r="BB345" s="5">
        <v>45107</v>
      </c>
      <c r="BC345" s="5">
        <v>45050</v>
      </c>
      <c r="BD345" s="5">
        <v>45050</v>
      </c>
      <c r="BE345" s="7">
        <v>45291</v>
      </c>
      <c r="BF345" s="1" t="s">
        <v>2170</v>
      </c>
      <c r="BG345" s="1"/>
      <c r="BH345" s="1"/>
      <c r="BI345" s="1" t="s">
        <v>108</v>
      </c>
    </row>
    <row r="346" spans="1:61" hidden="1" x14ac:dyDescent="0.25">
      <c r="A346" s="4">
        <v>341</v>
      </c>
      <c r="B346" s="2" t="str">
        <f>HYPERLINK("https://my.zakupivli.pro/remote/dispatcher/state_purchase_view/42351262", "UA-2023-05-03-013085-a")</f>
        <v>UA-2023-05-03-013085-a</v>
      </c>
      <c r="C346" s="2" t="str">
        <f>HYPERLINK("https://my.zakupivli.pro/remote/dispatcher/state_purchase_lot_view/935833", "UA-2023-05-03-013085-a-L1")</f>
        <v>UA-2023-05-03-013085-a-L1</v>
      </c>
      <c r="D346" s="1" t="s">
        <v>1393</v>
      </c>
      <c r="E346" s="1" t="s">
        <v>1392</v>
      </c>
      <c r="F346" s="1" t="s">
        <v>487</v>
      </c>
      <c r="G346" s="1" t="s">
        <v>967</v>
      </c>
      <c r="H346" s="1" t="s">
        <v>1185</v>
      </c>
      <c r="I346" s="1" t="s">
        <v>2094</v>
      </c>
      <c r="J346" s="1" t="s">
        <v>1145</v>
      </c>
      <c r="K346" s="1" t="s">
        <v>947</v>
      </c>
      <c r="L346" s="1" t="s">
        <v>1533</v>
      </c>
      <c r="M346" s="1" t="s">
        <v>1533</v>
      </c>
      <c r="N346" s="1" t="s">
        <v>110</v>
      </c>
      <c r="O346" s="1" t="s">
        <v>110</v>
      </c>
      <c r="P346" s="1" t="s">
        <v>110</v>
      </c>
      <c r="Q346" s="5">
        <v>45049</v>
      </c>
      <c r="R346" s="1" t="s">
        <v>518</v>
      </c>
      <c r="S346" s="1" t="s">
        <v>521</v>
      </c>
      <c r="T346" s="5">
        <v>45049</v>
      </c>
      <c r="U346" s="5">
        <v>45057</v>
      </c>
      <c r="V346" s="1" t="s">
        <v>2147</v>
      </c>
      <c r="W346" s="4">
        <v>1</v>
      </c>
      <c r="X346" s="6">
        <v>368600</v>
      </c>
      <c r="Y346" s="6">
        <v>368600</v>
      </c>
      <c r="Z346" s="1">
        <v>1</v>
      </c>
      <c r="AA346" s="6">
        <v>368600</v>
      </c>
      <c r="AB346" s="1" t="s">
        <v>2167</v>
      </c>
      <c r="AC346" s="6">
        <v>3686</v>
      </c>
      <c r="AD346" s="1" t="s">
        <v>1100</v>
      </c>
      <c r="AE346" s="1" t="s">
        <v>2094</v>
      </c>
      <c r="AF346" s="1" t="s">
        <v>1186</v>
      </c>
      <c r="AG346" s="1" t="s">
        <v>1522</v>
      </c>
      <c r="AH346" s="6">
        <v>364000</v>
      </c>
      <c r="AI346" s="6">
        <v>364000</v>
      </c>
      <c r="AJ346" s="1" t="s">
        <v>2044</v>
      </c>
      <c r="AK346" s="6">
        <v>4600</v>
      </c>
      <c r="AL346" s="6">
        <v>1.2479652740097666E-2</v>
      </c>
      <c r="AM346" s="1" t="s">
        <v>2044</v>
      </c>
      <c r="AN346" s="1" t="s">
        <v>913</v>
      </c>
      <c r="AO346" s="1" t="s">
        <v>1124</v>
      </c>
      <c r="AP346" s="1" t="s">
        <v>44</v>
      </c>
      <c r="AQ346" s="6">
        <v>4600</v>
      </c>
      <c r="AR346" s="6">
        <v>1.2479652740097666E-2</v>
      </c>
      <c r="AS346" s="2"/>
      <c r="AT346" s="7">
        <v>45063.658306499943</v>
      </c>
      <c r="AU346" s="1" t="s">
        <v>527</v>
      </c>
      <c r="AV346" s="1" t="s">
        <v>532</v>
      </c>
      <c r="AW346" s="1" t="s">
        <v>2151</v>
      </c>
      <c r="AX346" s="7">
        <v>45070.446269396583</v>
      </c>
      <c r="AY346" s="1" t="s">
        <v>1084</v>
      </c>
      <c r="AZ346" s="6">
        <v>364000</v>
      </c>
      <c r="BA346" s="1"/>
      <c r="BB346" s="5">
        <v>45107</v>
      </c>
      <c r="BC346" s="5">
        <v>45069</v>
      </c>
      <c r="BD346" s="5">
        <v>45069</v>
      </c>
      <c r="BE346" s="7">
        <v>45291</v>
      </c>
      <c r="BF346" s="1" t="s">
        <v>2170</v>
      </c>
      <c r="BG346" s="1"/>
      <c r="BH346" s="1"/>
      <c r="BI346" s="1" t="s">
        <v>914</v>
      </c>
    </row>
    <row r="347" spans="1:61" hidden="1" x14ac:dyDescent="0.25">
      <c r="A347" s="4">
        <v>342</v>
      </c>
      <c r="B347" s="2" t="str">
        <f>HYPERLINK("https://my.zakupivli.pro/remote/dispatcher/state_purchase_view/42350335", "UA-2023-05-03-012633-a")</f>
        <v>UA-2023-05-03-012633-a</v>
      </c>
      <c r="C347" s="2" t="str">
        <f>HYPERLINK("https://my.zakupivli.pro/remote/dispatcher/state_purchase_lot_view/935766", "UA-2023-05-03-012633-a-L1")</f>
        <v>UA-2023-05-03-012633-a-L1</v>
      </c>
      <c r="D347" s="1" t="s">
        <v>1390</v>
      </c>
      <c r="E347" s="1" t="s">
        <v>1389</v>
      </c>
      <c r="F347" s="1" t="s">
        <v>487</v>
      </c>
      <c r="G347" s="1" t="s">
        <v>967</v>
      </c>
      <c r="H347" s="1" t="s">
        <v>1185</v>
      </c>
      <c r="I347" s="1" t="s">
        <v>2094</v>
      </c>
      <c r="J347" s="1" t="s">
        <v>1145</v>
      </c>
      <c r="K347" s="1" t="s">
        <v>947</v>
      </c>
      <c r="L347" s="1" t="s">
        <v>1533</v>
      </c>
      <c r="M347" s="1" t="s">
        <v>1533</v>
      </c>
      <c r="N347" s="1" t="s">
        <v>110</v>
      </c>
      <c r="O347" s="1" t="s">
        <v>110</v>
      </c>
      <c r="P347" s="1" t="s">
        <v>110</v>
      </c>
      <c r="Q347" s="5">
        <v>45049</v>
      </c>
      <c r="R347" s="1" t="s">
        <v>518</v>
      </c>
      <c r="S347" s="1" t="s">
        <v>521</v>
      </c>
      <c r="T347" s="5">
        <v>45049</v>
      </c>
      <c r="U347" s="5">
        <v>45057</v>
      </c>
      <c r="V347" s="1" t="s">
        <v>2147</v>
      </c>
      <c r="W347" s="4">
        <v>1</v>
      </c>
      <c r="X347" s="6">
        <v>402680</v>
      </c>
      <c r="Y347" s="6">
        <v>402680</v>
      </c>
      <c r="Z347" s="1">
        <v>1</v>
      </c>
      <c r="AA347" s="6">
        <v>402680</v>
      </c>
      <c r="AB347" s="1" t="s">
        <v>2167</v>
      </c>
      <c r="AC347" s="6">
        <v>4026.8</v>
      </c>
      <c r="AD347" s="1" t="s">
        <v>1100</v>
      </c>
      <c r="AE347" s="1" t="s">
        <v>2094</v>
      </c>
      <c r="AF347" s="1" t="s">
        <v>1186</v>
      </c>
      <c r="AG347" s="1" t="s">
        <v>1522</v>
      </c>
      <c r="AH347" s="6">
        <v>399980</v>
      </c>
      <c r="AI347" s="6">
        <v>399980</v>
      </c>
      <c r="AJ347" s="1" t="s">
        <v>2043</v>
      </c>
      <c r="AK347" s="6">
        <v>2700</v>
      </c>
      <c r="AL347" s="6">
        <v>6.7050759908612294E-3</v>
      </c>
      <c r="AM347" s="1" t="s">
        <v>2043</v>
      </c>
      <c r="AN347" s="1" t="s">
        <v>945</v>
      </c>
      <c r="AO347" s="1" t="s">
        <v>1113</v>
      </c>
      <c r="AP347" s="1" t="s">
        <v>85</v>
      </c>
      <c r="AQ347" s="6">
        <v>2700</v>
      </c>
      <c r="AR347" s="6">
        <v>6.7050759908612294E-3</v>
      </c>
      <c r="AS347" s="2"/>
      <c r="AT347" s="7">
        <v>45061.733844707232</v>
      </c>
      <c r="AU347" s="1" t="s">
        <v>526</v>
      </c>
      <c r="AV347" s="1" t="s">
        <v>530</v>
      </c>
      <c r="AW347" s="1" t="s">
        <v>2151</v>
      </c>
      <c r="AX347" s="7">
        <v>45070.436421504448</v>
      </c>
      <c r="AY347" s="1" t="s">
        <v>1090</v>
      </c>
      <c r="AZ347" s="6">
        <v>399980</v>
      </c>
      <c r="BA347" s="1"/>
      <c r="BB347" s="5">
        <v>45107</v>
      </c>
      <c r="BC347" s="5">
        <v>45069</v>
      </c>
      <c r="BD347" s="5">
        <v>45069</v>
      </c>
      <c r="BE347" s="7">
        <v>45291</v>
      </c>
      <c r="BF347" s="1" t="s">
        <v>2170</v>
      </c>
      <c r="BG347" s="1"/>
      <c r="BH347" s="1"/>
      <c r="BI347" s="1" t="s">
        <v>946</v>
      </c>
    </row>
    <row r="348" spans="1:61" hidden="1" x14ac:dyDescent="0.25">
      <c r="A348" s="4">
        <v>343</v>
      </c>
      <c r="B348" s="2" t="str">
        <f>HYPERLINK("https://my.zakupivli.pro/remote/dispatcher/state_purchase_view/42349630", "UA-2023-05-03-012290-a")</f>
        <v>UA-2023-05-03-012290-a</v>
      </c>
      <c r="C348" s="2" t="str">
        <f>HYPERLINK("https://my.zakupivli.pro/remote/dispatcher/state_purchase_lot_view/935729", "UA-2023-05-03-012290-a-L1")</f>
        <v>UA-2023-05-03-012290-a-L1</v>
      </c>
      <c r="D348" s="1" t="s">
        <v>1386</v>
      </c>
      <c r="E348" s="1" t="s">
        <v>1385</v>
      </c>
      <c r="F348" s="1" t="s">
        <v>487</v>
      </c>
      <c r="G348" s="1" t="s">
        <v>967</v>
      </c>
      <c r="H348" s="1" t="s">
        <v>1185</v>
      </c>
      <c r="I348" s="1" t="s">
        <v>2094</v>
      </c>
      <c r="J348" s="1" t="s">
        <v>1145</v>
      </c>
      <c r="K348" s="1" t="s">
        <v>947</v>
      </c>
      <c r="L348" s="1" t="s">
        <v>1533</v>
      </c>
      <c r="M348" s="1" t="s">
        <v>1533</v>
      </c>
      <c r="N348" s="1" t="s">
        <v>110</v>
      </c>
      <c r="O348" s="1" t="s">
        <v>110</v>
      </c>
      <c r="P348" s="1" t="s">
        <v>110</v>
      </c>
      <c r="Q348" s="5">
        <v>45049</v>
      </c>
      <c r="R348" s="1" t="s">
        <v>518</v>
      </c>
      <c r="S348" s="1" t="s">
        <v>521</v>
      </c>
      <c r="T348" s="5">
        <v>45049</v>
      </c>
      <c r="U348" s="5">
        <v>45057</v>
      </c>
      <c r="V348" s="1" t="s">
        <v>2147</v>
      </c>
      <c r="W348" s="4">
        <v>1</v>
      </c>
      <c r="X348" s="6">
        <v>512600</v>
      </c>
      <c r="Y348" s="6">
        <v>512600</v>
      </c>
      <c r="Z348" s="1">
        <v>1</v>
      </c>
      <c r="AA348" s="6">
        <v>512600</v>
      </c>
      <c r="AB348" s="1" t="s">
        <v>2167</v>
      </c>
      <c r="AC348" s="6">
        <v>5126</v>
      </c>
      <c r="AD348" s="1" t="s">
        <v>1100</v>
      </c>
      <c r="AE348" s="1" t="s">
        <v>2094</v>
      </c>
      <c r="AF348" s="1" t="s">
        <v>1186</v>
      </c>
      <c r="AG348" s="1" t="s">
        <v>1522</v>
      </c>
      <c r="AH348" s="6">
        <v>509000</v>
      </c>
      <c r="AI348" s="6">
        <v>509000</v>
      </c>
      <c r="AJ348" s="1" t="s">
        <v>2043</v>
      </c>
      <c r="AK348" s="6">
        <v>3600</v>
      </c>
      <c r="AL348" s="6">
        <v>7.0230198985563796E-3</v>
      </c>
      <c r="AM348" s="1" t="s">
        <v>2043</v>
      </c>
      <c r="AN348" s="1" t="s">
        <v>945</v>
      </c>
      <c r="AO348" s="1" t="s">
        <v>1113</v>
      </c>
      <c r="AP348" s="1" t="s">
        <v>85</v>
      </c>
      <c r="AQ348" s="6">
        <v>3600</v>
      </c>
      <c r="AR348" s="6">
        <v>7.0230198985563796E-3</v>
      </c>
      <c r="AS348" s="2"/>
      <c r="AT348" s="7">
        <v>45061.726078318228</v>
      </c>
      <c r="AU348" s="1" t="s">
        <v>526</v>
      </c>
      <c r="AV348" s="1" t="s">
        <v>530</v>
      </c>
      <c r="AW348" s="1" t="s">
        <v>2151</v>
      </c>
      <c r="AX348" s="7">
        <v>45070.439883845647</v>
      </c>
      <c r="AY348" s="1" t="s">
        <v>1087</v>
      </c>
      <c r="AZ348" s="6">
        <v>509000</v>
      </c>
      <c r="BA348" s="1"/>
      <c r="BB348" s="5">
        <v>45107</v>
      </c>
      <c r="BC348" s="5">
        <v>45069</v>
      </c>
      <c r="BD348" s="5">
        <v>45069</v>
      </c>
      <c r="BE348" s="7">
        <v>45291</v>
      </c>
      <c r="BF348" s="1" t="s">
        <v>2170</v>
      </c>
      <c r="BG348" s="1"/>
      <c r="BH348" s="1"/>
      <c r="BI348" s="1" t="s">
        <v>946</v>
      </c>
    </row>
    <row r="349" spans="1:61" hidden="1" x14ac:dyDescent="0.25">
      <c r="A349" s="4">
        <v>344</v>
      </c>
      <c r="B349" s="2" t="str">
        <f>HYPERLINK("https://my.zakupivli.pro/remote/dispatcher/state_purchase_view/42345973", "UA-2023-05-03-010959-a")</f>
        <v>UA-2023-05-03-010959-a</v>
      </c>
      <c r="C349" s="2" t="str">
        <f>HYPERLINK("https://my.zakupivli.pro/remote/dispatcher/state_purchase_lot_view/935571", "UA-2023-05-03-010959-a-L1")</f>
        <v>UA-2023-05-03-010959-a-L1</v>
      </c>
      <c r="D349" s="1" t="s">
        <v>1380</v>
      </c>
      <c r="E349" s="1" t="s">
        <v>1379</v>
      </c>
      <c r="F349" s="1" t="s">
        <v>487</v>
      </c>
      <c r="G349" s="1" t="s">
        <v>967</v>
      </c>
      <c r="H349" s="1" t="s">
        <v>1185</v>
      </c>
      <c r="I349" s="1" t="s">
        <v>2094</v>
      </c>
      <c r="J349" s="1" t="s">
        <v>1145</v>
      </c>
      <c r="K349" s="1" t="s">
        <v>947</v>
      </c>
      <c r="L349" s="1" t="s">
        <v>1533</v>
      </c>
      <c r="M349" s="1" t="s">
        <v>1533</v>
      </c>
      <c r="N349" s="1" t="s">
        <v>110</v>
      </c>
      <c r="O349" s="1" t="s">
        <v>110</v>
      </c>
      <c r="P349" s="1" t="s">
        <v>110</v>
      </c>
      <c r="Q349" s="5">
        <v>45049</v>
      </c>
      <c r="R349" s="1" t="s">
        <v>518</v>
      </c>
      <c r="S349" s="1" t="s">
        <v>521</v>
      </c>
      <c r="T349" s="5">
        <v>45049</v>
      </c>
      <c r="U349" s="5">
        <v>45057</v>
      </c>
      <c r="V349" s="1" t="s">
        <v>2147</v>
      </c>
      <c r="W349" s="4">
        <v>1</v>
      </c>
      <c r="X349" s="6">
        <v>400620</v>
      </c>
      <c r="Y349" s="6">
        <v>400620</v>
      </c>
      <c r="Z349" s="1">
        <v>1</v>
      </c>
      <c r="AA349" s="6">
        <v>400620</v>
      </c>
      <c r="AB349" s="1" t="s">
        <v>2167</v>
      </c>
      <c r="AC349" s="6">
        <v>4006.2</v>
      </c>
      <c r="AD349" s="1" t="s">
        <v>1100</v>
      </c>
      <c r="AE349" s="1" t="s">
        <v>2094</v>
      </c>
      <c r="AF349" s="1" t="s">
        <v>1186</v>
      </c>
      <c r="AG349" s="1" t="s">
        <v>1522</v>
      </c>
      <c r="AH349" s="6">
        <v>398250</v>
      </c>
      <c r="AI349" s="6">
        <v>398250</v>
      </c>
      <c r="AJ349" s="1" t="s">
        <v>2043</v>
      </c>
      <c r="AK349" s="6">
        <v>2370</v>
      </c>
      <c r="AL349" s="6">
        <v>5.9158304627826867E-3</v>
      </c>
      <c r="AM349" s="1" t="s">
        <v>2043</v>
      </c>
      <c r="AN349" s="1" t="s">
        <v>945</v>
      </c>
      <c r="AO349" s="1" t="s">
        <v>1113</v>
      </c>
      <c r="AP349" s="1" t="s">
        <v>85</v>
      </c>
      <c r="AQ349" s="6">
        <v>2370</v>
      </c>
      <c r="AR349" s="6">
        <v>5.9158304627826867E-3</v>
      </c>
      <c r="AS349" s="2"/>
      <c r="AT349" s="7">
        <v>45063.681042077718</v>
      </c>
      <c r="AU349" s="1" t="s">
        <v>527</v>
      </c>
      <c r="AV349" s="1" t="s">
        <v>532</v>
      </c>
      <c r="AW349" s="1" t="s">
        <v>2151</v>
      </c>
      <c r="AX349" s="7">
        <v>45070.43830881123</v>
      </c>
      <c r="AY349" s="1" t="s">
        <v>1088</v>
      </c>
      <c r="AZ349" s="6">
        <v>398250</v>
      </c>
      <c r="BA349" s="1"/>
      <c r="BB349" s="5">
        <v>45107</v>
      </c>
      <c r="BC349" s="5">
        <v>45069</v>
      </c>
      <c r="BD349" s="5">
        <v>45069</v>
      </c>
      <c r="BE349" s="7">
        <v>45291</v>
      </c>
      <c r="BF349" s="1" t="s">
        <v>2170</v>
      </c>
      <c r="BG349" s="1"/>
      <c r="BH349" s="1"/>
      <c r="BI349" s="1" t="s">
        <v>946</v>
      </c>
    </row>
    <row r="350" spans="1:61" hidden="1" x14ac:dyDescent="0.25">
      <c r="A350" s="4">
        <v>345</v>
      </c>
      <c r="B350" s="2" t="str">
        <f>HYPERLINK("https://my.zakupivli.pro/remote/dispatcher/state_purchase_view/42352720", "UA-2023-05-03-013774-a")</f>
        <v>UA-2023-05-03-013774-a</v>
      </c>
      <c r="C350" s="2" t="str">
        <f>HYPERLINK("https://my.zakupivli.pro/remote/dispatcher/state_purchase_lot_view/935931", "UA-2023-05-03-013774-a-L1")</f>
        <v>UA-2023-05-03-013774-a-L1</v>
      </c>
      <c r="D350" s="1" t="s">
        <v>1415</v>
      </c>
      <c r="E350" s="1" t="s">
        <v>1414</v>
      </c>
      <c r="F350" s="1" t="s">
        <v>487</v>
      </c>
      <c r="G350" s="1" t="s">
        <v>995</v>
      </c>
      <c r="H350" s="1" t="s">
        <v>1185</v>
      </c>
      <c r="I350" s="1" t="s">
        <v>2094</v>
      </c>
      <c r="J350" s="1" t="s">
        <v>1145</v>
      </c>
      <c r="K350" s="1" t="s">
        <v>947</v>
      </c>
      <c r="L350" s="1" t="s">
        <v>1533</v>
      </c>
      <c r="M350" s="1" t="s">
        <v>1533</v>
      </c>
      <c r="N350" s="1" t="s">
        <v>110</v>
      </c>
      <c r="O350" s="1" t="s">
        <v>110</v>
      </c>
      <c r="P350" s="1" t="s">
        <v>110</v>
      </c>
      <c r="Q350" s="5">
        <v>45049</v>
      </c>
      <c r="R350" s="1" t="s">
        <v>518</v>
      </c>
      <c r="S350" s="1" t="s">
        <v>521</v>
      </c>
      <c r="T350" s="5">
        <v>45049</v>
      </c>
      <c r="U350" s="5">
        <v>45057</v>
      </c>
      <c r="V350" s="1" t="s">
        <v>2147</v>
      </c>
      <c r="W350" s="4">
        <v>1</v>
      </c>
      <c r="X350" s="6">
        <v>504300</v>
      </c>
      <c r="Y350" s="6">
        <v>504300</v>
      </c>
      <c r="Z350" s="1">
        <v>1</v>
      </c>
      <c r="AA350" s="6">
        <v>504300</v>
      </c>
      <c r="AB350" s="1" t="s">
        <v>2167</v>
      </c>
      <c r="AC350" s="6">
        <v>5043</v>
      </c>
      <c r="AD350" s="1" t="s">
        <v>1100</v>
      </c>
      <c r="AE350" s="1" t="s">
        <v>2094</v>
      </c>
      <c r="AF350" s="1" t="s">
        <v>1186</v>
      </c>
      <c r="AG350" s="1" t="s">
        <v>1522</v>
      </c>
      <c r="AH350" s="6">
        <v>500000</v>
      </c>
      <c r="AI350" s="6">
        <v>500000</v>
      </c>
      <c r="AJ350" s="1" t="s">
        <v>2043</v>
      </c>
      <c r="AK350" s="6">
        <v>4300</v>
      </c>
      <c r="AL350" s="6">
        <v>8.5266706325599836E-3</v>
      </c>
      <c r="AM350" s="1" t="s">
        <v>2043</v>
      </c>
      <c r="AN350" s="1" t="s">
        <v>945</v>
      </c>
      <c r="AO350" s="1" t="s">
        <v>1113</v>
      </c>
      <c r="AP350" s="1" t="s">
        <v>85</v>
      </c>
      <c r="AQ350" s="6">
        <v>4300</v>
      </c>
      <c r="AR350" s="6">
        <v>8.5266706325599836E-3</v>
      </c>
      <c r="AS350" s="2"/>
      <c r="AT350" s="7">
        <v>45061.753144587834</v>
      </c>
      <c r="AU350" s="1" t="s">
        <v>526</v>
      </c>
      <c r="AV350" s="1" t="s">
        <v>530</v>
      </c>
      <c r="AW350" s="1" t="s">
        <v>2151</v>
      </c>
      <c r="AX350" s="7">
        <v>45070.442298043912</v>
      </c>
      <c r="AY350" s="1" t="s">
        <v>1086</v>
      </c>
      <c r="AZ350" s="6">
        <v>500000</v>
      </c>
      <c r="BA350" s="1"/>
      <c r="BB350" s="5">
        <v>45107</v>
      </c>
      <c r="BC350" s="5">
        <v>45069</v>
      </c>
      <c r="BD350" s="5">
        <v>45069</v>
      </c>
      <c r="BE350" s="7">
        <v>45291</v>
      </c>
      <c r="BF350" s="1" t="s">
        <v>2170</v>
      </c>
      <c r="BG350" s="1"/>
      <c r="BH350" s="1"/>
      <c r="BI350" s="1" t="s">
        <v>946</v>
      </c>
    </row>
    <row r="351" spans="1:61" hidden="1" x14ac:dyDescent="0.25">
      <c r="A351" s="4">
        <v>346</v>
      </c>
      <c r="B351" s="2" t="str">
        <f>HYPERLINK("https://my.zakupivli.pro/remote/dispatcher/state_purchase_view/42350740", "UA-2023-05-03-012835-a")</f>
        <v>UA-2023-05-03-012835-a</v>
      </c>
      <c r="C351" s="2" t="str">
        <f>HYPERLINK("https://my.zakupivli.pro/remote/dispatcher/state_purchase_lot_view/935793", "UA-2023-05-03-012835-a-L1")</f>
        <v>UA-2023-05-03-012835-a-L1</v>
      </c>
      <c r="D351" s="1" t="s">
        <v>1376</v>
      </c>
      <c r="E351" s="1" t="s">
        <v>1375</v>
      </c>
      <c r="F351" s="1" t="s">
        <v>487</v>
      </c>
      <c r="G351" s="1" t="s">
        <v>967</v>
      </c>
      <c r="H351" s="1" t="s">
        <v>1185</v>
      </c>
      <c r="I351" s="1" t="s">
        <v>2094</v>
      </c>
      <c r="J351" s="1" t="s">
        <v>1145</v>
      </c>
      <c r="K351" s="1" t="s">
        <v>947</v>
      </c>
      <c r="L351" s="1" t="s">
        <v>1533</v>
      </c>
      <c r="M351" s="1" t="s">
        <v>1533</v>
      </c>
      <c r="N351" s="1" t="s">
        <v>110</v>
      </c>
      <c r="O351" s="1" t="s">
        <v>110</v>
      </c>
      <c r="P351" s="1" t="s">
        <v>110</v>
      </c>
      <c r="Q351" s="5">
        <v>45049</v>
      </c>
      <c r="R351" s="1" t="s">
        <v>518</v>
      </c>
      <c r="S351" s="1" t="s">
        <v>521</v>
      </c>
      <c r="T351" s="5">
        <v>45049</v>
      </c>
      <c r="U351" s="5">
        <v>45057</v>
      </c>
      <c r="V351" s="1" t="s">
        <v>2147</v>
      </c>
      <c r="W351" s="4">
        <v>1</v>
      </c>
      <c r="X351" s="6">
        <v>339000</v>
      </c>
      <c r="Y351" s="6">
        <v>339000</v>
      </c>
      <c r="Z351" s="1">
        <v>1</v>
      </c>
      <c r="AA351" s="6">
        <v>339000</v>
      </c>
      <c r="AB351" s="1" t="s">
        <v>2167</v>
      </c>
      <c r="AC351" s="6">
        <v>3390</v>
      </c>
      <c r="AD351" s="1" t="s">
        <v>1100</v>
      </c>
      <c r="AE351" s="1" t="s">
        <v>2094</v>
      </c>
      <c r="AF351" s="1" t="s">
        <v>1186</v>
      </c>
      <c r="AG351" s="1" t="s">
        <v>1522</v>
      </c>
      <c r="AH351" s="6">
        <v>335000</v>
      </c>
      <c r="AI351" s="6">
        <v>335000</v>
      </c>
      <c r="AJ351" s="1" t="s">
        <v>2043</v>
      </c>
      <c r="AK351" s="6">
        <v>4000</v>
      </c>
      <c r="AL351" s="6">
        <v>1.1799410029498525E-2</v>
      </c>
      <c r="AM351" s="1" t="s">
        <v>2043</v>
      </c>
      <c r="AN351" s="1" t="s">
        <v>945</v>
      </c>
      <c r="AO351" s="1" t="s">
        <v>1113</v>
      </c>
      <c r="AP351" s="1" t="s">
        <v>85</v>
      </c>
      <c r="AQ351" s="6">
        <v>4000</v>
      </c>
      <c r="AR351" s="6">
        <v>1.1799410029498525E-2</v>
      </c>
      <c r="AS351" s="2"/>
      <c r="AT351" s="7">
        <v>45061.746105774633</v>
      </c>
      <c r="AU351" s="1" t="s">
        <v>526</v>
      </c>
      <c r="AV351" s="1" t="s">
        <v>530</v>
      </c>
      <c r="AW351" s="1" t="s">
        <v>2151</v>
      </c>
      <c r="AX351" s="7">
        <v>45070.434416624586</v>
      </c>
      <c r="AY351" s="1" t="s">
        <v>155</v>
      </c>
      <c r="AZ351" s="6">
        <v>335000</v>
      </c>
      <c r="BA351" s="1"/>
      <c r="BB351" s="5">
        <v>45107</v>
      </c>
      <c r="BC351" s="5">
        <v>45069</v>
      </c>
      <c r="BD351" s="5">
        <v>45069</v>
      </c>
      <c r="BE351" s="7">
        <v>45291</v>
      </c>
      <c r="BF351" s="1" t="s">
        <v>2170</v>
      </c>
      <c r="BG351" s="1"/>
      <c r="BH351" s="1"/>
      <c r="BI351" s="1" t="s">
        <v>946</v>
      </c>
    </row>
    <row r="352" spans="1:61" hidden="1" x14ac:dyDescent="0.25">
      <c r="A352" s="4">
        <v>347</v>
      </c>
      <c r="B352" s="2" t="str">
        <f>HYPERLINK("https://my.zakupivli.pro/remote/dispatcher/state_purchase_view/42199942", "UA-2023-04-26-005902-a")</f>
        <v>UA-2023-04-26-005902-a</v>
      </c>
      <c r="C352" s="2" t="s">
        <v>1516</v>
      </c>
      <c r="D352" s="1" t="s">
        <v>1564</v>
      </c>
      <c r="E352" s="1" t="s">
        <v>1564</v>
      </c>
      <c r="F352" s="1" t="s">
        <v>487</v>
      </c>
      <c r="G352" s="1" t="s">
        <v>264</v>
      </c>
      <c r="H352" s="1" t="s">
        <v>1218</v>
      </c>
      <c r="I352" s="1" t="s">
        <v>2094</v>
      </c>
      <c r="J352" s="1" t="s">
        <v>1145</v>
      </c>
      <c r="K352" s="1" t="s">
        <v>947</v>
      </c>
      <c r="L352" s="1" t="s">
        <v>1533</v>
      </c>
      <c r="M352" s="1" t="s">
        <v>1533</v>
      </c>
      <c r="N352" s="1" t="s">
        <v>110</v>
      </c>
      <c r="O352" s="1" t="s">
        <v>110</v>
      </c>
      <c r="P352" s="1" t="s">
        <v>110</v>
      </c>
      <c r="Q352" s="5">
        <v>45042</v>
      </c>
      <c r="R352" s="1"/>
      <c r="S352" s="1"/>
      <c r="T352" s="1"/>
      <c r="U352" s="1"/>
      <c r="V352" s="1" t="s">
        <v>2146</v>
      </c>
      <c r="W352" s="4">
        <v>1</v>
      </c>
      <c r="X352" s="6">
        <v>3000</v>
      </c>
      <c r="Y352" s="1" t="s">
        <v>1516</v>
      </c>
      <c r="Z352" s="1">
        <v>150</v>
      </c>
      <c r="AA352" s="6">
        <v>20</v>
      </c>
      <c r="AB352" s="1" t="s">
        <v>2165</v>
      </c>
      <c r="AC352" s="1" t="s">
        <v>2162</v>
      </c>
      <c r="AD352" s="1" t="s">
        <v>1100</v>
      </c>
      <c r="AE352" s="1" t="s">
        <v>1522</v>
      </c>
      <c r="AF352" s="1" t="s">
        <v>1186</v>
      </c>
      <c r="AG352" s="1" t="s">
        <v>1522</v>
      </c>
      <c r="AH352" s="6">
        <v>3000</v>
      </c>
      <c r="AI352" s="6">
        <v>20</v>
      </c>
      <c r="AJ352" s="1" t="s">
        <v>2135</v>
      </c>
      <c r="AK352" s="1"/>
      <c r="AL352" s="1"/>
      <c r="AM352" s="1" t="s">
        <v>2135</v>
      </c>
      <c r="AN352" s="1" t="s">
        <v>838</v>
      </c>
      <c r="AO352" s="1"/>
      <c r="AP352" s="1" t="s">
        <v>22</v>
      </c>
      <c r="AQ352" s="1"/>
      <c r="AR352" s="1"/>
      <c r="AS352" s="2"/>
      <c r="AT352" s="1"/>
      <c r="AU352" s="1"/>
      <c r="AV352" s="1"/>
      <c r="AW352" s="1" t="s">
        <v>2152</v>
      </c>
      <c r="AX352" s="7">
        <v>45042.536956199052</v>
      </c>
      <c r="AY352" s="1" t="s">
        <v>997</v>
      </c>
      <c r="AZ352" s="6">
        <v>3000</v>
      </c>
      <c r="BA352" s="1"/>
      <c r="BB352" s="5">
        <v>45042</v>
      </c>
      <c r="BC352" s="5">
        <v>45042</v>
      </c>
      <c r="BD352" s="5">
        <v>45042</v>
      </c>
      <c r="BE352" s="7">
        <v>45291</v>
      </c>
      <c r="BF352" s="1" t="s">
        <v>2170</v>
      </c>
      <c r="BG352" s="1"/>
      <c r="BH352" s="1"/>
      <c r="BI352" s="1" t="s">
        <v>108</v>
      </c>
    </row>
    <row r="353" spans="1:61" hidden="1" x14ac:dyDescent="0.25">
      <c r="A353" s="4">
        <v>348</v>
      </c>
      <c r="B353" s="2" t="str">
        <f>HYPERLINK("https://my.zakupivli.pro/remote/dispatcher/state_purchase_view/42200373", "UA-2023-04-26-006081-a")</f>
        <v>UA-2023-04-26-006081-a</v>
      </c>
      <c r="C353" s="2" t="s">
        <v>1516</v>
      </c>
      <c r="D353" s="1" t="s">
        <v>1568</v>
      </c>
      <c r="E353" s="1" t="s">
        <v>1552</v>
      </c>
      <c r="F353" s="1" t="s">
        <v>487</v>
      </c>
      <c r="G353" s="1" t="s">
        <v>285</v>
      </c>
      <c r="H353" s="1" t="s">
        <v>1218</v>
      </c>
      <c r="I353" s="1" t="s">
        <v>2094</v>
      </c>
      <c r="J353" s="1" t="s">
        <v>1145</v>
      </c>
      <c r="K353" s="1" t="s">
        <v>947</v>
      </c>
      <c r="L353" s="1" t="s">
        <v>1533</v>
      </c>
      <c r="M353" s="1" t="s">
        <v>1533</v>
      </c>
      <c r="N353" s="1" t="s">
        <v>110</v>
      </c>
      <c r="O353" s="1" t="s">
        <v>110</v>
      </c>
      <c r="P353" s="1" t="s">
        <v>110</v>
      </c>
      <c r="Q353" s="5">
        <v>45042</v>
      </c>
      <c r="R353" s="1"/>
      <c r="S353" s="1"/>
      <c r="T353" s="1"/>
      <c r="U353" s="1"/>
      <c r="V353" s="1" t="s">
        <v>2146</v>
      </c>
      <c r="W353" s="4">
        <v>1</v>
      </c>
      <c r="X353" s="6">
        <v>7500</v>
      </c>
      <c r="Y353" s="1" t="s">
        <v>1516</v>
      </c>
      <c r="Z353" s="1">
        <v>250</v>
      </c>
      <c r="AA353" s="6">
        <v>30</v>
      </c>
      <c r="AB353" s="1" t="s">
        <v>2175</v>
      </c>
      <c r="AC353" s="1" t="s">
        <v>2162</v>
      </c>
      <c r="AD353" s="1" t="s">
        <v>1100</v>
      </c>
      <c r="AE353" s="1" t="s">
        <v>2094</v>
      </c>
      <c r="AF353" s="1" t="s">
        <v>1186</v>
      </c>
      <c r="AG353" s="1" t="s">
        <v>1522</v>
      </c>
      <c r="AH353" s="6">
        <v>7500</v>
      </c>
      <c r="AI353" s="6">
        <v>30</v>
      </c>
      <c r="AJ353" s="1" t="s">
        <v>2072</v>
      </c>
      <c r="AK353" s="1"/>
      <c r="AL353" s="1"/>
      <c r="AM353" s="1" t="s">
        <v>2072</v>
      </c>
      <c r="AN353" s="1" t="s">
        <v>921</v>
      </c>
      <c r="AO353" s="1"/>
      <c r="AP353" s="1" t="s">
        <v>53</v>
      </c>
      <c r="AQ353" s="1"/>
      <c r="AR353" s="1"/>
      <c r="AS353" s="2"/>
      <c r="AT353" s="1"/>
      <c r="AU353" s="1"/>
      <c r="AV353" s="1"/>
      <c r="AW353" s="1" t="s">
        <v>2152</v>
      </c>
      <c r="AX353" s="7">
        <v>45042.542569930338</v>
      </c>
      <c r="AY353" s="1" t="s">
        <v>742</v>
      </c>
      <c r="AZ353" s="6">
        <v>7500</v>
      </c>
      <c r="BA353" s="5">
        <v>45040</v>
      </c>
      <c r="BB353" s="5">
        <v>45041</v>
      </c>
      <c r="BC353" s="5">
        <v>45040</v>
      </c>
      <c r="BD353" s="5">
        <v>45040</v>
      </c>
      <c r="BE353" s="7">
        <v>45291</v>
      </c>
      <c r="BF353" s="1" t="s">
        <v>2170</v>
      </c>
      <c r="BG353" s="1"/>
      <c r="BH353" s="1"/>
      <c r="BI353" s="1" t="s">
        <v>108</v>
      </c>
    </row>
    <row r="354" spans="1:61" hidden="1" x14ac:dyDescent="0.25">
      <c r="A354" s="4">
        <v>349</v>
      </c>
      <c r="B354" s="2" t="str">
        <f>HYPERLINK("https://my.zakupivli.pro/remote/dispatcher/state_purchase_view/42110344", "UA-2023-04-21-001345-a")</f>
        <v>UA-2023-04-21-001345-a</v>
      </c>
      <c r="C354" s="2" t="s">
        <v>1516</v>
      </c>
      <c r="D354" s="1" t="s">
        <v>1898</v>
      </c>
      <c r="E354" s="1" t="s">
        <v>1898</v>
      </c>
      <c r="F354" s="1" t="s">
        <v>487</v>
      </c>
      <c r="G354" s="1" t="s">
        <v>1035</v>
      </c>
      <c r="H354" s="1" t="s">
        <v>1218</v>
      </c>
      <c r="I354" s="1" t="s">
        <v>2094</v>
      </c>
      <c r="J354" s="1" t="s">
        <v>1145</v>
      </c>
      <c r="K354" s="1" t="s">
        <v>947</v>
      </c>
      <c r="L354" s="1" t="s">
        <v>1533</v>
      </c>
      <c r="M354" s="1" t="s">
        <v>1533</v>
      </c>
      <c r="N354" s="1" t="s">
        <v>110</v>
      </c>
      <c r="O354" s="1" t="s">
        <v>110</v>
      </c>
      <c r="P354" s="1" t="s">
        <v>110</v>
      </c>
      <c r="Q354" s="5">
        <v>45037</v>
      </c>
      <c r="R354" s="1"/>
      <c r="S354" s="1"/>
      <c r="T354" s="1"/>
      <c r="U354" s="1"/>
      <c r="V354" s="1" t="s">
        <v>2146</v>
      </c>
      <c r="W354" s="4">
        <v>1</v>
      </c>
      <c r="X354" s="6">
        <v>6915.51</v>
      </c>
      <c r="Y354" s="1" t="s">
        <v>1516</v>
      </c>
      <c r="Z354" s="1">
        <v>1</v>
      </c>
      <c r="AA354" s="6">
        <v>6915.51</v>
      </c>
      <c r="AB354" s="1" t="s">
        <v>2167</v>
      </c>
      <c r="AC354" s="1" t="s">
        <v>2162</v>
      </c>
      <c r="AD354" s="1" t="s">
        <v>1100</v>
      </c>
      <c r="AE354" s="1" t="s">
        <v>1522</v>
      </c>
      <c r="AF354" s="1" t="s">
        <v>1186</v>
      </c>
      <c r="AG354" s="1" t="s">
        <v>1522</v>
      </c>
      <c r="AH354" s="6">
        <v>6915.51</v>
      </c>
      <c r="AI354" s="6">
        <v>6915.51</v>
      </c>
      <c r="AJ354" s="1" t="s">
        <v>1498</v>
      </c>
      <c r="AK354" s="1"/>
      <c r="AL354" s="1"/>
      <c r="AM354" s="1" t="s">
        <v>1498</v>
      </c>
      <c r="AN354" s="1" t="s">
        <v>785</v>
      </c>
      <c r="AO354" s="1"/>
      <c r="AP354" s="1" t="s">
        <v>81</v>
      </c>
      <c r="AQ354" s="1"/>
      <c r="AR354" s="1"/>
      <c r="AS354" s="2"/>
      <c r="AT354" s="1"/>
      <c r="AU354" s="1"/>
      <c r="AV354" s="1"/>
      <c r="AW354" s="1" t="s">
        <v>2152</v>
      </c>
      <c r="AX354" s="7">
        <v>45037.410334360058</v>
      </c>
      <c r="AY354" s="1" t="s">
        <v>962</v>
      </c>
      <c r="AZ354" s="6">
        <v>6915.51</v>
      </c>
      <c r="BA354" s="1"/>
      <c r="BB354" s="5">
        <v>45291</v>
      </c>
      <c r="BC354" s="5">
        <v>45034</v>
      </c>
      <c r="BD354" s="5">
        <v>45034</v>
      </c>
      <c r="BE354" s="7">
        <v>45291</v>
      </c>
      <c r="BF354" s="1" t="s">
        <v>2170</v>
      </c>
      <c r="BG354" s="1"/>
      <c r="BH354" s="1"/>
      <c r="BI354" s="1" t="s">
        <v>108</v>
      </c>
    </row>
    <row r="355" spans="1:61" hidden="1" x14ac:dyDescent="0.25">
      <c r="A355" s="4">
        <v>350</v>
      </c>
      <c r="B355" s="2" t="str">
        <f>HYPERLINK("https://my.zakupivli.pro/remote/dispatcher/state_purchase_view/42110224", "UA-2023-04-21-001269-a")</f>
        <v>UA-2023-04-21-001269-a</v>
      </c>
      <c r="C355" s="2" t="s">
        <v>1516</v>
      </c>
      <c r="D355" s="1" t="s">
        <v>1895</v>
      </c>
      <c r="E355" s="1" t="s">
        <v>1895</v>
      </c>
      <c r="F355" s="1" t="s">
        <v>487</v>
      </c>
      <c r="G355" s="1" t="s">
        <v>1035</v>
      </c>
      <c r="H355" s="1" t="s">
        <v>1218</v>
      </c>
      <c r="I355" s="1" t="s">
        <v>2094</v>
      </c>
      <c r="J355" s="1" t="s">
        <v>1145</v>
      </c>
      <c r="K355" s="1" t="s">
        <v>947</v>
      </c>
      <c r="L355" s="1" t="s">
        <v>1533</v>
      </c>
      <c r="M355" s="1" t="s">
        <v>1533</v>
      </c>
      <c r="N355" s="1" t="s">
        <v>110</v>
      </c>
      <c r="O355" s="1" t="s">
        <v>110</v>
      </c>
      <c r="P355" s="1" t="s">
        <v>110</v>
      </c>
      <c r="Q355" s="5">
        <v>45037</v>
      </c>
      <c r="R355" s="1"/>
      <c r="S355" s="1"/>
      <c r="T355" s="1"/>
      <c r="U355" s="1"/>
      <c r="V355" s="1" t="s">
        <v>2146</v>
      </c>
      <c r="W355" s="4">
        <v>1</v>
      </c>
      <c r="X355" s="6">
        <v>51.07</v>
      </c>
      <c r="Y355" s="1" t="s">
        <v>1516</v>
      </c>
      <c r="Z355" s="1">
        <v>1</v>
      </c>
      <c r="AA355" s="6">
        <v>51.07</v>
      </c>
      <c r="AB355" s="1" t="s">
        <v>2167</v>
      </c>
      <c r="AC355" s="1" t="s">
        <v>2162</v>
      </c>
      <c r="AD355" s="1" t="s">
        <v>1100</v>
      </c>
      <c r="AE355" s="1" t="s">
        <v>1522</v>
      </c>
      <c r="AF355" s="1" t="s">
        <v>1186</v>
      </c>
      <c r="AG355" s="1" t="s">
        <v>1522</v>
      </c>
      <c r="AH355" s="6">
        <v>51.07</v>
      </c>
      <c r="AI355" s="6">
        <v>51.07</v>
      </c>
      <c r="AJ355" s="1" t="s">
        <v>1498</v>
      </c>
      <c r="AK355" s="1"/>
      <c r="AL355" s="1"/>
      <c r="AM355" s="1" t="s">
        <v>1498</v>
      </c>
      <c r="AN355" s="1" t="s">
        <v>785</v>
      </c>
      <c r="AO355" s="1"/>
      <c r="AP355" s="1" t="s">
        <v>81</v>
      </c>
      <c r="AQ355" s="1"/>
      <c r="AR355" s="1"/>
      <c r="AS355" s="2"/>
      <c r="AT355" s="1"/>
      <c r="AU355" s="1"/>
      <c r="AV355" s="1"/>
      <c r="AW355" s="1" t="s">
        <v>2152</v>
      </c>
      <c r="AX355" s="7">
        <v>45037.407998061608</v>
      </c>
      <c r="AY355" s="1" t="s">
        <v>903</v>
      </c>
      <c r="AZ355" s="6">
        <v>51.07</v>
      </c>
      <c r="BA355" s="1"/>
      <c r="BB355" s="5">
        <v>45291</v>
      </c>
      <c r="BC355" s="5">
        <v>45034</v>
      </c>
      <c r="BD355" s="5">
        <v>45034</v>
      </c>
      <c r="BE355" s="7">
        <v>45291</v>
      </c>
      <c r="BF355" s="1" t="s">
        <v>2170</v>
      </c>
      <c r="BG355" s="1"/>
      <c r="BH355" s="1"/>
      <c r="BI355" s="1" t="s">
        <v>108</v>
      </c>
    </row>
    <row r="356" spans="1:61" hidden="1" x14ac:dyDescent="0.25">
      <c r="A356" s="4">
        <v>351</v>
      </c>
      <c r="B356" s="2" t="str">
        <f>HYPERLINK("https://my.zakupivli.pro/remote/dispatcher/state_purchase_view/42109000", "UA-2023-04-21-000757-a")</f>
        <v>UA-2023-04-21-000757-a</v>
      </c>
      <c r="C356" s="2" t="s">
        <v>1516</v>
      </c>
      <c r="D356" s="1" t="s">
        <v>1897</v>
      </c>
      <c r="E356" s="1" t="s">
        <v>1897</v>
      </c>
      <c r="F356" s="1" t="s">
        <v>487</v>
      </c>
      <c r="G356" s="1" t="s">
        <v>1035</v>
      </c>
      <c r="H356" s="1" t="s">
        <v>1218</v>
      </c>
      <c r="I356" s="1" t="s">
        <v>2094</v>
      </c>
      <c r="J356" s="1" t="s">
        <v>1145</v>
      </c>
      <c r="K356" s="1" t="s">
        <v>947</v>
      </c>
      <c r="L356" s="1" t="s">
        <v>1533</v>
      </c>
      <c r="M356" s="1" t="s">
        <v>1533</v>
      </c>
      <c r="N356" s="1" t="s">
        <v>110</v>
      </c>
      <c r="O356" s="1" t="s">
        <v>110</v>
      </c>
      <c r="P356" s="1" t="s">
        <v>110</v>
      </c>
      <c r="Q356" s="5">
        <v>45037</v>
      </c>
      <c r="R356" s="1"/>
      <c r="S356" s="1"/>
      <c r="T356" s="1"/>
      <c r="U356" s="1"/>
      <c r="V356" s="1" t="s">
        <v>2146</v>
      </c>
      <c r="W356" s="4">
        <v>1</v>
      </c>
      <c r="X356" s="6">
        <v>986.05</v>
      </c>
      <c r="Y356" s="1" t="s">
        <v>1516</v>
      </c>
      <c r="Z356" s="1">
        <v>1</v>
      </c>
      <c r="AA356" s="6">
        <v>986.05</v>
      </c>
      <c r="AB356" s="1" t="s">
        <v>2167</v>
      </c>
      <c r="AC356" s="1" t="s">
        <v>2162</v>
      </c>
      <c r="AD356" s="1" t="s">
        <v>1100</v>
      </c>
      <c r="AE356" s="1" t="s">
        <v>1522</v>
      </c>
      <c r="AF356" s="1" t="s">
        <v>1186</v>
      </c>
      <c r="AG356" s="1" t="s">
        <v>1522</v>
      </c>
      <c r="AH356" s="6">
        <v>986.05</v>
      </c>
      <c r="AI356" s="6">
        <v>986.05</v>
      </c>
      <c r="AJ356" s="1" t="s">
        <v>1498</v>
      </c>
      <c r="AK356" s="1"/>
      <c r="AL356" s="1"/>
      <c r="AM356" s="1" t="s">
        <v>1498</v>
      </c>
      <c r="AN356" s="1" t="s">
        <v>785</v>
      </c>
      <c r="AO356" s="1"/>
      <c r="AP356" s="1" t="s">
        <v>81</v>
      </c>
      <c r="AQ356" s="1"/>
      <c r="AR356" s="1"/>
      <c r="AS356" s="2"/>
      <c r="AT356" s="1"/>
      <c r="AU356" s="1"/>
      <c r="AV356" s="1"/>
      <c r="AW356" s="1" t="s">
        <v>2152</v>
      </c>
      <c r="AX356" s="7">
        <v>45037.39112280932</v>
      </c>
      <c r="AY356" s="1" t="s">
        <v>980</v>
      </c>
      <c r="AZ356" s="6">
        <v>986.05</v>
      </c>
      <c r="BA356" s="1"/>
      <c r="BB356" s="5">
        <v>45291</v>
      </c>
      <c r="BC356" s="5">
        <v>45034</v>
      </c>
      <c r="BD356" s="5">
        <v>45034</v>
      </c>
      <c r="BE356" s="7">
        <v>45291</v>
      </c>
      <c r="BF356" s="1" t="s">
        <v>2170</v>
      </c>
      <c r="BG356" s="1"/>
      <c r="BH356" s="1"/>
      <c r="BI356" s="1" t="s">
        <v>108</v>
      </c>
    </row>
    <row r="357" spans="1:61" hidden="1" x14ac:dyDescent="0.25">
      <c r="A357" s="4">
        <v>352</v>
      </c>
      <c r="B357" s="2" t="str">
        <f>HYPERLINK("https://my.zakupivli.pro/remote/dispatcher/state_purchase_view/42110057", "UA-2023-04-21-001183-a")</f>
        <v>UA-2023-04-21-001183-a</v>
      </c>
      <c r="C357" s="2" t="s">
        <v>1516</v>
      </c>
      <c r="D357" s="1" t="s">
        <v>1901</v>
      </c>
      <c r="E357" s="1" t="s">
        <v>1901</v>
      </c>
      <c r="F357" s="1" t="s">
        <v>487</v>
      </c>
      <c r="G357" s="1" t="s">
        <v>1035</v>
      </c>
      <c r="H357" s="1" t="s">
        <v>1218</v>
      </c>
      <c r="I357" s="1" t="s">
        <v>2094</v>
      </c>
      <c r="J357" s="1" t="s">
        <v>1145</v>
      </c>
      <c r="K357" s="1" t="s">
        <v>947</v>
      </c>
      <c r="L357" s="1" t="s">
        <v>1533</v>
      </c>
      <c r="M357" s="1" t="s">
        <v>1533</v>
      </c>
      <c r="N357" s="1" t="s">
        <v>110</v>
      </c>
      <c r="O357" s="1" t="s">
        <v>110</v>
      </c>
      <c r="P357" s="1" t="s">
        <v>110</v>
      </c>
      <c r="Q357" s="5">
        <v>45037</v>
      </c>
      <c r="R357" s="1"/>
      <c r="S357" s="1"/>
      <c r="T357" s="1"/>
      <c r="U357" s="1"/>
      <c r="V357" s="1" t="s">
        <v>2146</v>
      </c>
      <c r="W357" s="4">
        <v>1</v>
      </c>
      <c r="X357" s="6">
        <v>4477.8999999999996</v>
      </c>
      <c r="Y357" s="1" t="s">
        <v>1516</v>
      </c>
      <c r="Z357" s="1">
        <v>1</v>
      </c>
      <c r="AA357" s="6">
        <v>4477.8999999999996</v>
      </c>
      <c r="AB357" s="1" t="s">
        <v>2167</v>
      </c>
      <c r="AC357" s="1" t="s">
        <v>2162</v>
      </c>
      <c r="AD357" s="1" t="s">
        <v>1100</v>
      </c>
      <c r="AE357" s="1" t="s">
        <v>1522</v>
      </c>
      <c r="AF357" s="1" t="s">
        <v>1186</v>
      </c>
      <c r="AG357" s="1" t="s">
        <v>1522</v>
      </c>
      <c r="AH357" s="6">
        <v>4477.8999999999996</v>
      </c>
      <c r="AI357" s="6">
        <v>4477.8999999999996</v>
      </c>
      <c r="AJ357" s="1" t="s">
        <v>1498</v>
      </c>
      <c r="AK357" s="1"/>
      <c r="AL357" s="1"/>
      <c r="AM357" s="1" t="s">
        <v>1498</v>
      </c>
      <c r="AN357" s="1" t="s">
        <v>785</v>
      </c>
      <c r="AO357" s="1"/>
      <c r="AP357" s="1" t="s">
        <v>81</v>
      </c>
      <c r="AQ357" s="1"/>
      <c r="AR357" s="1"/>
      <c r="AS357" s="2"/>
      <c r="AT357" s="1"/>
      <c r="AU357" s="1"/>
      <c r="AV357" s="1"/>
      <c r="AW357" s="1" t="s">
        <v>2152</v>
      </c>
      <c r="AX357" s="7">
        <v>45037.404703537686</v>
      </c>
      <c r="AY357" s="1" t="s">
        <v>920</v>
      </c>
      <c r="AZ357" s="6">
        <v>4477.8999999999996</v>
      </c>
      <c r="BA357" s="1"/>
      <c r="BB357" s="5">
        <v>45291</v>
      </c>
      <c r="BC357" s="5">
        <v>45034</v>
      </c>
      <c r="BD357" s="5">
        <v>45034</v>
      </c>
      <c r="BE357" s="7">
        <v>45291</v>
      </c>
      <c r="BF357" s="1" t="s">
        <v>2170</v>
      </c>
      <c r="BG357" s="1"/>
      <c r="BH357" s="1"/>
      <c r="BI357" s="1" t="s">
        <v>108</v>
      </c>
    </row>
    <row r="358" spans="1:61" hidden="1" x14ac:dyDescent="0.25">
      <c r="A358" s="4">
        <v>353</v>
      </c>
      <c r="B358" s="2" t="str">
        <f>HYPERLINK("https://my.zakupivli.pro/remote/dispatcher/state_purchase_view/42109803", "UA-2023-04-21-001113-a")</f>
        <v>UA-2023-04-21-001113-a</v>
      </c>
      <c r="C358" s="2" t="s">
        <v>1516</v>
      </c>
      <c r="D358" s="1" t="s">
        <v>1900</v>
      </c>
      <c r="E358" s="1" t="s">
        <v>1900</v>
      </c>
      <c r="F358" s="1" t="s">
        <v>487</v>
      </c>
      <c r="G358" s="1" t="s">
        <v>1035</v>
      </c>
      <c r="H358" s="1" t="s">
        <v>1218</v>
      </c>
      <c r="I358" s="1" t="s">
        <v>2094</v>
      </c>
      <c r="J358" s="1" t="s">
        <v>1145</v>
      </c>
      <c r="K358" s="1" t="s">
        <v>947</v>
      </c>
      <c r="L358" s="1" t="s">
        <v>1533</v>
      </c>
      <c r="M358" s="1" t="s">
        <v>1533</v>
      </c>
      <c r="N358" s="1" t="s">
        <v>110</v>
      </c>
      <c r="O358" s="1" t="s">
        <v>110</v>
      </c>
      <c r="P358" s="1" t="s">
        <v>110</v>
      </c>
      <c r="Q358" s="5">
        <v>45037</v>
      </c>
      <c r="R358" s="1"/>
      <c r="S358" s="1"/>
      <c r="T358" s="1"/>
      <c r="U358" s="1"/>
      <c r="V358" s="1" t="s">
        <v>2146</v>
      </c>
      <c r="W358" s="4">
        <v>1</v>
      </c>
      <c r="X358" s="6">
        <v>10605.46</v>
      </c>
      <c r="Y358" s="1" t="s">
        <v>1516</v>
      </c>
      <c r="Z358" s="1">
        <v>1</v>
      </c>
      <c r="AA358" s="6">
        <v>10605.46</v>
      </c>
      <c r="AB358" s="1" t="s">
        <v>2167</v>
      </c>
      <c r="AC358" s="1" t="s">
        <v>2162</v>
      </c>
      <c r="AD358" s="1" t="s">
        <v>1100</v>
      </c>
      <c r="AE358" s="1" t="s">
        <v>1522</v>
      </c>
      <c r="AF358" s="1" t="s">
        <v>1186</v>
      </c>
      <c r="AG358" s="1" t="s">
        <v>1522</v>
      </c>
      <c r="AH358" s="6">
        <v>10605.46</v>
      </c>
      <c r="AI358" s="6">
        <v>10605.46</v>
      </c>
      <c r="AJ358" s="1" t="s">
        <v>1498</v>
      </c>
      <c r="AK358" s="1"/>
      <c r="AL358" s="1"/>
      <c r="AM358" s="1" t="s">
        <v>1498</v>
      </c>
      <c r="AN358" s="1" t="s">
        <v>785</v>
      </c>
      <c r="AO358" s="1"/>
      <c r="AP358" s="1" t="s">
        <v>81</v>
      </c>
      <c r="AQ358" s="1"/>
      <c r="AR358" s="1"/>
      <c r="AS358" s="2"/>
      <c r="AT358" s="1"/>
      <c r="AU358" s="1"/>
      <c r="AV358" s="1"/>
      <c r="AW358" s="1" t="s">
        <v>2152</v>
      </c>
      <c r="AX358" s="7">
        <v>45037.402488563297</v>
      </c>
      <c r="AY358" s="1" t="s">
        <v>938</v>
      </c>
      <c r="AZ358" s="6">
        <v>10605.46</v>
      </c>
      <c r="BA358" s="1"/>
      <c r="BB358" s="5">
        <v>45291</v>
      </c>
      <c r="BC358" s="5">
        <v>45034</v>
      </c>
      <c r="BD358" s="5">
        <v>45034</v>
      </c>
      <c r="BE358" s="7">
        <v>45291</v>
      </c>
      <c r="BF358" s="1" t="s">
        <v>2170</v>
      </c>
      <c r="BG358" s="1"/>
      <c r="BH358" s="1"/>
      <c r="BI358" s="1" t="s">
        <v>108</v>
      </c>
    </row>
    <row r="359" spans="1:61" hidden="1" x14ac:dyDescent="0.25">
      <c r="A359" s="4">
        <v>354</v>
      </c>
      <c r="B359" s="2" t="str">
        <f>HYPERLINK("https://my.zakupivli.pro/remote/dispatcher/state_purchase_view/42109704", "UA-2023-04-21-001046-a")</f>
        <v>UA-2023-04-21-001046-a</v>
      </c>
      <c r="C359" s="2" t="s">
        <v>1516</v>
      </c>
      <c r="D359" s="1" t="s">
        <v>1899</v>
      </c>
      <c r="E359" s="1" t="s">
        <v>1899</v>
      </c>
      <c r="F359" s="1" t="s">
        <v>487</v>
      </c>
      <c r="G359" s="1" t="s">
        <v>1035</v>
      </c>
      <c r="H359" s="1" t="s">
        <v>1218</v>
      </c>
      <c r="I359" s="1" t="s">
        <v>2094</v>
      </c>
      <c r="J359" s="1" t="s">
        <v>1145</v>
      </c>
      <c r="K359" s="1" t="s">
        <v>947</v>
      </c>
      <c r="L359" s="1" t="s">
        <v>1533</v>
      </c>
      <c r="M359" s="1" t="s">
        <v>1533</v>
      </c>
      <c r="N359" s="1" t="s">
        <v>110</v>
      </c>
      <c r="O359" s="1" t="s">
        <v>110</v>
      </c>
      <c r="P359" s="1" t="s">
        <v>110</v>
      </c>
      <c r="Q359" s="5">
        <v>45037</v>
      </c>
      <c r="R359" s="1"/>
      <c r="S359" s="1"/>
      <c r="T359" s="1"/>
      <c r="U359" s="1"/>
      <c r="V359" s="1" t="s">
        <v>2146</v>
      </c>
      <c r="W359" s="4">
        <v>1</v>
      </c>
      <c r="X359" s="6">
        <v>6257.4</v>
      </c>
      <c r="Y359" s="1" t="s">
        <v>1516</v>
      </c>
      <c r="Z359" s="1">
        <v>1</v>
      </c>
      <c r="AA359" s="6">
        <v>6257.4</v>
      </c>
      <c r="AB359" s="1" t="s">
        <v>2167</v>
      </c>
      <c r="AC359" s="1" t="s">
        <v>2162</v>
      </c>
      <c r="AD359" s="1" t="s">
        <v>1100</v>
      </c>
      <c r="AE359" s="1" t="s">
        <v>1522</v>
      </c>
      <c r="AF359" s="1" t="s">
        <v>1186</v>
      </c>
      <c r="AG359" s="1" t="s">
        <v>1522</v>
      </c>
      <c r="AH359" s="6">
        <v>6257.4</v>
      </c>
      <c r="AI359" s="6">
        <v>6257.4</v>
      </c>
      <c r="AJ359" s="1" t="s">
        <v>1498</v>
      </c>
      <c r="AK359" s="1"/>
      <c r="AL359" s="1"/>
      <c r="AM359" s="1" t="s">
        <v>1498</v>
      </c>
      <c r="AN359" s="1" t="s">
        <v>785</v>
      </c>
      <c r="AO359" s="1"/>
      <c r="AP359" s="1" t="s">
        <v>81</v>
      </c>
      <c r="AQ359" s="1"/>
      <c r="AR359" s="1"/>
      <c r="AS359" s="2"/>
      <c r="AT359" s="1"/>
      <c r="AU359" s="1"/>
      <c r="AV359" s="1"/>
      <c r="AW359" s="1" t="s">
        <v>2152</v>
      </c>
      <c r="AX359" s="7">
        <v>45037.3998477239</v>
      </c>
      <c r="AY359" s="1" t="s">
        <v>979</v>
      </c>
      <c r="AZ359" s="6">
        <v>6257.4</v>
      </c>
      <c r="BA359" s="1"/>
      <c r="BB359" s="5">
        <v>45291</v>
      </c>
      <c r="BC359" s="5">
        <v>45034</v>
      </c>
      <c r="BD359" s="5">
        <v>45034</v>
      </c>
      <c r="BE359" s="7">
        <v>45291</v>
      </c>
      <c r="BF359" s="1" t="s">
        <v>2170</v>
      </c>
      <c r="BG359" s="1"/>
      <c r="BH359" s="1"/>
      <c r="BI359" s="1" t="s">
        <v>108</v>
      </c>
    </row>
    <row r="360" spans="1:61" hidden="1" x14ac:dyDescent="0.25">
      <c r="A360" s="4">
        <v>355</v>
      </c>
      <c r="B360" s="2" t="str">
        <f>HYPERLINK("https://my.zakupivli.pro/remote/dispatcher/state_purchase_view/42109573", "UA-2023-04-21-000966-a")</f>
        <v>UA-2023-04-21-000966-a</v>
      </c>
      <c r="C360" s="2" t="s">
        <v>1516</v>
      </c>
      <c r="D360" s="1" t="s">
        <v>1896</v>
      </c>
      <c r="E360" s="1" t="s">
        <v>1896</v>
      </c>
      <c r="F360" s="1" t="s">
        <v>487</v>
      </c>
      <c r="G360" s="1" t="s">
        <v>1035</v>
      </c>
      <c r="H360" s="1" t="s">
        <v>1218</v>
      </c>
      <c r="I360" s="1" t="s">
        <v>2094</v>
      </c>
      <c r="J360" s="1" t="s">
        <v>1145</v>
      </c>
      <c r="K360" s="1" t="s">
        <v>947</v>
      </c>
      <c r="L360" s="1" t="s">
        <v>1533</v>
      </c>
      <c r="M360" s="1" t="s">
        <v>1533</v>
      </c>
      <c r="N360" s="1" t="s">
        <v>110</v>
      </c>
      <c r="O360" s="1" t="s">
        <v>110</v>
      </c>
      <c r="P360" s="1" t="s">
        <v>110</v>
      </c>
      <c r="Q360" s="5">
        <v>45037</v>
      </c>
      <c r="R360" s="1"/>
      <c r="S360" s="1"/>
      <c r="T360" s="1"/>
      <c r="U360" s="1"/>
      <c r="V360" s="1" t="s">
        <v>2146</v>
      </c>
      <c r="W360" s="4">
        <v>1</v>
      </c>
      <c r="X360" s="6">
        <v>4039.2</v>
      </c>
      <c r="Y360" s="1" t="s">
        <v>1516</v>
      </c>
      <c r="Z360" s="1">
        <v>1</v>
      </c>
      <c r="AA360" s="6">
        <v>4039.2</v>
      </c>
      <c r="AB360" s="1" t="s">
        <v>2167</v>
      </c>
      <c r="AC360" s="1" t="s">
        <v>2162</v>
      </c>
      <c r="AD360" s="1" t="s">
        <v>1100</v>
      </c>
      <c r="AE360" s="1" t="s">
        <v>1522</v>
      </c>
      <c r="AF360" s="1" t="s">
        <v>1186</v>
      </c>
      <c r="AG360" s="1" t="s">
        <v>1522</v>
      </c>
      <c r="AH360" s="6">
        <v>4039.2</v>
      </c>
      <c r="AI360" s="6">
        <v>4039.2</v>
      </c>
      <c r="AJ360" s="1" t="s">
        <v>1498</v>
      </c>
      <c r="AK360" s="1"/>
      <c r="AL360" s="1"/>
      <c r="AM360" s="1" t="s">
        <v>1498</v>
      </c>
      <c r="AN360" s="1" t="s">
        <v>785</v>
      </c>
      <c r="AO360" s="1"/>
      <c r="AP360" s="1" t="s">
        <v>81</v>
      </c>
      <c r="AQ360" s="1"/>
      <c r="AR360" s="1"/>
      <c r="AS360" s="2"/>
      <c r="AT360" s="1"/>
      <c r="AU360" s="1"/>
      <c r="AV360" s="1"/>
      <c r="AW360" s="1" t="s">
        <v>2152</v>
      </c>
      <c r="AX360" s="7">
        <v>45037.396795373032</v>
      </c>
      <c r="AY360" s="1" t="s">
        <v>950</v>
      </c>
      <c r="AZ360" s="6">
        <v>4039.2</v>
      </c>
      <c r="BA360" s="1"/>
      <c r="BB360" s="5">
        <v>45291</v>
      </c>
      <c r="BC360" s="5">
        <v>45034</v>
      </c>
      <c r="BD360" s="5">
        <v>45034</v>
      </c>
      <c r="BE360" s="7">
        <v>45291</v>
      </c>
      <c r="BF360" s="1" t="s">
        <v>2170</v>
      </c>
      <c r="BG360" s="1"/>
      <c r="BH360" s="1"/>
      <c r="BI360" s="1" t="s">
        <v>108</v>
      </c>
    </row>
    <row r="361" spans="1:61" hidden="1" x14ac:dyDescent="0.25">
      <c r="A361" s="4">
        <v>356</v>
      </c>
      <c r="B361" s="2" t="str">
        <f>HYPERLINK("https://my.zakupivli.pro/remote/dispatcher/state_purchase_view/42109337", "UA-2023-04-21-000867-a")</f>
        <v>UA-2023-04-21-000867-a</v>
      </c>
      <c r="C361" s="2" t="s">
        <v>1516</v>
      </c>
      <c r="D361" s="1" t="s">
        <v>1894</v>
      </c>
      <c r="E361" s="1" t="s">
        <v>1894</v>
      </c>
      <c r="F361" s="1" t="s">
        <v>487</v>
      </c>
      <c r="G361" s="1" t="s">
        <v>1035</v>
      </c>
      <c r="H361" s="1" t="s">
        <v>1218</v>
      </c>
      <c r="I361" s="1" t="s">
        <v>2094</v>
      </c>
      <c r="J361" s="1" t="s">
        <v>1145</v>
      </c>
      <c r="K361" s="1" t="s">
        <v>947</v>
      </c>
      <c r="L361" s="1" t="s">
        <v>1533</v>
      </c>
      <c r="M361" s="1" t="s">
        <v>1533</v>
      </c>
      <c r="N361" s="1" t="s">
        <v>110</v>
      </c>
      <c r="O361" s="1" t="s">
        <v>110</v>
      </c>
      <c r="P361" s="1" t="s">
        <v>110</v>
      </c>
      <c r="Q361" s="5">
        <v>45037</v>
      </c>
      <c r="R361" s="1"/>
      <c r="S361" s="1"/>
      <c r="T361" s="1"/>
      <c r="U361" s="1"/>
      <c r="V361" s="1" t="s">
        <v>2146</v>
      </c>
      <c r="W361" s="4">
        <v>1</v>
      </c>
      <c r="X361" s="6">
        <v>681.29</v>
      </c>
      <c r="Y361" s="1" t="s">
        <v>1516</v>
      </c>
      <c r="Z361" s="1">
        <v>1</v>
      </c>
      <c r="AA361" s="6">
        <v>681.29</v>
      </c>
      <c r="AB361" s="1" t="s">
        <v>2167</v>
      </c>
      <c r="AC361" s="1" t="s">
        <v>2162</v>
      </c>
      <c r="AD361" s="1" t="s">
        <v>1100</v>
      </c>
      <c r="AE361" s="1" t="s">
        <v>1522</v>
      </c>
      <c r="AF361" s="1" t="s">
        <v>1186</v>
      </c>
      <c r="AG361" s="1" t="s">
        <v>1522</v>
      </c>
      <c r="AH361" s="6">
        <v>681.29</v>
      </c>
      <c r="AI361" s="6">
        <v>681.29</v>
      </c>
      <c r="AJ361" s="1" t="s">
        <v>1498</v>
      </c>
      <c r="AK361" s="1"/>
      <c r="AL361" s="1"/>
      <c r="AM361" s="1" t="s">
        <v>1498</v>
      </c>
      <c r="AN361" s="1" t="s">
        <v>785</v>
      </c>
      <c r="AO361" s="1"/>
      <c r="AP361" s="1" t="s">
        <v>81</v>
      </c>
      <c r="AQ361" s="1"/>
      <c r="AR361" s="1"/>
      <c r="AS361" s="2"/>
      <c r="AT361" s="1"/>
      <c r="AU361" s="1"/>
      <c r="AV361" s="1"/>
      <c r="AW361" s="1" t="s">
        <v>2152</v>
      </c>
      <c r="AX361" s="7">
        <v>45037.393671239304</v>
      </c>
      <c r="AY361" s="1" t="s">
        <v>984</v>
      </c>
      <c r="AZ361" s="6">
        <v>681.29</v>
      </c>
      <c r="BA361" s="1"/>
      <c r="BB361" s="5">
        <v>45291</v>
      </c>
      <c r="BC361" s="5">
        <v>45034</v>
      </c>
      <c r="BD361" s="5">
        <v>45034</v>
      </c>
      <c r="BE361" s="7">
        <v>45291</v>
      </c>
      <c r="BF361" s="1" t="s">
        <v>2170</v>
      </c>
      <c r="BG361" s="1"/>
      <c r="BH361" s="1"/>
      <c r="BI361" s="1" t="s">
        <v>108</v>
      </c>
    </row>
    <row r="362" spans="1:61" hidden="1" x14ac:dyDescent="0.25">
      <c r="A362" s="4">
        <v>357</v>
      </c>
      <c r="B362" s="2" t="str">
        <f>HYPERLINK("https://my.zakupivli.pro/remote/dispatcher/state_purchase_view/42098962", "UA-2023-04-20-008597-a")</f>
        <v>UA-2023-04-20-008597-a</v>
      </c>
      <c r="C362" s="2" t="s">
        <v>1516</v>
      </c>
      <c r="D362" s="1" t="s">
        <v>1675</v>
      </c>
      <c r="E362" s="1" t="s">
        <v>1675</v>
      </c>
      <c r="F362" s="1" t="s">
        <v>487</v>
      </c>
      <c r="G362" s="1" t="s">
        <v>993</v>
      </c>
      <c r="H362" s="1" t="s">
        <v>1218</v>
      </c>
      <c r="I362" s="1" t="s">
        <v>2094</v>
      </c>
      <c r="J362" s="1" t="s">
        <v>1145</v>
      </c>
      <c r="K362" s="1" t="s">
        <v>947</v>
      </c>
      <c r="L362" s="1" t="s">
        <v>1533</v>
      </c>
      <c r="M362" s="1" t="s">
        <v>1533</v>
      </c>
      <c r="N362" s="1" t="s">
        <v>110</v>
      </c>
      <c r="O362" s="1" t="s">
        <v>110</v>
      </c>
      <c r="P362" s="1" t="s">
        <v>110</v>
      </c>
      <c r="Q362" s="5">
        <v>45036</v>
      </c>
      <c r="R362" s="1"/>
      <c r="S362" s="1"/>
      <c r="T362" s="1"/>
      <c r="U362" s="1"/>
      <c r="V362" s="1" t="s">
        <v>2146</v>
      </c>
      <c r="W362" s="4">
        <v>1</v>
      </c>
      <c r="X362" s="6">
        <v>954</v>
      </c>
      <c r="Y362" s="1" t="s">
        <v>1516</v>
      </c>
      <c r="Z362" s="1">
        <v>1</v>
      </c>
      <c r="AA362" s="6">
        <v>954</v>
      </c>
      <c r="AB362" s="1" t="s">
        <v>2167</v>
      </c>
      <c r="AC362" s="1" t="s">
        <v>2162</v>
      </c>
      <c r="AD362" s="1" t="s">
        <v>1100</v>
      </c>
      <c r="AE362" s="1" t="s">
        <v>2094</v>
      </c>
      <c r="AF362" s="1" t="s">
        <v>1186</v>
      </c>
      <c r="AG362" s="1" t="s">
        <v>1522</v>
      </c>
      <c r="AH362" s="6">
        <v>954</v>
      </c>
      <c r="AI362" s="6">
        <v>954</v>
      </c>
      <c r="AJ362" s="1" t="s">
        <v>2107</v>
      </c>
      <c r="AK362" s="1"/>
      <c r="AL362" s="1"/>
      <c r="AM362" s="1" t="s">
        <v>2107</v>
      </c>
      <c r="AN362" s="1" t="s">
        <v>895</v>
      </c>
      <c r="AO362" s="1"/>
      <c r="AP362" s="1" t="s">
        <v>106</v>
      </c>
      <c r="AQ362" s="1"/>
      <c r="AR362" s="1"/>
      <c r="AS362" s="2"/>
      <c r="AT362" s="1"/>
      <c r="AU362" s="1"/>
      <c r="AV362" s="1"/>
      <c r="AW362" s="1" t="s">
        <v>2152</v>
      </c>
      <c r="AX362" s="7">
        <v>45036.630523863787</v>
      </c>
      <c r="AY362" s="1" t="s">
        <v>985</v>
      </c>
      <c r="AZ362" s="6">
        <v>954</v>
      </c>
      <c r="BA362" s="5">
        <v>45035</v>
      </c>
      <c r="BB362" s="5">
        <v>45040</v>
      </c>
      <c r="BC362" s="5">
        <v>45035</v>
      </c>
      <c r="BD362" s="5">
        <v>45035</v>
      </c>
      <c r="BE362" s="7">
        <v>45291</v>
      </c>
      <c r="BF362" s="1" t="s">
        <v>2170</v>
      </c>
      <c r="BG362" s="1"/>
      <c r="BH362" s="1"/>
      <c r="BI362" s="1" t="s">
        <v>108</v>
      </c>
    </row>
    <row r="363" spans="1:61" hidden="1" x14ac:dyDescent="0.25">
      <c r="A363" s="4">
        <v>358</v>
      </c>
      <c r="B363" s="2" t="str">
        <f>HYPERLINK("https://my.zakupivli.pro/remote/dispatcher/state_purchase_view/42099537", "UA-2023-04-20-008842-a")</f>
        <v>UA-2023-04-20-008842-a</v>
      </c>
      <c r="C363" s="2" t="s">
        <v>1516</v>
      </c>
      <c r="D363" s="1" t="s">
        <v>1222</v>
      </c>
      <c r="E363" s="1" t="s">
        <v>1157</v>
      </c>
      <c r="F363" s="1" t="s">
        <v>487</v>
      </c>
      <c r="G363" s="1" t="s">
        <v>842</v>
      </c>
      <c r="H363" s="1" t="s">
        <v>1218</v>
      </c>
      <c r="I363" s="1" t="s">
        <v>2094</v>
      </c>
      <c r="J363" s="1" t="s">
        <v>1145</v>
      </c>
      <c r="K363" s="1" t="s">
        <v>947</v>
      </c>
      <c r="L363" s="1" t="s">
        <v>1533</v>
      </c>
      <c r="M363" s="1" t="s">
        <v>1533</v>
      </c>
      <c r="N363" s="1" t="s">
        <v>110</v>
      </c>
      <c r="O363" s="1" t="s">
        <v>110</v>
      </c>
      <c r="P363" s="1" t="s">
        <v>110</v>
      </c>
      <c r="Q363" s="5">
        <v>45036</v>
      </c>
      <c r="R363" s="1"/>
      <c r="S363" s="1"/>
      <c r="T363" s="1"/>
      <c r="U363" s="1"/>
      <c r="V363" s="1" t="s">
        <v>2146</v>
      </c>
      <c r="W363" s="4">
        <v>1</v>
      </c>
      <c r="X363" s="6">
        <v>6840</v>
      </c>
      <c r="Y363" s="1" t="s">
        <v>1516</v>
      </c>
      <c r="Z363" s="1">
        <v>4</v>
      </c>
      <c r="AA363" s="6">
        <v>1710</v>
      </c>
      <c r="AB363" s="1" t="s">
        <v>2175</v>
      </c>
      <c r="AC363" s="1" t="s">
        <v>2162</v>
      </c>
      <c r="AD363" s="1" t="s">
        <v>1100</v>
      </c>
      <c r="AE363" s="1" t="s">
        <v>1522</v>
      </c>
      <c r="AF363" s="1" t="s">
        <v>1186</v>
      </c>
      <c r="AG363" s="1" t="s">
        <v>1522</v>
      </c>
      <c r="AH363" s="6">
        <v>6840</v>
      </c>
      <c r="AI363" s="6">
        <v>1710</v>
      </c>
      <c r="AJ363" s="1" t="s">
        <v>1500</v>
      </c>
      <c r="AK363" s="1"/>
      <c r="AL363" s="1"/>
      <c r="AM363" s="1" t="s">
        <v>1500</v>
      </c>
      <c r="AN363" s="1" t="s">
        <v>761</v>
      </c>
      <c r="AO363" s="1"/>
      <c r="AP363" s="1" t="s">
        <v>104</v>
      </c>
      <c r="AQ363" s="1"/>
      <c r="AR363" s="1"/>
      <c r="AS363" s="2"/>
      <c r="AT363" s="1"/>
      <c r="AU363" s="1"/>
      <c r="AV363" s="1"/>
      <c r="AW363" s="1" t="s">
        <v>2152</v>
      </c>
      <c r="AX363" s="7">
        <v>45036.637295851426</v>
      </c>
      <c r="AY363" s="1" t="s">
        <v>894</v>
      </c>
      <c r="AZ363" s="6">
        <v>6840</v>
      </c>
      <c r="BA363" s="5">
        <v>45035</v>
      </c>
      <c r="BB363" s="5">
        <v>45036</v>
      </c>
      <c r="BC363" s="5">
        <v>45035</v>
      </c>
      <c r="BD363" s="5">
        <v>45035</v>
      </c>
      <c r="BE363" s="7">
        <v>45291</v>
      </c>
      <c r="BF363" s="1" t="s">
        <v>2170</v>
      </c>
      <c r="BG363" s="1"/>
      <c r="BH363" s="1"/>
      <c r="BI363" s="1" t="s">
        <v>108</v>
      </c>
    </row>
    <row r="364" spans="1:61" hidden="1" x14ac:dyDescent="0.25">
      <c r="A364" s="4">
        <v>359</v>
      </c>
      <c r="B364" s="2" t="str">
        <f>HYPERLINK("https://my.zakupivli.pro/remote/dispatcher/state_purchase_view/42098234", "UA-2023-04-20-008304-a")</f>
        <v>UA-2023-04-20-008304-a</v>
      </c>
      <c r="C364" s="2" t="s">
        <v>1516</v>
      </c>
      <c r="D364" s="1" t="s">
        <v>1699</v>
      </c>
      <c r="E364" s="1" t="s">
        <v>1688</v>
      </c>
      <c r="F364" s="1" t="s">
        <v>487</v>
      </c>
      <c r="G364" s="1" t="s">
        <v>990</v>
      </c>
      <c r="H364" s="1" t="s">
        <v>1218</v>
      </c>
      <c r="I364" s="1" t="s">
        <v>2094</v>
      </c>
      <c r="J364" s="1" t="s">
        <v>1145</v>
      </c>
      <c r="K364" s="1" t="s">
        <v>947</v>
      </c>
      <c r="L364" s="1" t="s">
        <v>1533</v>
      </c>
      <c r="M364" s="1" t="s">
        <v>1533</v>
      </c>
      <c r="N364" s="1" t="s">
        <v>110</v>
      </c>
      <c r="O364" s="1" t="s">
        <v>110</v>
      </c>
      <c r="P364" s="1" t="s">
        <v>110</v>
      </c>
      <c r="Q364" s="5">
        <v>45036</v>
      </c>
      <c r="R364" s="1"/>
      <c r="S364" s="1"/>
      <c r="T364" s="1"/>
      <c r="U364" s="1"/>
      <c r="V364" s="1" t="s">
        <v>2146</v>
      </c>
      <c r="W364" s="4">
        <v>1</v>
      </c>
      <c r="X364" s="6">
        <v>58794</v>
      </c>
      <c r="Y364" s="1" t="s">
        <v>1516</v>
      </c>
      <c r="Z364" s="1">
        <v>1</v>
      </c>
      <c r="AA364" s="6">
        <v>58794</v>
      </c>
      <c r="AB364" s="1" t="s">
        <v>2167</v>
      </c>
      <c r="AC364" s="1" t="s">
        <v>2162</v>
      </c>
      <c r="AD364" s="1" t="s">
        <v>1100</v>
      </c>
      <c r="AE364" s="1" t="s">
        <v>2094</v>
      </c>
      <c r="AF364" s="1" t="s">
        <v>1186</v>
      </c>
      <c r="AG364" s="1" t="s">
        <v>1522</v>
      </c>
      <c r="AH364" s="6">
        <v>58794</v>
      </c>
      <c r="AI364" s="6">
        <v>58794</v>
      </c>
      <c r="AJ364" s="1" t="s">
        <v>2085</v>
      </c>
      <c r="AK364" s="1"/>
      <c r="AL364" s="1"/>
      <c r="AM364" s="1" t="s">
        <v>2085</v>
      </c>
      <c r="AN364" s="1" t="s">
        <v>803</v>
      </c>
      <c r="AO364" s="1"/>
      <c r="AP364" s="1" t="s">
        <v>5</v>
      </c>
      <c r="AQ364" s="1"/>
      <c r="AR364" s="1"/>
      <c r="AS364" s="2"/>
      <c r="AT364" s="1"/>
      <c r="AU364" s="1"/>
      <c r="AV364" s="1"/>
      <c r="AW364" s="1" t="s">
        <v>2152</v>
      </c>
      <c r="AX364" s="7">
        <v>45036.623916244571</v>
      </c>
      <c r="AY364" s="1" t="s">
        <v>989</v>
      </c>
      <c r="AZ364" s="6">
        <v>58794</v>
      </c>
      <c r="BA364" s="5">
        <v>45035</v>
      </c>
      <c r="BB364" s="5">
        <v>45048</v>
      </c>
      <c r="BC364" s="5">
        <v>45035</v>
      </c>
      <c r="BD364" s="5">
        <v>45035</v>
      </c>
      <c r="BE364" s="7">
        <v>45291</v>
      </c>
      <c r="BF364" s="1" t="s">
        <v>2170</v>
      </c>
      <c r="BG364" s="1"/>
      <c r="BH364" s="1"/>
      <c r="BI364" s="1" t="s">
        <v>108</v>
      </c>
    </row>
    <row r="365" spans="1:61" hidden="1" x14ac:dyDescent="0.25">
      <c r="A365" s="4">
        <v>360</v>
      </c>
      <c r="B365" s="2" t="str">
        <f>HYPERLINK("https://my.zakupivli.pro/remote/dispatcher/state_purchase_view/42009559", "UA-2023-04-14-006473-a")</f>
        <v>UA-2023-04-14-006473-a</v>
      </c>
      <c r="C365" s="2" t="str">
        <f>HYPERLINK("https://my.zakupivli.pro/remote/dispatcher/state_purchase_lot_view/921541", "UA-2023-04-14-006473-a-L1")</f>
        <v>UA-2023-04-14-006473-a-L1</v>
      </c>
      <c r="D365" s="1" t="s">
        <v>1745</v>
      </c>
      <c r="E365" s="1" t="s">
        <v>1744</v>
      </c>
      <c r="F365" s="1" t="s">
        <v>487</v>
      </c>
      <c r="G365" s="1" t="s">
        <v>966</v>
      </c>
      <c r="H365" s="1" t="s">
        <v>1185</v>
      </c>
      <c r="I365" s="1" t="s">
        <v>2094</v>
      </c>
      <c r="J365" s="1" t="s">
        <v>1145</v>
      </c>
      <c r="K365" s="1" t="s">
        <v>947</v>
      </c>
      <c r="L365" s="1" t="s">
        <v>1533</v>
      </c>
      <c r="M365" s="1" t="s">
        <v>1533</v>
      </c>
      <c r="N365" s="1" t="s">
        <v>110</v>
      </c>
      <c r="O365" s="1" t="s">
        <v>110</v>
      </c>
      <c r="P365" s="1" t="s">
        <v>110</v>
      </c>
      <c r="Q365" s="5">
        <v>45030</v>
      </c>
      <c r="R365" s="1" t="s">
        <v>512</v>
      </c>
      <c r="S365" s="1" t="s">
        <v>515</v>
      </c>
      <c r="T365" s="5">
        <v>45030</v>
      </c>
      <c r="U365" s="5">
        <v>45040</v>
      </c>
      <c r="V365" s="1" t="s">
        <v>2147</v>
      </c>
      <c r="W365" s="4">
        <v>1</v>
      </c>
      <c r="X365" s="6">
        <v>1700000</v>
      </c>
      <c r="Y365" s="6">
        <v>1700000</v>
      </c>
      <c r="Z365" s="1">
        <v>1</v>
      </c>
      <c r="AA365" s="6">
        <v>1700000</v>
      </c>
      <c r="AB365" s="1" t="s">
        <v>2167</v>
      </c>
      <c r="AC365" s="6">
        <v>17000</v>
      </c>
      <c r="AD365" s="1" t="s">
        <v>1100</v>
      </c>
      <c r="AE365" s="1" t="s">
        <v>2094</v>
      </c>
      <c r="AF365" s="1" t="s">
        <v>1186</v>
      </c>
      <c r="AG365" s="1" t="s">
        <v>1522</v>
      </c>
      <c r="AH365" s="6">
        <v>1677447.34</v>
      </c>
      <c r="AI365" s="6">
        <v>1677447.34</v>
      </c>
      <c r="AJ365" s="1" t="s">
        <v>2043</v>
      </c>
      <c r="AK365" s="6">
        <v>22552.659999999916</v>
      </c>
      <c r="AL365" s="6">
        <v>1.3266270588235245E-2</v>
      </c>
      <c r="AM365" s="1" t="s">
        <v>2043</v>
      </c>
      <c r="AN365" s="1" t="s">
        <v>945</v>
      </c>
      <c r="AO365" s="1" t="s">
        <v>1113</v>
      </c>
      <c r="AP365" s="1" t="s">
        <v>85</v>
      </c>
      <c r="AQ365" s="6">
        <v>22552.659999999916</v>
      </c>
      <c r="AR365" s="6">
        <v>1.3266270588235245E-2</v>
      </c>
      <c r="AS365" s="2"/>
      <c r="AT365" s="7">
        <v>45044.60736717339</v>
      </c>
      <c r="AU365" s="1" t="s">
        <v>519</v>
      </c>
      <c r="AV365" s="1" t="s">
        <v>523</v>
      </c>
      <c r="AW365" s="1" t="s">
        <v>2151</v>
      </c>
      <c r="AX365" s="7">
        <v>45054.536027927788</v>
      </c>
      <c r="AY365" s="1" t="s">
        <v>1027</v>
      </c>
      <c r="AZ365" s="6">
        <v>1677447.34</v>
      </c>
      <c r="BA365" s="1"/>
      <c r="BB365" s="5">
        <v>45107</v>
      </c>
      <c r="BC365" s="5">
        <v>45054</v>
      </c>
      <c r="BD365" s="5">
        <v>45054</v>
      </c>
      <c r="BE365" s="7">
        <v>45291</v>
      </c>
      <c r="BF365" s="1" t="s">
        <v>2170</v>
      </c>
      <c r="BG365" s="1"/>
      <c r="BH365" s="1"/>
      <c r="BI365" s="1" t="s">
        <v>946</v>
      </c>
    </row>
    <row r="366" spans="1:61" hidden="1" x14ac:dyDescent="0.25">
      <c r="A366" s="4">
        <v>361</v>
      </c>
      <c r="B366" s="2" t="str">
        <f>HYPERLINK("https://my.zakupivli.pro/remote/dispatcher/state_purchase_view/41914163", "UA-2023-04-10-011278-a")</f>
        <v>UA-2023-04-10-011278-a</v>
      </c>
      <c r="C366" s="2" t="str">
        <f>HYPERLINK("https://my.zakupivli.pro/remote/dispatcher/state_purchase_lot_view/917388", "UA-2023-04-10-011278-a-L1")</f>
        <v>UA-2023-04-10-011278-a-L1</v>
      </c>
      <c r="D366" s="1" t="s">
        <v>1751</v>
      </c>
      <c r="E366" s="1" t="s">
        <v>1748</v>
      </c>
      <c r="F366" s="1" t="s">
        <v>487</v>
      </c>
      <c r="G366" s="1" t="s">
        <v>1051</v>
      </c>
      <c r="H366" s="1" t="s">
        <v>1185</v>
      </c>
      <c r="I366" s="1" t="s">
        <v>2094</v>
      </c>
      <c r="J366" s="1" t="s">
        <v>1145</v>
      </c>
      <c r="K366" s="1" t="s">
        <v>947</v>
      </c>
      <c r="L366" s="1" t="s">
        <v>1533</v>
      </c>
      <c r="M366" s="1" t="s">
        <v>1533</v>
      </c>
      <c r="N366" s="1" t="s">
        <v>110</v>
      </c>
      <c r="O366" s="1" t="s">
        <v>110</v>
      </c>
      <c r="P366" s="1" t="s">
        <v>110</v>
      </c>
      <c r="Q366" s="5">
        <v>45026</v>
      </c>
      <c r="R366" s="1" t="s">
        <v>511</v>
      </c>
      <c r="S366" s="1" t="s">
        <v>513</v>
      </c>
      <c r="T366" s="5">
        <v>45026</v>
      </c>
      <c r="U366" s="5">
        <v>45034</v>
      </c>
      <c r="V366" s="1" t="s">
        <v>2147</v>
      </c>
      <c r="W366" s="4">
        <v>1</v>
      </c>
      <c r="X366" s="6">
        <v>600000</v>
      </c>
      <c r="Y366" s="6">
        <v>600000</v>
      </c>
      <c r="Z366" s="1">
        <v>1</v>
      </c>
      <c r="AA366" s="6">
        <v>600000</v>
      </c>
      <c r="AB366" s="1" t="s">
        <v>2167</v>
      </c>
      <c r="AC366" s="6">
        <v>6000</v>
      </c>
      <c r="AD366" s="1" t="s">
        <v>1100</v>
      </c>
      <c r="AE366" s="1" t="s">
        <v>2094</v>
      </c>
      <c r="AF366" s="1" t="s">
        <v>1186</v>
      </c>
      <c r="AG366" s="1" t="s">
        <v>1522</v>
      </c>
      <c r="AH366" s="6">
        <v>599493.56999999995</v>
      </c>
      <c r="AI366" s="6">
        <v>599493.56999999995</v>
      </c>
      <c r="AJ366" s="1" t="s">
        <v>2122</v>
      </c>
      <c r="AK366" s="6">
        <v>506.43000000005122</v>
      </c>
      <c r="AL366" s="6">
        <v>8.4405000000008538E-4</v>
      </c>
      <c r="AM366" s="1" t="s">
        <v>2122</v>
      </c>
      <c r="AN366" s="1" t="s">
        <v>225</v>
      </c>
      <c r="AO366" s="1" t="s">
        <v>1128</v>
      </c>
      <c r="AP366" s="1" t="s">
        <v>24</v>
      </c>
      <c r="AQ366" s="6">
        <v>506.43000000005122</v>
      </c>
      <c r="AR366" s="6">
        <v>8.4405000000008538E-4</v>
      </c>
      <c r="AS366" s="2"/>
      <c r="AT366" s="7">
        <v>45037.672179725982</v>
      </c>
      <c r="AU366" s="1" t="s">
        <v>516</v>
      </c>
      <c r="AV366" s="1" t="s">
        <v>520</v>
      </c>
      <c r="AW366" s="1" t="s">
        <v>2151</v>
      </c>
      <c r="AX366" s="7">
        <v>45043.703341302418</v>
      </c>
      <c r="AY366" s="1" t="s">
        <v>998</v>
      </c>
      <c r="AZ366" s="6">
        <v>599493.56999999995</v>
      </c>
      <c r="BA366" s="1"/>
      <c r="BB366" s="5">
        <v>45230</v>
      </c>
      <c r="BC366" s="5">
        <v>45043</v>
      </c>
      <c r="BD366" s="5">
        <v>45043</v>
      </c>
      <c r="BE366" s="7">
        <v>45291</v>
      </c>
      <c r="BF366" s="1" t="s">
        <v>2170</v>
      </c>
      <c r="BG366" s="1"/>
      <c r="BH366" s="1"/>
      <c r="BI366" s="1" t="s">
        <v>226</v>
      </c>
    </row>
    <row r="367" spans="1:61" hidden="1" x14ac:dyDescent="0.25">
      <c r="A367" s="4">
        <v>362</v>
      </c>
      <c r="B367" s="2" t="str">
        <f>HYPERLINK("https://my.zakupivli.pro/remote/dispatcher/state_purchase_view/41826578", "UA-2023-04-05-008645-a")</f>
        <v>UA-2023-04-05-008645-a</v>
      </c>
      <c r="C367" s="2" t="s">
        <v>1516</v>
      </c>
      <c r="D367" s="1" t="s">
        <v>1781</v>
      </c>
      <c r="E367" s="1" t="s">
        <v>1781</v>
      </c>
      <c r="F367" s="1" t="s">
        <v>487</v>
      </c>
      <c r="G367" s="1" t="s">
        <v>966</v>
      </c>
      <c r="H367" s="1" t="s">
        <v>1218</v>
      </c>
      <c r="I367" s="1" t="s">
        <v>2094</v>
      </c>
      <c r="J367" s="1" t="s">
        <v>1145</v>
      </c>
      <c r="K367" s="1" t="s">
        <v>947</v>
      </c>
      <c r="L367" s="1" t="s">
        <v>1533</v>
      </c>
      <c r="M367" s="1" t="s">
        <v>1533</v>
      </c>
      <c r="N367" s="1" t="s">
        <v>110</v>
      </c>
      <c r="O367" s="1" t="s">
        <v>110</v>
      </c>
      <c r="P367" s="1" t="s">
        <v>110</v>
      </c>
      <c r="Q367" s="5">
        <v>45021</v>
      </c>
      <c r="R367" s="1"/>
      <c r="S367" s="1"/>
      <c r="T367" s="1"/>
      <c r="U367" s="1"/>
      <c r="V367" s="1" t="s">
        <v>2146</v>
      </c>
      <c r="W367" s="4">
        <v>1</v>
      </c>
      <c r="X367" s="6">
        <v>48663.73</v>
      </c>
      <c r="Y367" s="1" t="s">
        <v>1516</v>
      </c>
      <c r="Z367" s="1">
        <v>1</v>
      </c>
      <c r="AA367" s="6">
        <v>48663.73</v>
      </c>
      <c r="AB367" s="1" t="s">
        <v>2167</v>
      </c>
      <c r="AC367" s="1" t="s">
        <v>2162</v>
      </c>
      <c r="AD367" s="1" t="s">
        <v>1100</v>
      </c>
      <c r="AE367" s="1" t="s">
        <v>1522</v>
      </c>
      <c r="AF367" s="1" t="s">
        <v>1186</v>
      </c>
      <c r="AG367" s="1" t="s">
        <v>1522</v>
      </c>
      <c r="AH367" s="6">
        <v>48663.73</v>
      </c>
      <c r="AI367" s="6">
        <v>48663.73</v>
      </c>
      <c r="AJ367" s="1" t="s">
        <v>2067</v>
      </c>
      <c r="AK367" s="1"/>
      <c r="AL367" s="1"/>
      <c r="AM367" s="1" t="s">
        <v>2067</v>
      </c>
      <c r="AN367" s="1" t="s">
        <v>904</v>
      </c>
      <c r="AO367" s="1"/>
      <c r="AP367" s="1" t="s">
        <v>105</v>
      </c>
      <c r="AQ367" s="1"/>
      <c r="AR367" s="1"/>
      <c r="AS367" s="2"/>
      <c r="AT367" s="1"/>
      <c r="AU367" s="1"/>
      <c r="AV367" s="1"/>
      <c r="AW367" s="1" t="s">
        <v>2152</v>
      </c>
      <c r="AX367" s="7">
        <v>45021.63522262605</v>
      </c>
      <c r="AY367" s="1" t="s">
        <v>878</v>
      </c>
      <c r="AZ367" s="6">
        <v>48663.73</v>
      </c>
      <c r="BA367" s="1"/>
      <c r="BB367" s="5">
        <v>45107</v>
      </c>
      <c r="BC367" s="5">
        <v>45021</v>
      </c>
      <c r="BD367" s="5">
        <v>45021</v>
      </c>
      <c r="BE367" s="7">
        <v>45291</v>
      </c>
      <c r="BF367" s="1" t="s">
        <v>2170</v>
      </c>
      <c r="BG367" s="1"/>
      <c r="BH367" s="1"/>
      <c r="BI367" s="1" t="s">
        <v>108</v>
      </c>
    </row>
    <row r="368" spans="1:61" hidden="1" x14ac:dyDescent="0.25">
      <c r="A368" s="4">
        <v>363</v>
      </c>
      <c r="B368" s="2" t="str">
        <f>HYPERLINK("https://my.zakupivli.pro/remote/dispatcher/state_purchase_view/41826992", "UA-2023-04-05-008761-a")</f>
        <v>UA-2023-04-05-008761-a</v>
      </c>
      <c r="C368" s="2" t="s">
        <v>1516</v>
      </c>
      <c r="D368" s="1" t="s">
        <v>1743</v>
      </c>
      <c r="E368" s="1" t="s">
        <v>1743</v>
      </c>
      <c r="F368" s="1" t="s">
        <v>487</v>
      </c>
      <c r="G368" s="1" t="s">
        <v>966</v>
      </c>
      <c r="H368" s="1" t="s">
        <v>1218</v>
      </c>
      <c r="I368" s="1" t="s">
        <v>2094</v>
      </c>
      <c r="J368" s="1" t="s">
        <v>1145</v>
      </c>
      <c r="K368" s="1" t="s">
        <v>947</v>
      </c>
      <c r="L368" s="1" t="s">
        <v>1533</v>
      </c>
      <c r="M368" s="1" t="s">
        <v>1533</v>
      </c>
      <c r="N368" s="1" t="s">
        <v>110</v>
      </c>
      <c r="O368" s="1" t="s">
        <v>110</v>
      </c>
      <c r="P368" s="1" t="s">
        <v>110</v>
      </c>
      <c r="Q368" s="5">
        <v>45021</v>
      </c>
      <c r="R368" s="1"/>
      <c r="S368" s="1"/>
      <c r="T368" s="1"/>
      <c r="U368" s="1"/>
      <c r="V368" s="1" t="s">
        <v>2146</v>
      </c>
      <c r="W368" s="4">
        <v>1</v>
      </c>
      <c r="X368" s="6">
        <v>3648.17</v>
      </c>
      <c r="Y368" s="1" t="s">
        <v>1516</v>
      </c>
      <c r="Z368" s="1">
        <v>1</v>
      </c>
      <c r="AA368" s="6">
        <v>3648.17</v>
      </c>
      <c r="AB368" s="1" t="s">
        <v>2167</v>
      </c>
      <c r="AC368" s="1" t="s">
        <v>2162</v>
      </c>
      <c r="AD368" s="1" t="s">
        <v>1100</v>
      </c>
      <c r="AE368" s="1" t="s">
        <v>1522</v>
      </c>
      <c r="AF368" s="1" t="s">
        <v>1186</v>
      </c>
      <c r="AG368" s="1" t="s">
        <v>1522</v>
      </c>
      <c r="AH368" s="6">
        <v>3648.17</v>
      </c>
      <c r="AI368" s="6">
        <v>3648.17</v>
      </c>
      <c r="AJ368" s="1" t="s">
        <v>2067</v>
      </c>
      <c r="AK368" s="1"/>
      <c r="AL368" s="1"/>
      <c r="AM368" s="1" t="s">
        <v>2067</v>
      </c>
      <c r="AN368" s="1" t="s">
        <v>904</v>
      </c>
      <c r="AO368" s="1"/>
      <c r="AP368" s="1" t="s">
        <v>23</v>
      </c>
      <c r="AQ368" s="1"/>
      <c r="AR368" s="1"/>
      <c r="AS368" s="2"/>
      <c r="AT368" s="1"/>
      <c r="AU368" s="1"/>
      <c r="AV368" s="1"/>
      <c r="AW368" s="1" t="s">
        <v>2152</v>
      </c>
      <c r="AX368" s="7">
        <v>45021.637999171311</v>
      </c>
      <c r="AY368" s="1" t="s">
        <v>865</v>
      </c>
      <c r="AZ368" s="6">
        <v>3648.17</v>
      </c>
      <c r="BA368" s="1"/>
      <c r="BB368" s="5">
        <v>45107</v>
      </c>
      <c r="BC368" s="5">
        <v>45021</v>
      </c>
      <c r="BD368" s="5">
        <v>45021</v>
      </c>
      <c r="BE368" s="7">
        <v>45291</v>
      </c>
      <c r="BF368" s="1" t="s">
        <v>2170</v>
      </c>
      <c r="BG368" s="1"/>
      <c r="BH368" s="1"/>
      <c r="BI368" s="1" t="s">
        <v>108</v>
      </c>
    </row>
    <row r="369" spans="1:61" hidden="1" x14ac:dyDescent="0.25">
      <c r="A369" s="4">
        <v>364</v>
      </c>
      <c r="B369" s="2" t="str">
        <f>HYPERLINK("https://my.zakupivli.pro/remote/dispatcher/state_purchase_view/41825889", "UA-2023-04-05-008312-a")</f>
        <v>UA-2023-04-05-008312-a</v>
      </c>
      <c r="C369" s="2" t="s">
        <v>1516</v>
      </c>
      <c r="D369" s="1" t="s">
        <v>1778</v>
      </c>
      <c r="E369" s="1" t="s">
        <v>1778</v>
      </c>
      <c r="F369" s="1" t="s">
        <v>487</v>
      </c>
      <c r="G369" s="1" t="s">
        <v>966</v>
      </c>
      <c r="H369" s="1" t="s">
        <v>1218</v>
      </c>
      <c r="I369" s="1" t="s">
        <v>2094</v>
      </c>
      <c r="J369" s="1" t="s">
        <v>1145</v>
      </c>
      <c r="K369" s="1" t="s">
        <v>947</v>
      </c>
      <c r="L369" s="1" t="s">
        <v>1533</v>
      </c>
      <c r="M369" s="1" t="s">
        <v>1533</v>
      </c>
      <c r="N369" s="1" t="s">
        <v>110</v>
      </c>
      <c r="O369" s="1" t="s">
        <v>110</v>
      </c>
      <c r="P369" s="1" t="s">
        <v>110</v>
      </c>
      <c r="Q369" s="5">
        <v>45021</v>
      </c>
      <c r="R369" s="1"/>
      <c r="S369" s="1"/>
      <c r="T369" s="1"/>
      <c r="U369" s="1"/>
      <c r="V369" s="1" t="s">
        <v>2146</v>
      </c>
      <c r="W369" s="4">
        <v>1</v>
      </c>
      <c r="X369" s="6">
        <v>70432.08</v>
      </c>
      <c r="Y369" s="1" t="s">
        <v>1516</v>
      </c>
      <c r="Z369" s="1">
        <v>1</v>
      </c>
      <c r="AA369" s="6">
        <v>70432.08</v>
      </c>
      <c r="AB369" s="1" t="s">
        <v>2167</v>
      </c>
      <c r="AC369" s="1" t="s">
        <v>2162</v>
      </c>
      <c r="AD369" s="1" t="s">
        <v>1100</v>
      </c>
      <c r="AE369" s="1" t="s">
        <v>1522</v>
      </c>
      <c r="AF369" s="1" t="s">
        <v>1186</v>
      </c>
      <c r="AG369" s="1" t="s">
        <v>1522</v>
      </c>
      <c r="AH369" s="6">
        <v>70432.08</v>
      </c>
      <c r="AI369" s="6">
        <v>70432.08</v>
      </c>
      <c r="AJ369" s="1" t="s">
        <v>2067</v>
      </c>
      <c r="AK369" s="1"/>
      <c r="AL369" s="1"/>
      <c r="AM369" s="1" t="s">
        <v>2067</v>
      </c>
      <c r="AN369" s="1" t="s">
        <v>904</v>
      </c>
      <c r="AO369" s="1"/>
      <c r="AP369" s="1" t="s">
        <v>23</v>
      </c>
      <c r="AQ369" s="1"/>
      <c r="AR369" s="1"/>
      <c r="AS369" s="2"/>
      <c r="AT369" s="1"/>
      <c r="AU369" s="1"/>
      <c r="AV369" s="1"/>
      <c r="AW369" s="1" t="s">
        <v>2152</v>
      </c>
      <c r="AX369" s="7">
        <v>45021.626544523264</v>
      </c>
      <c r="AY369" s="1" t="s">
        <v>860</v>
      </c>
      <c r="AZ369" s="6">
        <v>70432.08</v>
      </c>
      <c r="BA369" s="1"/>
      <c r="BB369" s="5">
        <v>45107</v>
      </c>
      <c r="BC369" s="5">
        <v>45021</v>
      </c>
      <c r="BD369" s="5">
        <v>45021</v>
      </c>
      <c r="BE369" s="7">
        <v>45291</v>
      </c>
      <c r="BF369" s="1" t="s">
        <v>2170</v>
      </c>
      <c r="BG369" s="1"/>
      <c r="BH369" s="1"/>
      <c r="BI369" s="1" t="s">
        <v>108</v>
      </c>
    </row>
    <row r="370" spans="1:61" hidden="1" x14ac:dyDescent="0.25">
      <c r="A370" s="4">
        <v>365</v>
      </c>
      <c r="B370" s="2" t="str">
        <f>HYPERLINK("https://my.zakupivli.pro/remote/dispatcher/state_purchase_view/41726815", "UA-2023-03-30-006127-a")</f>
        <v>UA-2023-03-30-006127-a</v>
      </c>
      <c r="C370" s="2" t="str">
        <f>HYPERLINK("https://my.zakupivli.pro/remote/dispatcher/state_purchase_lot_view/908969", "UA-2023-03-30-006127-a-L1")</f>
        <v>UA-2023-03-30-006127-a-L1</v>
      </c>
      <c r="D370" s="1" t="s">
        <v>1754</v>
      </c>
      <c r="E370" s="1" t="s">
        <v>1753</v>
      </c>
      <c r="F370" s="1" t="s">
        <v>487</v>
      </c>
      <c r="G370" s="1" t="s">
        <v>966</v>
      </c>
      <c r="H370" s="1" t="s">
        <v>1185</v>
      </c>
      <c r="I370" s="1" t="s">
        <v>2094</v>
      </c>
      <c r="J370" s="1" t="s">
        <v>1145</v>
      </c>
      <c r="K370" s="1" t="s">
        <v>947</v>
      </c>
      <c r="L370" s="1" t="s">
        <v>1533</v>
      </c>
      <c r="M370" s="1" t="s">
        <v>1533</v>
      </c>
      <c r="N370" s="1" t="s">
        <v>110</v>
      </c>
      <c r="O370" s="1" t="s">
        <v>110</v>
      </c>
      <c r="P370" s="1" t="s">
        <v>110</v>
      </c>
      <c r="Q370" s="5">
        <v>45015</v>
      </c>
      <c r="R370" s="1" t="s">
        <v>507</v>
      </c>
      <c r="S370" s="1" t="s">
        <v>508</v>
      </c>
      <c r="T370" s="5">
        <v>45015</v>
      </c>
      <c r="U370" s="5">
        <v>45023</v>
      </c>
      <c r="V370" s="1" t="s">
        <v>2147</v>
      </c>
      <c r="W370" s="4">
        <v>1</v>
      </c>
      <c r="X370" s="6">
        <v>273351</v>
      </c>
      <c r="Y370" s="6">
        <v>273351</v>
      </c>
      <c r="Z370" s="1">
        <v>1</v>
      </c>
      <c r="AA370" s="6">
        <v>273351</v>
      </c>
      <c r="AB370" s="1" t="s">
        <v>2167</v>
      </c>
      <c r="AC370" s="6">
        <v>2733.51</v>
      </c>
      <c r="AD370" s="1" t="s">
        <v>1100</v>
      </c>
      <c r="AE370" s="1" t="s">
        <v>2094</v>
      </c>
      <c r="AF370" s="1" t="s">
        <v>1186</v>
      </c>
      <c r="AG370" s="1" t="s">
        <v>1522</v>
      </c>
      <c r="AH370" s="6">
        <v>273350</v>
      </c>
      <c r="AI370" s="6">
        <v>273350</v>
      </c>
      <c r="AJ370" s="1" t="s">
        <v>2044</v>
      </c>
      <c r="AK370" s="6">
        <v>1</v>
      </c>
      <c r="AL370" s="6">
        <v>3.6583001342596148E-6</v>
      </c>
      <c r="AM370" s="1" t="s">
        <v>2044</v>
      </c>
      <c r="AN370" s="1" t="s">
        <v>913</v>
      </c>
      <c r="AO370" s="1" t="s">
        <v>1124</v>
      </c>
      <c r="AP370" s="1" t="s">
        <v>44</v>
      </c>
      <c r="AQ370" s="6">
        <v>1</v>
      </c>
      <c r="AR370" s="6">
        <v>3.6583001342596148E-6</v>
      </c>
      <c r="AS370" s="2"/>
      <c r="AT370" s="7">
        <v>45028.665891955614</v>
      </c>
      <c r="AU370" s="1" t="s">
        <v>514</v>
      </c>
      <c r="AV370" s="1" t="s">
        <v>517</v>
      </c>
      <c r="AW370" s="1" t="s">
        <v>2151</v>
      </c>
      <c r="AX370" s="7">
        <v>45034.6855233428</v>
      </c>
      <c r="AY370" s="1" t="s">
        <v>986</v>
      </c>
      <c r="AZ370" s="6">
        <v>273350</v>
      </c>
      <c r="BA370" s="1"/>
      <c r="BB370" s="5">
        <v>45107</v>
      </c>
      <c r="BC370" s="5">
        <v>45034</v>
      </c>
      <c r="BD370" s="5">
        <v>45034</v>
      </c>
      <c r="BE370" s="7">
        <v>45291</v>
      </c>
      <c r="BF370" s="1" t="s">
        <v>2170</v>
      </c>
      <c r="BG370" s="1"/>
      <c r="BH370" s="1"/>
      <c r="BI370" s="1" t="s">
        <v>914</v>
      </c>
    </row>
    <row r="371" spans="1:61" hidden="1" x14ac:dyDescent="0.25">
      <c r="A371" s="4">
        <v>366</v>
      </c>
      <c r="B371" s="2" t="str">
        <f>HYPERLINK("https://my.zakupivli.pro/remote/dispatcher/state_purchase_view/41487666", "UA-2023-03-17-008294-a")</f>
        <v>UA-2023-03-17-008294-a</v>
      </c>
      <c r="C371" s="2" t="s">
        <v>1516</v>
      </c>
      <c r="D371" s="1" t="s">
        <v>1171</v>
      </c>
      <c r="E371" s="1" t="s">
        <v>1172</v>
      </c>
      <c r="F371" s="1" t="s">
        <v>487</v>
      </c>
      <c r="G371" s="1" t="s">
        <v>1036</v>
      </c>
      <c r="H371" s="1" t="s">
        <v>1218</v>
      </c>
      <c r="I371" s="1" t="s">
        <v>2094</v>
      </c>
      <c r="J371" s="1" t="s">
        <v>1145</v>
      </c>
      <c r="K371" s="1" t="s">
        <v>947</v>
      </c>
      <c r="L371" s="1" t="s">
        <v>1533</v>
      </c>
      <c r="M371" s="1" t="s">
        <v>1533</v>
      </c>
      <c r="N371" s="1" t="s">
        <v>110</v>
      </c>
      <c r="O371" s="1" t="s">
        <v>110</v>
      </c>
      <c r="P371" s="1" t="s">
        <v>110</v>
      </c>
      <c r="Q371" s="5">
        <v>45002</v>
      </c>
      <c r="R371" s="1"/>
      <c r="S371" s="1"/>
      <c r="T371" s="1"/>
      <c r="U371" s="1"/>
      <c r="V371" s="1" t="s">
        <v>2146</v>
      </c>
      <c r="W371" s="4">
        <v>1</v>
      </c>
      <c r="X371" s="6">
        <v>89820</v>
      </c>
      <c r="Y371" s="1" t="s">
        <v>1516</v>
      </c>
      <c r="Z371" s="1">
        <v>8</v>
      </c>
      <c r="AA371" s="6">
        <v>11227.5</v>
      </c>
      <c r="AB371" s="1" t="s">
        <v>2157</v>
      </c>
      <c r="AC371" s="1" t="s">
        <v>2162</v>
      </c>
      <c r="AD371" s="1" t="s">
        <v>1100</v>
      </c>
      <c r="AE371" s="1" t="s">
        <v>1522</v>
      </c>
      <c r="AF371" s="1" t="s">
        <v>1186</v>
      </c>
      <c r="AG371" s="1" t="s">
        <v>1522</v>
      </c>
      <c r="AH371" s="6">
        <v>89820</v>
      </c>
      <c r="AI371" s="6">
        <v>11227.5</v>
      </c>
      <c r="AJ371" s="1" t="s">
        <v>2088</v>
      </c>
      <c r="AK371" s="1"/>
      <c r="AL371" s="1"/>
      <c r="AM371" s="1" t="s">
        <v>2088</v>
      </c>
      <c r="AN371" s="1" t="s">
        <v>936</v>
      </c>
      <c r="AO371" s="1"/>
      <c r="AP371" s="1" t="s">
        <v>42</v>
      </c>
      <c r="AQ371" s="1"/>
      <c r="AR371" s="1"/>
      <c r="AS371" s="2"/>
      <c r="AT371" s="1"/>
      <c r="AU371" s="1"/>
      <c r="AV371" s="1"/>
      <c r="AW371" s="1" t="s">
        <v>2152</v>
      </c>
      <c r="AX371" s="7">
        <v>45002.617863986423</v>
      </c>
      <c r="AY371" s="1" t="s">
        <v>812</v>
      </c>
      <c r="AZ371" s="6">
        <v>89820</v>
      </c>
      <c r="BA371" s="1"/>
      <c r="BB371" s="5">
        <v>45046</v>
      </c>
      <c r="BC371" s="5">
        <v>44999</v>
      </c>
      <c r="BD371" s="5">
        <v>44956</v>
      </c>
      <c r="BE371" s="7">
        <v>45291</v>
      </c>
      <c r="BF371" s="1" t="s">
        <v>2170</v>
      </c>
      <c r="BG371" s="1"/>
      <c r="BH371" s="1"/>
      <c r="BI371" s="1" t="s">
        <v>108</v>
      </c>
    </row>
    <row r="372" spans="1:61" hidden="1" x14ac:dyDescent="0.25">
      <c r="A372" s="4">
        <v>367</v>
      </c>
      <c r="B372" s="2" t="str">
        <f>HYPERLINK("https://my.zakupivli.pro/remote/dispatcher/state_purchase_view/41267883", "UA-2023-03-07-005079-a")</f>
        <v>UA-2023-03-07-005079-a</v>
      </c>
      <c r="C372" s="2" t="str">
        <f>HYPERLINK("https://my.zakupivli.pro/remote/dispatcher/state_purchase_lot_view/887514", "UA-2023-03-07-005079-a-L1")</f>
        <v>UA-2023-03-07-005079-a-L1</v>
      </c>
      <c r="D372" s="1" t="s">
        <v>1780</v>
      </c>
      <c r="E372" s="1" t="s">
        <v>1779</v>
      </c>
      <c r="F372" s="1" t="s">
        <v>487</v>
      </c>
      <c r="G372" s="1" t="s">
        <v>966</v>
      </c>
      <c r="H372" s="1" t="s">
        <v>1185</v>
      </c>
      <c r="I372" s="1" t="s">
        <v>2094</v>
      </c>
      <c r="J372" s="1" t="s">
        <v>1145</v>
      </c>
      <c r="K372" s="1" t="s">
        <v>947</v>
      </c>
      <c r="L372" s="1" t="s">
        <v>1533</v>
      </c>
      <c r="M372" s="1" t="s">
        <v>1533</v>
      </c>
      <c r="N372" s="1" t="s">
        <v>110</v>
      </c>
      <c r="O372" s="1" t="s">
        <v>110</v>
      </c>
      <c r="P372" s="1" t="s">
        <v>153</v>
      </c>
      <c r="Q372" s="5">
        <v>44992</v>
      </c>
      <c r="R372" s="1" t="s">
        <v>503</v>
      </c>
      <c r="S372" s="1" t="s">
        <v>505</v>
      </c>
      <c r="T372" s="5">
        <v>44992</v>
      </c>
      <c r="U372" s="5">
        <v>45000</v>
      </c>
      <c r="V372" s="1" t="s">
        <v>2147</v>
      </c>
      <c r="W372" s="4">
        <v>2</v>
      </c>
      <c r="X372" s="6">
        <v>513976</v>
      </c>
      <c r="Y372" s="6">
        <v>513976</v>
      </c>
      <c r="Z372" s="1">
        <v>1</v>
      </c>
      <c r="AA372" s="6">
        <v>513976</v>
      </c>
      <c r="AB372" s="1" t="s">
        <v>2167</v>
      </c>
      <c r="AC372" s="6">
        <v>5139.76</v>
      </c>
      <c r="AD372" s="1" t="s">
        <v>1100</v>
      </c>
      <c r="AE372" s="1" t="s">
        <v>2094</v>
      </c>
      <c r="AF372" s="1" t="s">
        <v>1186</v>
      </c>
      <c r="AG372" s="1" t="s">
        <v>1522</v>
      </c>
      <c r="AH372" s="6">
        <v>450881.15</v>
      </c>
      <c r="AI372" s="6">
        <v>450881.15</v>
      </c>
      <c r="AJ372" s="1" t="s">
        <v>2066</v>
      </c>
      <c r="AK372" s="6">
        <v>63094.849999999977</v>
      </c>
      <c r="AL372" s="6">
        <v>0.1227583583669276</v>
      </c>
      <c r="AM372" s="1" t="s">
        <v>2036</v>
      </c>
      <c r="AN372" s="1" t="s">
        <v>904</v>
      </c>
      <c r="AO372" s="1" t="s">
        <v>1132</v>
      </c>
      <c r="AP372" s="1" t="s">
        <v>75</v>
      </c>
      <c r="AQ372" s="6">
        <v>20011</v>
      </c>
      <c r="AR372" s="6">
        <v>3.8933724531884754E-2</v>
      </c>
      <c r="AS372" s="2"/>
      <c r="AT372" s="7">
        <v>45009.555147285821</v>
      </c>
      <c r="AU372" s="1" t="s">
        <v>507</v>
      </c>
      <c r="AV372" s="1" t="s">
        <v>510</v>
      </c>
      <c r="AW372" s="1" t="s">
        <v>2151</v>
      </c>
      <c r="AX372" s="7">
        <v>45015.45621567862</v>
      </c>
      <c r="AY372" s="1" t="s">
        <v>849</v>
      </c>
      <c r="AZ372" s="6">
        <v>493965</v>
      </c>
      <c r="BA372" s="1"/>
      <c r="BB372" s="5">
        <v>45107</v>
      </c>
      <c r="BC372" s="5">
        <v>45015</v>
      </c>
      <c r="BD372" s="5">
        <v>45015</v>
      </c>
      <c r="BE372" s="7">
        <v>45291</v>
      </c>
      <c r="BF372" s="1" t="s">
        <v>2170</v>
      </c>
      <c r="BG372" s="1"/>
      <c r="BH372" s="1"/>
      <c r="BI372" s="1" t="s">
        <v>836</v>
      </c>
    </row>
    <row r="373" spans="1:61" hidden="1" x14ac:dyDescent="0.25">
      <c r="A373" s="4">
        <v>368</v>
      </c>
      <c r="B373" s="2" t="str">
        <f>HYPERLINK("https://my.zakupivli.pro/remote/dispatcher/state_purchase_view/41271854", "UA-2023-03-07-006851-a")</f>
        <v>UA-2023-03-07-006851-a</v>
      </c>
      <c r="C373" s="2" t="s">
        <v>1516</v>
      </c>
      <c r="D373" s="1" t="s">
        <v>1671</v>
      </c>
      <c r="E373" s="1" t="s">
        <v>1220</v>
      </c>
      <c r="F373" s="1" t="s">
        <v>487</v>
      </c>
      <c r="G373" s="1" t="s">
        <v>991</v>
      </c>
      <c r="H373" s="1" t="s">
        <v>1218</v>
      </c>
      <c r="I373" s="1" t="s">
        <v>2094</v>
      </c>
      <c r="J373" s="1" t="s">
        <v>1145</v>
      </c>
      <c r="K373" s="1" t="s">
        <v>947</v>
      </c>
      <c r="L373" s="1" t="s">
        <v>1533</v>
      </c>
      <c r="M373" s="1" t="s">
        <v>1533</v>
      </c>
      <c r="N373" s="1" t="s">
        <v>110</v>
      </c>
      <c r="O373" s="1" t="s">
        <v>110</v>
      </c>
      <c r="P373" s="1" t="s">
        <v>110</v>
      </c>
      <c r="Q373" s="5">
        <v>44992</v>
      </c>
      <c r="R373" s="1"/>
      <c r="S373" s="1"/>
      <c r="T373" s="1"/>
      <c r="U373" s="1"/>
      <c r="V373" s="1" t="s">
        <v>2146</v>
      </c>
      <c r="W373" s="4">
        <v>1</v>
      </c>
      <c r="X373" s="6">
        <v>34740</v>
      </c>
      <c r="Y373" s="1" t="s">
        <v>1516</v>
      </c>
      <c r="Z373" s="1">
        <v>193</v>
      </c>
      <c r="AA373" s="6">
        <v>180</v>
      </c>
      <c r="AB373" s="1" t="s">
        <v>2157</v>
      </c>
      <c r="AC373" s="1" t="s">
        <v>2162</v>
      </c>
      <c r="AD373" s="1" t="s">
        <v>1100</v>
      </c>
      <c r="AE373" s="1" t="s">
        <v>1522</v>
      </c>
      <c r="AF373" s="1" t="s">
        <v>1186</v>
      </c>
      <c r="AG373" s="1" t="s">
        <v>1522</v>
      </c>
      <c r="AH373" s="6">
        <v>34740</v>
      </c>
      <c r="AI373" s="6">
        <v>180</v>
      </c>
      <c r="AJ373" s="1" t="s">
        <v>2026</v>
      </c>
      <c r="AK373" s="1"/>
      <c r="AL373" s="1"/>
      <c r="AM373" s="1" t="s">
        <v>2026</v>
      </c>
      <c r="AN373" s="1" t="s">
        <v>818</v>
      </c>
      <c r="AO373" s="1"/>
      <c r="AP373" s="1" t="s">
        <v>98</v>
      </c>
      <c r="AQ373" s="1"/>
      <c r="AR373" s="1"/>
      <c r="AS373" s="2"/>
      <c r="AT373" s="1"/>
      <c r="AU373" s="1"/>
      <c r="AV373" s="1"/>
      <c r="AW373" s="1" t="s">
        <v>2152</v>
      </c>
      <c r="AX373" s="7">
        <v>44992.57838081177</v>
      </c>
      <c r="AY373" s="1" t="s">
        <v>802</v>
      </c>
      <c r="AZ373" s="6">
        <v>34740</v>
      </c>
      <c r="BA373" s="5">
        <v>44992</v>
      </c>
      <c r="BB373" s="5">
        <v>45282</v>
      </c>
      <c r="BC373" s="5">
        <v>44992</v>
      </c>
      <c r="BD373" s="5">
        <v>44992</v>
      </c>
      <c r="BE373" s="7">
        <v>45291</v>
      </c>
      <c r="BF373" s="1" t="s">
        <v>2170</v>
      </c>
      <c r="BG373" s="1"/>
      <c r="BH373" s="1"/>
      <c r="BI373" s="1" t="s">
        <v>108</v>
      </c>
    </row>
    <row r="374" spans="1:61" hidden="1" x14ac:dyDescent="0.25">
      <c r="A374" s="4">
        <v>369</v>
      </c>
      <c r="B374" s="2" t="str">
        <f>HYPERLINK("https://my.zakupivli.pro/remote/dispatcher/state_purchase_view/41268839", "UA-2023-03-07-005484-a")</f>
        <v>UA-2023-03-07-005484-a</v>
      </c>
      <c r="C374" s="2" t="str">
        <f>HYPERLINK("https://my.zakupivli.pro/remote/dispatcher/state_purchase_lot_view/887565", "UA-2023-03-07-005484-a-L1")</f>
        <v>UA-2023-03-07-005484-a-L1</v>
      </c>
      <c r="D374" s="1" t="s">
        <v>1785</v>
      </c>
      <c r="E374" s="1" t="s">
        <v>1784</v>
      </c>
      <c r="F374" s="1" t="s">
        <v>487</v>
      </c>
      <c r="G374" s="1" t="s">
        <v>966</v>
      </c>
      <c r="H374" s="1" t="s">
        <v>1185</v>
      </c>
      <c r="I374" s="1" t="s">
        <v>2094</v>
      </c>
      <c r="J374" s="1" t="s">
        <v>1145</v>
      </c>
      <c r="K374" s="1" t="s">
        <v>947</v>
      </c>
      <c r="L374" s="1" t="s">
        <v>1533</v>
      </c>
      <c r="M374" s="1" t="s">
        <v>1533</v>
      </c>
      <c r="N374" s="1" t="s">
        <v>110</v>
      </c>
      <c r="O374" s="1" t="s">
        <v>110</v>
      </c>
      <c r="P374" s="1" t="s">
        <v>110</v>
      </c>
      <c r="Q374" s="5">
        <v>44992</v>
      </c>
      <c r="R374" s="1" t="s">
        <v>503</v>
      </c>
      <c r="S374" s="1" t="s">
        <v>505</v>
      </c>
      <c r="T374" s="5">
        <v>44992</v>
      </c>
      <c r="U374" s="5">
        <v>45000</v>
      </c>
      <c r="V374" s="1" t="s">
        <v>2147</v>
      </c>
      <c r="W374" s="4">
        <v>1</v>
      </c>
      <c r="X374" s="6">
        <v>781522</v>
      </c>
      <c r="Y374" s="6">
        <v>781522</v>
      </c>
      <c r="Z374" s="1">
        <v>1</v>
      </c>
      <c r="AA374" s="6">
        <v>781522</v>
      </c>
      <c r="AB374" s="1" t="s">
        <v>2167</v>
      </c>
      <c r="AC374" s="6">
        <v>7815.22</v>
      </c>
      <c r="AD374" s="1" t="s">
        <v>1100</v>
      </c>
      <c r="AE374" s="1" t="s">
        <v>2094</v>
      </c>
      <c r="AF374" s="1" t="s">
        <v>1186</v>
      </c>
      <c r="AG374" s="1" t="s">
        <v>1522</v>
      </c>
      <c r="AH374" s="6">
        <v>757533</v>
      </c>
      <c r="AI374" s="6">
        <v>757533</v>
      </c>
      <c r="AJ374" s="1" t="s">
        <v>2036</v>
      </c>
      <c r="AK374" s="6">
        <v>23989</v>
      </c>
      <c r="AL374" s="6">
        <v>3.0695233147627322E-2</v>
      </c>
      <c r="AM374" s="1" t="s">
        <v>2036</v>
      </c>
      <c r="AN374" s="1" t="s">
        <v>904</v>
      </c>
      <c r="AO374" s="1" t="s">
        <v>1132</v>
      </c>
      <c r="AP374" s="1" t="s">
        <v>75</v>
      </c>
      <c r="AQ374" s="6">
        <v>23989</v>
      </c>
      <c r="AR374" s="6">
        <v>3.0695233147627322E-2</v>
      </c>
      <c r="AS374" s="2"/>
      <c r="AT374" s="7">
        <v>45007.424812893856</v>
      </c>
      <c r="AU374" s="1" t="s">
        <v>506</v>
      </c>
      <c r="AV374" s="1" t="s">
        <v>509</v>
      </c>
      <c r="AW374" s="1" t="s">
        <v>2151</v>
      </c>
      <c r="AX374" s="7">
        <v>45015.452462346606</v>
      </c>
      <c r="AY374" s="1" t="s">
        <v>830</v>
      </c>
      <c r="AZ374" s="6">
        <v>757533</v>
      </c>
      <c r="BA374" s="1"/>
      <c r="BB374" s="5">
        <v>45107</v>
      </c>
      <c r="BC374" s="5">
        <v>45015</v>
      </c>
      <c r="BD374" s="5">
        <v>45015</v>
      </c>
      <c r="BE374" s="7">
        <v>45291</v>
      </c>
      <c r="BF374" s="1" t="s">
        <v>2170</v>
      </c>
      <c r="BG374" s="1"/>
      <c r="BH374" s="1"/>
      <c r="BI374" s="1" t="s">
        <v>905</v>
      </c>
    </row>
    <row r="375" spans="1:61" hidden="1" x14ac:dyDescent="0.25">
      <c r="A375" s="4">
        <v>370</v>
      </c>
      <c r="B375" s="2" t="str">
        <f>HYPERLINK("https://my.zakupivli.pro/remote/dispatcher/state_purchase_view/41268543", "UA-2023-03-07-005391-a")</f>
        <v>UA-2023-03-07-005391-a</v>
      </c>
      <c r="C375" s="2" t="str">
        <f>HYPERLINK("https://my.zakupivli.pro/remote/dispatcher/state_purchase_lot_view/887556", "UA-2023-03-07-005391-a-L1")</f>
        <v>UA-2023-03-07-005391-a-L1</v>
      </c>
      <c r="D375" s="1" t="s">
        <v>1777</v>
      </c>
      <c r="E375" s="1" t="s">
        <v>1776</v>
      </c>
      <c r="F375" s="1" t="s">
        <v>487</v>
      </c>
      <c r="G375" s="1" t="s">
        <v>966</v>
      </c>
      <c r="H375" s="1" t="s">
        <v>1185</v>
      </c>
      <c r="I375" s="1" t="s">
        <v>2094</v>
      </c>
      <c r="J375" s="1" t="s">
        <v>1145</v>
      </c>
      <c r="K375" s="1" t="s">
        <v>947</v>
      </c>
      <c r="L375" s="1" t="s">
        <v>1533</v>
      </c>
      <c r="M375" s="1" t="s">
        <v>1533</v>
      </c>
      <c r="N375" s="1" t="s">
        <v>110</v>
      </c>
      <c r="O375" s="1" t="s">
        <v>110</v>
      </c>
      <c r="P375" s="1" t="s">
        <v>153</v>
      </c>
      <c r="Q375" s="5">
        <v>44992</v>
      </c>
      <c r="R375" s="1" t="s">
        <v>503</v>
      </c>
      <c r="S375" s="1" t="s">
        <v>505</v>
      </c>
      <c r="T375" s="5">
        <v>44992</v>
      </c>
      <c r="U375" s="5">
        <v>45000</v>
      </c>
      <c r="V375" s="1" t="s">
        <v>2147</v>
      </c>
      <c r="W375" s="4">
        <v>2</v>
      </c>
      <c r="X375" s="6">
        <v>308501</v>
      </c>
      <c r="Y375" s="6">
        <v>308501</v>
      </c>
      <c r="Z375" s="1">
        <v>1</v>
      </c>
      <c r="AA375" s="6">
        <v>308501</v>
      </c>
      <c r="AB375" s="1" t="s">
        <v>2167</v>
      </c>
      <c r="AC375" s="6">
        <v>3085.01</v>
      </c>
      <c r="AD375" s="1" t="s">
        <v>1100</v>
      </c>
      <c r="AE375" s="1" t="s">
        <v>2094</v>
      </c>
      <c r="AF375" s="1" t="s">
        <v>1186</v>
      </c>
      <c r="AG375" s="1" t="s">
        <v>1522</v>
      </c>
      <c r="AH375" s="6">
        <v>260196.13</v>
      </c>
      <c r="AI375" s="6">
        <v>260196.13</v>
      </c>
      <c r="AJ375" s="1" t="s">
        <v>2066</v>
      </c>
      <c r="AK375" s="6">
        <v>48304.869999999995</v>
      </c>
      <c r="AL375" s="6">
        <v>0.15657929796013625</v>
      </c>
      <c r="AM375" s="1" t="s">
        <v>2036</v>
      </c>
      <c r="AN375" s="1" t="s">
        <v>904</v>
      </c>
      <c r="AO375" s="1" t="s">
        <v>1132</v>
      </c>
      <c r="AP375" s="1" t="s">
        <v>75</v>
      </c>
      <c r="AQ375" s="6">
        <v>19987</v>
      </c>
      <c r="AR375" s="6">
        <v>6.478747232585956E-2</v>
      </c>
      <c r="AS375" s="2"/>
      <c r="AT375" s="7">
        <v>45009.55183843046</v>
      </c>
      <c r="AU375" s="1" t="s">
        <v>507</v>
      </c>
      <c r="AV375" s="1" t="s">
        <v>510</v>
      </c>
      <c r="AW375" s="1" t="s">
        <v>2151</v>
      </c>
      <c r="AX375" s="7">
        <v>45015.454996961606</v>
      </c>
      <c r="AY375" s="1" t="s">
        <v>839</v>
      </c>
      <c r="AZ375" s="6">
        <v>288514</v>
      </c>
      <c r="BA375" s="1"/>
      <c r="BB375" s="5">
        <v>45107</v>
      </c>
      <c r="BC375" s="5">
        <v>45015</v>
      </c>
      <c r="BD375" s="5">
        <v>45015</v>
      </c>
      <c r="BE375" s="7">
        <v>45291</v>
      </c>
      <c r="BF375" s="1" t="s">
        <v>2170</v>
      </c>
      <c r="BG375" s="1"/>
      <c r="BH375" s="1"/>
      <c r="BI375" s="1" t="s">
        <v>836</v>
      </c>
    </row>
    <row r="376" spans="1:61" hidden="1" x14ac:dyDescent="0.25">
      <c r="A376" s="4">
        <v>371</v>
      </c>
      <c r="B376" s="2" t="str">
        <f>HYPERLINK("https://my.zakupivli.pro/remote/dispatcher/state_purchase_view/41268294", "UA-2023-03-07-005246-a")</f>
        <v>UA-2023-03-07-005246-a</v>
      </c>
      <c r="C376" s="2" t="str">
        <f>HYPERLINK("https://my.zakupivli.pro/remote/dispatcher/state_purchase_lot_view/887541", "UA-2023-03-07-005246-a-L1")</f>
        <v>UA-2023-03-07-005246-a-L1</v>
      </c>
      <c r="D376" s="1" t="s">
        <v>1783</v>
      </c>
      <c r="E376" s="1" t="s">
        <v>1782</v>
      </c>
      <c r="F376" s="1" t="s">
        <v>487</v>
      </c>
      <c r="G376" s="1" t="s">
        <v>966</v>
      </c>
      <c r="H376" s="1" t="s">
        <v>1185</v>
      </c>
      <c r="I376" s="1" t="s">
        <v>2094</v>
      </c>
      <c r="J376" s="1" t="s">
        <v>1145</v>
      </c>
      <c r="K376" s="1" t="s">
        <v>947</v>
      </c>
      <c r="L376" s="1" t="s">
        <v>1533</v>
      </c>
      <c r="M376" s="1" t="s">
        <v>1533</v>
      </c>
      <c r="N376" s="1" t="s">
        <v>110</v>
      </c>
      <c r="O376" s="1" t="s">
        <v>110</v>
      </c>
      <c r="P376" s="1" t="s">
        <v>290</v>
      </c>
      <c r="Q376" s="5">
        <v>44992</v>
      </c>
      <c r="R376" s="1" t="s">
        <v>503</v>
      </c>
      <c r="S376" s="1" t="s">
        <v>505</v>
      </c>
      <c r="T376" s="5">
        <v>44992</v>
      </c>
      <c r="U376" s="5">
        <v>45000</v>
      </c>
      <c r="V376" s="1" t="s">
        <v>2147</v>
      </c>
      <c r="W376" s="4">
        <v>2</v>
      </c>
      <c r="X376" s="6">
        <v>466939</v>
      </c>
      <c r="Y376" s="6">
        <v>466939</v>
      </c>
      <c r="Z376" s="1">
        <v>1</v>
      </c>
      <c r="AA376" s="6">
        <v>466939</v>
      </c>
      <c r="AB376" s="1" t="s">
        <v>2167</v>
      </c>
      <c r="AC376" s="6">
        <v>4669.3900000000003</v>
      </c>
      <c r="AD376" s="1" t="s">
        <v>1100</v>
      </c>
      <c r="AE376" s="1" t="s">
        <v>2094</v>
      </c>
      <c r="AF376" s="1" t="s">
        <v>1186</v>
      </c>
      <c r="AG376" s="1" t="s">
        <v>1522</v>
      </c>
      <c r="AH376" s="6">
        <v>411453.7</v>
      </c>
      <c r="AI376" s="6">
        <v>411453.7</v>
      </c>
      <c r="AJ376" s="1" t="s">
        <v>2066</v>
      </c>
      <c r="AK376" s="6">
        <v>55485.299999999988</v>
      </c>
      <c r="AL376" s="6">
        <v>0.11882772696219418</v>
      </c>
      <c r="AM376" s="1" t="s">
        <v>2036</v>
      </c>
      <c r="AN376" s="1" t="s">
        <v>904</v>
      </c>
      <c r="AO376" s="1" t="s">
        <v>1132</v>
      </c>
      <c r="AP376" s="1" t="s">
        <v>75</v>
      </c>
      <c r="AQ376" s="6">
        <v>19982</v>
      </c>
      <c r="AR376" s="6">
        <v>4.2793598307273542E-2</v>
      </c>
      <c r="AS376" s="2"/>
      <c r="AT376" s="7">
        <v>45009.556887602746</v>
      </c>
      <c r="AU376" s="1" t="s">
        <v>507</v>
      </c>
      <c r="AV376" s="1" t="s">
        <v>510</v>
      </c>
      <c r="AW376" s="1" t="s">
        <v>2151</v>
      </c>
      <c r="AX376" s="7">
        <v>45015.460763645126</v>
      </c>
      <c r="AY376" s="1" t="s">
        <v>856</v>
      </c>
      <c r="AZ376" s="6">
        <v>446957</v>
      </c>
      <c r="BA376" s="1"/>
      <c r="BB376" s="5">
        <v>45107</v>
      </c>
      <c r="BC376" s="5">
        <v>45015</v>
      </c>
      <c r="BD376" s="5">
        <v>45015</v>
      </c>
      <c r="BE376" s="7">
        <v>45291</v>
      </c>
      <c r="BF376" s="1" t="s">
        <v>2170</v>
      </c>
      <c r="BG376" s="1"/>
      <c r="BH376" s="1"/>
      <c r="BI376" s="1" t="s">
        <v>836</v>
      </c>
    </row>
    <row r="377" spans="1:61" hidden="1" x14ac:dyDescent="0.25">
      <c r="A377" s="4">
        <v>372</v>
      </c>
      <c r="B377" s="2" t="str">
        <f>HYPERLINK("https://my.zakupivli.pro/remote/dispatcher/state_purchase_view/41267489", "UA-2023-03-07-004935-a")</f>
        <v>UA-2023-03-07-004935-a</v>
      </c>
      <c r="C377" s="2" t="str">
        <f>HYPERLINK("https://my.zakupivli.pro/remote/dispatcher/state_purchase_lot_view/887504", "UA-2023-03-07-004935-a-L1")</f>
        <v>UA-2023-03-07-004935-a-L1</v>
      </c>
      <c r="D377" s="1" t="s">
        <v>1797</v>
      </c>
      <c r="E377" s="1" t="s">
        <v>1796</v>
      </c>
      <c r="F377" s="1" t="s">
        <v>487</v>
      </c>
      <c r="G377" s="1" t="s">
        <v>966</v>
      </c>
      <c r="H377" s="1" t="s">
        <v>1185</v>
      </c>
      <c r="I377" s="1" t="s">
        <v>2094</v>
      </c>
      <c r="J377" s="1" t="s">
        <v>1145</v>
      </c>
      <c r="K377" s="1" t="s">
        <v>947</v>
      </c>
      <c r="L377" s="1" t="s">
        <v>1533</v>
      </c>
      <c r="M377" s="1" t="s">
        <v>1533</v>
      </c>
      <c r="N377" s="1" t="s">
        <v>110</v>
      </c>
      <c r="O377" s="1" t="s">
        <v>110</v>
      </c>
      <c r="P377" s="1" t="s">
        <v>153</v>
      </c>
      <c r="Q377" s="5">
        <v>44992</v>
      </c>
      <c r="R377" s="1" t="s">
        <v>503</v>
      </c>
      <c r="S377" s="1" t="s">
        <v>505</v>
      </c>
      <c r="T377" s="5">
        <v>44992</v>
      </c>
      <c r="U377" s="5">
        <v>45000</v>
      </c>
      <c r="V377" s="1" t="s">
        <v>2147</v>
      </c>
      <c r="W377" s="4">
        <v>2</v>
      </c>
      <c r="X377" s="6">
        <v>339849</v>
      </c>
      <c r="Y377" s="6">
        <v>339849</v>
      </c>
      <c r="Z377" s="1">
        <v>1</v>
      </c>
      <c r="AA377" s="6">
        <v>339849</v>
      </c>
      <c r="AB377" s="1" t="s">
        <v>2167</v>
      </c>
      <c r="AC377" s="6">
        <v>3398.49</v>
      </c>
      <c r="AD377" s="1" t="s">
        <v>1100</v>
      </c>
      <c r="AE377" s="1" t="s">
        <v>2094</v>
      </c>
      <c r="AF377" s="1" t="s">
        <v>1186</v>
      </c>
      <c r="AG377" s="1" t="s">
        <v>1522</v>
      </c>
      <c r="AH377" s="6">
        <v>304083.76</v>
      </c>
      <c r="AI377" s="6">
        <v>304083.76</v>
      </c>
      <c r="AJ377" s="1" t="s">
        <v>2066</v>
      </c>
      <c r="AK377" s="6">
        <v>35765.239999999991</v>
      </c>
      <c r="AL377" s="6">
        <v>0.10523862068153796</v>
      </c>
      <c r="AM377" s="1" t="s">
        <v>2036</v>
      </c>
      <c r="AN377" s="1" t="s">
        <v>904</v>
      </c>
      <c r="AO377" s="1" t="s">
        <v>1132</v>
      </c>
      <c r="AP377" s="1" t="s">
        <v>75</v>
      </c>
      <c r="AQ377" s="6">
        <v>19999</v>
      </c>
      <c r="AR377" s="6">
        <v>5.8846723103495965E-2</v>
      </c>
      <c r="AS377" s="2"/>
      <c r="AT377" s="7">
        <v>45009.553606345704</v>
      </c>
      <c r="AU377" s="1" t="s">
        <v>507</v>
      </c>
      <c r="AV377" s="1" t="s">
        <v>510</v>
      </c>
      <c r="AW377" s="1" t="s">
        <v>2151</v>
      </c>
      <c r="AX377" s="7">
        <v>45015.449684405321</v>
      </c>
      <c r="AY377" s="1" t="s">
        <v>825</v>
      </c>
      <c r="AZ377" s="6">
        <v>319850</v>
      </c>
      <c r="BA377" s="1"/>
      <c r="BB377" s="5">
        <v>45107</v>
      </c>
      <c r="BC377" s="5">
        <v>45015</v>
      </c>
      <c r="BD377" s="5">
        <v>45015</v>
      </c>
      <c r="BE377" s="7">
        <v>45291</v>
      </c>
      <c r="BF377" s="1" t="s">
        <v>2170</v>
      </c>
      <c r="BG377" s="1"/>
      <c r="BH377" s="1"/>
      <c r="BI377" s="1" t="s">
        <v>836</v>
      </c>
    </row>
    <row r="378" spans="1:61" hidden="1" x14ac:dyDescent="0.25">
      <c r="A378" s="4">
        <v>373</v>
      </c>
      <c r="B378" s="2" t="str">
        <f>HYPERLINK("https://my.zakupivli.pro/remote/dispatcher/state_purchase_view/41150042", "UA-2023-03-01-003414-a")</f>
        <v>UA-2023-03-01-003414-a</v>
      </c>
      <c r="C378" s="2" t="s">
        <v>1516</v>
      </c>
      <c r="D378" s="1" t="s">
        <v>1661</v>
      </c>
      <c r="E378" s="1" t="s">
        <v>1662</v>
      </c>
      <c r="F378" s="1" t="s">
        <v>487</v>
      </c>
      <c r="G378" s="1" t="s">
        <v>1074</v>
      </c>
      <c r="H378" s="1" t="s">
        <v>1218</v>
      </c>
      <c r="I378" s="1" t="s">
        <v>2094</v>
      </c>
      <c r="J378" s="1" t="s">
        <v>1145</v>
      </c>
      <c r="K378" s="1" t="s">
        <v>947</v>
      </c>
      <c r="L378" s="1" t="s">
        <v>1533</v>
      </c>
      <c r="M378" s="1" t="s">
        <v>1533</v>
      </c>
      <c r="N378" s="1" t="s">
        <v>110</v>
      </c>
      <c r="O378" s="1" t="s">
        <v>110</v>
      </c>
      <c r="P378" s="1" t="s">
        <v>110</v>
      </c>
      <c r="Q378" s="5">
        <v>44986</v>
      </c>
      <c r="R378" s="1"/>
      <c r="S378" s="1"/>
      <c r="T378" s="1"/>
      <c r="U378" s="1"/>
      <c r="V378" s="1" t="s">
        <v>2146</v>
      </c>
      <c r="W378" s="4">
        <v>1</v>
      </c>
      <c r="X378" s="6">
        <v>19537.23</v>
      </c>
      <c r="Y378" s="1" t="s">
        <v>1516</v>
      </c>
      <c r="Z378" s="1">
        <v>114.4</v>
      </c>
      <c r="AA378" s="6">
        <v>170.78</v>
      </c>
      <c r="AB378" s="1" t="s">
        <v>2161</v>
      </c>
      <c r="AC378" s="1" t="s">
        <v>2162</v>
      </c>
      <c r="AD378" s="1" t="s">
        <v>1100</v>
      </c>
      <c r="AE378" s="1" t="s">
        <v>2094</v>
      </c>
      <c r="AF378" s="1" t="s">
        <v>1186</v>
      </c>
      <c r="AG378" s="1" t="s">
        <v>1522</v>
      </c>
      <c r="AH378" s="6">
        <v>19537.23</v>
      </c>
      <c r="AI378" s="6">
        <v>171.37921052631577</v>
      </c>
      <c r="AJ378" s="1" t="s">
        <v>2073</v>
      </c>
      <c r="AK378" s="1"/>
      <c r="AL378" s="1"/>
      <c r="AM378" s="1" t="s">
        <v>2073</v>
      </c>
      <c r="AN378" s="1" t="s">
        <v>933</v>
      </c>
      <c r="AO378" s="1"/>
      <c r="AP378" s="1" t="s">
        <v>83</v>
      </c>
      <c r="AQ378" s="1"/>
      <c r="AR378" s="1"/>
      <c r="AS378" s="2"/>
      <c r="AT378" s="1"/>
      <c r="AU378" s="1"/>
      <c r="AV378" s="1"/>
      <c r="AW378" s="1" t="s">
        <v>2152</v>
      </c>
      <c r="AX378" s="7">
        <v>44986.474813814013</v>
      </c>
      <c r="AY378" s="1" t="s">
        <v>1494</v>
      </c>
      <c r="AZ378" s="6">
        <v>19537.23</v>
      </c>
      <c r="BA378" s="5">
        <v>44927</v>
      </c>
      <c r="BB378" s="5">
        <v>45291</v>
      </c>
      <c r="BC378" s="5">
        <v>44985</v>
      </c>
      <c r="BD378" s="5">
        <v>44927</v>
      </c>
      <c r="BE378" s="7">
        <v>45291</v>
      </c>
      <c r="BF378" s="1" t="s">
        <v>2170</v>
      </c>
      <c r="BG378" s="1"/>
      <c r="BH378" s="1"/>
      <c r="BI378" s="1" t="s">
        <v>108</v>
      </c>
    </row>
    <row r="379" spans="1:61" hidden="1" x14ac:dyDescent="0.25">
      <c r="A379" s="4">
        <v>374</v>
      </c>
      <c r="B379" s="2" t="str">
        <f>HYPERLINK("https://my.zakupivli.pro/remote/dispatcher/state_purchase_view/41107887", "UA-2023-02-27-005818-a")</f>
        <v>UA-2023-02-27-005818-a</v>
      </c>
      <c r="C379" s="2" t="s">
        <v>1516</v>
      </c>
      <c r="D379" s="1" t="s">
        <v>1585</v>
      </c>
      <c r="E379" s="1" t="s">
        <v>1584</v>
      </c>
      <c r="F379" s="1" t="s">
        <v>487</v>
      </c>
      <c r="G379" s="1" t="s">
        <v>1039</v>
      </c>
      <c r="H379" s="1" t="s">
        <v>1218</v>
      </c>
      <c r="I379" s="1" t="s">
        <v>2094</v>
      </c>
      <c r="J379" s="1" t="s">
        <v>1145</v>
      </c>
      <c r="K379" s="1" t="s">
        <v>947</v>
      </c>
      <c r="L379" s="1" t="s">
        <v>1533</v>
      </c>
      <c r="M379" s="1" t="s">
        <v>1533</v>
      </c>
      <c r="N379" s="1" t="s">
        <v>110</v>
      </c>
      <c r="O379" s="1" t="s">
        <v>110</v>
      </c>
      <c r="P379" s="1" t="s">
        <v>110</v>
      </c>
      <c r="Q379" s="5">
        <v>44984</v>
      </c>
      <c r="R379" s="1"/>
      <c r="S379" s="1"/>
      <c r="T379" s="1"/>
      <c r="U379" s="1"/>
      <c r="V379" s="1" t="s">
        <v>2146</v>
      </c>
      <c r="W379" s="4">
        <v>1</v>
      </c>
      <c r="X379" s="6">
        <v>39024</v>
      </c>
      <c r="Y379" s="1" t="s">
        <v>1516</v>
      </c>
      <c r="Z379" s="1">
        <v>72</v>
      </c>
      <c r="AA379" s="6">
        <v>542</v>
      </c>
      <c r="AB379" s="1" t="s">
        <v>2157</v>
      </c>
      <c r="AC379" s="1" t="s">
        <v>2162</v>
      </c>
      <c r="AD379" s="1" t="s">
        <v>1100</v>
      </c>
      <c r="AE379" s="1" t="s">
        <v>1522</v>
      </c>
      <c r="AF379" s="1" t="s">
        <v>1186</v>
      </c>
      <c r="AG379" s="1" t="s">
        <v>1522</v>
      </c>
      <c r="AH379" s="6">
        <v>39024</v>
      </c>
      <c r="AI379" s="6">
        <v>542</v>
      </c>
      <c r="AJ379" s="1" t="s">
        <v>1135</v>
      </c>
      <c r="AK379" s="1"/>
      <c r="AL379" s="1"/>
      <c r="AM379" s="1" t="s">
        <v>1135</v>
      </c>
      <c r="AN379" s="1" t="s">
        <v>791</v>
      </c>
      <c r="AO379" s="1"/>
      <c r="AP379" s="1" t="s">
        <v>62</v>
      </c>
      <c r="AQ379" s="1"/>
      <c r="AR379" s="1"/>
      <c r="AS379" s="2"/>
      <c r="AT379" s="1"/>
      <c r="AU379" s="1"/>
      <c r="AV379" s="1"/>
      <c r="AW379" s="1" t="s">
        <v>2152</v>
      </c>
      <c r="AX379" s="7">
        <v>44984.573347912963</v>
      </c>
      <c r="AY379" s="1" t="s">
        <v>1083</v>
      </c>
      <c r="AZ379" s="6">
        <v>39024</v>
      </c>
      <c r="BA379" s="5">
        <v>44927</v>
      </c>
      <c r="BB379" s="5">
        <v>45291</v>
      </c>
      <c r="BC379" s="5">
        <v>44981</v>
      </c>
      <c r="BD379" s="5">
        <v>44927</v>
      </c>
      <c r="BE379" s="7">
        <v>45291</v>
      </c>
      <c r="BF379" s="1" t="s">
        <v>2170</v>
      </c>
      <c r="BG379" s="1"/>
      <c r="BH379" s="1"/>
      <c r="BI379" s="1" t="s">
        <v>108</v>
      </c>
    </row>
    <row r="380" spans="1:61" hidden="1" x14ac:dyDescent="0.25">
      <c r="A380" s="4">
        <v>375</v>
      </c>
      <c r="B380" s="2" t="str">
        <f>HYPERLINK("https://my.zakupivli.pro/remote/dispatcher/state_purchase_view/41050537", "UA-2023-02-23-004711-a")</f>
        <v>UA-2023-02-23-004711-a</v>
      </c>
      <c r="C380" s="2" t="s">
        <v>1516</v>
      </c>
      <c r="D380" s="1" t="s">
        <v>1710</v>
      </c>
      <c r="E380" s="1" t="s">
        <v>1711</v>
      </c>
      <c r="F380" s="1" t="s">
        <v>487</v>
      </c>
      <c r="G380" s="1" t="s">
        <v>1046</v>
      </c>
      <c r="H380" s="1" t="s">
        <v>1218</v>
      </c>
      <c r="I380" s="1" t="s">
        <v>2094</v>
      </c>
      <c r="J380" s="1" t="s">
        <v>1145</v>
      </c>
      <c r="K380" s="1" t="s">
        <v>947</v>
      </c>
      <c r="L380" s="1" t="s">
        <v>1533</v>
      </c>
      <c r="M380" s="1" t="s">
        <v>1533</v>
      </c>
      <c r="N380" s="1" t="s">
        <v>110</v>
      </c>
      <c r="O380" s="1" t="s">
        <v>110</v>
      </c>
      <c r="P380" s="1" t="s">
        <v>110</v>
      </c>
      <c r="Q380" s="5">
        <v>44980</v>
      </c>
      <c r="R380" s="1"/>
      <c r="S380" s="1"/>
      <c r="T380" s="1"/>
      <c r="U380" s="1"/>
      <c r="V380" s="1" t="s">
        <v>2146</v>
      </c>
      <c r="W380" s="4">
        <v>1</v>
      </c>
      <c r="X380" s="6">
        <v>1800</v>
      </c>
      <c r="Y380" s="1" t="s">
        <v>1516</v>
      </c>
      <c r="Z380" s="1">
        <v>1</v>
      </c>
      <c r="AA380" s="6">
        <v>1800</v>
      </c>
      <c r="AB380" s="1" t="s">
        <v>2167</v>
      </c>
      <c r="AC380" s="1" t="s">
        <v>2162</v>
      </c>
      <c r="AD380" s="1" t="s">
        <v>1100</v>
      </c>
      <c r="AE380" s="1" t="s">
        <v>1522</v>
      </c>
      <c r="AF380" s="1" t="s">
        <v>1186</v>
      </c>
      <c r="AG380" s="1" t="s">
        <v>1522</v>
      </c>
      <c r="AH380" s="6">
        <v>1800</v>
      </c>
      <c r="AI380" s="6">
        <v>1800</v>
      </c>
      <c r="AJ380" s="1" t="s">
        <v>2070</v>
      </c>
      <c r="AK380" s="1"/>
      <c r="AL380" s="1"/>
      <c r="AM380" s="1" t="s">
        <v>2070</v>
      </c>
      <c r="AN380" s="1" t="s">
        <v>829</v>
      </c>
      <c r="AO380" s="1"/>
      <c r="AP380" s="1" t="s">
        <v>67</v>
      </c>
      <c r="AQ380" s="1"/>
      <c r="AR380" s="1"/>
      <c r="AS380" s="2"/>
      <c r="AT380" s="1"/>
      <c r="AU380" s="1"/>
      <c r="AV380" s="1"/>
      <c r="AW380" s="1" t="s">
        <v>2152</v>
      </c>
      <c r="AX380" s="7">
        <v>44980.485747127306</v>
      </c>
      <c r="AY380" s="1" t="s">
        <v>982</v>
      </c>
      <c r="AZ380" s="6">
        <v>1800</v>
      </c>
      <c r="BA380" s="5">
        <v>44927</v>
      </c>
      <c r="BB380" s="5">
        <v>45291</v>
      </c>
      <c r="BC380" s="5">
        <v>44980</v>
      </c>
      <c r="BD380" s="5">
        <v>44927</v>
      </c>
      <c r="BE380" s="7">
        <v>45291</v>
      </c>
      <c r="BF380" s="1" t="s">
        <v>2170</v>
      </c>
      <c r="BG380" s="1"/>
      <c r="BH380" s="1"/>
      <c r="BI380" s="1" t="s">
        <v>108</v>
      </c>
    </row>
    <row r="381" spans="1:61" hidden="1" x14ac:dyDescent="0.25">
      <c r="A381" s="4">
        <v>376</v>
      </c>
      <c r="B381" s="2" t="str">
        <f>HYPERLINK("https://my.zakupivli.pro/remote/dispatcher/state_purchase_view/41034116", "UA-2023-02-22-011772-a")</f>
        <v>UA-2023-02-22-011772-a</v>
      </c>
      <c r="C381" s="2" t="s">
        <v>1516</v>
      </c>
      <c r="D381" s="1" t="s">
        <v>1699</v>
      </c>
      <c r="E381" s="1" t="s">
        <v>1690</v>
      </c>
      <c r="F381" s="1" t="s">
        <v>487</v>
      </c>
      <c r="G381" s="1" t="s">
        <v>990</v>
      </c>
      <c r="H381" s="1" t="s">
        <v>1218</v>
      </c>
      <c r="I381" s="1" t="s">
        <v>2094</v>
      </c>
      <c r="J381" s="1" t="s">
        <v>1145</v>
      </c>
      <c r="K381" s="1" t="s">
        <v>947</v>
      </c>
      <c r="L381" s="1" t="s">
        <v>1533</v>
      </c>
      <c r="M381" s="1" t="s">
        <v>1533</v>
      </c>
      <c r="N381" s="1" t="s">
        <v>110</v>
      </c>
      <c r="O381" s="1" t="s">
        <v>110</v>
      </c>
      <c r="P381" s="1" t="s">
        <v>110</v>
      </c>
      <c r="Q381" s="5">
        <v>44979</v>
      </c>
      <c r="R381" s="1"/>
      <c r="S381" s="1"/>
      <c r="T381" s="1"/>
      <c r="U381" s="1"/>
      <c r="V381" s="1" t="s">
        <v>2146</v>
      </c>
      <c r="W381" s="4">
        <v>1</v>
      </c>
      <c r="X381" s="6">
        <v>2371.1999999999998</v>
      </c>
      <c r="Y381" s="1" t="s">
        <v>1516</v>
      </c>
      <c r="Z381" s="1">
        <v>1</v>
      </c>
      <c r="AA381" s="6">
        <v>2371.1999999999998</v>
      </c>
      <c r="AB381" s="1" t="s">
        <v>2167</v>
      </c>
      <c r="AC381" s="1" t="s">
        <v>2162</v>
      </c>
      <c r="AD381" s="1" t="s">
        <v>1100</v>
      </c>
      <c r="AE381" s="1" t="s">
        <v>2094</v>
      </c>
      <c r="AF381" s="1" t="s">
        <v>1186</v>
      </c>
      <c r="AG381" s="1" t="s">
        <v>1522</v>
      </c>
      <c r="AH381" s="6">
        <v>2371.1999999999998</v>
      </c>
      <c r="AI381" s="6">
        <v>2371.1999999999998</v>
      </c>
      <c r="AJ381" s="1" t="s">
        <v>2085</v>
      </c>
      <c r="AK381" s="1"/>
      <c r="AL381" s="1"/>
      <c r="AM381" s="1" t="s">
        <v>2085</v>
      </c>
      <c r="AN381" s="1" t="s">
        <v>803</v>
      </c>
      <c r="AO381" s="1"/>
      <c r="AP381" s="1" t="s">
        <v>28</v>
      </c>
      <c r="AQ381" s="1"/>
      <c r="AR381" s="1"/>
      <c r="AS381" s="2"/>
      <c r="AT381" s="1"/>
      <c r="AU381" s="1"/>
      <c r="AV381" s="1"/>
      <c r="AW381" s="1" t="s">
        <v>2152</v>
      </c>
      <c r="AX381" s="7">
        <v>44979.656164694396</v>
      </c>
      <c r="AY381" s="1" t="s">
        <v>757</v>
      </c>
      <c r="AZ381" s="6">
        <v>2371.1999999999998</v>
      </c>
      <c r="BA381" s="5">
        <v>44978</v>
      </c>
      <c r="BB381" s="5">
        <v>44979</v>
      </c>
      <c r="BC381" s="5">
        <v>44978</v>
      </c>
      <c r="BD381" s="5">
        <v>44978</v>
      </c>
      <c r="BE381" s="7">
        <v>45291</v>
      </c>
      <c r="BF381" s="1" t="s">
        <v>2170</v>
      </c>
      <c r="BG381" s="1"/>
      <c r="BH381" s="1"/>
      <c r="BI381" s="1" t="s">
        <v>108</v>
      </c>
    </row>
    <row r="382" spans="1:61" hidden="1" x14ac:dyDescent="0.25">
      <c r="A382" s="4">
        <v>377</v>
      </c>
      <c r="B382" s="2" t="str">
        <f>HYPERLINK("https://my.zakupivli.pro/remote/dispatcher/state_purchase_view/40936250", "UA-2023-02-17-008814-a")</f>
        <v>UA-2023-02-17-008814-a</v>
      </c>
      <c r="C382" s="2" t="s">
        <v>1516</v>
      </c>
      <c r="D382" s="1" t="s">
        <v>1705</v>
      </c>
      <c r="E382" s="1" t="s">
        <v>1705</v>
      </c>
      <c r="F382" s="1" t="s">
        <v>487</v>
      </c>
      <c r="G382" s="1" t="s">
        <v>1073</v>
      </c>
      <c r="H382" s="1" t="s">
        <v>1218</v>
      </c>
      <c r="I382" s="1" t="s">
        <v>2094</v>
      </c>
      <c r="J382" s="1" t="s">
        <v>1145</v>
      </c>
      <c r="K382" s="1" t="s">
        <v>947</v>
      </c>
      <c r="L382" s="1" t="s">
        <v>1533</v>
      </c>
      <c r="M382" s="1" t="s">
        <v>1533</v>
      </c>
      <c r="N382" s="1" t="s">
        <v>110</v>
      </c>
      <c r="O382" s="1" t="s">
        <v>110</v>
      </c>
      <c r="P382" s="1" t="s">
        <v>110</v>
      </c>
      <c r="Q382" s="5">
        <v>44974</v>
      </c>
      <c r="R382" s="1"/>
      <c r="S382" s="1"/>
      <c r="T382" s="1"/>
      <c r="U382" s="1"/>
      <c r="V382" s="1" t="s">
        <v>2146</v>
      </c>
      <c r="W382" s="4">
        <v>1</v>
      </c>
      <c r="X382" s="6">
        <v>9160.7999999999993</v>
      </c>
      <c r="Y382" s="1" t="s">
        <v>1516</v>
      </c>
      <c r="Z382" s="1">
        <v>694</v>
      </c>
      <c r="AA382" s="6">
        <v>13.2</v>
      </c>
      <c r="AB382" s="1" t="s">
        <v>2161</v>
      </c>
      <c r="AC382" s="1" t="s">
        <v>2162</v>
      </c>
      <c r="AD382" s="1" t="s">
        <v>1100</v>
      </c>
      <c r="AE382" s="1" t="s">
        <v>2094</v>
      </c>
      <c r="AF382" s="1" t="s">
        <v>1186</v>
      </c>
      <c r="AG382" s="1" t="s">
        <v>1522</v>
      </c>
      <c r="AH382" s="6">
        <v>9160.7999999999993</v>
      </c>
      <c r="AI382" s="6">
        <v>13.2</v>
      </c>
      <c r="AJ382" s="1" t="s">
        <v>1472</v>
      </c>
      <c r="AK382" s="1"/>
      <c r="AL382" s="1"/>
      <c r="AM382" s="1" t="s">
        <v>1472</v>
      </c>
      <c r="AN382" s="1" t="s">
        <v>113</v>
      </c>
      <c r="AO382" s="1"/>
      <c r="AP382" s="1" t="s">
        <v>84</v>
      </c>
      <c r="AQ382" s="1"/>
      <c r="AR382" s="1"/>
      <c r="AS382" s="2"/>
      <c r="AT382" s="1"/>
      <c r="AU382" s="1"/>
      <c r="AV382" s="1"/>
      <c r="AW382" s="1" t="s">
        <v>2152</v>
      </c>
      <c r="AX382" s="7">
        <v>44974.592268327651</v>
      </c>
      <c r="AY382" s="1" t="s">
        <v>900</v>
      </c>
      <c r="AZ382" s="6">
        <v>9160.7999999999993</v>
      </c>
      <c r="BA382" s="5">
        <v>44927</v>
      </c>
      <c r="BB382" s="5">
        <v>45291</v>
      </c>
      <c r="BC382" s="5">
        <v>44972</v>
      </c>
      <c r="BD382" s="5">
        <v>44927</v>
      </c>
      <c r="BE382" s="7">
        <v>45291</v>
      </c>
      <c r="BF382" s="1" t="s">
        <v>2170</v>
      </c>
      <c r="BG382" s="1"/>
      <c r="BH382" s="1"/>
      <c r="BI382" s="1" t="s">
        <v>108</v>
      </c>
    </row>
    <row r="383" spans="1:61" hidden="1" x14ac:dyDescent="0.25">
      <c r="A383" s="4">
        <v>378</v>
      </c>
      <c r="B383" s="2" t="str">
        <f>HYPERLINK("https://my.zakupivli.pro/remote/dispatcher/state_purchase_view/40932830", "UA-2023-02-17-007179-a")</f>
        <v>UA-2023-02-17-007179-a</v>
      </c>
      <c r="C383" s="2" t="s">
        <v>1516</v>
      </c>
      <c r="D383" s="1" t="s">
        <v>1706</v>
      </c>
      <c r="E383" s="1" t="s">
        <v>1706</v>
      </c>
      <c r="F383" s="1" t="s">
        <v>487</v>
      </c>
      <c r="G383" s="1" t="s">
        <v>1023</v>
      </c>
      <c r="H383" s="1" t="s">
        <v>1218</v>
      </c>
      <c r="I383" s="1" t="s">
        <v>2094</v>
      </c>
      <c r="J383" s="1" t="s">
        <v>1145</v>
      </c>
      <c r="K383" s="1" t="s">
        <v>947</v>
      </c>
      <c r="L383" s="1" t="s">
        <v>1533</v>
      </c>
      <c r="M383" s="1" t="s">
        <v>1533</v>
      </c>
      <c r="N383" s="1" t="s">
        <v>110</v>
      </c>
      <c r="O383" s="1" t="s">
        <v>110</v>
      </c>
      <c r="P383" s="1" t="s">
        <v>110</v>
      </c>
      <c r="Q383" s="5">
        <v>44974</v>
      </c>
      <c r="R383" s="1"/>
      <c r="S383" s="1"/>
      <c r="T383" s="1"/>
      <c r="U383" s="1"/>
      <c r="V383" s="1" t="s">
        <v>2146</v>
      </c>
      <c r="W383" s="4">
        <v>1</v>
      </c>
      <c r="X383" s="6">
        <v>12603.04</v>
      </c>
      <c r="Y383" s="1" t="s">
        <v>1516</v>
      </c>
      <c r="Z383" s="1">
        <v>694</v>
      </c>
      <c r="AA383" s="6">
        <v>18.16</v>
      </c>
      <c r="AB383" s="1" t="s">
        <v>2161</v>
      </c>
      <c r="AC383" s="1" t="s">
        <v>2162</v>
      </c>
      <c r="AD383" s="1" t="s">
        <v>1100</v>
      </c>
      <c r="AE383" s="1" t="s">
        <v>2094</v>
      </c>
      <c r="AF383" s="1" t="s">
        <v>1186</v>
      </c>
      <c r="AG383" s="1" t="s">
        <v>1522</v>
      </c>
      <c r="AH383" s="6">
        <v>12603.04</v>
      </c>
      <c r="AI383" s="6">
        <v>18.16</v>
      </c>
      <c r="AJ383" s="1" t="s">
        <v>1472</v>
      </c>
      <c r="AK383" s="1"/>
      <c r="AL383" s="1"/>
      <c r="AM383" s="1" t="s">
        <v>1472</v>
      </c>
      <c r="AN383" s="1" t="s">
        <v>113</v>
      </c>
      <c r="AO383" s="1"/>
      <c r="AP383" s="1" t="s">
        <v>31</v>
      </c>
      <c r="AQ383" s="1"/>
      <c r="AR383" s="1"/>
      <c r="AS383" s="2"/>
      <c r="AT383" s="1"/>
      <c r="AU383" s="1"/>
      <c r="AV383" s="1"/>
      <c r="AW383" s="1" t="s">
        <v>2152</v>
      </c>
      <c r="AX383" s="7">
        <v>44974.549019312559</v>
      </c>
      <c r="AY383" s="1" t="s">
        <v>899</v>
      </c>
      <c r="AZ383" s="6">
        <v>12603.04</v>
      </c>
      <c r="BA383" s="5">
        <v>44927</v>
      </c>
      <c r="BB383" s="5">
        <v>45291</v>
      </c>
      <c r="BC383" s="5">
        <v>44972</v>
      </c>
      <c r="BD383" s="5">
        <v>44927</v>
      </c>
      <c r="BE383" s="7">
        <v>45291</v>
      </c>
      <c r="BF383" s="1" t="s">
        <v>2170</v>
      </c>
      <c r="BG383" s="1"/>
      <c r="BH383" s="1"/>
      <c r="BI383" s="1" t="s">
        <v>108</v>
      </c>
    </row>
    <row r="384" spans="1:61" hidden="1" x14ac:dyDescent="0.25">
      <c r="A384" s="4">
        <v>379</v>
      </c>
      <c r="B384" s="2" t="str">
        <f>HYPERLINK("https://my.zakupivli.pro/remote/dispatcher/state_purchase_view/40870817", "UA-2023-02-15-006775-a")</f>
        <v>UA-2023-02-15-006775-a</v>
      </c>
      <c r="C384" s="2" t="s">
        <v>1516</v>
      </c>
      <c r="D384" s="1" t="s">
        <v>1718</v>
      </c>
      <c r="E384" s="1" t="s">
        <v>1718</v>
      </c>
      <c r="F384" s="1" t="s">
        <v>487</v>
      </c>
      <c r="G384" s="1" t="s">
        <v>1056</v>
      </c>
      <c r="H384" s="1" t="s">
        <v>1218</v>
      </c>
      <c r="I384" s="1" t="s">
        <v>2094</v>
      </c>
      <c r="J384" s="1" t="s">
        <v>1145</v>
      </c>
      <c r="K384" s="1" t="s">
        <v>947</v>
      </c>
      <c r="L384" s="1" t="s">
        <v>1533</v>
      </c>
      <c r="M384" s="1" t="s">
        <v>1533</v>
      </c>
      <c r="N384" s="1" t="s">
        <v>110</v>
      </c>
      <c r="O384" s="1" t="s">
        <v>110</v>
      </c>
      <c r="P384" s="1" t="s">
        <v>110</v>
      </c>
      <c r="Q384" s="5">
        <v>44972</v>
      </c>
      <c r="R384" s="1"/>
      <c r="S384" s="1"/>
      <c r="T384" s="1"/>
      <c r="U384" s="1"/>
      <c r="V384" s="1" t="s">
        <v>2146</v>
      </c>
      <c r="W384" s="4">
        <v>1</v>
      </c>
      <c r="X384" s="6">
        <v>2544</v>
      </c>
      <c r="Y384" s="1" t="s">
        <v>1516</v>
      </c>
      <c r="Z384" s="1">
        <v>1</v>
      </c>
      <c r="AA384" s="6">
        <v>2544</v>
      </c>
      <c r="AB384" s="1" t="s">
        <v>2167</v>
      </c>
      <c r="AC384" s="1" t="s">
        <v>2162</v>
      </c>
      <c r="AD384" s="1" t="s">
        <v>1100</v>
      </c>
      <c r="AE384" s="1" t="s">
        <v>2094</v>
      </c>
      <c r="AF384" s="1" t="s">
        <v>1186</v>
      </c>
      <c r="AG384" s="1" t="s">
        <v>1522</v>
      </c>
      <c r="AH384" s="6">
        <v>2544</v>
      </c>
      <c r="AI384" s="6">
        <v>2544</v>
      </c>
      <c r="AJ384" s="1" t="s">
        <v>2107</v>
      </c>
      <c r="AK384" s="1"/>
      <c r="AL384" s="1"/>
      <c r="AM384" s="1" t="s">
        <v>2107</v>
      </c>
      <c r="AN384" s="1" t="s">
        <v>895</v>
      </c>
      <c r="AO384" s="1"/>
      <c r="AP384" s="1" t="s">
        <v>36</v>
      </c>
      <c r="AQ384" s="1"/>
      <c r="AR384" s="1"/>
      <c r="AS384" s="2"/>
      <c r="AT384" s="1"/>
      <c r="AU384" s="1"/>
      <c r="AV384" s="1"/>
      <c r="AW384" s="1" t="s">
        <v>2152</v>
      </c>
      <c r="AX384" s="7">
        <v>44972.532382220612</v>
      </c>
      <c r="AY384" s="1" t="s">
        <v>850</v>
      </c>
      <c r="AZ384" s="6">
        <v>2544</v>
      </c>
      <c r="BA384" s="5">
        <v>44927</v>
      </c>
      <c r="BB384" s="5">
        <v>45291</v>
      </c>
      <c r="BC384" s="5">
        <v>44971</v>
      </c>
      <c r="BD384" s="5">
        <v>44927</v>
      </c>
      <c r="BE384" s="7">
        <v>45291</v>
      </c>
      <c r="BF384" s="1" t="s">
        <v>2170</v>
      </c>
      <c r="BG384" s="1"/>
      <c r="BH384" s="1"/>
      <c r="BI384" s="1" t="s">
        <v>108</v>
      </c>
    </row>
    <row r="385" spans="1:61" hidden="1" x14ac:dyDescent="0.25">
      <c r="A385" s="4">
        <v>380</v>
      </c>
      <c r="B385" s="2" t="str">
        <f>HYPERLINK("https://my.zakupivli.pro/remote/dispatcher/state_purchase_view/40853405", "UA-2023-02-14-013784-a")</f>
        <v>UA-2023-02-14-013784-a</v>
      </c>
      <c r="C385" s="2" t="s">
        <v>1516</v>
      </c>
      <c r="D385" s="1" t="s">
        <v>1701</v>
      </c>
      <c r="E385" s="1" t="s">
        <v>1701</v>
      </c>
      <c r="F385" s="1" t="s">
        <v>487</v>
      </c>
      <c r="G385" s="1" t="s">
        <v>1039</v>
      </c>
      <c r="H385" s="1" t="s">
        <v>1218</v>
      </c>
      <c r="I385" s="1" t="s">
        <v>2094</v>
      </c>
      <c r="J385" s="1" t="s">
        <v>1145</v>
      </c>
      <c r="K385" s="1" t="s">
        <v>947</v>
      </c>
      <c r="L385" s="1" t="s">
        <v>1533</v>
      </c>
      <c r="M385" s="1" t="s">
        <v>1533</v>
      </c>
      <c r="N385" s="1" t="s">
        <v>110</v>
      </c>
      <c r="O385" s="1" t="s">
        <v>110</v>
      </c>
      <c r="P385" s="1" t="s">
        <v>110</v>
      </c>
      <c r="Q385" s="5">
        <v>44971</v>
      </c>
      <c r="R385" s="1"/>
      <c r="S385" s="1"/>
      <c r="T385" s="1"/>
      <c r="U385" s="1"/>
      <c r="V385" s="1" t="s">
        <v>2146</v>
      </c>
      <c r="W385" s="4">
        <v>1</v>
      </c>
      <c r="X385" s="6">
        <v>11520</v>
      </c>
      <c r="Y385" s="1" t="s">
        <v>1516</v>
      </c>
      <c r="Z385" s="1">
        <v>1</v>
      </c>
      <c r="AA385" s="6">
        <v>11520</v>
      </c>
      <c r="AB385" s="1" t="s">
        <v>2167</v>
      </c>
      <c r="AC385" s="1" t="s">
        <v>2162</v>
      </c>
      <c r="AD385" s="1" t="s">
        <v>1100</v>
      </c>
      <c r="AE385" s="1" t="s">
        <v>1522</v>
      </c>
      <c r="AF385" s="1" t="s">
        <v>1186</v>
      </c>
      <c r="AG385" s="1" t="s">
        <v>1522</v>
      </c>
      <c r="AH385" s="6">
        <v>11520</v>
      </c>
      <c r="AI385" s="6">
        <v>11520</v>
      </c>
      <c r="AJ385" s="1" t="s">
        <v>2089</v>
      </c>
      <c r="AK385" s="1"/>
      <c r="AL385" s="1"/>
      <c r="AM385" s="1" t="s">
        <v>2089</v>
      </c>
      <c r="AN385" s="1" t="s">
        <v>857</v>
      </c>
      <c r="AO385" s="1"/>
      <c r="AP385" s="1" t="s">
        <v>26</v>
      </c>
      <c r="AQ385" s="1"/>
      <c r="AR385" s="1"/>
      <c r="AS385" s="2"/>
      <c r="AT385" s="1"/>
      <c r="AU385" s="1"/>
      <c r="AV385" s="1"/>
      <c r="AW385" s="1" t="s">
        <v>2152</v>
      </c>
      <c r="AX385" s="7">
        <v>44971.699906751681</v>
      </c>
      <c r="AY385" s="1" t="s">
        <v>728</v>
      </c>
      <c r="AZ385" s="6">
        <v>11520</v>
      </c>
      <c r="BA385" s="5">
        <v>44927</v>
      </c>
      <c r="BB385" s="5">
        <v>45291</v>
      </c>
      <c r="BC385" s="5">
        <v>44971</v>
      </c>
      <c r="BD385" s="5">
        <v>44927</v>
      </c>
      <c r="BE385" s="7">
        <v>45291</v>
      </c>
      <c r="BF385" s="1" t="s">
        <v>2170</v>
      </c>
      <c r="BG385" s="1"/>
      <c r="BH385" s="1"/>
      <c r="BI385" s="1" t="s">
        <v>108</v>
      </c>
    </row>
    <row r="386" spans="1:61" hidden="1" x14ac:dyDescent="0.25">
      <c r="A386" s="4">
        <v>381</v>
      </c>
      <c r="B386" s="2" t="str">
        <f>HYPERLINK("https://my.zakupivli.pro/remote/dispatcher/state_purchase_view/40701918", "UA-2023-02-08-007408-a")</f>
        <v>UA-2023-02-08-007408-a</v>
      </c>
      <c r="C386" s="2" t="s">
        <v>1516</v>
      </c>
      <c r="D386" s="1" t="s">
        <v>1559</v>
      </c>
      <c r="E386" s="1" t="s">
        <v>1559</v>
      </c>
      <c r="F386" s="1" t="s">
        <v>487</v>
      </c>
      <c r="G386" s="1" t="s">
        <v>145</v>
      </c>
      <c r="H386" s="1" t="s">
        <v>1218</v>
      </c>
      <c r="I386" s="1" t="s">
        <v>2094</v>
      </c>
      <c r="J386" s="1" t="s">
        <v>1145</v>
      </c>
      <c r="K386" s="1" t="s">
        <v>947</v>
      </c>
      <c r="L386" s="1" t="s">
        <v>1533</v>
      </c>
      <c r="M386" s="1" t="s">
        <v>1533</v>
      </c>
      <c r="N386" s="1" t="s">
        <v>110</v>
      </c>
      <c r="O386" s="1" t="s">
        <v>110</v>
      </c>
      <c r="P386" s="1" t="s">
        <v>110</v>
      </c>
      <c r="Q386" s="5">
        <v>44965</v>
      </c>
      <c r="R386" s="1"/>
      <c r="S386" s="1"/>
      <c r="T386" s="1"/>
      <c r="U386" s="1"/>
      <c r="V386" s="1" t="s">
        <v>2146</v>
      </c>
      <c r="W386" s="4">
        <v>1</v>
      </c>
      <c r="X386" s="6">
        <v>1596277.89</v>
      </c>
      <c r="Y386" s="1" t="s">
        <v>1516</v>
      </c>
      <c r="Z386" s="1">
        <v>552.33000000000004</v>
      </c>
      <c r="AA386" s="6">
        <v>2890.08</v>
      </c>
      <c r="AB386" s="1" t="s">
        <v>2150</v>
      </c>
      <c r="AC386" s="1" t="s">
        <v>2162</v>
      </c>
      <c r="AD386" s="1" t="s">
        <v>1100</v>
      </c>
      <c r="AE386" s="1" t="s">
        <v>1522</v>
      </c>
      <c r="AF386" s="1" t="s">
        <v>1186</v>
      </c>
      <c r="AG386" s="1" t="s">
        <v>1522</v>
      </c>
      <c r="AH386" s="6">
        <v>1596277.89</v>
      </c>
      <c r="AI386" s="6">
        <v>2891.8077717391302</v>
      </c>
      <c r="AJ386" s="1" t="s">
        <v>2063</v>
      </c>
      <c r="AK386" s="1"/>
      <c r="AL386" s="1"/>
      <c r="AM386" s="1" t="s">
        <v>2063</v>
      </c>
      <c r="AN386" s="1" t="s">
        <v>908</v>
      </c>
      <c r="AO386" s="1"/>
      <c r="AP386" s="1" t="s">
        <v>48</v>
      </c>
      <c r="AQ386" s="1"/>
      <c r="AR386" s="1"/>
      <c r="AS386" s="2"/>
      <c r="AT386" s="1"/>
      <c r="AU386" s="1"/>
      <c r="AV386" s="1"/>
      <c r="AW386" s="1" t="s">
        <v>2152</v>
      </c>
      <c r="AX386" s="7">
        <v>44965.524856527161</v>
      </c>
      <c r="AY386" s="1" t="s">
        <v>1151</v>
      </c>
      <c r="AZ386" s="6">
        <v>1596277.89</v>
      </c>
      <c r="BA386" s="1"/>
      <c r="BB386" s="5">
        <v>45291</v>
      </c>
      <c r="BC386" s="5">
        <v>44964</v>
      </c>
      <c r="BD386" s="5">
        <v>44927</v>
      </c>
      <c r="BE386" s="7">
        <v>45291</v>
      </c>
      <c r="BF386" s="1" t="s">
        <v>2170</v>
      </c>
      <c r="BG386" s="1"/>
      <c r="BH386" s="1"/>
      <c r="BI386" s="1" t="s">
        <v>108</v>
      </c>
    </row>
    <row r="387" spans="1:61" hidden="1" x14ac:dyDescent="0.25">
      <c r="A387" s="4">
        <v>382</v>
      </c>
      <c r="B387" s="2" t="str">
        <f>HYPERLINK("https://my.zakupivli.pro/remote/dispatcher/state_purchase_view/40719941", "UA-2023-02-08-016165-a")</f>
        <v>UA-2023-02-08-016165-a</v>
      </c>
      <c r="C387" s="2" t="str">
        <f>HYPERLINK("https://my.zakupivli.pro/remote/dispatcher/state_purchase_lot_view/867179", "UA-2023-02-08-016165-a-L1")</f>
        <v>UA-2023-02-08-016165-a-L1</v>
      </c>
      <c r="D387" s="1" t="s">
        <v>1866</v>
      </c>
      <c r="E387" s="1" t="s">
        <v>1865</v>
      </c>
      <c r="F387" s="1" t="s">
        <v>487</v>
      </c>
      <c r="G387" s="1" t="s">
        <v>1075</v>
      </c>
      <c r="H387" s="1" t="s">
        <v>1185</v>
      </c>
      <c r="I387" s="1" t="s">
        <v>2094</v>
      </c>
      <c r="J387" s="1" t="s">
        <v>1145</v>
      </c>
      <c r="K387" s="1" t="s">
        <v>947</v>
      </c>
      <c r="L387" s="1" t="s">
        <v>1533</v>
      </c>
      <c r="M387" s="1" t="s">
        <v>1533</v>
      </c>
      <c r="N387" s="1" t="s">
        <v>110</v>
      </c>
      <c r="O387" s="1" t="s">
        <v>110</v>
      </c>
      <c r="P387" s="1" t="s">
        <v>110</v>
      </c>
      <c r="Q387" s="5">
        <v>44965</v>
      </c>
      <c r="R387" s="1" t="s">
        <v>496</v>
      </c>
      <c r="S387" s="1" t="s">
        <v>498</v>
      </c>
      <c r="T387" s="5">
        <v>44965</v>
      </c>
      <c r="U387" s="5">
        <v>44973</v>
      </c>
      <c r="V387" s="1" t="s">
        <v>2147</v>
      </c>
      <c r="W387" s="4">
        <v>1</v>
      </c>
      <c r="X387" s="6">
        <v>411791</v>
      </c>
      <c r="Y387" s="6">
        <v>411791</v>
      </c>
      <c r="Z387" s="1">
        <v>1</v>
      </c>
      <c r="AA387" s="6">
        <v>411791</v>
      </c>
      <c r="AB387" s="1" t="s">
        <v>2167</v>
      </c>
      <c r="AC387" s="6">
        <v>2058.96</v>
      </c>
      <c r="AD387" s="1" t="s">
        <v>1100</v>
      </c>
      <c r="AE387" s="1" t="s">
        <v>2094</v>
      </c>
      <c r="AF387" s="1" t="s">
        <v>1186</v>
      </c>
      <c r="AG387" s="1" t="s">
        <v>1522</v>
      </c>
      <c r="AH387" s="6">
        <v>411522.4</v>
      </c>
      <c r="AI387" s="6">
        <v>411522.4</v>
      </c>
      <c r="AJ387" s="1" t="s">
        <v>2121</v>
      </c>
      <c r="AK387" s="6">
        <v>268.59999999997672</v>
      </c>
      <c r="AL387" s="6">
        <v>6.5227263344749332E-4</v>
      </c>
      <c r="AM387" s="1" t="s">
        <v>2121</v>
      </c>
      <c r="AN387" s="1" t="s">
        <v>815</v>
      </c>
      <c r="AO387" s="1" t="s">
        <v>1105</v>
      </c>
      <c r="AP387" s="1" t="s">
        <v>56</v>
      </c>
      <c r="AQ387" s="6">
        <v>268.59999999997672</v>
      </c>
      <c r="AR387" s="6">
        <v>6.5227263344749332E-4</v>
      </c>
      <c r="AS387" s="2"/>
      <c r="AT387" s="7">
        <v>44978.466185820478</v>
      </c>
      <c r="AU387" s="1" t="s">
        <v>501</v>
      </c>
      <c r="AV387" s="1" t="s">
        <v>504</v>
      </c>
      <c r="AW387" s="1" t="s">
        <v>2151</v>
      </c>
      <c r="AX387" s="7">
        <v>44986.372585010831</v>
      </c>
      <c r="AY387" s="1" t="s">
        <v>773</v>
      </c>
      <c r="AZ387" s="6">
        <v>411522.4</v>
      </c>
      <c r="BA387" s="1"/>
      <c r="BB387" s="5">
        <v>45282</v>
      </c>
      <c r="BC387" s="5">
        <v>44986</v>
      </c>
      <c r="BD387" s="5">
        <v>44986</v>
      </c>
      <c r="BE387" s="7">
        <v>45291</v>
      </c>
      <c r="BF387" s="1" t="s">
        <v>2170</v>
      </c>
      <c r="BG387" s="1"/>
      <c r="BH387" s="1"/>
      <c r="BI387" s="1" t="s">
        <v>816</v>
      </c>
    </row>
    <row r="388" spans="1:61" hidden="1" x14ac:dyDescent="0.25">
      <c r="A388" s="4">
        <v>383</v>
      </c>
      <c r="B388" s="2" t="str">
        <f>HYPERLINK("https://my.zakupivli.pro/remote/dispatcher/state_purchase_view/40665058", "UA-2023-02-07-006908-a")</f>
        <v>UA-2023-02-07-006908-a</v>
      </c>
      <c r="C388" s="2" t="s">
        <v>1516</v>
      </c>
      <c r="D388" s="1" t="s">
        <v>1699</v>
      </c>
      <c r="E388" s="1" t="s">
        <v>1690</v>
      </c>
      <c r="F388" s="1" t="s">
        <v>487</v>
      </c>
      <c r="G388" s="1" t="s">
        <v>990</v>
      </c>
      <c r="H388" s="1" t="s">
        <v>1218</v>
      </c>
      <c r="I388" s="1" t="s">
        <v>2094</v>
      </c>
      <c r="J388" s="1" t="s">
        <v>1145</v>
      </c>
      <c r="K388" s="1" t="s">
        <v>947</v>
      </c>
      <c r="L388" s="1" t="s">
        <v>1533</v>
      </c>
      <c r="M388" s="1" t="s">
        <v>1533</v>
      </c>
      <c r="N388" s="1" t="s">
        <v>110</v>
      </c>
      <c r="O388" s="1" t="s">
        <v>110</v>
      </c>
      <c r="P388" s="1" t="s">
        <v>110</v>
      </c>
      <c r="Q388" s="5">
        <v>44964</v>
      </c>
      <c r="R388" s="1"/>
      <c r="S388" s="1"/>
      <c r="T388" s="1"/>
      <c r="U388" s="1"/>
      <c r="V388" s="1" t="s">
        <v>2146</v>
      </c>
      <c r="W388" s="4">
        <v>1</v>
      </c>
      <c r="X388" s="6">
        <v>21626.400000000001</v>
      </c>
      <c r="Y388" s="1" t="s">
        <v>1516</v>
      </c>
      <c r="Z388" s="1">
        <v>1</v>
      </c>
      <c r="AA388" s="6">
        <v>21626.400000000001</v>
      </c>
      <c r="AB388" s="1" t="s">
        <v>2167</v>
      </c>
      <c r="AC388" s="1" t="s">
        <v>2162</v>
      </c>
      <c r="AD388" s="1" t="s">
        <v>1100</v>
      </c>
      <c r="AE388" s="1" t="s">
        <v>2094</v>
      </c>
      <c r="AF388" s="1" t="s">
        <v>1186</v>
      </c>
      <c r="AG388" s="1" t="s">
        <v>1522</v>
      </c>
      <c r="AH388" s="6">
        <v>21626.400000000001</v>
      </c>
      <c r="AI388" s="6">
        <v>21626.400000000001</v>
      </c>
      <c r="AJ388" s="1" t="s">
        <v>2085</v>
      </c>
      <c r="AK388" s="1"/>
      <c r="AL388" s="1"/>
      <c r="AM388" s="1" t="s">
        <v>2085</v>
      </c>
      <c r="AN388" s="1" t="s">
        <v>803</v>
      </c>
      <c r="AO388" s="1"/>
      <c r="AP388" s="1" t="s">
        <v>8</v>
      </c>
      <c r="AQ388" s="1"/>
      <c r="AR388" s="1"/>
      <c r="AS388" s="2"/>
      <c r="AT388" s="1"/>
      <c r="AU388" s="1"/>
      <c r="AV388" s="1"/>
      <c r="AW388" s="1" t="s">
        <v>2152</v>
      </c>
      <c r="AX388" s="7">
        <v>44964.511157512068</v>
      </c>
      <c r="AY388" s="1" t="s">
        <v>801</v>
      </c>
      <c r="AZ388" s="6">
        <v>21626.400000000001</v>
      </c>
      <c r="BA388" s="5">
        <v>44961</v>
      </c>
      <c r="BB388" s="5">
        <v>44963</v>
      </c>
      <c r="BC388" s="5">
        <v>44960</v>
      </c>
      <c r="BD388" s="5">
        <v>44960</v>
      </c>
      <c r="BE388" s="7">
        <v>45291</v>
      </c>
      <c r="BF388" s="1" t="s">
        <v>2170</v>
      </c>
      <c r="BG388" s="1"/>
      <c r="BH388" s="1"/>
      <c r="BI388" s="1" t="s">
        <v>108</v>
      </c>
    </row>
    <row r="389" spans="1:61" hidden="1" x14ac:dyDescent="0.25">
      <c r="A389" s="4">
        <v>384</v>
      </c>
      <c r="B389" s="2" t="str">
        <f>HYPERLINK("https://my.zakupivli.pro/remote/dispatcher/state_purchase_view/40648522", "UA-2023-02-06-015790-a")</f>
        <v>UA-2023-02-06-015790-a</v>
      </c>
      <c r="C389" s="2" t="str">
        <f>HYPERLINK("https://my.zakupivli.pro/remote/dispatcher/state_purchase_lot_view/864653", "UA-2023-02-06-015790-a-L1")</f>
        <v>UA-2023-02-06-015790-a-L1</v>
      </c>
      <c r="D389" s="1" t="s">
        <v>1891</v>
      </c>
      <c r="E389" s="1" t="s">
        <v>1890</v>
      </c>
      <c r="F389" s="1" t="s">
        <v>487</v>
      </c>
      <c r="G389" s="1" t="s">
        <v>1074</v>
      </c>
      <c r="H389" s="1" t="s">
        <v>1185</v>
      </c>
      <c r="I389" s="1" t="s">
        <v>2094</v>
      </c>
      <c r="J389" s="1" t="s">
        <v>1145</v>
      </c>
      <c r="K389" s="1" t="s">
        <v>947</v>
      </c>
      <c r="L389" s="1" t="s">
        <v>1533</v>
      </c>
      <c r="M389" s="1" t="s">
        <v>1533</v>
      </c>
      <c r="N389" s="1" t="s">
        <v>110</v>
      </c>
      <c r="O389" s="1" t="s">
        <v>110</v>
      </c>
      <c r="P389" s="1" t="s">
        <v>110</v>
      </c>
      <c r="Q389" s="5">
        <v>44963</v>
      </c>
      <c r="R389" s="1" t="s">
        <v>495</v>
      </c>
      <c r="S389" s="1" t="s">
        <v>497</v>
      </c>
      <c r="T389" s="5">
        <v>44963</v>
      </c>
      <c r="U389" s="5">
        <v>44971</v>
      </c>
      <c r="V389" s="1" t="s">
        <v>2147</v>
      </c>
      <c r="W389" s="4">
        <v>2</v>
      </c>
      <c r="X389" s="6">
        <v>400000</v>
      </c>
      <c r="Y389" s="6">
        <v>400000</v>
      </c>
      <c r="Z389" s="1">
        <v>1</v>
      </c>
      <c r="AA389" s="6">
        <v>400000</v>
      </c>
      <c r="AB389" s="1" t="s">
        <v>2167</v>
      </c>
      <c r="AC389" s="6">
        <v>2000</v>
      </c>
      <c r="AD389" s="1" t="s">
        <v>1100</v>
      </c>
      <c r="AE389" s="1" t="s">
        <v>2094</v>
      </c>
      <c r="AF389" s="1" t="s">
        <v>1186</v>
      </c>
      <c r="AG389" s="1" t="s">
        <v>1522</v>
      </c>
      <c r="AH389" s="6">
        <v>392000</v>
      </c>
      <c r="AI389" s="6">
        <v>392000</v>
      </c>
      <c r="AJ389" s="1" t="s">
        <v>2071</v>
      </c>
      <c r="AK389" s="6">
        <v>8000</v>
      </c>
      <c r="AL389" s="6">
        <v>0.02</v>
      </c>
      <c r="AM389" s="1" t="s">
        <v>2121</v>
      </c>
      <c r="AN389" s="1" t="s">
        <v>815</v>
      </c>
      <c r="AO389" s="1" t="s">
        <v>1105</v>
      </c>
      <c r="AP389" s="1" t="s">
        <v>56</v>
      </c>
      <c r="AQ389" s="1"/>
      <c r="AR389" s="1"/>
      <c r="AS389" s="2"/>
      <c r="AT389" s="7">
        <v>44978.65305594763</v>
      </c>
      <c r="AU389" s="1" t="s">
        <v>501</v>
      </c>
      <c r="AV389" s="1" t="s">
        <v>504</v>
      </c>
      <c r="AW389" s="1" t="s">
        <v>2151</v>
      </c>
      <c r="AX389" s="7">
        <v>44984.547360720309</v>
      </c>
      <c r="AY389" s="1" t="s">
        <v>762</v>
      </c>
      <c r="AZ389" s="6">
        <v>400000</v>
      </c>
      <c r="BA389" s="1"/>
      <c r="BB389" s="5">
        <v>45282</v>
      </c>
      <c r="BC389" s="5">
        <v>44984</v>
      </c>
      <c r="BD389" s="5">
        <v>44984</v>
      </c>
      <c r="BE389" s="7">
        <v>45291</v>
      </c>
      <c r="BF389" s="1" t="s">
        <v>2170</v>
      </c>
      <c r="BG389" s="1"/>
      <c r="BH389" s="1"/>
      <c r="BI389" s="1" t="s">
        <v>919</v>
      </c>
    </row>
    <row r="390" spans="1:61" hidden="1" x14ac:dyDescent="0.25">
      <c r="A390" s="4">
        <v>385</v>
      </c>
      <c r="B390" s="2" t="str">
        <f>HYPERLINK("https://my.zakupivli.pro/remote/dispatcher/state_purchase_view/40648708", "UA-2023-02-06-015903-a")</f>
        <v>UA-2023-02-06-015903-a</v>
      </c>
      <c r="C390" s="2" t="str">
        <f>HYPERLINK("https://my.zakupivli.pro/remote/dispatcher/state_purchase_lot_view/864662", "UA-2023-02-06-015903-a-L1")</f>
        <v>UA-2023-02-06-015903-a-L1</v>
      </c>
      <c r="D390" s="1" t="s">
        <v>1825</v>
      </c>
      <c r="E390" s="1" t="s">
        <v>1824</v>
      </c>
      <c r="F390" s="1" t="s">
        <v>487</v>
      </c>
      <c r="G390" s="1" t="s">
        <v>1052</v>
      </c>
      <c r="H390" s="1" t="s">
        <v>1185</v>
      </c>
      <c r="I390" s="1" t="s">
        <v>2094</v>
      </c>
      <c r="J390" s="1" t="s">
        <v>1145</v>
      </c>
      <c r="K390" s="1" t="s">
        <v>947</v>
      </c>
      <c r="L390" s="1" t="s">
        <v>1533</v>
      </c>
      <c r="M390" s="1" t="s">
        <v>1533</v>
      </c>
      <c r="N390" s="1" t="s">
        <v>110</v>
      </c>
      <c r="O390" s="1" t="s">
        <v>110</v>
      </c>
      <c r="P390" s="1" t="s">
        <v>110</v>
      </c>
      <c r="Q390" s="5">
        <v>44963</v>
      </c>
      <c r="R390" s="1" t="s">
        <v>495</v>
      </c>
      <c r="S390" s="1" t="s">
        <v>497</v>
      </c>
      <c r="T390" s="5">
        <v>44963</v>
      </c>
      <c r="U390" s="5">
        <v>44971</v>
      </c>
      <c r="V390" s="1" t="s">
        <v>2147</v>
      </c>
      <c r="W390" s="4">
        <v>1</v>
      </c>
      <c r="X390" s="6">
        <v>600000</v>
      </c>
      <c r="Y390" s="6">
        <v>600000</v>
      </c>
      <c r="Z390" s="1">
        <v>1</v>
      </c>
      <c r="AA390" s="6">
        <v>600000</v>
      </c>
      <c r="AB390" s="1" t="s">
        <v>2167</v>
      </c>
      <c r="AC390" s="6">
        <v>3000</v>
      </c>
      <c r="AD390" s="1" t="s">
        <v>1100</v>
      </c>
      <c r="AE390" s="1" t="s">
        <v>2094</v>
      </c>
      <c r="AF390" s="1" t="s">
        <v>1186</v>
      </c>
      <c r="AG390" s="1" t="s">
        <v>1522</v>
      </c>
      <c r="AH390" s="6">
        <v>599367.53</v>
      </c>
      <c r="AI390" s="6">
        <v>599367.53</v>
      </c>
      <c r="AJ390" s="1" t="s">
        <v>2122</v>
      </c>
      <c r="AK390" s="6">
        <v>632.46999999997206</v>
      </c>
      <c r="AL390" s="6">
        <v>1.05411666666662E-3</v>
      </c>
      <c r="AM390" s="1" t="s">
        <v>2122</v>
      </c>
      <c r="AN390" s="1" t="s">
        <v>225</v>
      </c>
      <c r="AO390" s="1" t="s">
        <v>1107</v>
      </c>
      <c r="AP390" s="1" t="s">
        <v>55</v>
      </c>
      <c r="AQ390" s="6">
        <v>632.46999999997206</v>
      </c>
      <c r="AR390" s="6">
        <v>1.05411666666662E-3</v>
      </c>
      <c r="AS390" s="2"/>
      <c r="AT390" s="7">
        <v>44972.672749170044</v>
      </c>
      <c r="AU390" s="1" t="s">
        <v>500</v>
      </c>
      <c r="AV390" s="1" t="s">
        <v>502</v>
      </c>
      <c r="AW390" s="1" t="s">
        <v>2151</v>
      </c>
      <c r="AX390" s="7">
        <v>44978.473992917432</v>
      </c>
      <c r="AY390" s="1" t="s">
        <v>740</v>
      </c>
      <c r="AZ390" s="6">
        <v>599367.53</v>
      </c>
      <c r="BA390" s="1"/>
      <c r="BB390" s="5">
        <v>45282</v>
      </c>
      <c r="BC390" s="5">
        <v>44978</v>
      </c>
      <c r="BD390" s="5">
        <v>44978</v>
      </c>
      <c r="BE390" s="7">
        <v>45291</v>
      </c>
      <c r="BF390" s="1" t="s">
        <v>2170</v>
      </c>
      <c r="BG390" s="1"/>
      <c r="BH390" s="1"/>
      <c r="BI390" s="1" t="s">
        <v>226</v>
      </c>
    </row>
    <row r="391" spans="1:61" hidden="1" x14ac:dyDescent="0.25">
      <c r="A391" s="4">
        <v>386</v>
      </c>
      <c r="B391" s="2" t="str">
        <f>HYPERLINK("https://my.zakupivli.pro/remote/dispatcher/state_purchase_view/40648342", "UA-2023-02-06-015734-a")</f>
        <v>UA-2023-02-06-015734-a</v>
      </c>
      <c r="C391" s="2" t="str">
        <f>HYPERLINK("https://my.zakupivli.pro/remote/dispatcher/state_purchase_lot_view/864643", "UA-2023-02-06-015734-a-L1")</f>
        <v>UA-2023-02-06-015734-a-L1</v>
      </c>
      <c r="D391" s="1" t="s">
        <v>1893</v>
      </c>
      <c r="E391" s="1" t="s">
        <v>1892</v>
      </c>
      <c r="F391" s="1" t="s">
        <v>487</v>
      </c>
      <c r="G391" s="1" t="s">
        <v>1074</v>
      </c>
      <c r="H391" s="1" t="s">
        <v>1185</v>
      </c>
      <c r="I391" s="1" t="s">
        <v>2094</v>
      </c>
      <c r="J391" s="1" t="s">
        <v>1145</v>
      </c>
      <c r="K391" s="1" t="s">
        <v>947</v>
      </c>
      <c r="L391" s="1" t="s">
        <v>1533</v>
      </c>
      <c r="M391" s="1" t="s">
        <v>1533</v>
      </c>
      <c r="N391" s="1" t="s">
        <v>110</v>
      </c>
      <c r="O391" s="1" t="s">
        <v>110</v>
      </c>
      <c r="P391" s="1" t="s">
        <v>110</v>
      </c>
      <c r="Q391" s="5">
        <v>44963</v>
      </c>
      <c r="R391" s="1" t="s">
        <v>495</v>
      </c>
      <c r="S391" s="1" t="s">
        <v>497</v>
      </c>
      <c r="T391" s="5">
        <v>44963</v>
      </c>
      <c r="U391" s="5">
        <v>44971</v>
      </c>
      <c r="V391" s="1" t="s">
        <v>2147</v>
      </c>
      <c r="W391" s="4">
        <v>2</v>
      </c>
      <c r="X391" s="6">
        <v>300000</v>
      </c>
      <c r="Y391" s="6">
        <v>300000</v>
      </c>
      <c r="Z391" s="1">
        <v>1</v>
      </c>
      <c r="AA391" s="6">
        <v>300000</v>
      </c>
      <c r="AB391" s="1" t="s">
        <v>2167</v>
      </c>
      <c r="AC391" s="6">
        <v>1500</v>
      </c>
      <c r="AD391" s="1" t="s">
        <v>1100</v>
      </c>
      <c r="AE391" s="1" t="s">
        <v>2094</v>
      </c>
      <c r="AF391" s="1" t="s">
        <v>1186</v>
      </c>
      <c r="AG391" s="1" t="s">
        <v>1522</v>
      </c>
      <c r="AH391" s="6">
        <v>291000</v>
      </c>
      <c r="AI391" s="6">
        <v>291000</v>
      </c>
      <c r="AJ391" s="1" t="s">
        <v>2071</v>
      </c>
      <c r="AK391" s="6">
        <v>9000</v>
      </c>
      <c r="AL391" s="6">
        <v>0.03</v>
      </c>
      <c r="AM391" s="1" t="s">
        <v>2121</v>
      </c>
      <c r="AN391" s="1" t="s">
        <v>815</v>
      </c>
      <c r="AO391" s="1" t="s">
        <v>1105</v>
      </c>
      <c r="AP391" s="1" t="s">
        <v>56</v>
      </c>
      <c r="AQ391" s="1"/>
      <c r="AR391" s="1"/>
      <c r="AS391" s="2"/>
      <c r="AT391" s="7">
        <v>44978.654895372856</v>
      </c>
      <c r="AU391" s="1" t="s">
        <v>501</v>
      </c>
      <c r="AV391" s="1" t="s">
        <v>504</v>
      </c>
      <c r="AW391" s="1" t="s">
        <v>2151</v>
      </c>
      <c r="AX391" s="7">
        <v>44984.545981321433</v>
      </c>
      <c r="AY391" s="1" t="s">
        <v>767</v>
      </c>
      <c r="AZ391" s="6">
        <v>300000</v>
      </c>
      <c r="BA391" s="1"/>
      <c r="BB391" s="5">
        <v>45282</v>
      </c>
      <c r="BC391" s="5">
        <v>44984</v>
      </c>
      <c r="BD391" s="5">
        <v>44984</v>
      </c>
      <c r="BE391" s="7">
        <v>45291</v>
      </c>
      <c r="BF391" s="1" t="s">
        <v>2170</v>
      </c>
      <c r="BG391" s="1"/>
      <c r="BH391" s="1"/>
      <c r="BI391" s="1" t="s">
        <v>919</v>
      </c>
    </row>
    <row r="392" spans="1:61" hidden="1" x14ac:dyDescent="0.25">
      <c r="A392" s="4">
        <v>387</v>
      </c>
      <c r="B392" s="2" t="str">
        <f>HYPERLINK("https://my.zakupivli.pro/remote/dispatcher/state_purchase_view/40512237", "UA-2023-02-01-006207-a")</f>
        <v>UA-2023-02-01-006207-a</v>
      </c>
      <c r="C392" s="2" t="s">
        <v>1516</v>
      </c>
      <c r="D392" s="1" t="s">
        <v>1141</v>
      </c>
      <c r="E392" s="1" t="s">
        <v>1141</v>
      </c>
      <c r="F392" s="1" t="s">
        <v>487</v>
      </c>
      <c r="G392" s="1" t="s">
        <v>1039</v>
      </c>
      <c r="H392" s="1" t="s">
        <v>1218</v>
      </c>
      <c r="I392" s="1" t="s">
        <v>2094</v>
      </c>
      <c r="J392" s="1" t="s">
        <v>1145</v>
      </c>
      <c r="K392" s="1" t="s">
        <v>947</v>
      </c>
      <c r="L392" s="1" t="s">
        <v>1533</v>
      </c>
      <c r="M392" s="1" t="s">
        <v>1533</v>
      </c>
      <c r="N392" s="1" t="s">
        <v>110</v>
      </c>
      <c r="O392" s="1" t="s">
        <v>110</v>
      </c>
      <c r="P392" s="1" t="s">
        <v>110</v>
      </c>
      <c r="Q392" s="5">
        <v>44958</v>
      </c>
      <c r="R392" s="1"/>
      <c r="S392" s="1"/>
      <c r="T392" s="1"/>
      <c r="U392" s="1"/>
      <c r="V392" s="1" t="s">
        <v>2146</v>
      </c>
      <c r="W392" s="4">
        <v>1</v>
      </c>
      <c r="X392" s="6">
        <v>2700</v>
      </c>
      <c r="Y392" s="1" t="s">
        <v>1516</v>
      </c>
      <c r="Z392" s="1">
        <v>1</v>
      </c>
      <c r="AA392" s="6">
        <v>2700</v>
      </c>
      <c r="AB392" s="1" t="s">
        <v>2167</v>
      </c>
      <c r="AC392" s="1" t="s">
        <v>2162</v>
      </c>
      <c r="AD392" s="1" t="s">
        <v>1100</v>
      </c>
      <c r="AE392" s="1" t="s">
        <v>1522</v>
      </c>
      <c r="AF392" s="1" t="s">
        <v>1186</v>
      </c>
      <c r="AG392" s="1" t="s">
        <v>1522</v>
      </c>
      <c r="AH392" s="6">
        <v>2700</v>
      </c>
      <c r="AI392" s="6">
        <v>2700</v>
      </c>
      <c r="AJ392" s="1" t="s">
        <v>1161</v>
      </c>
      <c r="AK392" s="1"/>
      <c r="AL392" s="1"/>
      <c r="AM392" s="1" t="s">
        <v>1161</v>
      </c>
      <c r="AN392" s="1" t="s">
        <v>851</v>
      </c>
      <c r="AO392" s="1"/>
      <c r="AP392" s="1" t="s">
        <v>40</v>
      </c>
      <c r="AQ392" s="1"/>
      <c r="AR392" s="1"/>
      <c r="AS392" s="2"/>
      <c r="AT392" s="1"/>
      <c r="AU392" s="1"/>
      <c r="AV392" s="1"/>
      <c r="AW392" s="1" t="s">
        <v>2152</v>
      </c>
      <c r="AX392" s="7">
        <v>44958.49027688965</v>
      </c>
      <c r="AY392" s="1" t="s">
        <v>1093</v>
      </c>
      <c r="AZ392" s="6">
        <v>2700</v>
      </c>
      <c r="BA392" s="1"/>
      <c r="BB392" s="5">
        <v>45291</v>
      </c>
      <c r="BC392" s="5">
        <v>44957</v>
      </c>
      <c r="BD392" s="5">
        <v>44957</v>
      </c>
      <c r="BE392" s="7">
        <v>45291</v>
      </c>
      <c r="BF392" s="1" t="s">
        <v>2170</v>
      </c>
      <c r="BG392" s="1"/>
      <c r="BH392" s="1"/>
      <c r="BI392" s="1" t="s">
        <v>108</v>
      </c>
    </row>
    <row r="393" spans="1:61" hidden="1" x14ac:dyDescent="0.25">
      <c r="A393" s="4">
        <v>388</v>
      </c>
      <c r="B393" s="2" t="str">
        <f>HYPERLINK("https://my.zakupivli.pro/remote/dispatcher/state_purchase_view/40462944", "UA-2023-01-30-018256-a")</f>
        <v>UA-2023-01-30-018256-a</v>
      </c>
      <c r="C393" s="2" t="s">
        <v>1516</v>
      </c>
      <c r="D393" s="1" t="s">
        <v>1659</v>
      </c>
      <c r="E393" s="1" t="s">
        <v>1659</v>
      </c>
      <c r="F393" s="1" t="s">
        <v>487</v>
      </c>
      <c r="G393" s="1" t="s">
        <v>1021</v>
      </c>
      <c r="H393" s="1" t="s">
        <v>1218</v>
      </c>
      <c r="I393" s="1" t="s">
        <v>2094</v>
      </c>
      <c r="J393" s="1" t="s">
        <v>1145</v>
      </c>
      <c r="K393" s="1" t="s">
        <v>947</v>
      </c>
      <c r="L393" s="1" t="s">
        <v>1533</v>
      </c>
      <c r="M393" s="1" t="s">
        <v>1533</v>
      </c>
      <c r="N393" s="1" t="s">
        <v>110</v>
      </c>
      <c r="O393" s="1" t="s">
        <v>110</v>
      </c>
      <c r="P393" s="1" t="s">
        <v>110</v>
      </c>
      <c r="Q393" s="5">
        <v>44956</v>
      </c>
      <c r="R393" s="1"/>
      <c r="S393" s="1"/>
      <c r="T393" s="1"/>
      <c r="U393" s="1"/>
      <c r="V393" s="1" t="s">
        <v>2146</v>
      </c>
      <c r="W393" s="4">
        <v>1</v>
      </c>
      <c r="X393" s="6">
        <v>73500</v>
      </c>
      <c r="Y393" s="1" t="s">
        <v>1516</v>
      </c>
      <c r="Z393" s="1">
        <v>1</v>
      </c>
      <c r="AA393" s="6">
        <v>73500</v>
      </c>
      <c r="AB393" s="1" t="s">
        <v>2167</v>
      </c>
      <c r="AC393" s="1" t="s">
        <v>2162</v>
      </c>
      <c r="AD393" s="1" t="s">
        <v>1100</v>
      </c>
      <c r="AE393" s="1" t="s">
        <v>2094</v>
      </c>
      <c r="AF393" s="1" t="s">
        <v>1186</v>
      </c>
      <c r="AG393" s="1" t="s">
        <v>1522</v>
      </c>
      <c r="AH393" s="6">
        <v>73500</v>
      </c>
      <c r="AI393" s="6">
        <v>73500</v>
      </c>
      <c r="AJ393" s="1" t="s">
        <v>1147</v>
      </c>
      <c r="AK393" s="1"/>
      <c r="AL393" s="1"/>
      <c r="AM393" s="1" t="s">
        <v>1147</v>
      </c>
      <c r="AN393" s="1" t="s">
        <v>706</v>
      </c>
      <c r="AO393" s="1"/>
      <c r="AP393" s="1" t="s">
        <v>35</v>
      </c>
      <c r="AQ393" s="1"/>
      <c r="AR393" s="1"/>
      <c r="AS393" s="2"/>
      <c r="AT393" s="1"/>
      <c r="AU393" s="1"/>
      <c r="AV393" s="1"/>
      <c r="AW393" s="1" t="s">
        <v>2152</v>
      </c>
      <c r="AX393" s="7">
        <v>44956.866651823591</v>
      </c>
      <c r="AY393" s="1" t="s">
        <v>1067</v>
      </c>
      <c r="AZ393" s="6">
        <v>73500</v>
      </c>
      <c r="BA393" s="5">
        <v>44927</v>
      </c>
      <c r="BB393" s="5">
        <v>45291</v>
      </c>
      <c r="BC393" s="5">
        <v>44952</v>
      </c>
      <c r="BD393" s="5">
        <v>44927</v>
      </c>
      <c r="BE393" s="7">
        <v>45291</v>
      </c>
      <c r="BF393" s="1" t="s">
        <v>2170</v>
      </c>
      <c r="BG393" s="1"/>
      <c r="BH393" s="1"/>
      <c r="BI393" s="1" t="s">
        <v>108</v>
      </c>
    </row>
    <row r="394" spans="1:61" hidden="1" x14ac:dyDescent="0.25">
      <c r="A394" s="4">
        <v>389</v>
      </c>
      <c r="B394" s="2" t="str">
        <f>HYPERLINK("https://my.zakupivli.pro/remote/dispatcher/state_purchase_view/40328335", "UA-2023-01-25-008483-a")</f>
        <v>UA-2023-01-25-008483-a</v>
      </c>
      <c r="C394" s="2" t="s">
        <v>1516</v>
      </c>
      <c r="D394" s="1" t="s">
        <v>1906</v>
      </c>
      <c r="E394" s="1" t="s">
        <v>1906</v>
      </c>
      <c r="F394" s="1" t="s">
        <v>487</v>
      </c>
      <c r="G394" s="1" t="s">
        <v>1024</v>
      </c>
      <c r="H394" s="1" t="s">
        <v>1218</v>
      </c>
      <c r="I394" s="1" t="s">
        <v>2094</v>
      </c>
      <c r="J394" s="1" t="s">
        <v>1145</v>
      </c>
      <c r="K394" s="1" t="s">
        <v>947</v>
      </c>
      <c r="L394" s="1" t="s">
        <v>1533</v>
      </c>
      <c r="M394" s="1" t="s">
        <v>1533</v>
      </c>
      <c r="N394" s="1" t="s">
        <v>110</v>
      </c>
      <c r="O394" s="1" t="s">
        <v>110</v>
      </c>
      <c r="P394" s="1" t="s">
        <v>110</v>
      </c>
      <c r="Q394" s="5">
        <v>44951</v>
      </c>
      <c r="R394" s="1"/>
      <c r="S394" s="1"/>
      <c r="T394" s="1"/>
      <c r="U394" s="1"/>
      <c r="V394" s="1" t="s">
        <v>2146</v>
      </c>
      <c r="W394" s="4">
        <v>1</v>
      </c>
      <c r="X394" s="6">
        <v>9000</v>
      </c>
      <c r="Y394" s="1" t="s">
        <v>1516</v>
      </c>
      <c r="Z394" s="1">
        <v>37719</v>
      </c>
      <c r="AA394" s="6">
        <v>0.24</v>
      </c>
      <c r="AB394" s="1" t="s">
        <v>2154</v>
      </c>
      <c r="AC394" s="1" t="s">
        <v>2162</v>
      </c>
      <c r="AD394" s="1" t="s">
        <v>1100</v>
      </c>
      <c r="AE394" s="1" t="s">
        <v>2094</v>
      </c>
      <c r="AF394" s="1" t="s">
        <v>1186</v>
      </c>
      <c r="AG394" s="1" t="s">
        <v>1522</v>
      </c>
      <c r="AH394" s="6">
        <v>9000</v>
      </c>
      <c r="AI394" s="6">
        <v>0.23860653781913624</v>
      </c>
      <c r="AJ394" s="1" t="s">
        <v>1146</v>
      </c>
      <c r="AK394" s="1"/>
      <c r="AL394" s="1"/>
      <c r="AM394" s="1" t="s">
        <v>1146</v>
      </c>
      <c r="AN394" s="1" t="s">
        <v>733</v>
      </c>
      <c r="AO394" s="1"/>
      <c r="AP394" s="1" t="s">
        <v>68</v>
      </c>
      <c r="AQ394" s="1"/>
      <c r="AR394" s="1"/>
      <c r="AS394" s="2"/>
      <c r="AT394" s="1"/>
      <c r="AU394" s="1"/>
      <c r="AV394" s="1"/>
      <c r="AW394" s="1" t="s">
        <v>2152</v>
      </c>
      <c r="AX394" s="7">
        <v>44951.548934875951</v>
      </c>
      <c r="AY394" s="1" t="s">
        <v>135</v>
      </c>
      <c r="AZ394" s="6">
        <v>9000</v>
      </c>
      <c r="BA394" s="5">
        <v>44927</v>
      </c>
      <c r="BB394" s="5">
        <v>45291</v>
      </c>
      <c r="BC394" s="5">
        <v>44950</v>
      </c>
      <c r="BD394" s="5">
        <v>44927</v>
      </c>
      <c r="BE394" s="7">
        <v>45291</v>
      </c>
      <c r="BF394" s="1" t="s">
        <v>2170</v>
      </c>
      <c r="BG394" s="1"/>
      <c r="BH394" s="1"/>
      <c r="BI394" s="1" t="s">
        <v>108</v>
      </c>
    </row>
    <row r="395" spans="1:61" hidden="1" x14ac:dyDescent="0.25">
      <c r="A395" s="4">
        <v>390</v>
      </c>
      <c r="B395" s="2" t="str">
        <f>HYPERLINK("https://my.zakupivli.pro/remote/dispatcher/state_purchase_view/40115935", "UA-2023-01-17-012031-a")</f>
        <v>UA-2023-01-17-012031-a</v>
      </c>
      <c r="C395" s="2" t="str">
        <f>HYPERLINK("https://my.zakupivli.pro/remote/dispatcher/state_purchase_lot_view/847559", "UA-2023-01-17-012031-a-L1")</f>
        <v>UA-2023-01-17-012031-a-L1</v>
      </c>
      <c r="D395" s="1" t="s">
        <v>1829</v>
      </c>
      <c r="E395" s="1" t="s">
        <v>1828</v>
      </c>
      <c r="F395" s="1" t="s">
        <v>487</v>
      </c>
      <c r="G395" s="1" t="s">
        <v>1076</v>
      </c>
      <c r="H395" s="1" t="s">
        <v>1185</v>
      </c>
      <c r="I395" s="1" t="s">
        <v>2094</v>
      </c>
      <c r="J395" s="1" t="s">
        <v>1145</v>
      </c>
      <c r="K395" s="1" t="s">
        <v>947</v>
      </c>
      <c r="L395" s="1" t="s">
        <v>1533</v>
      </c>
      <c r="M395" s="1" t="s">
        <v>1533</v>
      </c>
      <c r="N395" s="1" t="s">
        <v>110</v>
      </c>
      <c r="O395" s="1" t="s">
        <v>110</v>
      </c>
      <c r="P395" s="1" t="s">
        <v>110</v>
      </c>
      <c r="Q395" s="5">
        <v>44943</v>
      </c>
      <c r="R395" s="1" t="s">
        <v>492</v>
      </c>
      <c r="S395" s="1" t="s">
        <v>493</v>
      </c>
      <c r="T395" s="5">
        <v>44943</v>
      </c>
      <c r="U395" s="5">
        <v>44951</v>
      </c>
      <c r="V395" s="1" t="s">
        <v>2147</v>
      </c>
      <c r="W395" s="4">
        <v>1</v>
      </c>
      <c r="X395" s="6">
        <v>250000</v>
      </c>
      <c r="Y395" s="6">
        <v>250000</v>
      </c>
      <c r="Z395" s="1">
        <v>1</v>
      </c>
      <c r="AA395" s="6">
        <v>250000</v>
      </c>
      <c r="AB395" s="1" t="s">
        <v>2167</v>
      </c>
      <c r="AC395" s="6">
        <v>1250</v>
      </c>
      <c r="AD395" s="1" t="s">
        <v>1100</v>
      </c>
      <c r="AE395" s="1" t="s">
        <v>2094</v>
      </c>
      <c r="AF395" s="1" t="s">
        <v>1186</v>
      </c>
      <c r="AG395" s="1" t="s">
        <v>1522</v>
      </c>
      <c r="AH395" s="6">
        <v>249497</v>
      </c>
      <c r="AI395" s="6">
        <v>249497</v>
      </c>
      <c r="AJ395" s="1" t="s">
        <v>2036</v>
      </c>
      <c r="AK395" s="6">
        <v>503</v>
      </c>
      <c r="AL395" s="6">
        <v>2.0119999999999999E-3</v>
      </c>
      <c r="AM395" s="1" t="s">
        <v>2036</v>
      </c>
      <c r="AN395" s="1" t="s">
        <v>904</v>
      </c>
      <c r="AO395" s="1" t="s">
        <v>1132</v>
      </c>
      <c r="AP395" s="1" t="s">
        <v>75</v>
      </c>
      <c r="AQ395" s="6">
        <v>503</v>
      </c>
      <c r="AR395" s="6">
        <v>2.0119999999999999E-3</v>
      </c>
      <c r="AS395" s="2"/>
      <c r="AT395" s="7">
        <v>44956.407485686206</v>
      </c>
      <c r="AU395" s="1" t="s">
        <v>494</v>
      </c>
      <c r="AV395" s="1" t="s">
        <v>499</v>
      </c>
      <c r="AW395" s="1" t="s">
        <v>2151</v>
      </c>
      <c r="AX395" s="7">
        <v>44963.744511449215</v>
      </c>
      <c r="AY395" s="1" t="s">
        <v>892</v>
      </c>
      <c r="AZ395" s="6">
        <v>249497</v>
      </c>
      <c r="BA395" s="1"/>
      <c r="BB395" s="5">
        <v>45291</v>
      </c>
      <c r="BC395" s="5">
        <v>44963</v>
      </c>
      <c r="BD395" s="5">
        <v>44963</v>
      </c>
      <c r="BE395" s="7">
        <v>45291</v>
      </c>
      <c r="BF395" s="1" t="s">
        <v>2170</v>
      </c>
      <c r="BG395" s="1"/>
      <c r="BH395" s="1"/>
      <c r="BI395" s="1" t="s">
        <v>905</v>
      </c>
    </row>
    <row r="396" spans="1:61" hidden="1" x14ac:dyDescent="0.25">
      <c r="A396" s="4">
        <v>391</v>
      </c>
      <c r="B396" s="2" t="str">
        <f>HYPERLINK("https://my.zakupivli.pro/remote/dispatcher/state_purchase_view/39944271", "UA-2023-01-05-005146-a")</f>
        <v>UA-2023-01-05-005146-a</v>
      </c>
      <c r="C396" s="2" t="s">
        <v>1516</v>
      </c>
      <c r="D396" s="1" t="s">
        <v>1581</v>
      </c>
      <c r="E396" s="1" t="s">
        <v>1581</v>
      </c>
      <c r="F396" s="1" t="s">
        <v>487</v>
      </c>
      <c r="G396" s="1" t="s">
        <v>1002</v>
      </c>
      <c r="H396" s="1" t="s">
        <v>1218</v>
      </c>
      <c r="I396" s="1" t="s">
        <v>2094</v>
      </c>
      <c r="J396" s="1" t="s">
        <v>1145</v>
      </c>
      <c r="K396" s="1" t="s">
        <v>947</v>
      </c>
      <c r="L396" s="1" t="s">
        <v>1533</v>
      </c>
      <c r="M396" s="1" t="s">
        <v>1533</v>
      </c>
      <c r="N396" s="1" t="s">
        <v>110</v>
      </c>
      <c r="O396" s="1" t="s">
        <v>110</v>
      </c>
      <c r="P396" s="1" t="s">
        <v>110</v>
      </c>
      <c r="Q396" s="5">
        <v>44931</v>
      </c>
      <c r="R396" s="1"/>
      <c r="S396" s="1"/>
      <c r="T396" s="1"/>
      <c r="U396" s="1"/>
      <c r="V396" s="1" t="s">
        <v>2146</v>
      </c>
      <c r="W396" s="4">
        <v>1</v>
      </c>
      <c r="X396" s="6">
        <v>98978.7</v>
      </c>
      <c r="Y396" s="1" t="s">
        <v>1516</v>
      </c>
      <c r="Z396" s="1">
        <v>1</v>
      </c>
      <c r="AA396" s="6">
        <v>98978.7</v>
      </c>
      <c r="AB396" s="1" t="s">
        <v>2167</v>
      </c>
      <c r="AC396" s="1" t="s">
        <v>2162</v>
      </c>
      <c r="AD396" s="1" t="s">
        <v>1100</v>
      </c>
      <c r="AE396" s="1" t="s">
        <v>1522</v>
      </c>
      <c r="AF396" s="1" t="s">
        <v>1186</v>
      </c>
      <c r="AG396" s="1" t="s">
        <v>1522</v>
      </c>
      <c r="AH396" s="6">
        <v>98978.7</v>
      </c>
      <c r="AI396" s="6">
        <v>98978.7</v>
      </c>
      <c r="AJ396" s="1" t="s">
        <v>1513</v>
      </c>
      <c r="AK396" s="1"/>
      <c r="AL396" s="1"/>
      <c r="AM396" s="1" t="s">
        <v>1513</v>
      </c>
      <c r="AN396" s="1" t="s">
        <v>770</v>
      </c>
      <c r="AO396" s="1"/>
      <c r="AP396" s="1" t="s">
        <v>4</v>
      </c>
      <c r="AQ396" s="1"/>
      <c r="AR396" s="1"/>
      <c r="AS396" s="2"/>
      <c r="AT396" s="1"/>
      <c r="AU396" s="1"/>
      <c r="AV396" s="1"/>
      <c r="AW396" s="1" t="s">
        <v>2152</v>
      </c>
      <c r="AX396" s="7">
        <v>44931.688715326272</v>
      </c>
      <c r="AY396" s="1" t="s">
        <v>289</v>
      </c>
      <c r="AZ396" s="6">
        <v>98978.7</v>
      </c>
      <c r="BA396" s="5">
        <v>44931</v>
      </c>
      <c r="BB396" s="5">
        <v>45291</v>
      </c>
      <c r="BC396" s="5">
        <v>44931</v>
      </c>
      <c r="BD396" s="5">
        <v>44931</v>
      </c>
      <c r="BE396" s="7">
        <v>45291</v>
      </c>
      <c r="BF396" s="1" t="s">
        <v>2170</v>
      </c>
      <c r="BG396" s="1"/>
      <c r="BH396" s="1"/>
      <c r="BI396" s="1" t="s">
        <v>108</v>
      </c>
    </row>
    <row r="397" spans="1:61" hidden="1" x14ac:dyDescent="0.25">
      <c r="A397" s="4">
        <v>392</v>
      </c>
      <c r="B397" s="2" t="str">
        <f>HYPERLINK("https://my.zakupivli.pro/remote/dispatcher/state_purchase_view/39928546", "UA-2023-01-04-004625-a")</f>
        <v>UA-2023-01-04-004625-a</v>
      </c>
      <c r="C397" s="2" t="str">
        <f>HYPERLINK("https://my.zakupivli.pro/remote/dispatcher/state_purchase_lot_view/837022", "UA-2023-01-04-004625-a-L1")</f>
        <v>UA-2023-01-04-004625-a-L1</v>
      </c>
      <c r="D397" s="1" t="s">
        <v>1829</v>
      </c>
      <c r="E397" s="1" t="s">
        <v>1828</v>
      </c>
      <c r="F397" s="1" t="s">
        <v>487</v>
      </c>
      <c r="G397" s="1" t="s">
        <v>1076</v>
      </c>
      <c r="H397" s="1" t="s">
        <v>1185</v>
      </c>
      <c r="I397" s="1" t="s">
        <v>2094</v>
      </c>
      <c r="J397" s="1" t="s">
        <v>1145</v>
      </c>
      <c r="K397" s="1" t="s">
        <v>947</v>
      </c>
      <c r="L397" s="1" t="s">
        <v>1533</v>
      </c>
      <c r="M397" s="1" t="s">
        <v>1533</v>
      </c>
      <c r="N397" s="1" t="s">
        <v>110</v>
      </c>
      <c r="O397" s="1" t="s">
        <v>110</v>
      </c>
      <c r="P397" s="1" t="s">
        <v>110</v>
      </c>
      <c r="Q397" s="5">
        <v>44930</v>
      </c>
      <c r="R397" s="1" t="s">
        <v>489</v>
      </c>
      <c r="S397" s="1" t="s">
        <v>490</v>
      </c>
      <c r="T397" s="5">
        <v>44930</v>
      </c>
      <c r="U397" s="5">
        <v>44938</v>
      </c>
      <c r="V397" s="1" t="s">
        <v>2147</v>
      </c>
      <c r="W397" s="4">
        <v>1</v>
      </c>
      <c r="X397" s="6">
        <v>250000</v>
      </c>
      <c r="Y397" s="6">
        <v>250000</v>
      </c>
      <c r="Z397" s="1">
        <v>1</v>
      </c>
      <c r="AA397" s="6">
        <v>250000</v>
      </c>
      <c r="AB397" s="1" t="s">
        <v>2167</v>
      </c>
      <c r="AC397" s="6">
        <v>1250</v>
      </c>
      <c r="AD397" s="1" t="s">
        <v>1100</v>
      </c>
      <c r="AE397" s="1" t="s">
        <v>2094</v>
      </c>
      <c r="AF397" s="1" t="s">
        <v>1186</v>
      </c>
      <c r="AG397" s="1" t="s">
        <v>1522</v>
      </c>
      <c r="AH397" s="6">
        <v>249497</v>
      </c>
      <c r="AI397" s="6">
        <v>249497</v>
      </c>
      <c r="AJ397" s="1" t="s">
        <v>2036</v>
      </c>
      <c r="AK397" s="6">
        <v>503</v>
      </c>
      <c r="AL397" s="6">
        <v>2.0119999999999999E-3</v>
      </c>
      <c r="AM397" s="1"/>
      <c r="AN397" s="1"/>
      <c r="AO397" s="1"/>
      <c r="AP397" s="1"/>
      <c r="AQ397" s="1"/>
      <c r="AR397" s="1"/>
      <c r="AS397" s="2"/>
      <c r="AT397" s="7">
        <v>44943.651968380582</v>
      </c>
      <c r="AU397" s="1"/>
      <c r="AV397" s="1"/>
      <c r="AW397" s="1" t="s">
        <v>2153</v>
      </c>
      <c r="AX397" s="7">
        <v>44949.001575392591</v>
      </c>
      <c r="AY397" s="1"/>
      <c r="AZ397" s="1"/>
      <c r="BA397" s="1"/>
      <c r="BB397" s="5">
        <v>45291</v>
      </c>
      <c r="BC397" s="1" t="s">
        <v>109</v>
      </c>
      <c r="BD397" s="1" t="s">
        <v>109</v>
      </c>
      <c r="BE397" s="1"/>
      <c r="BF397" s="1"/>
      <c r="BG397" s="1"/>
      <c r="BH397" s="1"/>
      <c r="BI397" s="1" t="s">
        <v>905</v>
      </c>
    </row>
    <row r="398" spans="1:61" hidden="1" x14ac:dyDescent="0.25">
      <c r="A398" s="4">
        <v>393</v>
      </c>
      <c r="B398" s="2" t="str">
        <f>HYPERLINK("https://my.zakupivli.pro/remote/dispatcher/state_purchase_view/39911736", "UA-2023-01-03-002953-a")</f>
        <v>UA-2023-01-03-002953-a</v>
      </c>
      <c r="C398" s="2" t="s">
        <v>1516</v>
      </c>
      <c r="D398" s="1" t="s">
        <v>1581</v>
      </c>
      <c r="E398" s="1" t="s">
        <v>1581</v>
      </c>
      <c r="F398" s="1" t="s">
        <v>487</v>
      </c>
      <c r="G398" s="1" t="s">
        <v>1002</v>
      </c>
      <c r="H398" s="1" t="s">
        <v>1218</v>
      </c>
      <c r="I398" s="1" t="s">
        <v>2094</v>
      </c>
      <c r="J398" s="1" t="s">
        <v>1145</v>
      </c>
      <c r="K398" s="1" t="s">
        <v>947</v>
      </c>
      <c r="L398" s="1" t="s">
        <v>1533</v>
      </c>
      <c r="M398" s="1" t="s">
        <v>1533</v>
      </c>
      <c r="N398" s="1" t="s">
        <v>110</v>
      </c>
      <c r="O398" s="1" t="s">
        <v>110</v>
      </c>
      <c r="P398" s="1" t="s">
        <v>110</v>
      </c>
      <c r="Q398" s="5">
        <v>44929</v>
      </c>
      <c r="R398" s="1"/>
      <c r="S398" s="1"/>
      <c r="T398" s="1"/>
      <c r="U398" s="1"/>
      <c r="V398" s="1" t="s">
        <v>2146</v>
      </c>
      <c r="W398" s="4">
        <v>1</v>
      </c>
      <c r="X398" s="6">
        <v>98978.7</v>
      </c>
      <c r="Y398" s="1" t="s">
        <v>1516</v>
      </c>
      <c r="Z398" s="1">
        <v>1</v>
      </c>
      <c r="AA398" s="6">
        <v>98978.7</v>
      </c>
      <c r="AB398" s="1" t="s">
        <v>2167</v>
      </c>
      <c r="AC398" s="1" t="s">
        <v>2162</v>
      </c>
      <c r="AD398" s="1" t="s">
        <v>1100</v>
      </c>
      <c r="AE398" s="1" t="s">
        <v>1522</v>
      </c>
      <c r="AF398" s="1" t="s">
        <v>1186</v>
      </c>
      <c r="AG398" s="1" t="s">
        <v>1522</v>
      </c>
      <c r="AH398" s="6">
        <v>98978.7</v>
      </c>
      <c r="AI398" s="6">
        <v>98978.7</v>
      </c>
      <c r="AJ398" s="1" t="s">
        <v>1513</v>
      </c>
      <c r="AK398" s="1"/>
      <c r="AL398" s="1"/>
      <c r="AM398" s="1" t="s">
        <v>1513</v>
      </c>
      <c r="AN398" s="1" t="s">
        <v>770</v>
      </c>
      <c r="AO398" s="1"/>
      <c r="AP398" s="1" t="s">
        <v>19</v>
      </c>
      <c r="AQ398" s="1"/>
      <c r="AR398" s="1"/>
      <c r="AS398" s="2"/>
      <c r="AT398" s="1"/>
      <c r="AU398" s="1"/>
      <c r="AV398" s="1"/>
      <c r="AW398" s="1" t="s">
        <v>2152</v>
      </c>
      <c r="AX398" s="7">
        <v>44929.55753641612</v>
      </c>
      <c r="AY398" s="1" t="s">
        <v>152</v>
      </c>
      <c r="AZ398" s="6">
        <v>98978.7</v>
      </c>
      <c r="BA398" s="5">
        <v>44927</v>
      </c>
      <c r="BB398" s="5">
        <v>44927</v>
      </c>
      <c r="BC398" s="5">
        <v>44928</v>
      </c>
      <c r="BD398" s="5">
        <v>44927</v>
      </c>
      <c r="BE398" s="7">
        <v>45291</v>
      </c>
      <c r="BF398" s="1" t="s">
        <v>2170</v>
      </c>
      <c r="BG398" s="1"/>
      <c r="BH398" s="1"/>
      <c r="BI398" s="1" t="s">
        <v>108</v>
      </c>
    </row>
    <row r="399" spans="1:61" hidden="1" x14ac:dyDescent="0.25">
      <c r="A399" s="4">
        <v>394</v>
      </c>
      <c r="B399" s="2" t="str">
        <f>HYPERLINK("https://my.zakupivli.pro/remote/dispatcher/state_purchase_view/39789670", "UA-2022-12-27-011880-a")</f>
        <v>UA-2022-12-27-011880-a</v>
      </c>
      <c r="C399" s="2" t="s">
        <v>1516</v>
      </c>
      <c r="D399" s="1" t="s">
        <v>2</v>
      </c>
      <c r="E399" s="1" t="s">
        <v>1580</v>
      </c>
      <c r="F399" s="1" t="s">
        <v>412</v>
      </c>
      <c r="G399" s="1" t="s">
        <v>1041</v>
      </c>
      <c r="H399" s="1" t="s">
        <v>1218</v>
      </c>
      <c r="I399" s="1" t="s">
        <v>2094</v>
      </c>
      <c r="J399" s="1" t="s">
        <v>1145</v>
      </c>
      <c r="K399" s="1" t="s">
        <v>947</v>
      </c>
      <c r="L399" s="1" t="s">
        <v>1533</v>
      </c>
      <c r="M399" s="1" t="s">
        <v>1533</v>
      </c>
      <c r="N399" s="1" t="s">
        <v>110</v>
      </c>
      <c r="O399" s="1" t="s">
        <v>110</v>
      </c>
      <c r="P399" s="1" t="s">
        <v>110</v>
      </c>
      <c r="Q399" s="5">
        <v>44922</v>
      </c>
      <c r="R399" s="1"/>
      <c r="S399" s="1"/>
      <c r="T399" s="1"/>
      <c r="U399" s="1"/>
      <c r="V399" s="1" t="s">
        <v>2146</v>
      </c>
      <c r="W399" s="4">
        <v>1</v>
      </c>
      <c r="X399" s="6">
        <v>5480</v>
      </c>
      <c r="Y399" s="1" t="s">
        <v>1516</v>
      </c>
      <c r="Z399" s="1">
        <v>1</v>
      </c>
      <c r="AA399" s="6">
        <v>5480</v>
      </c>
      <c r="AB399" s="1" t="s">
        <v>2167</v>
      </c>
      <c r="AC399" s="1" t="s">
        <v>2162</v>
      </c>
      <c r="AD399" s="1" t="s">
        <v>1100</v>
      </c>
      <c r="AE399" s="1" t="s">
        <v>1522</v>
      </c>
      <c r="AF399" s="1" t="s">
        <v>1186</v>
      </c>
      <c r="AG399" s="1" t="s">
        <v>1522</v>
      </c>
      <c r="AH399" s="6">
        <v>5480</v>
      </c>
      <c r="AI399" s="6">
        <v>5480</v>
      </c>
      <c r="AJ399" s="1" t="s">
        <v>1541</v>
      </c>
      <c r="AK399" s="1"/>
      <c r="AL399" s="1"/>
      <c r="AM399" s="1" t="s">
        <v>1541</v>
      </c>
      <c r="AN399" s="1" t="s">
        <v>810</v>
      </c>
      <c r="AO399" s="1"/>
      <c r="AP399" s="1" t="s">
        <v>71</v>
      </c>
      <c r="AQ399" s="1"/>
      <c r="AR399" s="1"/>
      <c r="AS399" s="2"/>
      <c r="AT399" s="1"/>
      <c r="AU399" s="1"/>
      <c r="AV399" s="1"/>
      <c r="AW399" s="1" t="s">
        <v>2152</v>
      </c>
      <c r="AX399" s="7">
        <v>44922.606266410679</v>
      </c>
      <c r="AY399" s="1" t="s">
        <v>180</v>
      </c>
      <c r="AZ399" s="6">
        <v>5480</v>
      </c>
      <c r="BA399" s="1"/>
      <c r="BB399" s="5">
        <v>44926</v>
      </c>
      <c r="BC399" s="5">
        <v>44921</v>
      </c>
      <c r="BD399" s="5">
        <v>44921</v>
      </c>
      <c r="BE399" s="7">
        <v>44926</v>
      </c>
      <c r="BF399" s="1" t="s">
        <v>2170</v>
      </c>
      <c r="BG399" s="1"/>
      <c r="BH399" s="1"/>
      <c r="BI399" s="1" t="s">
        <v>108</v>
      </c>
    </row>
    <row r="400" spans="1:61" hidden="1" x14ac:dyDescent="0.25">
      <c r="A400" s="4">
        <v>395</v>
      </c>
      <c r="B400" s="2" t="str">
        <f>HYPERLINK("https://my.zakupivli.pro/remote/dispatcher/state_purchase_view/39759825", "UA-2022-12-26-018038-a")</f>
        <v>UA-2022-12-26-018038-a</v>
      </c>
      <c r="C400" s="2" t="s">
        <v>1516</v>
      </c>
      <c r="D400" s="1" t="s">
        <v>2012</v>
      </c>
      <c r="E400" s="1" t="s">
        <v>1556</v>
      </c>
      <c r="F400" s="1" t="s">
        <v>412</v>
      </c>
      <c r="G400" s="1" t="s">
        <v>837</v>
      </c>
      <c r="H400" s="1" t="s">
        <v>1218</v>
      </c>
      <c r="I400" s="1" t="s">
        <v>2094</v>
      </c>
      <c r="J400" s="1" t="s">
        <v>1145</v>
      </c>
      <c r="K400" s="1" t="s">
        <v>947</v>
      </c>
      <c r="L400" s="1" t="s">
        <v>1533</v>
      </c>
      <c r="M400" s="1" t="s">
        <v>1533</v>
      </c>
      <c r="N400" s="1" t="s">
        <v>110</v>
      </c>
      <c r="O400" s="1" t="s">
        <v>110</v>
      </c>
      <c r="P400" s="1" t="s">
        <v>110</v>
      </c>
      <c r="Q400" s="5">
        <v>44921</v>
      </c>
      <c r="R400" s="1"/>
      <c r="S400" s="1"/>
      <c r="T400" s="1"/>
      <c r="U400" s="1"/>
      <c r="V400" s="1" t="s">
        <v>2146</v>
      </c>
      <c r="W400" s="4">
        <v>1</v>
      </c>
      <c r="X400" s="6">
        <v>5665</v>
      </c>
      <c r="Y400" s="1" t="s">
        <v>1516</v>
      </c>
      <c r="Z400" s="1" t="s">
        <v>2157</v>
      </c>
      <c r="AA400" s="1" t="s">
        <v>2157</v>
      </c>
      <c r="AB400" s="1" t="s">
        <v>2157</v>
      </c>
      <c r="AC400" s="1" t="s">
        <v>2162</v>
      </c>
      <c r="AD400" s="1" t="s">
        <v>1100</v>
      </c>
      <c r="AE400" s="1" t="s">
        <v>1522</v>
      </c>
      <c r="AF400" s="1" t="s">
        <v>1186</v>
      </c>
      <c r="AG400" s="1" t="s">
        <v>1522</v>
      </c>
      <c r="AH400" s="6">
        <v>5665</v>
      </c>
      <c r="AI400" s="1" t="s">
        <v>2157</v>
      </c>
      <c r="AJ400" s="1" t="s">
        <v>2132</v>
      </c>
      <c r="AK400" s="1"/>
      <c r="AL400" s="1"/>
      <c r="AM400" s="1" t="s">
        <v>2132</v>
      </c>
      <c r="AN400" s="1" t="s">
        <v>769</v>
      </c>
      <c r="AO400" s="1"/>
      <c r="AP400" s="1" t="s">
        <v>100</v>
      </c>
      <c r="AQ400" s="1"/>
      <c r="AR400" s="1"/>
      <c r="AS400" s="2"/>
      <c r="AT400" s="1"/>
      <c r="AU400" s="1"/>
      <c r="AV400" s="1"/>
      <c r="AW400" s="1" t="s">
        <v>2152</v>
      </c>
      <c r="AX400" s="7">
        <v>44921.721360328753</v>
      </c>
      <c r="AY400" s="1" t="s">
        <v>1044</v>
      </c>
      <c r="AZ400" s="6">
        <v>5665</v>
      </c>
      <c r="BA400" s="5">
        <v>44918</v>
      </c>
      <c r="BB400" s="5">
        <v>44926</v>
      </c>
      <c r="BC400" s="5">
        <v>44918</v>
      </c>
      <c r="BD400" s="5">
        <v>44918</v>
      </c>
      <c r="BE400" s="7">
        <v>44926</v>
      </c>
      <c r="BF400" s="1" t="s">
        <v>2170</v>
      </c>
      <c r="BG400" s="1"/>
      <c r="BH400" s="1"/>
      <c r="BI400" s="1" t="s">
        <v>108</v>
      </c>
    </row>
    <row r="401" spans="1:61" hidden="1" x14ac:dyDescent="0.25">
      <c r="A401" s="4">
        <v>396</v>
      </c>
      <c r="B401" s="2" t="str">
        <f>HYPERLINK("https://my.zakupivli.pro/remote/dispatcher/state_purchase_view/39761460", "UA-2022-12-26-018930-a")</f>
        <v>UA-2022-12-26-018930-a</v>
      </c>
      <c r="C401" s="2" t="s">
        <v>1516</v>
      </c>
      <c r="D401" s="1" t="s">
        <v>2105</v>
      </c>
      <c r="E401" s="1" t="s">
        <v>1565</v>
      </c>
      <c r="F401" s="1" t="s">
        <v>412</v>
      </c>
      <c r="G401" s="1" t="s">
        <v>814</v>
      </c>
      <c r="H401" s="1" t="s">
        <v>1218</v>
      </c>
      <c r="I401" s="1" t="s">
        <v>2094</v>
      </c>
      <c r="J401" s="1" t="s">
        <v>1145</v>
      </c>
      <c r="K401" s="1" t="s">
        <v>947</v>
      </c>
      <c r="L401" s="1" t="s">
        <v>1533</v>
      </c>
      <c r="M401" s="1" t="s">
        <v>1533</v>
      </c>
      <c r="N401" s="1" t="s">
        <v>110</v>
      </c>
      <c r="O401" s="1" t="s">
        <v>110</v>
      </c>
      <c r="P401" s="1" t="s">
        <v>110</v>
      </c>
      <c r="Q401" s="5">
        <v>44921</v>
      </c>
      <c r="R401" s="1"/>
      <c r="S401" s="1"/>
      <c r="T401" s="1"/>
      <c r="U401" s="1"/>
      <c r="V401" s="1" t="s">
        <v>2146</v>
      </c>
      <c r="W401" s="4">
        <v>1</v>
      </c>
      <c r="X401" s="6">
        <v>8990</v>
      </c>
      <c r="Y401" s="1" t="s">
        <v>1516</v>
      </c>
      <c r="Z401" s="1">
        <v>20</v>
      </c>
      <c r="AA401" s="6">
        <v>449.5</v>
      </c>
      <c r="AB401" s="1" t="s">
        <v>2157</v>
      </c>
      <c r="AC401" s="1" t="s">
        <v>2162</v>
      </c>
      <c r="AD401" s="1" t="s">
        <v>1100</v>
      </c>
      <c r="AE401" s="1" t="s">
        <v>1522</v>
      </c>
      <c r="AF401" s="1" t="s">
        <v>1186</v>
      </c>
      <c r="AG401" s="1" t="s">
        <v>1522</v>
      </c>
      <c r="AH401" s="6">
        <v>8990</v>
      </c>
      <c r="AI401" s="6">
        <v>449.5</v>
      </c>
      <c r="AJ401" s="1" t="s">
        <v>2132</v>
      </c>
      <c r="AK401" s="1"/>
      <c r="AL401" s="1"/>
      <c r="AM401" s="1" t="s">
        <v>2132</v>
      </c>
      <c r="AN401" s="1" t="s">
        <v>769</v>
      </c>
      <c r="AO401" s="1"/>
      <c r="AP401" s="1" t="s">
        <v>100</v>
      </c>
      <c r="AQ401" s="1"/>
      <c r="AR401" s="1"/>
      <c r="AS401" s="2"/>
      <c r="AT401" s="1"/>
      <c r="AU401" s="1"/>
      <c r="AV401" s="1"/>
      <c r="AW401" s="1" t="s">
        <v>2152</v>
      </c>
      <c r="AX401" s="7">
        <v>44921.76019540066</v>
      </c>
      <c r="AY401" s="1" t="s">
        <v>1033</v>
      </c>
      <c r="AZ401" s="6">
        <v>8990</v>
      </c>
      <c r="BA401" s="5">
        <v>44918</v>
      </c>
      <c r="BB401" s="5">
        <v>44926</v>
      </c>
      <c r="BC401" s="5">
        <v>44918</v>
      </c>
      <c r="BD401" s="5">
        <v>44918</v>
      </c>
      <c r="BE401" s="7">
        <v>44926</v>
      </c>
      <c r="BF401" s="1" t="s">
        <v>2170</v>
      </c>
      <c r="BG401" s="1"/>
      <c r="BH401" s="1"/>
      <c r="BI401" s="1" t="s">
        <v>108</v>
      </c>
    </row>
    <row r="402" spans="1:61" hidden="1" x14ac:dyDescent="0.25">
      <c r="A402" s="4">
        <v>397</v>
      </c>
      <c r="B402" s="2" t="str">
        <f>HYPERLINK("https://my.zakupivli.pro/remote/dispatcher/state_purchase_view/39761363", "UA-2022-12-26-018857-a")</f>
        <v>UA-2022-12-26-018857-a</v>
      </c>
      <c r="C402" s="2" t="s">
        <v>1516</v>
      </c>
      <c r="D402" s="1" t="s">
        <v>2104</v>
      </c>
      <c r="E402" s="1" t="s">
        <v>2016</v>
      </c>
      <c r="F402" s="1" t="s">
        <v>412</v>
      </c>
      <c r="G402" s="1" t="s">
        <v>880</v>
      </c>
      <c r="H402" s="1" t="s">
        <v>1218</v>
      </c>
      <c r="I402" s="1" t="s">
        <v>2094</v>
      </c>
      <c r="J402" s="1" t="s">
        <v>1145</v>
      </c>
      <c r="K402" s="1" t="s">
        <v>947</v>
      </c>
      <c r="L402" s="1" t="s">
        <v>1533</v>
      </c>
      <c r="M402" s="1" t="s">
        <v>1533</v>
      </c>
      <c r="N402" s="1" t="s">
        <v>110</v>
      </c>
      <c r="O402" s="1" t="s">
        <v>110</v>
      </c>
      <c r="P402" s="1" t="s">
        <v>110</v>
      </c>
      <c r="Q402" s="5">
        <v>44921</v>
      </c>
      <c r="R402" s="1"/>
      <c r="S402" s="1"/>
      <c r="T402" s="1"/>
      <c r="U402" s="1"/>
      <c r="V402" s="1" t="s">
        <v>2146</v>
      </c>
      <c r="W402" s="4">
        <v>1</v>
      </c>
      <c r="X402" s="6">
        <v>15120</v>
      </c>
      <c r="Y402" s="1" t="s">
        <v>1516</v>
      </c>
      <c r="Z402" s="1">
        <v>444</v>
      </c>
      <c r="AA402" s="6">
        <v>34.049999999999997</v>
      </c>
      <c r="AB402" s="1" t="s">
        <v>2157</v>
      </c>
      <c r="AC402" s="1" t="s">
        <v>2162</v>
      </c>
      <c r="AD402" s="1" t="s">
        <v>1100</v>
      </c>
      <c r="AE402" s="1" t="s">
        <v>1522</v>
      </c>
      <c r="AF402" s="1" t="s">
        <v>1186</v>
      </c>
      <c r="AG402" s="1" t="s">
        <v>1522</v>
      </c>
      <c r="AH402" s="6">
        <v>15120</v>
      </c>
      <c r="AI402" s="6">
        <v>34.054054054054056</v>
      </c>
      <c r="AJ402" s="1" t="s">
        <v>2132</v>
      </c>
      <c r="AK402" s="1"/>
      <c r="AL402" s="1"/>
      <c r="AM402" s="1" t="s">
        <v>2132</v>
      </c>
      <c r="AN402" s="1" t="s">
        <v>769</v>
      </c>
      <c r="AO402" s="1"/>
      <c r="AP402" s="1" t="s">
        <v>100</v>
      </c>
      <c r="AQ402" s="1"/>
      <c r="AR402" s="1"/>
      <c r="AS402" s="2"/>
      <c r="AT402" s="1"/>
      <c r="AU402" s="1"/>
      <c r="AV402" s="1"/>
      <c r="AW402" s="1" t="s">
        <v>2152</v>
      </c>
      <c r="AX402" s="7">
        <v>44921.754937265338</v>
      </c>
      <c r="AY402" s="1" t="s">
        <v>1037</v>
      </c>
      <c r="AZ402" s="6">
        <v>15120</v>
      </c>
      <c r="BA402" s="5">
        <v>44918</v>
      </c>
      <c r="BB402" s="5">
        <v>44926</v>
      </c>
      <c r="BC402" s="5">
        <v>44918</v>
      </c>
      <c r="BD402" s="5">
        <v>44918</v>
      </c>
      <c r="BE402" s="7">
        <v>44926</v>
      </c>
      <c r="BF402" s="1" t="s">
        <v>2170</v>
      </c>
      <c r="BG402" s="1"/>
      <c r="BH402" s="1"/>
      <c r="BI402" s="1" t="s">
        <v>108</v>
      </c>
    </row>
    <row r="403" spans="1:61" hidden="1" x14ac:dyDescent="0.25">
      <c r="A403" s="4">
        <v>398</v>
      </c>
      <c r="B403" s="2" t="str">
        <f>HYPERLINK("https://my.zakupivli.pro/remote/dispatcher/state_purchase_view/39761092", "UA-2022-12-26-018721-a")</f>
        <v>UA-2022-12-26-018721-a</v>
      </c>
      <c r="C403" s="2" t="s">
        <v>1516</v>
      </c>
      <c r="D403" s="1" t="s">
        <v>2103</v>
      </c>
      <c r="E403" s="1" t="s">
        <v>1191</v>
      </c>
      <c r="F403" s="1" t="s">
        <v>412</v>
      </c>
      <c r="G403" s="1" t="s">
        <v>883</v>
      </c>
      <c r="H403" s="1" t="s">
        <v>1218</v>
      </c>
      <c r="I403" s="1" t="s">
        <v>2094</v>
      </c>
      <c r="J403" s="1" t="s">
        <v>1145</v>
      </c>
      <c r="K403" s="1" t="s">
        <v>947</v>
      </c>
      <c r="L403" s="1" t="s">
        <v>1533</v>
      </c>
      <c r="M403" s="1" t="s">
        <v>1533</v>
      </c>
      <c r="N403" s="1" t="s">
        <v>110</v>
      </c>
      <c r="O403" s="1" t="s">
        <v>110</v>
      </c>
      <c r="P403" s="1" t="s">
        <v>110</v>
      </c>
      <c r="Q403" s="5">
        <v>44921</v>
      </c>
      <c r="R403" s="1"/>
      <c r="S403" s="1"/>
      <c r="T403" s="1"/>
      <c r="U403" s="1"/>
      <c r="V403" s="1" t="s">
        <v>2146</v>
      </c>
      <c r="W403" s="4">
        <v>1</v>
      </c>
      <c r="X403" s="6">
        <v>978</v>
      </c>
      <c r="Y403" s="1" t="s">
        <v>1516</v>
      </c>
      <c r="Z403" s="1" t="s">
        <v>2157</v>
      </c>
      <c r="AA403" s="1" t="s">
        <v>2157</v>
      </c>
      <c r="AB403" s="1" t="s">
        <v>2157</v>
      </c>
      <c r="AC403" s="1" t="s">
        <v>2162</v>
      </c>
      <c r="AD403" s="1" t="s">
        <v>1100</v>
      </c>
      <c r="AE403" s="1" t="s">
        <v>1522</v>
      </c>
      <c r="AF403" s="1" t="s">
        <v>1186</v>
      </c>
      <c r="AG403" s="1" t="s">
        <v>1522</v>
      </c>
      <c r="AH403" s="6">
        <v>978</v>
      </c>
      <c r="AI403" s="1" t="s">
        <v>2157</v>
      </c>
      <c r="AJ403" s="1" t="s">
        <v>2132</v>
      </c>
      <c r="AK403" s="1"/>
      <c r="AL403" s="1"/>
      <c r="AM403" s="1" t="s">
        <v>2132</v>
      </c>
      <c r="AN403" s="1" t="s">
        <v>769</v>
      </c>
      <c r="AO403" s="1"/>
      <c r="AP403" s="1" t="s">
        <v>100</v>
      </c>
      <c r="AQ403" s="1"/>
      <c r="AR403" s="1"/>
      <c r="AS403" s="2"/>
      <c r="AT403" s="1"/>
      <c r="AU403" s="1"/>
      <c r="AV403" s="1"/>
      <c r="AW403" s="1" t="s">
        <v>2152</v>
      </c>
      <c r="AX403" s="7">
        <v>44921.748166379803</v>
      </c>
      <c r="AY403" s="1" t="s">
        <v>1042</v>
      </c>
      <c r="AZ403" s="6">
        <v>978</v>
      </c>
      <c r="BA403" s="5">
        <v>44918</v>
      </c>
      <c r="BB403" s="5">
        <v>44926</v>
      </c>
      <c r="BC403" s="5">
        <v>44918</v>
      </c>
      <c r="BD403" s="5">
        <v>44918</v>
      </c>
      <c r="BE403" s="7">
        <v>44926</v>
      </c>
      <c r="BF403" s="1" t="s">
        <v>2170</v>
      </c>
      <c r="BG403" s="1"/>
      <c r="BH403" s="1"/>
      <c r="BI403" s="1" t="s">
        <v>108</v>
      </c>
    </row>
    <row r="404" spans="1:61" hidden="1" x14ac:dyDescent="0.25">
      <c r="A404" s="4">
        <v>399</v>
      </c>
      <c r="B404" s="2" t="str">
        <f>HYPERLINK("https://my.zakupivli.pro/remote/dispatcher/state_purchase_view/39760400", "UA-2022-12-26-018354-a")</f>
        <v>UA-2022-12-26-018354-a</v>
      </c>
      <c r="C404" s="2" t="s">
        <v>1516</v>
      </c>
      <c r="D404" s="1" t="s">
        <v>1699</v>
      </c>
      <c r="E404" s="1" t="s">
        <v>1694</v>
      </c>
      <c r="F404" s="1" t="s">
        <v>412</v>
      </c>
      <c r="G404" s="1" t="s">
        <v>990</v>
      </c>
      <c r="H404" s="1" t="s">
        <v>1218</v>
      </c>
      <c r="I404" s="1" t="s">
        <v>2094</v>
      </c>
      <c r="J404" s="1" t="s">
        <v>1145</v>
      </c>
      <c r="K404" s="1" t="s">
        <v>947</v>
      </c>
      <c r="L404" s="1" t="s">
        <v>1533</v>
      </c>
      <c r="M404" s="1" t="s">
        <v>1533</v>
      </c>
      <c r="N404" s="1" t="s">
        <v>110</v>
      </c>
      <c r="O404" s="1" t="s">
        <v>110</v>
      </c>
      <c r="P404" s="1" t="s">
        <v>110</v>
      </c>
      <c r="Q404" s="5">
        <v>44921</v>
      </c>
      <c r="R404" s="1"/>
      <c r="S404" s="1"/>
      <c r="T404" s="1"/>
      <c r="U404" s="1"/>
      <c r="V404" s="1" t="s">
        <v>2146</v>
      </c>
      <c r="W404" s="4">
        <v>1</v>
      </c>
      <c r="X404" s="6">
        <v>13785.94</v>
      </c>
      <c r="Y404" s="1" t="s">
        <v>1516</v>
      </c>
      <c r="Z404" s="1">
        <v>1</v>
      </c>
      <c r="AA404" s="6">
        <v>13785.94</v>
      </c>
      <c r="AB404" s="1" t="s">
        <v>2167</v>
      </c>
      <c r="AC404" s="1" t="s">
        <v>2162</v>
      </c>
      <c r="AD404" s="1" t="s">
        <v>1100</v>
      </c>
      <c r="AE404" s="1" t="s">
        <v>2094</v>
      </c>
      <c r="AF404" s="1" t="s">
        <v>1186</v>
      </c>
      <c r="AG404" s="1" t="s">
        <v>1522</v>
      </c>
      <c r="AH404" s="6">
        <v>13785.94</v>
      </c>
      <c r="AI404" s="6">
        <v>13785.94</v>
      </c>
      <c r="AJ404" s="1" t="s">
        <v>2055</v>
      </c>
      <c r="AK404" s="1"/>
      <c r="AL404" s="1"/>
      <c r="AM404" s="1" t="s">
        <v>2055</v>
      </c>
      <c r="AN404" s="1" t="s">
        <v>961</v>
      </c>
      <c r="AO404" s="1"/>
      <c r="AP404" s="1" t="s">
        <v>102</v>
      </c>
      <c r="AQ404" s="1"/>
      <c r="AR404" s="1"/>
      <c r="AS404" s="2"/>
      <c r="AT404" s="1"/>
      <c r="AU404" s="1"/>
      <c r="AV404" s="1"/>
      <c r="AW404" s="1" t="s">
        <v>2152</v>
      </c>
      <c r="AX404" s="7">
        <v>44921.732429018703</v>
      </c>
      <c r="AY404" s="1" t="s">
        <v>1060</v>
      </c>
      <c r="AZ404" s="6">
        <v>13785.94</v>
      </c>
      <c r="BA404" s="5">
        <v>44917</v>
      </c>
      <c r="BB404" s="5">
        <v>44919</v>
      </c>
      <c r="BC404" s="5">
        <v>44917</v>
      </c>
      <c r="BD404" s="5">
        <v>44917</v>
      </c>
      <c r="BE404" s="7">
        <v>44926</v>
      </c>
      <c r="BF404" s="1" t="s">
        <v>2170</v>
      </c>
      <c r="BG404" s="1"/>
      <c r="BH404" s="1"/>
      <c r="BI404" s="1" t="s">
        <v>108</v>
      </c>
    </row>
    <row r="405" spans="1:61" hidden="1" x14ac:dyDescent="0.25">
      <c r="A405" s="4">
        <v>400</v>
      </c>
      <c r="B405" s="2" t="str">
        <f>HYPERLINK("https://my.zakupivli.pro/remote/dispatcher/state_purchase_view/39759361", "UA-2022-12-26-017821-a")</f>
        <v>UA-2022-12-26-017821-a</v>
      </c>
      <c r="C405" s="2" t="s">
        <v>1516</v>
      </c>
      <c r="D405" s="1" t="s">
        <v>1509</v>
      </c>
      <c r="E405" s="1" t="s">
        <v>1507</v>
      </c>
      <c r="F405" s="1" t="s">
        <v>412</v>
      </c>
      <c r="G405" s="1" t="s">
        <v>889</v>
      </c>
      <c r="H405" s="1" t="s">
        <v>1218</v>
      </c>
      <c r="I405" s="1" t="s">
        <v>2094</v>
      </c>
      <c r="J405" s="1" t="s">
        <v>1145</v>
      </c>
      <c r="K405" s="1" t="s">
        <v>947</v>
      </c>
      <c r="L405" s="1" t="s">
        <v>1533</v>
      </c>
      <c r="M405" s="1" t="s">
        <v>1533</v>
      </c>
      <c r="N405" s="1" t="s">
        <v>110</v>
      </c>
      <c r="O405" s="1" t="s">
        <v>110</v>
      </c>
      <c r="P405" s="1" t="s">
        <v>110</v>
      </c>
      <c r="Q405" s="5">
        <v>44921</v>
      </c>
      <c r="R405" s="1"/>
      <c r="S405" s="1"/>
      <c r="T405" s="1"/>
      <c r="U405" s="1"/>
      <c r="V405" s="1" t="s">
        <v>2146</v>
      </c>
      <c r="W405" s="4">
        <v>1</v>
      </c>
      <c r="X405" s="6">
        <v>13048.5</v>
      </c>
      <c r="Y405" s="1" t="s">
        <v>1516</v>
      </c>
      <c r="Z405" s="1" t="s">
        <v>2157</v>
      </c>
      <c r="AA405" s="1" t="s">
        <v>2157</v>
      </c>
      <c r="AB405" s="1" t="s">
        <v>2157</v>
      </c>
      <c r="AC405" s="1" t="s">
        <v>2162</v>
      </c>
      <c r="AD405" s="1" t="s">
        <v>1100</v>
      </c>
      <c r="AE405" s="1" t="s">
        <v>1522</v>
      </c>
      <c r="AF405" s="1" t="s">
        <v>1186</v>
      </c>
      <c r="AG405" s="1" t="s">
        <v>1522</v>
      </c>
      <c r="AH405" s="6">
        <v>13048.5</v>
      </c>
      <c r="AI405" s="1" t="s">
        <v>2157</v>
      </c>
      <c r="AJ405" s="1" t="s">
        <v>2132</v>
      </c>
      <c r="AK405" s="1"/>
      <c r="AL405" s="1"/>
      <c r="AM405" s="1" t="s">
        <v>2132</v>
      </c>
      <c r="AN405" s="1" t="s">
        <v>769</v>
      </c>
      <c r="AO405" s="1"/>
      <c r="AP405" s="1" t="s">
        <v>100</v>
      </c>
      <c r="AQ405" s="1"/>
      <c r="AR405" s="1"/>
      <c r="AS405" s="2"/>
      <c r="AT405" s="1"/>
      <c r="AU405" s="1"/>
      <c r="AV405" s="1"/>
      <c r="AW405" s="1" t="s">
        <v>2152</v>
      </c>
      <c r="AX405" s="7">
        <v>44921.715130561686</v>
      </c>
      <c r="AY405" s="1" t="s">
        <v>1032</v>
      </c>
      <c r="AZ405" s="6">
        <v>13048.5</v>
      </c>
      <c r="BA405" s="5">
        <v>44917</v>
      </c>
      <c r="BB405" s="5">
        <v>44926</v>
      </c>
      <c r="BC405" s="5">
        <v>44917</v>
      </c>
      <c r="BD405" s="5">
        <v>44917</v>
      </c>
      <c r="BE405" s="7">
        <v>44926</v>
      </c>
      <c r="BF405" s="1" t="s">
        <v>2170</v>
      </c>
      <c r="BG405" s="1"/>
      <c r="BH405" s="1"/>
      <c r="BI405" s="1" t="s">
        <v>108</v>
      </c>
    </row>
    <row r="406" spans="1:61" hidden="1" x14ac:dyDescent="0.25">
      <c r="A406" s="4">
        <v>401</v>
      </c>
      <c r="B406" s="2" t="str">
        <f>HYPERLINK("https://my.zakupivli.pro/remote/dispatcher/state_purchase_view/39757964", "UA-2022-12-26-017381-a")</f>
        <v>UA-2022-12-26-017381-a</v>
      </c>
      <c r="C406" s="2" t="s">
        <v>1516</v>
      </c>
      <c r="D406" s="1" t="s">
        <v>1568</v>
      </c>
      <c r="E406" s="1" t="s">
        <v>1548</v>
      </c>
      <c r="F406" s="1" t="s">
        <v>412</v>
      </c>
      <c r="G406" s="1" t="s">
        <v>285</v>
      </c>
      <c r="H406" s="1" t="s">
        <v>1218</v>
      </c>
      <c r="I406" s="1" t="s">
        <v>2094</v>
      </c>
      <c r="J406" s="1" t="s">
        <v>1145</v>
      </c>
      <c r="K406" s="1" t="s">
        <v>947</v>
      </c>
      <c r="L406" s="1" t="s">
        <v>1533</v>
      </c>
      <c r="M406" s="1" t="s">
        <v>1533</v>
      </c>
      <c r="N406" s="1" t="s">
        <v>110</v>
      </c>
      <c r="O406" s="1" t="s">
        <v>110</v>
      </c>
      <c r="P406" s="1" t="s">
        <v>110</v>
      </c>
      <c r="Q406" s="5">
        <v>44921</v>
      </c>
      <c r="R406" s="1"/>
      <c r="S406" s="1"/>
      <c r="T406" s="1"/>
      <c r="U406" s="1"/>
      <c r="V406" s="1" t="s">
        <v>2146</v>
      </c>
      <c r="W406" s="4">
        <v>1</v>
      </c>
      <c r="X406" s="6">
        <v>7410</v>
      </c>
      <c r="Y406" s="1" t="s">
        <v>1516</v>
      </c>
      <c r="Z406" s="1">
        <v>200</v>
      </c>
      <c r="AA406" s="6">
        <v>37.049999999999997</v>
      </c>
      <c r="AB406" s="1" t="s">
        <v>2157</v>
      </c>
      <c r="AC406" s="1" t="s">
        <v>2162</v>
      </c>
      <c r="AD406" s="1" t="s">
        <v>1100</v>
      </c>
      <c r="AE406" s="1" t="s">
        <v>1522</v>
      </c>
      <c r="AF406" s="1" t="s">
        <v>1186</v>
      </c>
      <c r="AG406" s="1" t="s">
        <v>1522</v>
      </c>
      <c r="AH406" s="6">
        <v>7410</v>
      </c>
      <c r="AI406" s="6">
        <v>37.049999999999997</v>
      </c>
      <c r="AJ406" s="1" t="s">
        <v>2131</v>
      </c>
      <c r="AK406" s="1"/>
      <c r="AL406" s="1"/>
      <c r="AM406" s="1" t="s">
        <v>2131</v>
      </c>
      <c r="AN406" s="1" t="s">
        <v>769</v>
      </c>
      <c r="AO406" s="1"/>
      <c r="AP406" s="1" t="s">
        <v>100</v>
      </c>
      <c r="AQ406" s="1"/>
      <c r="AR406" s="1"/>
      <c r="AS406" s="2"/>
      <c r="AT406" s="1"/>
      <c r="AU406" s="1"/>
      <c r="AV406" s="1"/>
      <c r="AW406" s="1" t="s">
        <v>2152</v>
      </c>
      <c r="AX406" s="7">
        <v>44921.702373095177</v>
      </c>
      <c r="AY406" s="1" t="s">
        <v>1029</v>
      </c>
      <c r="AZ406" s="6">
        <v>7410</v>
      </c>
      <c r="BA406" s="5">
        <v>44917</v>
      </c>
      <c r="BB406" s="5">
        <v>44926</v>
      </c>
      <c r="BC406" s="5">
        <v>44917</v>
      </c>
      <c r="BD406" s="5">
        <v>44917</v>
      </c>
      <c r="BE406" s="7">
        <v>44926</v>
      </c>
      <c r="BF406" s="1" t="s">
        <v>2170</v>
      </c>
      <c r="BG406" s="1"/>
      <c r="BH406" s="1"/>
      <c r="BI406" s="1" t="s">
        <v>108</v>
      </c>
    </row>
    <row r="407" spans="1:61" hidden="1" x14ac:dyDescent="0.25">
      <c r="A407" s="4">
        <v>402</v>
      </c>
      <c r="B407" s="2" t="str">
        <f>HYPERLINK("https://my.zakupivli.pro/remote/dispatcher/state_purchase_view/39711261", "UA-2022-12-23-022164-a")</f>
        <v>UA-2022-12-23-022164-a</v>
      </c>
      <c r="C407" s="2" t="s">
        <v>1516</v>
      </c>
      <c r="D407" s="1" t="s">
        <v>1144</v>
      </c>
      <c r="E407" s="1" t="s">
        <v>2006</v>
      </c>
      <c r="F407" s="1" t="s">
        <v>412</v>
      </c>
      <c r="G407" s="1" t="s">
        <v>1055</v>
      </c>
      <c r="H407" s="1" t="s">
        <v>1218</v>
      </c>
      <c r="I407" s="1" t="s">
        <v>2094</v>
      </c>
      <c r="J407" s="1" t="s">
        <v>1145</v>
      </c>
      <c r="K407" s="1" t="s">
        <v>947</v>
      </c>
      <c r="L407" s="1" t="s">
        <v>1533</v>
      </c>
      <c r="M407" s="1" t="s">
        <v>1533</v>
      </c>
      <c r="N407" s="1" t="s">
        <v>110</v>
      </c>
      <c r="O407" s="1" t="s">
        <v>110</v>
      </c>
      <c r="P407" s="1" t="s">
        <v>110</v>
      </c>
      <c r="Q407" s="5">
        <v>44918</v>
      </c>
      <c r="R407" s="1"/>
      <c r="S407" s="1"/>
      <c r="T407" s="1"/>
      <c r="U407" s="1"/>
      <c r="V407" s="1" t="s">
        <v>2146</v>
      </c>
      <c r="W407" s="4">
        <v>1</v>
      </c>
      <c r="X407" s="6">
        <v>44000</v>
      </c>
      <c r="Y407" s="1" t="s">
        <v>1516</v>
      </c>
      <c r="Z407" s="1">
        <v>3</v>
      </c>
      <c r="AA407" s="6">
        <v>14666.67</v>
      </c>
      <c r="AB407" s="1" t="s">
        <v>2157</v>
      </c>
      <c r="AC407" s="1" t="s">
        <v>2162</v>
      </c>
      <c r="AD407" s="1" t="s">
        <v>1100</v>
      </c>
      <c r="AE407" s="1" t="s">
        <v>1522</v>
      </c>
      <c r="AF407" s="1" t="s">
        <v>1186</v>
      </c>
      <c r="AG407" s="1" t="s">
        <v>1522</v>
      </c>
      <c r="AH407" s="6">
        <v>44000</v>
      </c>
      <c r="AI407" s="6">
        <v>14666.666666666666</v>
      </c>
      <c r="AJ407" s="1" t="s">
        <v>1190</v>
      </c>
      <c r="AK407" s="1"/>
      <c r="AL407" s="1"/>
      <c r="AM407" s="1" t="s">
        <v>1190</v>
      </c>
      <c r="AN407" s="1" t="s">
        <v>824</v>
      </c>
      <c r="AO407" s="1"/>
      <c r="AP407" s="1" t="s">
        <v>69</v>
      </c>
      <c r="AQ407" s="1"/>
      <c r="AR407" s="1"/>
      <c r="AS407" s="2"/>
      <c r="AT407" s="1"/>
      <c r="AU407" s="1"/>
      <c r="AV407" s="1"/>
      <c r="AW407" s="1" t="s">
        <v>2152</v>
      </c>
      <c r="AX407" s="7">
        <v>44918.835091709931</v>
      </c>
      <c r="AY407" s="1" t="s">
        <v>1028</v>
      </c>
      <c r="AZ407" s="6">
        <v>44000</v>
      </c>
      <c r="BA407" s="5">
        <v>44918</v>
      </c>
      <c r="BB407" s="5">
        <v>44925</v>
      </c>
      <c r="BC407" s="5">
        <v>44918</v>
      </c>
      <c r="BD407" s="5">
        <v>44918</v>
      </c>
      <c r="BE407" s="7">
        <v>44926</v>
      </c>
      <c r="BF407" s="1" t="s">
        <v>2170</v>
      </c>
      <c r="BG407" s="1"/>
      <c r="BH407" s="1"/>
      <c r="BI407" s="1" t="s">
        <v>108</v>
      </c>
    </row>
    <row r="408" spans="1:61" hidden="1" x14ac:dyDescent="0.25">
      <c r="A408" s="4">
        <v>403</v>
      </c>
      <c r="B408" s="2" t="str">
        <f>HYPERLINK("https://my.zakupivli.pro/remote/dispatcher/state_purchase_view/39705920", "UA-2022-12-23-019595-a")</f>
        <v>UA-2022-12-23-019595-a</v>
      </c>
      <c r="C408" s="2" t="s">
        <v>1516</v>
      </c>
      <c r="D408" s="1" t="s">
        <v>1179</v>
      </c>
      <c r="E408" s="1" t="s">
        <v>1178</v>
      </c>
      <c r="F408" s="1" t="s">
        <v>412</v>
      </c>
      <c r="G408" s="1" t="s">
        <v>907</v>
      </c>
      <c r="H408" s="1" t="s">
        <v>1218</v>
      </c>
      <c r="I408" s="1" t="s">
        <v>2094</v>
      </c>
      <c r="J408" s="1" t="s">
        <v>1145</v>
      </c>
      <c r="K408" s="1" t="s">
        <v>947</v>
      </c>
      <c r="L408" s="1" t="s">
        <v>1533</v>
      </c>
      <c r="M408" s="1" t="s">
        <v>1533</v>
      </c>
      <c r="N408" s="1" t="s">
        <v>110</v>
      </c>
      <c r="O408" s="1" t="s">
        <v>110</v>
      </c>
      <c r="P408" s="1" t="s">
        <v>110</v>
      </c>
      <c r="Q408" s="5">
        <v>44918</v>
      </c>
      <c r="R408" s="1"/>
      <c r="S408" s="1"/>
      <c r="T408" s="1"/>
      <c r="U408" s="1"/>
      <c r="V408" s="1" t="s">
        <v>2146</v>
      </c>
      <c r="W408" s="4">
        <v>1</v>
      </c>
      <c r="X408" s="6">
        <v>26400</v>
      </c>
      <c r="Y408" s="1" t="s">
        <v>1516</v>
      </c>
      <c r="Z408" s="1">
        <v>880</v>
      </c>
      <c r="AA408" s="6">
        <v>30</v>
      </c>
      <c r="AB408" s="1" t="s">
        <v>2175</v>
      </c>
      <c r="AC408" s="1" t="s">
        <v>2162</v>
      </c>
      <c r="AD408" s="1" t="s">
        <v>1100</v>
      </c>
      <c r="AE408" s="1" t="s">
        <v>2094</v>
      </c>
      <c r="AF408" s="1" t="s">
        <v>1186</v>
      </c>
      <c r="AG408" s="1" t="s">
        <v>1522</v>
      </c>
      <c r="AH408" s="6">
        <v>26400</v>
      </c>
      <c r="AI408" s="6">
        <v>30</v>
      </c>
      <c r="AJ408" s="1" t="s">
        <v>2061</v>
      </c>
      <c r="AK408" s="1"/>
      <c r="AL408" s="1"/>
      <c r="AM408" s="1" t="s">
        <v>2061</v>
      </c>
      <c r="AN408" s="1" t="s">
        <v>811</v>
      </c>
      <c r="AO408" s="1"/>
      <c r="AP408" s="1" t="s">
        <v>14</v>
      </c>
      <c r="AQ408" s="1"/>
      <c r="AR408" s="1"/>
      <c r="AS408" s="2"/>
      <c r="AT408" s="1"/>
      <c r="AU408" s="1"/>
      <c r="AV408" s="1"/>
      <c r="AW408" s="1" t="s">
        <v>2152</v>
      </c>
      <c r="AX408" s="7">
        <v>44918.685725303541</v>
      </c>
      <c r="AY408" s="1" t="s">
        <v>1049</v>
      </c>
      <c r="AZ408" s="6">
        <v>26400</v>
      </c>
      <c r="BA408" s="1"/>
      <c r="BB408" s="5">
        <v>44926</v>
      </c>
      <c r="BC408" s="5">
        <v>44917</v>
      </c>
      <c r="BD408" s="5">
        <v>44917</v>
      </c>
      <c r="BE408" s="7">
        <v>44926</v>
      </c>
      <c r="BF408" s="1" t="s">
        <v>2170</v>
      </c>
      <c r="BG408" s="1"/>
      <c r="BH408" s="1"/>
      <c r="BI408" s="1" t="s">
        <v>108</v>
      </c>
    </row>
    <row r="409" spans="1:61" hidden="1" x14ac:dyDescent="0.25">
      <c r="A409" s="4">
        <v>404</v>
      </c>
      <c r="B409" s="2" t="str">
        <f>HYPERLINK("https://my.zakupivli.pro/remote/dispatcher/state_purchase_view/39703070", "UA-2022-12-23-018224-a")</f>
        <v>UA-2022-12-23-018224-a</v>
      </c>
      <c r="C409" s="2" t="s">
        <v>1516</v>
      </c>
      <c r="D409" s="1" t="s">
        <v>1154</v>
      </c>
      <c r="E409" s="1" t="s">
        <v>2143</v>
      </c>
      <c r="F409" s="1" t="s">
        <v>412</v>
      </c>
      <c r="G409" s="1" t="s">
        <v>841</v>
      </c>
      <c r="H409" s="1" t="s">
        <v>1218</v>
      </c>
      <c r="I409" s="1" t="s">
        <v>2094</v>
      </c>
      <c r="J409" s="1" t="s">
        <v>1145</v>
      </c>
      <c r="K409" s="1" t="s">
        <v>947</v>
      </c>
      <c r="L409" s="1" t="s">
        <v>1533</v>
      </c>
      <c r="M409" s="1" t="s">
        <v>1533</v>
      </c>
      <c r="N409" s="1" t="s">
        <v>110</v>
      </c>
      <c r="O409" s="1" t="s">
        <v>110</v>
      </c>
      <c r="P409" s="1" t="s">
        <v>110</v>
      </c>
      <c r="Q409" s="5">
        <v>44918</v>
      </c>
      <c r="R409" s="1"/>
      <c r="S409" s="1"/>
      <c r="T409" s="1"/>
      <c r="U409" s="1"/>
      <c r="V409" s="1" t="s">
        <v>2146</v>
      </c>
      <c r="W409" s="4">
        <v>1</v>
      </c>
      <c r="X409" s="6">
        <v>7583.38</v>
      </c>
      <c r="Y409" s="1" t="s">
        <v>1516</v>
      </c>
      <c r="Z409" s="1">
        <v>26</v>
      </c>
      <c r="AA409" s="6">
        <v>291.67</v>
      </c>
      <c r="AB409" s="1" t="s">
        <v>2157</v>
      </c>
      <c r="AC409" s="1" t="s">
        <v>2162</v>
      </c>
      <c r="AD409" s="1" t="s">
        <v>1100</v>
      </c>
      <c r="AE409" s="1" t="s">
        <v>1522</v>
      </c>
      <c r="AF409" s="1" t="s">
        <v>1186</v>
      </c>
      <c r="AG409" s="1" t="s">
        <v>1522</v>
      </c>
      <c r="AH409" s="6">
        <v>7583.38</v>
      </c>
      <c r="AI409" s="6">
        <v>291.66846153846154</v>
      </c>
      <c r="AJ409" s="1" t="s">
        <v>1473</v>
      </c>
      <c r="AK409" s="1"/>
      <c r="AL409" s="1"/>
      <c r="AM409" s="1" t="s">
        <v>1473</v>
      </c>
      <c r="AN409" s="1" t="s">
        <v>858</v>
      </c>
      <c r="AO409" s="1"/>
      <c r="AP409" s="1" t="s">
        <v>66</v>
      </c>
      <c r="AQ409" s="1"/>
      <c r="AR409" s="1"/>
      <c r="AS409" s="2"/>
      <c r="AT409" s="1"/>
      <c r="AU409" s="1"/>
      <c r="AV409" s="1"/>
      <c r="AW409" s="1" t="s">
        <v>2152</v>
      </c>
      <c r="AX409" s="7">
        <v>44918.65775549406</v>
      </c>
      <c r="AY409" s="1" t="s">
        <v>1025</v>
      </c>
      <c r="AZ409" s="6">
        <v>7583.38</v>
      </c>
      <c r="BA409" s="5">
        <v>44917</v>
      </c>
      <c r="BB409" s="5">
        <v>44926</v>
      </c>
      <c r="BC409" s="5">
        <v>44917</v>
      </c>
      <c r="BD409" s="5">
        <v>44917</v>
      </c>
      <c r="BE409" s="7">
        <v>44926</v>
      </c>
      <c r="BF409" s="1" t="s">
        <v>2170</v>
      </c>
      <c r="BG409" s="1"/>
      <c r="BH409" s="1"/>
      <c r="BI409" s="1" t="s">
        <v>108</v>
      </c>
    </row>
    <row r="410" spans="1:61" hidden="1" x14ac:dyDescent="0.25">
      <c r="A410" s="4">
        <v>405</v>
      </c>
      <c r="B410" s="2" t="str">
        <f>HYPERLINK("https://my.zakupivli.pro/remote/dispatcher/state_purchase_view/39697115", "UA-2022-12-23-015637-a")</f>
        <v>UA-2022-12-23-015637-a</v>
      </c>
      <c r="C410" s="2" t="s">
        <v>1516</v>
      </c>
      <c r="D410" s="1" t="s">
        <v>1581</v>
      </c>
      <c r="E410" s="1" t="s">
        <v>1582</v>
      </c>
      <c r="F410" s="1" t="s">
        <v>412</v>
      </c>
      <c r="G410" s="1" t="s">
        <v>1002</v>
      </c>
      <c r="H410" s="1" t="s">
        <v>1218</v>
      </c>
      <c r="I410" s="1" t="s">
        <v>2094</v>
      </c>
      <c r="J410" s="1" t="s">
        <v>1145</v>
      </c>
      <c r="K410" s="1" t="s">
        <v>947</v>
      </c>
      <c r="L410" s="1" t="s">
        <v>1533</v>
      </c>
      <c r="M410" s="1" t="s">
        <v>1533</v>
      </c>
      <c r="N410" s="1" t="s">
        <v>110</v>
      </c>
      <c r="O410" s="1" t="s">
        <v>110</v>
      </c>
      <c r="P410" s="1" t="s">
        <v>110</v>
      </c>
      <c r="Q410" s="5">
        <v>44918</v>
      </c>
      <c r="R410" s="1"/>
      <c r="S410" s="1"/>
      <c r="T410" s="1"/>
      <c r="U410" s="1"/>
      <c r="V410" s="1" t="s">
        <v>2146</v>
      </c>
      <c r="W410" s="4">
        <v>1</v>
      </c>
      <c r="X410" s="6">
        <v>98978.7</v>
      </c>
      <c r="Y410" s="1" t="s">
        <v>1516</v>
      </c>
      <c r="Z410" s="1">
        <v>1</v>
      </c>
      <c r="AA410" s="6">
        <v>98978.7</v>
      </c>
      <c r="AB410" s="1" t="s">
        <v>2167</v>
      </c>
      <c r="AC410" s="1" t="s">
        <v>2162</v>
      </c>
      <c r="AD410" s="1" t="s">
        <v>1100</v>
      </c>
      <c r="AE410" s="1" t="s">
        <v>1522</v>
      </c>
      <c r="AF410" s="1" t="s">
        <v>1186</v>
      </c>
      <c r="AG410" s="1" t="s">
        <v>1522</v>
      </c>
      <c r="AH410" s="6">
        <v>98978.7</v>
      </c>
      <c r="AI410" s="6">
        <v>98978.7</v>
      </c>
      <c r="AJ410" s="1" t="s">
        <v>1513</v>
      </c>
      <c r="AK410" s="1"/>
      <c r="AL410" s="1"/>
      <c r="AM410" s="1" t="s">
        <v>1513</v>
      </c>
      <c r="AN410" s="1" t="s">
        <v>770</v>
      </c>
      <c r="AO410" s="1"/>
      <c r="AP410" s="1" t="s">
        <v>19</v>
      </c>
      <c r="AQ410" s="1"/>
      <c r="AR410" s="1"/>
      <c r="AS410" s="2"/>
      <c r="AT410" s="1"/>
      <c r="AU410" s="1"/>
      <c r="AV410" s="1"/>
      <c r="AW410" s="1" t="s">
        <v>2152</v>
      </c>
      <c r="AX410" s="7">
        <v>44918.620701429929</v>
      </c>
      <c r="AY410" s="1" t="s">
        <v>1027</v>
      </c>
      <c r="AZ410" s="6">
        <v>98978.7</v>
      </c>
      <c r="BA410" s="5">
        <v>44920</v>
      </c>
      <c r="BB410" s="5">
        <v>44920</v>
      </c>
      <c r="BC410" s="5">
        <v>44917</v>
      </c>
      <c r="BD410" s="5">
        <v>44917</v>
      </c>
      <c r="BE410" s="7">
        <v>44926</v>
      </c>
      <c r="BF410" s="1" t="s">
        <v>2170</v>
      </c>
      <c r="BG410" s="1"/>
      <c r="BH410" s="1"/>
      <c r="BI410" s="1" t="s">
        <v>108</v>
      </c>
    </row>
    <row r="411" spans="1:61" hidden="1" x14ac:dyDescent="0.25">
      <c r="A411" s="4">
        <v>406</v>
      </c>
      <c r="B411" s="2" t="str">
        <f>HYPERLINK("https://my.zakupivli.pro/remote/dispatcher/state_purchase_view/39614264", "UA-2022-12-21-023204-a")</f>
        <v>UA-2022-12-21-023204-a</v>
      </c>
      <c r="C411" s="2" t="s">
        <v>1516</v>
      </c>
      <c r="D411" s="1" t="s">
        <v>1475</v>
      </c>
      <c r="E411" s="1" t="s">
        <v>1554</v>
      </c>
      <c r="F411" s="1" t="s">
        <v>412</v>
      </c>
      <c r="G411" s="1" t="s">
        <v>804</v>
      </c>
      <c r="H411" s="1" t="s">
        <v>1218</v>
      </c>
      <c r="I411" s="1" t="s">
        <v>2094</v>
      </c>
      <c r="J411" s="1" t="s">
        <v>1145</v>
      </c>
      <c r="K411" s="1" t="s">
        <v>947</v>
      </c>
      <c r="L411" s="1" t="s">
        <v>1533</v>
      </c>
      <c r="M411" s="1" t="s">
        <v>1533</v>
      </c>
      <c r="N411" s="1" t="s">
        <v>110</v>
      </c>
      <c r="O411" s="1" t="s">
        <v>110</v>
      </c>
      <c r="P411" s="1" t="s">
        <v>110</v>
      </c>
      <c r="Q411" s="5">
        <v>44916</v>
      </c>
      <c r="R411" s="1"/>
      <c r="S411" s="1"/>
      <c r="T411" s="1"/>
      <c r="U411" s="1"/>
      <c r="V411" s="1" t="s">
        <v>2146</v>
      </c>
      <c r="W411" s="4">
        <v>1</v>
      </c>
      <c r="X411" s="6">
        <v>99975</v>
      </c>
      <c r="Y411" s="1" t="s">
        <v>1516</v>
      </c>
      <c r="Z411" s="1" t="s">
        <v>2157</v>
      </c>
      <c r="AA411" s="1" t="s">
        <v>2157</v>
      </c>
      <c r="AB411" s="1" t="s">
        <v>2157</v>
      </c>
      <c r="AC411" s="1" t="s">
        <v>2162</v>
      </c>
      <c r="AD411" s="1" t="s">
        <v>1100</v>
      </c>
      <c r="AE411" s="1" t="s">
        <v>2094</v>
      </c>
      <c r="AF411" s="1" t="s">
        <v>1186</v>
      </c>
      <c r="AG411" s="1" t="s">
        <v>1522</v>
      </c>
      <c r="AH411" s="6">
        <v>99975</v>
      </c>
      <c r="AI411" s="1" t="s">
        <v>2157</v>
      </c>
      <c r="AJ411" s="1" t="s">
        <v>2059</v>
      </c>
      <c r="AK411" s="1"/>
      <c r="AL411" s="1"/>
      <c r="AM411" s="1" t="s">
        <v>2059</v>
      </c>
      <c r="AN411" s="1" t="s">
        <v>881</v>
      </c>
      <c r="AO411" s="1"/>
      <c r="AP411" s="1" t="s">
        <v>41</v>
      </c>
      <c r="AQ411" s="1"/>
      <c r="AR411" s="1"/>
      <c r="AS411" s="2"/>
      <c r="AT411" s="1"/>
      <c r="AU411" s="1"/>
      <c r="AV411" s="1"/>
      <c r="AW411" s="1" t="s">
        <v>2152</v>
      </c>
      <c r="AX411" s="7">
        <v>44916.886333219314</v>
      </c>
      <c r="AY411" s="1" t="s">
        <v>1022</v>
      </c>
      <c r="AZ411" s="6">
        <v>99975</v>
      </c>
      <c r="BA411" s="5">
        <v>44915</v>
      </c>
      <c r="BB411" s="5">
        <v>44916</v>
      </c>
      <c r="BC411" s="5">
        <v>44915</v>
      </c>
      <c r="BD411" s="5">
        <v>44915</v>
      </c>
      <c r="BE411" s="7">
        <v>44926</v>
      </c>
      <c r="BF411" s="1" t="s">
        <v>2170</v>
      </c>
      <c r="BG411" s="1"/>
      <c r="BH411" s="1"/>
      <c r="BI411" s="1" t="s">
        <v>108</v>
      </c>
    </row>
    <row r="412" spans="1:61" hidden="1" x14ac:dyDescent="0.25">
      <c r="A412" s="4">
        <v>407</v>
      </c>
      <c r="B412" s="2" t="str">
        <f>HYPERLINK("https://my.zakupivli.pro/remote/dispatcher/state_purchase_view/39561927", "UA-2022-12-20-021614-a")</f>
        <v>UA-2022-12-20-021614-a</v>
      </c>
      <c r="C412" s="2" t="s">
        <v>1516</v>
      </c>
      <c r="D412" s="1" t="s">
        <v>1205</v>
      </c>
      <c r="E412" s="1" t="s">
        <v>1206</v>
      </c>
      <c r="F412" s="1" t="s">
        <v>412</v>
      </c>
      <c r="G412" s="1" t="s">
        <v>143</v>
      </c>
      <c r="H412" s="1" t="s">
        <v>1218</v>
      </c>
      <c r="I412" s="1" t="s">
        <v>2094</v>
      </c>
      <c r="J412" s="1" t="s">
        <v>1145</v>
      </c>
      <c r="K412" s="1" t="s">
        <v>947</v>
      </c>
      <c r="L412" s="1" t="s">
        <v>1533</v>
      </c>
      <c r="M412" s="1" t="s">
        <v>1533</v>
      </c>
      <c r="N412" s="1" t="s">
        <v>110</v>
      </c>
      <c r="O412" s="1" t="s">
        <v>110</v>
      </c>
      <c r="P412" s="1" t="s">
        <v>110</v>
      </c>
      <c r="Q412" s="5">
        <v>44915</v>
      </c>
      <c r="R412" s="1"/>
      <c r="S412" s="1"/>
      <c r="T412" s="1"/>
      <c r="U412" s="1"/>
      <c r="V412" s="1" t="s">
        <v>2146</v>
      </c>
      <c r="W412" s="4">
        <v>1</v>
      </c>
      <c r="X412" s="6">
        <v>49950</v>
      </c>
      <c r="Y412" s="1" t="s">
        <v>1516</v>
      </c>
      <c r="Z412" s="1">
        <v>925</v>
      </c>
      <c r="AA412" s="6">
        <v>54</v>
      </c>
      <c r="AB412" s="1" t="s">
        <v>2158</v>
      </c>
      <c r="AC412" s="1" t="s">
        <v>2162</v>
      </c>
      <c r="AD412" s="1" t="s">
        <v>1100</v>
      </c>
      <c r="AE412" s="1" t="s">
        <v>2094</v>
      </c>
      <c r="AF412" s="1" t="s">
        <v>1186</v>
      </c>
      <c r="AG412" s="1" t="s">
        <v>1522</v>
      </c>
      <c r="AH412" s="6">
        <v>49950</v>
      </c>
      <c r="AI412" s="6">
        <v>54</v>
      </c>
      <c r="AJ412" s="1" t="s">
        <v>2056</v>
      </c>
      <c r="AK412" s="1"/>
      <c r="AL412" s="1"/>
      <c r="AM412" s="1" t="s">
        <v>2056</v>
      </c>
      <c r="AN412" s="1" t="s">
        <v>887</v>
      </c>
      <c r="AO412" s="1"/>
      <c r="AP412" s="1" t="s">
        <v>57</v>
      </c>
      <c r="AQ412" s="1"/>
      <c r="AR412" s="1"/>
      <c r="AS412" s="2"/>
      <c r="AT412" s="1"/>
      <c r="AU412" s="1"/>
      <c r="AV412" s="1"/>
      <c r="AW412" s="1" t="s">
        <v>2152</v>
      </c>
      <c r="AX412" s="7">
        <v>44915.750433393609</v>
      </c>
      <c r="AY412" s="1" t="s">
        <v>1058</v>
      </c>
      <c r="AZ412" s="6">
        <v>49950</v>
      </c>
      <c r="BA412" s="1"/>
      <c r="BB412" s="5">
        <v>44926</v>
      </c>
      <c r="BC412" s="5">
        <v>44914</v>
      </c>
      <c r="BD412" s="5">
        <v>44914</v>
      </c>
      <c r="BE412" s="7">
        <v>44926</v>
      </c>
      <c r="BF412" s="1" t="s">
        <v>2170</v>
      </c>
      <c r="BG412" s="1"/>
      <c r="BH412" s="1"/>
      <c r="BI412" s="1" t="s">
        <v>108</v>
      </c>
    </row>
    <row r="413" spans="1:61" hidden="1" x14ac:dyDescent="0.25">
      <c r="A413" s="4">
        <v>408</v>
      </c>
      <c r="B413" s="2" t="str">
        <f>HYPERLINK("https://my.zakupivli.pro/remote/dispatcher/state_purchase_view/39567168", "UA-2022-12-20-023857-a")</f>
        <v>UA-2022-12-20-023857-a</v>
      </c>
      <c r="C413" s="2" t="str">
        <f>HYPERLINK("https://my.zakupivli.pro/remote/dispatcher/state_purchase_lot_view/825678", "UA-2022-12-20-023857-a-L1")</f>
        <v>UA-2022-12-20-023857-a-L1</v>
      </c>
      <c r="D413" s="1" t="s">
        <v>1213</v>
      </c>
      <c r="E413" s="1" t="s">
        <v>1212</v>
      </c>
      <c r="F413" s="1" t="s">
        <v>412</v>
      </c>
      <c r="G413" s="1" t="s">
        <v>144</v>
      </c>
      <c r="H413" s="1" t="s">
        <v>1185</v>
      </c>
      <c r="I413" s="1" t="s">
        <v>2094</v>
      </c>
      <c r="J413" s="1" t="s">
        <v>1145</v>
      </c>
      <c r="K413" s="1" t="s">
        <v>947</v>
      </c>
      <c r="L413" s="1" t="s">
        <v>1533</v>
      </c>
      <c r="M413" s="1" t="s">
        <v>1533</v>
      </c>
      <c r="N413" s="1" t="s">
        <v>110</v>
      </c>
      <c r="O413" s="1" t="s">
        <v>110</v>
      </c>
      <c r="P413" s="1" t="s">
        <v>110</v>
      </c>
      <c r="Q413" s="5">
        <v>44915</v>
      </c>
      <c r="R413" s="1" t="s">
        <v>482</v>
      </c>
      <c r="S413" s="1" t="s">
        <v>485</v>
      </c>
      <c r="T413" s="5">
        <v>44915</v>
      </c>
      <c r="U413" s="5">
        <v>44923</v>
      </c>
      <c r="V413" s="1" t="s">
        <v>2147</v>
      </c>
      <c r="W413" s="4">
        <v>1</v>
      </c>
      <c r="X413" s="6">
        <v>392124</v>
      </c>
      <c r="Y413" s="6">
        <v>392124</v>
      </c>
      <c r="Z413" s="1">
        <v>65354</v>
      </c>
      <c r="AA413" s="6">
        <v>6</v>
      </c>
      <c r="AB413" s="1" t="s">
        <v>1485</v>
      </c>
      <c r="AC413" s="6">
        <v>1960.62</v>
      </c>
      <c r="AD413" s="1" t="s">
        <v>1100</v>
      </c>
      <c r="AE413" s="1" t="s">
        <v>2094</v>
      </c>
      <c r="AF413" s="1" t="s">
        <v>1186</v>
      </c>
      <c r="AG413" s="1" t="s">
        <v>1522</v>
      </c>
      <c r="AH413" s="6">
        <v>354674.85</v>
      </c>
      <c r="AI413" s="6">
        <v>5.42697998592282</v>
      </c>
      <c r="AJ413" s="1" t="s">
        <v>2068</v>
      </c>
      <c r="AK413" s="6">
        <v>37449.150000000023</v>
      </c>
      <c r="AL413" s="6">
        <v>9.550333567953001E-2</v>
      </c>
      <c r="AM413" s="1" t="s">
        <v>2068</v>
      </c>
      <c r="AN413" s="1" t="s">
        <v>922</v>
      </c>
      <c r="AO413" s="1" t="s">
        <v>1127</v>
      </c>
      <c r="AP413" s="1" t="s">
        <v>869</v>
      </c>
      <c r="AQ413" s="6">
        <v>37449.150000000023</v>
      </c>
      <c r="AR413" s="6">
        <v>9.550333567953001E-2</v>
      </c>
      <c r="AS413" s="2"/>
      <c r="AT413" s="7">
        <v>44923.708036358425</v>
      </c>
      <c r="AU413" s="1" t="s">
        <v>488</v>
      </c>
      <c r="AV413" s="1" t="s">
        <v>491</v>
      </c>
      <c r="AW413" s="1" t="s">
        <v>2151</v>
      </c>
      <c r="AX413" s="7">
        <v>44938.667750398112</v>
      </c>
      <c r="AY413" s="1" t="s">
        <v>1016</v>
      </c>
      <c r="AZ413" s="6">
        <v>354674.85</v>
      </c>
      <c r="BA413" s="5">
        <v>44927</v>
      </c>
      <c r="BB413" s="5">
        <v>45291</v>
      </c>
      <c r="BC413" s="5">
        <v>44938</v>
      </c>
      <c r="BD413" s="5">
        <v>44938</v>
      </c>
      <c r="BE413" s="7">
        <v>45291</v>
      </c>
      <c r="BF413" s="1" t="s">
        <v>2170</v>
      </c>
      <c r="BG413" s="1"/>
      <c r="BH413" s="1"/>
      <c r="BI413" s="1" t="s">
        <v>925</v>
      </c>
    </row>
    <row r="414" spans="1:61" hidden="1" x14ac:dyDescent="0.25">
      <c r="A414" s="4">
        <v>409</v>
      </c>
      <c r="B414" s="2" t="str">
        <f>HYPERLINK("https://my.zakupivli.pro/remote/dispatcher/state_purchase_view/39563925", "UA-2022-12-20-022214-a")</f>
        <v>UA-2022-12-20-022214-a</v>
      </c>
      <c r="C414" s="2" t="s">
        <v>1516</v>
      </c>
      <c r="D414" s="1" t="s">
        <v>1173</v>
      </c>
      <c r="E414" s="1" t="s">
        <v>1174</v>
      </c>
      <c r="F414" s="1" t="s">
        <v>412</v>
      </c>
      <c r="G414" s="1" t="s">
        <v>1036</v>
      </c>
      <c r="H414" s="1" t="s">
        <v>1218</v>
      </c>
      <c r="I414" s="1" t="s">
        <v>2094</v>
      </c>
      <c r="J414" s="1" t="s">
        <v>1145</v>
      </c>
      <c r="K414" s="1" t="s">
        <v>947</v>
      </c>
      <c r="L414" s="1" t="s">
        <v>1533</v>
      </c>
      <c r="M414" s="1" t="s">
        <v>1533</v>
      </c>
      <c r="N414" s="1" t="s">
        <v>110</v>
      </c>
      <c r="O414" s="1" t="s">
        <v>110</v>
      </c>
      <c r="P414" s="1" t="s">
        <v>110</v>
      </c>
      <c r="Q414" s="5">
        <v>44915</v>
      </c>
      <c r="R414" s="1"/>
      <c r="S414" s="1"/>
      <c r="T414" s="1"/>
      <c r="U414" s="1"/>
      <c r="V414" s="1" t="s">
        <v>2146</v>
      </c>
      <c r="W414" s="4">
        <v>1</v>
      </c>
      <c r="X414" s="6">
        <v>64870</v>
      </c>
      <c r="Y414" s="1" t="s">
        <v>1516</v>
      </c>
      <c r="Z414" s="1">
        <v>7</v>
      </c>
      <c r="AA414" s="6">
        <v>9267.14</v>
      </c>
      <c r="AB414" s="1" t="s">
        <v>2157</v>
      </c>
      <c r="AC414" s="1" t="s">
        <v>2162</v>
      </c>
      <c r="AD414" s="1" t="s">
        <v>1100</v>
      </c>
      <c r="AE414" s="1" t="s">
        <v>1522</v>
      </c>
      <c r="AF414" s="1" t="s">
        <v>1186</v>
      </c>
      <c r="AG414" s="1" t="s">
        <v>1522</v>
      </c>
      <c r="AH414" s="6">
        <v>64870</v>
      </c>
      <c r="AI414" s="6">
        <v>9267.1428571428569</v>
      </c>
      <c r="AJ414" s="1" t="s">
        <v>2088</v>
      </c>
      <c r="AK414" s="1"/>
      <c r="AL414" s="1"/>
      <c r="AM414" s="1" t="s">
        <v>2088</v>
      </c>
      <c r="AN414" s="1" t="s">
        <v>936</v>
      </c>
      <c r="AO414" s="1"/>
      <c r="AP414" s="1" t="s">
        <v>42</v>
      </c>
      <c r="AQ414" s="1"/>
      <c r="AR414" s="1"/>
      <c r="AS414" s="2"/>
      <c r="AT414" s="1"/>
      <c r="AU414" s="1"/>
      <c r="AV414" s="1"/>
      <c r="AW414" s="1" t="s">
        <v>2152</v>
      </c>
      <c r="AX414" s="7">
        <v>44915.791557684468</v>
      </c>
      <c r="AY414" s="1" t="s">
        <v>1019</v>
      </c>
      <c r="AZ414" s="6">
        <v>64870</v>
      </c>
      <c r="BA414" s="5">
        <v>44914</v>
      </c>
      <c r="BB414" s="5">
        <v>44918</v>
      </c>
      <c r="BC414" s="5">
        <v>44914</v>
      </c>
      <c r="BD414" s="5">
        <v>44914</v>
      </c>
      <c r="BE414" s="7">
        <v>44926</v>
      </c>
      <c r="BF414" s="1" t="s">
        <v>2170</v>
      </c>
      <c r="BG414" s="1"/>
      <c r="BH414" s="1"/>
      <c r="BI414" s="1" t="s">
        <v>108</v>
      </c>
    </row>
    <row r="415" spans="1:61" hidden="1" x14ac:dyDescent="0.25">
      <c r="A415" s="4">
        <v>410</v>
      </c>
      <c r="B415" s="2" t="str">
        <f>HYPERLINK("https://my.zakupivli.pro/remote/dispatcher/state_purchase_view/39557045", "UA-2022-12-20-019069-a")</f>
        <v>UA-2022-12-20-019069-a</v>
      </c>
      <c r="C415" s="2" t="s">
        <v>1516</v>
      </c>
      <c r="D415" s="1" t="s">
        <v>1906</v>
      </c>
      <c r="E415" s="1" t="s">
        <v>1906</v>
      </c>
      <c r="F415" s="1" t="s">
        <v>412</v>
      </c>
      <c r="G415" s="1" t="s">
        <v>1024</v>
      </c>
      <c r="H415" s="1" t="s">
        <v>1218</v>
      </c>
      <c r="I415" s="1" t="s">
        <v>2094</v>
      </c>
      <c r="J415" s="1" t="s">
        <v>1145</v>
      </c>
      <c r="K415" s="1" t="s">
        <v>947</v>
      </c>
      <c r="L415" s="1" t="s">
        <v>1533</v>
      </c>
      <c r="M415" s="1" t="s">
        <v>1533</v>
      </c>
      <c r="N415" s="1" t="s">
        <v>110</v>
      </c>
      <c r="O415" s="1" t="s">
        <v>110</v>
      </c>
      <c r="P415" s="1" t="s">
        <v>110</v>
      </c>
      <c r="Q415" s="5">
        <v>44915</v>
      </c>
      <c r="R415" s="1"/>
      <c r="S415" s="1"/>
      <c r="T415" s="1"/>
      <c r="U415" s="1"/>
      <c r="V415" s="1" t="s">
        <v>2146</v>
      </c>
      <c r="W415" s="4">
        <v>1</v>
      </c>
      <c r="X415" s="6">
        <v>1000</v>
      </c>
      <c r="Y415" s="1" t="s">
        <v>1516</v>
      </c>
      <c r="Z415" s="1">
        <v>6675</v>
      </c>
      <c r="AA415" s="6">
        <v>0.15</v>
      </c>
      <c r="AB415" s="1" t="s">
        <v>2154</v>
      </c>
      <c r="AC415" s="1" t="s">
        <v>2162</v>
      </c>
      <c r="AD415" s="1" t="s">
        <v>1100</v>
      </c>
      <c r="AE415" s="1" t="s">
        <v>2094</v>
      </c>
      <c r="AF415" s="1" t="s">
        <v>1186</v>
      </c>
      <c r="AG415" s="1" t="s">
        <v>1522</v>
      </c>
      <c r="AH415" s="6">
        <v>1000</v>
      </c>
      <c r="AI415" s="6">
        <v>0.14981273408239701</v>
      </c>
      <c r="AJ415" s="1" t="s">
        <v>1146</v>
      </c>
      <c r="AK415" s="1"/>
      <c r="AL415" s="1"/>
      <c r="AM415" s="1" t="s">
        <v>1146</v>
      </c>
      <c r="AN415" s="1" t="s">
        <v>733</v>
      </c>
      <c r="AO415" s="1"/>
      <c r="AP415" s="1" t="s">
        <v>128</v>
      </c>
      <c r="AQ415" s="1"/>
      <c r="AR415" s="1"/>
      <c r="AS415" s="2"/>
      <c r="AT415" s="1"/>
      <c r="AU415" s="1"/>
      <c r="AV415" s="1"/>
      <c r="AW415" s="1" t="s">
        <v>2152</v>
      </c>
      <c r="AX415" s="7">
        <v>44915.681579661425</v>
      </c>
      <c r="AY415" s="1" t="s">
        <v>135</v>
      </c>
      <c r="AZ415" s="6">
        <v>1000</v>
      </c>
      <c r="BA415" s="5">
        <v>44896</v>
      </c>
      <c r="BB415" s="5">
        <v>44926</v>
      </c>
      <c r="BC415" s="5">
        <v>44915</v>
      </c>
      <c r="BD415" s="5">
        <v>44896</v>
      </c>
      <c r="BE415" s="7">
        <v>44926</v>
      </c>
      <c r="BF415" s="1" t="s">
        <v>2170</v>
      </c>
      <c r="BG415" s="1"/>
      <c r="BH415" s="1"/>
      <c r="BI415" s="1" t="s">
        <v>108</v>
      </c>
    </row>
    <row r="416" spans="1:61" hidden="1" x14ac:dyDescent="0.25">
      <c r="A416" s="4">
        <v>411</v>
      </c>
      <c r="B416" s="2" t="str">
        <f>HYPERLINK("https://my.zakupivli.pro/remote/dispatcher/state_purchase_view/39510841", "UA-2022-12-19-019753-a")</f>
        <v>UA-2022-12-19-019753-a</v>
      </c>
      <c r="C416" s="2" t="s">
        <v>1516</v>
      </c>
      <c r="D416" s="1" t="s">
        <v>1223</v>
      </c>
      <c r="E416" s="1" t="s">
        <v>1177</v>
      </c>
      <c r="F416" s="1" t="s">
        <v>412</v>
      </c>
      <c r="G416" s="1" t="s">
        <v>852</v>
      </c>
      <c r="H416" s="1" t="s">
        <v>1218</v>
      </c>
      <c r="I416" s="1" t="s">
        <v>2094</v>
      </c>
      <c r="J416" s="1" t="s">
        <v>1145</v>
      </c>
      <c r="K416" s="1" t="s">
        <v>947</v>
      </c>
      <c r="L416" s="1" t="s">
        <v>1533</v>
      </c>
      <c r="M416" s="1" t="s">
        <v>1533</v>
      </c>
      <c r="N416" s="1" t="s">
        <v>110</v>
      </c>
      <c r="O416" s="1" t="s">
        <v>110</v>
      </c>
      <c r="P416" s="1" t="s">
        <v>110</v>
      </c>
      <c r="Q416" s="5">
        <v>44914</v>
      </c>
      <c r="R416" s="1"/>
      <c r="S416" s="1"/>
      <c r="T416" s="1"/>
      <c r="U416" s="1"/>
      <c r="V416" s="1" t="s">
        <v>2146</v>
      </c>
      <c r="W416" s="4">
        <v>1</v>
      </c>
      <c r="X416" s="6">
        <v>7600</v>
      </c>
      <c r="Y416" s="1" t="s">
        <v>1516</v>
      </c>
      <c r="Z416" s="1">
        <v>10</v>
      </c>
      <c r="AA416" s="6">
        <v>760</v>
      </c>
      <c r="AB416" s="1" t="s">
        <v>2175</v>
      </c>
      <c r="AC416" s="1" t="s">
        <v>2162</v>
      </c>
      <c r="AD416" s="1" t="s">
        <v>1100</v>
      </c>
      <c r="AE416" s="1" t="s">
        <v>2094</v>
      </c>
      <c r="AF416" s="1" t="s">
        <v>1186</v>
      </c>
      <c r="AG416" s="1" t="s">
        <v>1522</v>
      </c>
      <c r="AH416" s="6">
        <v>7600</v>
      </c>
      <c r="AI416" s="6">
        <v>760</v>
      </c>
      <c r="AJ416" s="1" t="s">
        <v>2082</v>
      </c>
      <c r="AK416" s="1"/>
      <c r="AL416" s="1"/>
      <c r="AM416" s="1" t="s">
        <v>2082</v>
      </c>
      <c r="AN416" s="1" t="s">
        <v>958</v>
      </c>
      <c r="AO416" s="1"/>
      <c r="AP416" s="1" t="s">
        <v>73</v>
      </c>
      <c r="AQ416" s="1"/>
      <c r="AR416" s="1"/>
      <c r="AS416" s="2"/>
      <c r="AT416" s="1"/>
      <c r="AU416" s="1"/>
      <c r="AV416" s="1"/>
      <c r="AW416" s="1" t="s">
        <v>2152</v>
      </c>
      <c r="AX416" s="7">
        <v>44914.697493080894</v>
      </c>
      <c r="AY416" s="1" t="s">
        <v>1018</v>
      </c>
      <c r="AZ416" s="6">
        <v>7600</v>
      </c>
      <c r="BA416" s="5">
        <v>44909</v>
      </c>
      <c r="BB416" s="5">
        <v>44926</v>
      </c>
      <c r="BC416" s="5">
        <v>44909</v>
      </c>
      <c r="BD416" s="5">
        <v>44909</v>
      </c>
      <c r="BE416" s="7">
        <v>44926</v>
      </c>
      <c r="BF416" s="1" t="s">
        <v>2170</v>
      </c>
      <c r="BG416" s="1"/>
      <c r="BH416" s="1"/>
      <c r="BI416" s="1" t="s">
        <v>108</v>
      </c>
    </row>
    <row r="417" spans="1:61" hidden="1" x14ac:dyDescent="0.25">
      <c r="A417" s="4">
        <v>412</v>
      </c>
      <c r="B417" s="2" t="str">
        <f>HYPERLINK("https://my.zakupivli.pro/remote/dispatcher/state_purchase_view/39512253", "UA-2022-12-19-020335-a")</f>
        <v>UA-2022-12-19-020335-a</v>
      </c>
      <c r="C417" s="2" t="s">
        <v>1516</v>
      </c>
      <c r="D417" s="1" t="s">
        <v>1505</v>
      </c>
      <c r="E417" s="1" t="s">
        <v>1155</v>
      </c>
      <c r="F417" s="1" t="s">
        <v>412</v>
      </c>
      <c r="G417" s="1" t="s">
        <v>756</v>
      </c>
      <c r="H417" s="1" t="s">
        <v>1218</v>
      </c>
      <c r="I417" s="1" t="s">
        <v>2094</v>
      </c>
      <c r="J417" s="1" t="s">
        <v>1145</v>
      </c>
      <c r="K417" s="1" t="s">
        <v>947</v>
      </c>
      <c r="L417" s="1" t="s">
        <v>1533</v>
      </c>
      <c r="M417" s="1" t="s">
        <v>1533</v>
      </c>
      <c r="N417" s="1" t="s">
        <v>110</v>
      </c>
      <c r="O417" s="1" t="s">
        <v>110</v>
      </c>
      <c r="P417" s="1" t="s">
        <v>110</v>
      </c>
      <c r="Q417" s="5">
        <v>44914</v>
      </c>
      <c r="R417" s="1"/>
      <c r="S417" s="1"/>
      <c r="T417" s="1"/>
      <c r="U417" s="1"/>
      <c r="V417" s="1" t="s">
        <v>2146</v>
      </c>
      <c r="W417" s="4">
        <v>1</v>
      </c>
      <c r="X417" s="6">
        <v>1500</v>
      </c>
      <c r="Y417" s="1" t="s">
        <v>1516</v>
      </c>
      <c r="Z417" s="1">
        <v>10</v>
      </c>
      <c r="AA417" s="6">
        <v>150</v>
      </c>
      <c r="AB417" s="1" t="s">
        <v>2175</v>
      </c>
      <c r="AC417" s="1" t="s">
        <v>2162</v>
      </c>
      <c r="AD417" s="1" t="s">
        <v>1100</v>
      </c>
      <c r="AE417" s="1" t="s">
        <v>1522</v>
      </c>
      <c r="AF417" s="1" t="s">
        <v>1186</v>
      </c>
      <c r="AG417" s="1" t="s">
        <v>1522</v>
      </c>
      <c r="AH417" s="6">
        <v>1500</v>
      </c>
      <c r="AI417" s="6">
        <v>150</v>
      </c>
      <c r="AJ417" s="1" t="s">
        <v>2140</v>
      </c>
      <c r="AK417" s="1"/>
      <c r="AL417" s="1"/>
      <c r="AM417" s="1" t="s">
        <v>2140</v>
      </c>
      <c r="AN417" s="1" t="s">
        <v>764</v>
      </c>
      <c r="AO417" s="1"/>
      <c r="AP417" s="1" t="s">
        <v>6</v>
      </c>
      <c r="AQ417" s="1"/>
      <c r="AR417" s="1"/>
      <c r="AS417" s="2"/>
      <c r="AT417" s="1"/>
      <c r="AU417" s="1"/>
      <c r="AV417" s="1"/>
      <c r="AW417" s="1" t="s">
        <v>2152</v>
      </c>
      <c r="AX417" s="7">
        <v>44914.709889162361</v>
      </c>
      <c r="AY417" s="1" t="s">
        <v>1012</v>
      </c>
      <c r="AZ417" s="6">
        <v>1500</v>
      </c>
      <c r="BA417" s="5">
        <v>44909</v>
      </c>
      <c r="BB417" s="5">
        <v>44926</v>
      </c>
      <c r="BC417" s="5">
        <v>44909</v>
      </c>
      <c r="BD417" s="5">
        <v>44909</v>
      </c>
      <c r="BE417" s="7">
        <v>44926</v>
      </c>
      <c r="BF417" s="1" t="s">
        <v>2170</v>
      </c>
      <c r="BG417" s="1"/>
      <c r="BH417" s="1"/>
      <c r="BI417" s="1" t="s">
        <v>108</v>
      </c>
    </row>
    <row r="418" spans="1:61" hidden="1" x14ac:dyDescent="0.25">
      <c r="A418" s="4">
        <v>413</v>
      </c>
      <c r="B418" s="2" t="str">
        <f>HYPERLINK("https://my.zakupivli.pro/remote/dispatcher/state_purchase_view/39301710", "UA-2022-12-13-012979-a")</f>
        <v>UA-2022-12-13-012979-a</v>
      </c>
      <c r="C418" s="2" t="s">
        <v>1516</v>
      </c>
      <c r="D418" s="1" t="s">
        <v>1699</v>
      </c>
      <c r="E418" s="1" t="s">
        <v>1700</v>
      </c>
      <c r="F418" s="1" t="s">
        <v>412</v>
      </c>
      <c r="G418" s="1" t="s">
        <v>990</v>
      </c>
      <c r="H418" s="1" t="s">
        <v>1218</v>
      </c>
      <c r="I418" s="1" t="s">
        <v>2094</v>
      </c>
      <c r="J418" s="1" t="s">
        <v>1145</v>
      </c>
      <c r="K418" s="1" t="s">
        <v>947</v>
      </c>
      <c r="L418" s="1" t="s">
        <v>1533</v>
      </c>
      <c r="M418" s="1" t="s">
        <v>1533</v>
      </c>
      <c r="N418" s="1" t="s">
        <v>110</v>
      </c>
      <c r="O418" s="1" t="s">
        <v>110</v>
      </c>
      <c r="P418" s="1" t="s">
        <v>110</v>
      </c>
      <c r="Q418" s="5">
        <v>44908</v>
      </c>
      <c r="R418" s="1"/>
      <c r="S418" s="1"/>
      <c r="T418" s="1"/>
      <c r="U418" s="1"/>
      <c r="V418" s="1" t="s">
        <v>2146</v>
      </c>
      <c r="W418" s="4">
        <v>1</v>
      </c>
      <c r="X418" s="6">
        <v>9620</v>
      </c>
      <c r="Y418" s="1" t="s">
        <v>1516</v>
      </c>
      <c r="Z418" s="1">
        <v>1</v>
      </c>
      <c r="AA418" s="6">
        <v>9620</v>
      </c>
      <c r="AB418" s="1" t="s">
        <v>2167</v>
      </c>
      <c r="AC418" s="1" t="s">
        <v>2162</v>
      </c>
      <c r="AD418" s="1" t="s">
        <v>1100</v>
      </c>
      <c r="AE418" s="1" t="s">
        <v>1522</v>
      </c>
      <c r="AF418" s="1" t="s">
        <v>1186</v>
      </c>
      <c r="AG418" s="1" t="s">
        <v>1522</v>
      </c>
      <c r="AH418" s="6">
        <v>9620</v>
      </c>
      <c r="AI418" s="6">
        <v>9620</v>
      </c>
      <c r="AJ418" s="1" t="s">
        <v>1189</v>
      </c>
      <c r="AK418" s="1"/>
      <c r="AL418" s="1"/>
      <c r="AM418" s="1" t="s">
        <v>1189</v>
      </c>
      <c r="AN418" s="1" t="s">
        <v>716</v>
      </c>
      <c r="AO418" s="1"/>
      <c r="AP418" s="1" t="s">
        <v>89</v>
      </c>
      <c r="AQ418" s="1"/>
      <c r="AR418" s="1"/>
      <c r="AS418" s="2"/>
      <c r="AT418" s="1"/>
      <c r="AU418" s="1"/>
      <c r="AV418" s="1"/>
      <c r="AW418" s="1" t="s">
        <v>2152</v>
      </c>
      <c r="AX418" s="7">
        <v>44908.584997768172</v>
      </c>
      <c r="AY418" s="1" t="s">
        <v>1005</v>
      </c>
      <c r="AZ418" s="6">
        <v>9620</v>
      </c>
      <c r="BA418" s="5">
        <v>44903</v>
      </c>
      <c r="BB418" s="5">
        <v>44904</v>
      </c>
      <c r="BC418" s="5">
        <v>44903</v>
      </c>
      <c r="BD418" s="5">
        <v>44903</v>
      </c>
      <c r="BE418" s="7">
        <v>44926</v>
      </c>
      <c r="BF418" s="1" t="s">
        <v>2170</v>
      </c>
      <c r="BG418" s="1"/>
      <c r="BH418" s="1"/>
      <c r="BI418" s="1" t="s">
        <v>108</v>
      </c>
    </row>
    <row r="419" spans="1:61" hidden="1" x14ac:dyDescent="0.25">
      <c r="A419" s="4">
        <v>414</v>
      </c>
      <c r="B419" s="2" t="str">
        <f>HYPERLINK("https://my.zakupivli.pro/remote/dispatcher/state_purchase_view/39195364", "UA-2022-12-09-009740-a")</f>
        <v>UA-2022-12-09-009740-a</v>
      </c>
      <c r="C419" s="2" t="s">
        <v>1516</v>
      </c>
      <c r="D419" s="1" t="s">
        <v>1529</v>
      </c>
      <c r="E419" s="1" t="s">
        <v>1528</v>
      </c>
      <c r="F419" s="1" t="s">
        <v>412</v>
      </c>
      <c r="G419" s="1" t="s">
        <v>1026</v>
      </c>
      <c r="H419" s="1" t="s">
        <v>1218</v>
      </c>
      <c r="I419" s="1" t="s">
        <v>2094</v>
      </c>
      <c r="J419" s="1" t="s">
        <v>1145</v>
      </c>
      <c r="K419" s="1" t="s">
        <v>947</v>
      </c>
      <c r="L419" s="1" t="s">
        <v>1533</v>
      </c>
      <c r="M419" s="1" t="s">
        <v>1533</v>
      </c>
      <c r="N419" s="1" t="s">
        <v>110</v>
      </c>
      <c r="O419" s="1" t="s">
        <v>110</v>
      </c>
      <c r="P419" s="1" t="s">
        <v>110</v>
      </c>
      <c r="Q419" s="5">
        <v>44904</v>
      </c>
      <c r="R419" s="1"/>
      <c r="S419" s="1"/>
      <c r="T419" s="1"/>
      <c r="U419" s="1"/>
      <c r="V419" s="1" t="s">
        <v>2146</v>
      </c>
      <c r="W419" s="4">
        <v>1</v>
      </c>
      <c r="X419" s="6">
        <v>2810</v>
      </c>
      <c r="Y419" s="1" t="s">
        <v>1516</v>
      </c>
      <c r="Z419" s="1">
        <v>3</v>
      </c>
      <c r="AA419" s="6">
        <v>936.67</v>
      </c>
      <c r="AB419" s="1" t="s">
        <v>2157</v>
      </c>
      <c r="AC419" s="1" t="s">
        <v>2162</v>
      </c>
      <c r="AD419" s="1" t="s">
        <v>1100</v>
      </c>
      <c r="AE419" s="1" t="s">
        <v>1522</v>
      </c>
      <c r="AF419" s="1" t="s">
        <v>1186</v>
      </c>
      <c r="AG419" s="1" t="s">
        <v>1522</v>
      </c>
      <c r="AH419" s="6">
        <v>2810</v>
      </c>
      <c r="AI419" s="6">
        <v>936.66666666666663</v>
      </c>
      <c r="AJ419" s="1" t="s">
        <v>1545</v>
      </c>
      <c r="AK419" s="1"/>
      <c r="AL419" s="1"/>
      <c r="AM419" s="1" t="s">
        <v>1545</v>
      </c>
      <c r="AN419" s="1" t="s">
        <v>710</v>
      </c>
      <c r="AO419" s="1"/>
      <c r="AP419" s="1" t="s">
        <v>45</v>
      </c>
      <c r="AQ419" s="1"/>
      <c r="AR419" s="1"/>
      <c r="AS419" s="2"/>
      <c r="AT419" s="1"/>
      <c r="AU419" s="1"/>
      <c r="AV419" s="1"/>
      <c r="AW419" s="1" t="s">
        <v>2152</v>
      </c>
      <c r="AX419" s="7">
        <v>44904.528995574874</v>
      </c>
      <c r="AY419" s="1" t="s">
        <v>174</v>
      </c>
      <c r="AZ419" s="6">
        <v>2810</v>
      </c>
      <c r="BA419" s="5">
        <v>44903</v>
      </c>
      <c r="BB419" s="5">
        <v>45268</v>
      </c>
      <c r="BC419" s="5">
        <v>44903</v>
      </c>
      <c r="BD419" s="5">
        <v>44903</v>
      </c>
      <c r="BE419" s="7">
        <v>44926</v>
      </c>
      <c r="BF419" s="1" t="s">
        <v>2170</v>
      </c>
      <c r="BG419" s="1"/>
      <c r="BH419" s="1"/>
      <c r="BI419" s="1" t="s">
        <v>108</v>
      </c>
    </row>
    <row r="420" spans="1:61" hidden="1" x14ac:dyDescent="0.25">
      <c r="A420" s="4">
        <v>415</v>
      </c>
      <c r="B420" s="2" t="str">
        <f>HYPERLINK("https://my.zakupivli.pro/remote/dispatcher/state_purchase_view/39165160", "UA-2022-12-08-017498-a")</f>
        <v>UA-2022-12-08-017498-a</v>
      </c>
      <c r="C420" s="2" t="s">
        <v>1516</v>
      </c>
      <c r="D420" s="1" t="s">
        <v>1559</v>
      </c>
      <c r="E420" s="1" t="s">
        <v>1560</v>
      </c>
      <c r="F420" s="1" t="s">
        <v>412</v>
      </c>
      <c r="G420" s="1" t="s">
        <v>145</v>
      </c>
      <c r="H420" s="1" t="s">
        <v>1218</v>
      </c>
      <c r="I420" s="1" t="s">
        <v>2094</v>
      </c>
      <c r="J420" s="1" t="s">
        <v>1145</v>
      </c>
      <c r="K420" s="1" t="s">
        <v>947</v>
      </c>
      <c r="L420" s="1" t="s">
        <v>1533</v>
      </c>
      <c r="M420" s="1" t="s">
        <v>1533</v>
      </c>
      <c r="N420" s="1" t="s">
        <v>110</v>
      </c>
      <c r="O420" s="1" t="s">
        <v>110</v>
      </c>
      <c r="P420" s="1" t="s">
        <v>110</v>
      </c>
      <c r="Q420" s="5">
        <v>44903</v>
      </c>
      <c r="R420" s="1"/>
      <c r="S420" s="1"/>
      <c r="T420" s="1"/>
      <c r="U420" s="1"/>
      <c r="V420" s="1" t="s">
        <v>2146</v>
      </c>
      <c r="W420" s="4">
        <v>1</v>
      </c>
      <c r="X420" s="6">
        <v>374935.86</v>
      </c>
      <c r="Y420" s="1" t="s">
        <v>1516</v>
      </c>
      <c r="Z420" s="1">
        <v>129.732</v>
      </c>
      <c r="AA420" s="6">
        <v>2890.08</v>
      </c>
      <c r="AB420" s="1" t="s">
        <v>2150</v>
      </c>
      <c r="AC420" s="1" t="s">
        <v>2162</v>
      </c>
      <c r="AD420" s="1" t="s">
        <v>1100</v>
      </c>
      <c r="AE420" s="1" t="s">
        <v>1522</v>
      </c>
      <c r="AF420" s="1" t="s">
        <v>1186</v>
      </c>
      <c r="AG420" s="1" t="s">
        <v>1522</v>
      </c>
      <c r="AH420" s="6">
        <v>374935.86</v>
      </c>
      <c r="AI420" s="6">
        <v>2906.479534883721</v>
      </c>
      <c r="AJ420" s="1" t="s">
        <v>2063</v>
      </c>
      <c r="AK420" s="1"/>
      <c r="AL420" s="1"/>
      <c r="AM420" s="1" t="s">
        <v>2063</v>
      </c>
      <c r="AN420" s="1" t="s">
        <v>908</v>
      </c>
      <c r="AO420" s="1"/>
      <c r="AP420" s="1" t="s">
        <v>48</v>
      </c>
      <c r="AQ420" s="1"/>
      <c r="AR420" s="1"/>
      <c r="AS420" s="2"/>
      <c r="AT420" s="1"/>
      <c r="AU420" s="1"/>
      <c r="AV420" s="1"/>
      <c r="AW420" s="1" t="s">
        <v>2152</v>
      </c>
      <c r="AX420" s="7">
        <v>44903.678638854071</v>
      </c>
      <c r="AY420" s="1" t="s">
        <v>1150</v>
      </c>
      <c r="AZ420" s="6">
        <v>374935.86</v>
      </c>
      <c r="BA420" s="5">
        <v>44896</v>
      </c>
      <c r="BB420" s="5">
        <v>44926</v>
      </c>
      <c r="BC420" s="5">
        <v>44902</v>
      </c>
      <c r="BD420" s="5">
        <v>44896</v>
      </c>
      <c r="BE420" s="7">
        <v>44926</v>
      </c>
      <c r="BF420" s="1" t="s">
        <v>2170</v>
      </c>
      <c r="BG420" s="1"/>
      <c r="BH420" s="1"/>
      <c r="BI420" s="1" t="s">
        <v>108</v>
      </c>
    </row>
    <row r="421" spans="1:61" hidden="1" x14ac:dyDescent="0.25">
      <c r="A421" s="4">
        <v>416</v>
      </c>
      <c r="B421" s="2" t="str">
        <f>HYPERLINK("https://my.zakupivli.pro/remote/dispatcher/state_purchase_view/39164148", "UA-2022-12-08-016601-a")</f>
        <v>UA-2022-12-08-016601-a</v>
      </c>
      <c r="C421" s="2" t="s">
        <v>1516</v>
      </c>
      <c r="D421" s="1" t="s">
        <v>1830</v>
      </c>
      <c r="E421" s="1" t="s">
        <v>1830</v>
      </c>
      <c r="F421" s="1" t="s">
        <v>412</v>
      </c>
      <c r="G421" s="1" t="s">
        <v>1076</v>
      </c>
      <c r="H421" s="1" t="s">
        <v>1218</v>
      </c>
      <c r="I421" s="1" t="s">
        <v>2094</v>
      </c>
      <c r="J421" s="1" t="s">
        <v>1145</v>
      </c>
      <c r="K421" s="1" t="s">
        <v>947</v>
      </c>
      <c r="L421" s="1" t="s">
        <v>1533</v>
      </c>
      <c r="M421" s="1" t="s">
        <v>1533</v>
      </c>
      <c r="N421" s="1" t="s">
        <v>110</v>
      </c>
      <c r="O421" s="1" t="s">
        <v>110</v>
      </c>
      <c r="P421" s="1" t="s">
        <v>110</v>
      </c>
      <c r="Q421" s="5">
        <v>44903</v>
      </c>
      <c r="R421" s="1"/>
      <c r="S421" s="1"/>
      <c r="T421" s="1"/>
      <c r="U421" s="1"/>
      <c r="V421" s="1" t="s">
        <v>2146</v>
      </c>
      <c r="W421" s="4">
        <v>1</v>
      </c>
      <c r="X421" s="6">
        <v>99500</v>
      </c>
      <c r="Y421" s="1" t="s">
        <v>1516</v>
      </c>
      <c r="Z421" s="1">
        <v>1</v>
      </c>
      <c r="AA421" s="6">
        <v>99500</v>
      </c>
      <c r="AB421" s="1" t="s">
        <v>2167</v>
      </c>
      <c r="AC421" s="1" t="s">
        <v>2162</v>
      </c>
      <c r="AD421" s="1" t="s">
        <v>1100</v>
      </c>
      <c r="AE421" s="1" t="s">
        <v>1522</v>
      </c>
      <c r="AF421" s="1" t="s">
        <v>1186</v>
      </c>
      <c r="AG421" s="1" t="s">
        <v>1522</v>
      </c>
      <c r="AH421" s="6">
        <v>99500</v>
      </c>
      <c r="AI421" s="6">
        <v>99500</v>
      </c>
      <c r="AJ421" s="1" t="s">
        <v>1531</v>
      </c>
      <c r="AK421" s="1"/>
      <c r="AL421" s="1"/>
      <c r="AM421" s="1" t="s">
        <v>1531</v>
      </c>
      <c r="AN421" s="1" t="s">
        <v>815</v>
      </c>
      <c r="AO421" s="1"/>
      <c r="AP421" s="1" t="s">
        <v>55</v>
      </c>
      <c r="AQ421" s="1"/>
      <c r="AR421" s="1"/>
      <c r="AS421" s="2"/>
      <c r="AT421" s="1"/>
      <c r="AU421" s="1"/>
      <c r="AV421" s="1"/>
      <c r="AW421" s="1" t="s">
        <v>2152</v>
      </c>
      <c r="AX421" s="7">
        <v>44903.663189109429</v>
      </c>
      <c r="AY421" s="1" t="s">
        <v>962</v>
      </c>
      <c r="AZ421" s="6">
        <v>99500</v>
      </c>
      <c r="BA421" s="5">
        <v>44902</v>
      </c>
      <c r="BB421" s="5">
        <v>44926</v>
      </c>
      <c r="BC421" s="5">
        <v>44902</v>
      </c>
      <c r="BD421" s="5">
        <v>44902</v>
      </c>
      <c r="BE421" s="7">
        <v>44926</v>
      </c>
      <c r="BF421" s="1" t="s">
        <v>2170</v>
      </c>
      <c r="BG421" s="1"/>
      <c r="BH421" s="1"/>
      <c r="BI421" s="1" t="s">
        <v>108</v>
      </c>
    </row>
    <row r="422" spans="1:61" hidden="1" x14ac:dyDescent="0.25">
      <c r="A422" s="4">
        <v>417</v>
      </c>
      <c r="B422" s="2" t="str">
        <f>HYPERLINK("https://my.zakupivli.pro/remote/dispatcher/state_purchase_view/39142933", "UA-2022-12-08-006276-a")</f>
        <v>UA-2022-12-08-006276-a</v>
      </c>
      <c r="C422" s="2" t="s">
        <v>1516</v>
      </c>
      <c r="D422" s="1" t="s">
        <v>1440</v>
      </c>
      <c r="E422" s="1" t="s">
        <v>1440</v>
      </c>
      <c r="F422" s="1" t="s">
        <v>412</v>
      </c>
      <c r="G422" s="1" t="s">
        <v>1035</v>
      </c>
      <c r="H422" s="1" t="s">
        <v>1218</v>
      </c>
      <c r="I422" s="1" t="s">
        <v>2094</v>
      </c>
      <c r="J422" s="1" t="s">
        <v>1145</v>
      </c>
      <c r="K422" s="1" t="s">
        <v>947</v>
      </c>
      <c r="L422" s="1" t="s">
        <v>1533</v>
      </c>
      <c r="M422" s="1" t="s">
        <v>1533</v>
      </c>
      <c r="N422" s="1" t="s">
        <v>110</v>
      </c>
      <c r="O422" s="1" t="s">
        <v>110</v>
      </c>
      <c r="P422" s="1" t="s">
        <v>110</v>
      </c>
      <c r="Q422" s="5">
        <v>44903</v>
      </c>
      <c r="R422" s="1"/>
      <c r="S422" s="1"/>
      <c r="T422" s="1"/>
      <c r="U422" s="1"/>
      <c r="V422" s="1" t="s">
        <v>2146</v>
      </c>
      <c r="W422" s="4">
        <v>1</v>
      </c>
      <c r="X422" s="6">
        <v>7701.12</v>
      </c>
      <c r="Y422" s="1" t="s">
        <v>1516</v>
      </c>
      <c r="Z422" s="1">
        <v>1</v>
      </c>
      <c r="AA422" s="6">
        <v>7701.12</v>
      </c>
      <c r="AB422" s="1" t="s">
        <v>2167</v>
      </c>
      <c r="AC422" s="1" t="s">
        <v>2162</v>
      </c>
      <c r="AD422" s="1" t="s">
        <v>1100</v>
      </c>
      <c r="AE422" s="1" t="s">
        <v>1522</v>
      </c>
      <c r="AF422" s="1" t="s">
        <v>1186</v>
      </c>
      <c r="AG422" s="1" t="s">
        <v>1522</v>
      </c>
      <c r="AH422" s="6">
        <v>7701.12</v>
      </c>
      <c r="AI422" s="6">
        <v>7701.12</v>
      </c>
      <c r="AJ422" s="1" t="s">
        <v>1498</v>
      </c>
      <c r="AK422" s="1"/>
      <c r="AL422" s="1"/>
      <c r="AM422" s="1" t="s">
        <v>1498</v>
      </c>
      <c r="AN422" s="1" t="s">
        <v>785</v>
      </c>
      <c r="AO422" s="1"/>
      <c r="AP422" s="1" t="s">
        <v>81</v>
      </c>
      <c r="AQ422" s="1"/>
      <c r="AR422" s="1"/>
      <c r="AS422" s="2"/>
      <c r="AT422" s="1"/>
      <c r="AU422" s="1"/>
      <c r="AV422" s="1"/>
      <c r="AW422" s="1" t="s">
        <v>2152</v>
      </c>
      <c r="AX422" s="7">
        <v>44903.479076558462</v>
      </c>
      <c r="AY422" s="1" t="s">
        <v>950</v>
      </c>
      <c r="AZ422" s="6">
        <v>7701.12</v>
      </c>
      <c r="BA422" s="5">
        <v>44902</v>
      </c>
      <c r="BB422" s="5">
        <v>44926</v>
      </c>
      <c r="BC422" s="5">
        <v>44902</v>
      </c>
      <c r="BD422" s="5">
        <v>44902</v>
      </c>
      <c r="BE422" s="7">
        <v>44926</v>
      </c>
      <c r="BF422" s="1" t="s">
        <v>2170</v>
      </c>
      <c r="BG422" s="1"/>
      <c r="BH422" s="1"/>
      <c r="BI422" s="1" t="s">
        <v>108</v>
      </c>
    </row>
    <row r="423" spans="1:61" hidden="1" x14ac:dyDescent="0.25">
      <c r="A423" s="4">
        <v>418</v>
      </c>
      <c r="B423" s="2" t="str">
        <f>HYPERLINK("https://my.zakupivli.pro/remote/dispatcher/state_purchase_view/39035278", "UA-2022-12-05-013185-a")</f>
        <v>UA-2022-12-05-013185-a</v>
      </c>
      <c r="C423" s="2" t="str">
        <f>HYPERLINK("https://my.zakupivli.pro/remote/dispatcher/state_purchase_lot_view/806992", "UA-2022-12-05-013185-a-L1")</f>
        <v>UA-2022-12-05-013185-a-L1</v>
      </c>
      <c r="D423" s="1" t="s">
        <v>1863</v>
      </c>
      <c r="E423" s="1" t="s">
        <v>1862</v>
      </c>
      <c r="F423" s="1" t="s">
        <v>412</v>
      </c>
      <c r="G423" s="1" t="s">
        <v>966</v>
      </c>
      <c r="H423" s="1" t="s">
        <v>1185</v>
      </c>
      <c r="I423" s="1" t="s">
        <v>2094</v>
      </c>
      <c r="J423" s="1" t="s">
        <v>1145</v>
      </c>
      <c r="K423" s="1" t="s">
        <v>947</v>
      </c>
      <c r="L423" s="1" t="s">
        <v>1533</v>
      </c>
      <c r="M423" s="1" t="s">
        <v>1533</v>
      </c>
      <c r="N423" s="1" t="s">
        <v>110</v>
      </c>
      <c r="O423" s="1" t="s">
        <v>110</v>
      </c>
      <c r="P423" s="1" t="s">
        <v>110</v>
      </c>
      <c r="Q423" s="5">
        <v>44900</v>
      </c>
      <c r="R423" s="1" t="s">
        <v>476</v>
      </c>
      <c r="S423" s="1" t="s">
        <v>477</v>
      </c>
      <c r="T423" s="5">
        <v>44900</v>
      </c>
      <c r="U423" s="5">
        <v>44908</v>
      </c>
      <c r="V423" s="1" t="s">
        <v>2147</v>
      </c>
      <c r="W423" s="4">
        <v>1</v>
      </c>
      <c r="X423" s="6">
        <v>134920</v>
      </c>
      <c r="Y423" s="6">
        <v>134920</v>
      </c>
      <c r="Z423" s="1">
        <v>1</v>
      </c>
      <c r="AA423" s="6">
        <v>134920</v>
      </c>
      <c r="AB423" s="1" t="s">
        <v>2167</v>
      </c>
      <c r="AC423" s="6">
        <v>674.6</v>
      </c>
      <c r="AD423" s="1" t="s">
        <v>1100</v>
      </c>
      <c r="AE423" s="1" t="s">
        <v>2094</v>
      </c>
      <c r="AF423" s="1" t="s">
        <v>1186</v>
      </c>
      <c r="AG423" s="1" t="s">
        <v>1522</v>
      </c>
      <c r="AH423" s="6">
        <v>134920</v>
      </c>
      <c r="AI423" s="6">
        <v>134920</v>
      </c>
      <c r="AJ423" s="1" t="s">
        <v>2130</v>
      </c>
      <c r="AK423" s="1"/>
      <c r="AL423" s="1"/>
      <c r="AM423" s="1" t="s">
        <v>2130</v>
      </c>
      <c r="AN423" s="1" t="s">
        <v>796</v>
      </c>
      <c r="AO423" s="1" t="s">
        <v>1115</v>
      </c>
      <c r="AP423" s="1" t="s">
        <v>72</v>
      </c>
      <c r="AQ423" s="1"/>
      <c r="AR423" s="1"/>
      <c r="AS423" s="2"/>
      <c r="AT423" s="7">
        <v>44908.699917560232</v>
      </c>
      <c r="AU423" s="1" t="s">
        <v>481</v>
      </c>
      <c r="AV423" s="1" t="s">
        <v>486</v>
      </c>
      <c r="AW423" s="1" t="s">
        <v>2151</v>
      </c>
      <c r="AX423" s="7">
        <v>44915.82059690763</v>
      </c>
      <c r="AY423" s="1" t="s">
        <v>1020</v>
      </c>
      <c r="AZ423" s="6">
        <v>134920</v>
      </c>
      <c r="BA423" s="1"/>
      <c r="BB423" s="5">
        <v>44918</v>
      </c>
      <c r="BC423" s="5">
        <v>44914</v>
      </c>
      <c r="BD423" s="5">
        <v>44914</v>
      </c>
      <c r="BE423" s="7">
        <v>44926</v>
      </c>
      <c r="BF423" s="1" t="s">
        <v>2170</v>
      </c>
      <c r="BG423" s="1"/>
      <c r="BH423" s="1"/>
      <c r="BI423" s="1" t="s">
        <v>797</v>
      </c>
    </row>
    <row r="424" spans="1:61" hidden="1" x14ac:dyDescent="0.25">
      <c r="A424" s="4">
        <v>419</v>
      </c>
      <c r="B424" s="2" t="str">
        <f>HYPERLINK("https://my.zakupivli.pro/remote/dispatcher/state_purchase_view/38920836", "UA-2022-11-30-011478-a")</f>
        <v>UA-2022-11-30-011478-a</v>
      </c>
      <c r="C424" s="2" t="str">
        <f>HYPERLINK("https://my.zakupivli.pro/remote/dispatcher/state_purchase_lot_view/801908", "UA-2022-11-30-011478-a-L1")</f>
        <v>UA-2022-11-30-011478-a-L1</v>
      </c>
      <c r="D424" s="1" t="s">
        <v>1823</v>
      </c>
      <c r="E424" s="1" t="s">
        <v>1822</v>
      </c>
      <c r="F424" s="1" t="s">
        <v>412</v>
      </c>
      <c r="G424" s="1" t="s">
        <v>1052</v>
      </c>
      <c r="H424" s="1" t="s">
        <v>1185</v>
      </c>
      <c r="I424" s="1" t="s">
        <v>2094</v>
      </c>
      <c r="J424" s="1" t="s">
        <v>1145</v>
      </c>
      <c r="K424" s="1" t="s">
        <v>947</v>
      </c>
      <c r="L424" s="1" t="s">
        <v>1533</v>
      </c>
      <c r="M424" s="1" t="s">
        <v>1533</v>
      </c>
      <c r="N424" s="1" t="s">
        <v>110</v>
      </c>
      <c r="O424" s="1" t="s">
        <v>110</v>
      </c>
      <c r="P424" s="1" t="s">
        <v>110</v>
      </c>
      <c r="Q424" s="5">
        <v>44895</v>
      </c>
      <c r="R424" s="1" t="s">
        <v>473</v>
      </c>
      <c r="S424" s="1" t="s">
        <v>476</v>
      </c>
      <c r="T424" s="5">
        <v>44895</v>
      </c>
      <c r="U424" s="5">
        <v>44903</v>
      </c>
      <c r="V424" s="1" t="s">
        <v>2147</v>
      </c>
      <c r="W424" s="4">
        <v>1</v>
      </c>
      <c r="X424" s="6">
        <v>650500</v>
      </c>
      <c r="Y424" s="6">
        <v>650500</v>
      </c>
      <c r="Z424" s="1">
        <v>1</v>
      </c>
      <c r="AA424" s="6">
        <v>650500</v>
      </c>
      <c r="AB424" s="1" t="s">
        <v>2167</v>
      </c>
      <c r="AC424" s="6">
        <v>3252.5</v>
      </c>
      <c r="AD424" s="1" t="s">
        <v>1100</v>
      </c>
      <c r="AE424" s="1" t="s">
        <v>2094</v>
      </c>
      <c r="AF424" s="1" t="s">
        <v>1186</v>
      </c>
      <c r="AG424" s="1" t="s">
        <v>1522</v>
      </c>
      <c r="AH424" s="6">
        <v>649800</v>
      </c>
      <c r="AI424" s="6">
        <v>649800</v>
      </c>
      <c r="AJ424" s="1" t="s">
        <v>2122</v>
      </c>
      <c r="AK424" s="6">
        <v>700</v>
      </c>
      <c r="AL424" s="6">
        <v>1.0760953112990007E-3</v>
      </c>
      <c r="AM424" s="1" t="s">
        <v>2122</v>
      </c>
      <c r="AN424" s="1" t="s">
        <v>225</v>
      </c>
      <c r="AO424" s="1" t="s">
        <v>1107</v>
      </c>
      <c r="AP424" s="1" t="s">
        <v>55</v>
      </c>
      <c r="AQ424" s="6">
        <v>700</v>
      </c>
      <c r="AR424" s="6">
        <v>1.0760953112990007E-3</v>
      </c>
      <c r="AS424" s="2"/>
      <c r="AT424" s="7">
        <v>44903.737975748612</v>
      </c>
      <c r="AU424" s="1" t="s">
        <v>479</v>
      </c>
      <c r="AV424" s="1" t="s">
        <v>484</v>
      </c>
      <c r="AW424" s="1" t="s">
        <v>2151</v>
      </c>
      <c r="AX424" s="7">
        <v>44909.576900791588</v>
      </c>
      <c r="AY424" s="1" t="s">
        <v>1008</v>
      </c>
      <c r="AZ424" s="6">
        <v>649800</v>
      </c>
      <c r="BA424" s="1"/>
      <c r="BB424" s="5">
        <v>44918</v>
      </c>
      <c r="BC424" s="5">
        <v>44909</v>
      </c>
      <c r="BD424" s="5">
        <v>44909</v>
      </c>
      <c r="BE424" s="7">
        <v>44926</v>
      </c>
      <c r="BF424" s="1" t="s">
        <v>2170</v>
      </c>
      <c r="BG424" s="1"/>
      <c r="BH424" s="1"/>
      <c r="BI424" s="1" t="s">
        <v>226</v>
      </c>
    </row>
    <row r="425" spans="1:61" hidden="1" x14ac:dyDescent="0.25">
      <c r="A425" s="4">
        <v>420</v>
      </c>
      <c r="B425" s="2" t="str">
        <f>HYPERLINK("https://my.zakupivli.pro/remote/dispatcher/state_purchase_view/38856999", "UA-2022-11-28-011654-a")</f>
        <v>UA-2022-11-28-011654-a</v>
      </c>
      <c r="C425" s="2" t="str">
        <f>HYPERLINK("https://my.zakupivli.pro/remote/dispatcher/state_purchase_lot_view/798736", "UA-2022-11-28-011654-a-L1")</f>
        <v>UA-2022-11-28-011654-a-L1</v>
      </c>
      <c r="D425" s="1" t="s">
        <v>1851</v>
      </c>
      <c r="E425" s="1" t="s">
        <v>1850</v>
      </c>
      <c r="F425" s="1" t="s">
        <v>412</v>
      </c>
      <c r="G425" s="1" t="s">
        <v>966</v>
      </c>
      <c r="H425" s="1" t="s">
        <v>1185</v>
      </c>
      <c r="I425" s="1" t="s">
        <v>2094</v>
      </c>
      <c r="J425" s="1" t="s">
        <v>1145</v>
      </c>
      <c r="K425" s="1" t="s">
        <v>947</v>
      </c>
      <c r="L425" s="1" t="s">
        <v>1533</v>
      </c>
      <c r="M425" s="1" t="s">
        <v>1533</v>
      </c>
      <c r="N425" s="1" t="s">
        <v>110</v>
      </c>
      <c r="O425" s="1" t="s">
        <v>110</v>
      </c>
      <c r="P425" s="1" t="s">
        <v>110</v>
      </c>
      <c r="Q425" s="5">
        <v>44893</v>
      </c>
      <c r="R425" s="1" t="s">
        <v>472</v>
      </c>
      <c r="S425" s="1" t="s">
        <v>474</v>
      </c>
      <c r="T425" s="5">
        <v>44893</v>
      </c>
      <c r="U425" s="5">
        <v>44901</v>
      </c>
      <c r="V425" s="1" t="s">
        <v>2147</v>
      </c>
      <c r="W425" s="4">
        <v>1</v>
      </c>
      <c r="X425" s="6">
        <v>199700</v>
      </c>
      <c r="Y425" s="6">
        <v>199700</v>
      </c>
      <c r="Z425" s="1">
        <v>1</v>
      </c>
      <c r="AA425" s="6">
        <v>199700</v>
      </c>
      <c r="AB425" s="1" t="s">
        <v>2167</v>
      </c>
      <c r="AC425" s="6">
        <v>998.5</v>
      </c>
      <c r="AD425" s="1" t="s">
        <v>1100</v>
      </c>
      <c r="AE425" s="1" t="s">
        <v>2094</v>
      </c>
      <c r="AF425" s="1" t="s">
        <v>1186</v>
      </c>
      <c r="AG425" s="1" t="s">
        <v>1522</v>
      </c>
      <c r="AH425" s="6">
        <v>199700</v>
      </c>
      <c r="AI425" s="6">
        <v>199700</v>
      </c>
      <c r="AJ425" s="1" t="s">
        <v>2130</v>
      </c>
      <c r="AK425" s="1"/>
      <c r="AL425" s="1"/>
      <c r="AM425" s="1" t="s">
        <v>2130</v>
      </c>
      <c r="AN425" s="1" t="s">
        <v>796</v>
      </c>
      <c r="AO425" s="1" t="s">
        <v>1115</v>
      </c>
      <c r="AP425" s="1" t="s">
        <v>72</v>
      </c>
      <c r="AQ425" s="1"/>
      <c r="AR425" s="1"/>
      <c r="AS425" s="2"/>
      <c r="AT425" s="7">
        <v>44901.692644134942</v>
      </c>
      <c r="AU425" s="1" t="s">
        <v>478</v>
      </c>
      <c r="AV425" s="1" t="s">
        <v>483</v>
      </c>
      <c r="AW425" s="1" t="s">
        <v>2151</v>
      </c>
      <c r="AX425" s="7">
        <v>44908.690969250449</v>
      </c>
      <c r="AY425" s="1" t="s">
        <v>1006</v>
      </c>
      <c r="AZ425" s="6">
        <v>199700</v>
      </c>
      <c r="BA425" s="1"/>
      <c r="BB425" s="5">
        <v>44918</v>
      </c>
      <c r="BC425" s="5">
        <v>44908</v>
      </c>
      <c r="BD425" s="5">
        <v>44908</v>
      </c>
      <c r="BE425" s="7">
        <v>44926</v>
      </c>
      <c r="BF425" s="1" t="s">
        <v>2170</v>
      </c>
      <c r="BG425" s="1"/>
      <c r="BH425" s="1"/>
      <c r="BI425" s="1" t="s">
        <v>797</v>
      </c>
    </row>
    <row r="426" spans="1:61" hidden="1" x14ac:dyDescent="0.25">
      <c r="A426" s="4">
        <v>421</v>
      </c>
      <c r="B426" s="2" t="str">
        <f>HYPERLINK("https://my.zakupivli.pro/remote/dispatcher/state_purchase_view/38768636", "UA-2022-11-23-010199-a")</f>
        <v>UA-2022-11-23-010199-a</v>
      </c>
      <c r="C426" s="2" t="s">
        <v>1516</v>
      </c>
      <c r="D426" s="1" t="s">
        <v>1478</v>
      </c>
      <c r="E426" s="1" t="s">
        <v>1521</v>
      </c>
      <c r="F426" s="1" t="s">
        <v>412</v>
      </c>
      <c r="G426" s="1" t="s">
        <v>805</v>
      </c>
      <c r="H426" s="1" t="s">
        <v>1218</v>
      </c>
      <c r="I426" s="1" t="s">
        <v>2094</v>
      </c>
      <c r="J426" s="1" t="s">
        <v>1145</v>
      </c>
      <c r="K426" s="1" t="s">
        <v>947</v>
      </c>
      <c r="L426" s="1" t="s">
        <v>1533</v>
      </c>
      <c r="M426" s="1" t="s">
        <v>1533</v>
      </c>
      <c r="N426" s="1" t="s">
        <v>110</v>
      </c>
      <c r="O426" s="1" t="s">
        <v>110</v>
      </c>
      <c r="P426" s="1" t="s">
        <v>110</v>
      </c>
      <c r="Q426" s="5">
        <v>44888</v>
      </c>
      <c r="R426" s="1"/>
      <c r="S426" s="1"/>
      <c r="T426" s="1"/>
      <c r="U426" s="1"/>
      <c r="V426" s="1" t="s">
        <v>2146</v>
      </c>
      <c r="W426" s="4">
        <v>1</v>
      </c>
      <c r="X426" s="6">
        <v>39000</v>
      </c>
      <c r="Y426" s="1" t="s">
        <v>1516</v>
      </c>
      <c r="Z426" s="1">
        <v>2</v>
      </c>
      <c r="AA426" s="6">
        <v>19500</v>
      </c>
      <c r="AB426" s="1" t="s">
        <v>2157</v>
      </c>
      <c r="AC426" s="1" t="s">
        <v>2162</v>
      </c>
      <c r="AD426" s="1" t="s">
        <v>1100</v>
      </c>
      <c r="AE426" s="1" t="s">
        <v>1522</v>
      </c>
      <c r="AF426" s="1" t="s">
        <v>1186</v>
      </c>
      <c r="AG426" s="1" t="s">
        <v>1522</v>
      </c>
      <c r="AH426" s="6">
        <v>39000</v>
      </c>
      <c r="AI426" s="6">
        <v>19500</v>
      </c>
      <c r="AJ426" s="1" t="s">
        <v>2026</v>
      </c>
      <c r="AK426" s="1"/>
      <c r="AL426" s="1"/>
      <c r="AM426" s="1" t="s">
        <v>2026</v>
      </c>
      <c r="AN426" s="1" t="s">
        <v>818</v>
      </c>
      <c r="AO426" s="1"/>
      <c r="AP426" s="1" t="s">
        <v>12</v>
      </c>
      <c r="AQ426" s="1"/>
      <c r="AR426" s="1"/>
      <c r="AS426" s="2"/>
      <c r="AT426" s="1"/>
      <c r="AU426" s="1"/>
      <c r="AV426" s="1"/>
      <c r="AW426" s="1" t="s">
        <v>2152</v>
      </c>
      <c r="AX426" s="7">
        <v>44888.592279545795</v>
      </c>
      <c r="AY426" s="1" t="s">
        <v>865</v>
      </c>
      <c r="AZ426" s="6">
        <v>39000</v>
      </c>
      <c r="BA426" s="5">
        <v>44888</v>
      </c>
      <c r="BB426" s="5">
        <v>44926</v>
      </c>
      <c r="BC426" s="5">
        <v>44888</v>
      </c>
      <c r="BD426" s="5">
        <v>44888</v>
      </c>
      <c r="BE426" s="7">
        <v>44926</v>
      </c>
      <c r="BF426" s="1" t="s">
        <v>2170</v>
      </c>
      <c r="BG426" s="1"/>
      <c r="BH426" s="1"/>
      <c r="BI426" s="1" t="s">
        <v>108</v>
      </c>
    </row>
    <row r="427" spans="1:61" hidden="1" x14ac:dyDescent="0.25">
      <c r="A427" s="4">
        <v>422</v>
      </c>
      <c r="B427" s="2" t="str">
        <f>HYPERLINK("https://my.zakupivli.pro/remote/dispatcher/state_purchase_view/38764282", "UA-2022-11-23-008097-a")</f>
        <v>UA-2022-11-23-008097-a</v>
      </c>
      <c r="C427" s="2" t="s">
        <v>1516</v>
      </c>
      <c r="D427" s="1" t="s">
        <v>1672</v>
      </c>
      <c r="E427" s="1" t="s">
        <v>1220</v>
      </c>
      <c r="F427" s="1" t="s">
        <v>412</v>
      </c>
      <c r="G427" s="1" t="s">
        <v>991</v>
      </c>
      <c r="H427" s="1" t="s">
        <v>1218</v>
      </c>
      <c r="I427" s="1" t="s">
        <v>2094</v>
      </c>
      <c r="J427" s="1" t="s">
        <v>1145</v>
      </c>
      <c r="K427" s="1" t="s">
        <v>947</v>
      </c>
      <c r="L427" s="1" t="s">
        <v>1533</v>
      </c>
      <c r="M427" s="1" t="s">
        <v>1533</v>
      </c>
      <c r="N427" s="1" t="s">
        <v>110</v>
      </c>
      <c r="O427" s="1" t="s">
        <v>110</v>
      </c>
      <c r="P427" s="1" t="s">
        <v>110</v>
      </c>
      <c r="Q427" s="5">
        <v>44888</v>
      </c>
      <c r="R427" s="1"/>
      <c r="S427" s="1"/>
      <c r="T427" s="1"/>
      <c r="U427" s="1"/>
      <c r="V427" s="1" t="s">
        <v>2146</v>
      </c>
      <c r="W427" s="4">
        <v>1</v>
      </c>
      <c r="X427" s="6">
        <v>13260</v>
      </c>
      <c r="Y427" s="1" t="s">
        <v>1516</v>
      </c>
      <c r="Z427" s="1">
        <v>78</v>
      </c>
      <c r="AA427" s="6">
        <v>170</v>
      </c>
      <c r="AB427" s="1" t="s">
        <v>2157</v>
      </c>
      <c r="AC427" s="1" t="s">
        <v>2162</v>
      </c>
      <c r="AD427" s="1" t="s">
        <v>1100</v>
      </c>
      <c r="AE427" s="1" t="s">
        <v>1522</v>
      </c>
      <c r="AF427" s="1" t="s">
        <v>1186</v>
      </c>
      <c r="AG427" s="1" t="s">
        <v>1522</v>
      </c>
      <c r="AH427" s="6">
        <v>13260</v>
      </c>
      <c r="AI427" s="6">
        <v>170</v>
      </c>
      <c r="AJ427" s="1" t="s">
        <v>2026</v>
      </c>
      <c r="AK427" s="1"/>
      <c r="AL427" s="1"/>
      <c r="AM427" s="1" t="s">
        <v>2026</v>
      </c>
      <c r="AN427" s="1" t="s">
        <v>818</v>
      </c>
      <c r="AO427" s="1"/>
      <c r="AP427" s="1" t="s">
        <v>98</v>
      </c>
      <c r="AQ427" s="1"/>
      <c r="AR427" s="1"/>
      <c r="AS427" s="2"/>
      <c r="AT427" s="1"/>
      <c r="AU427" s="1"/>
      <c r="AV427" s="1"/>
      <c r="AW427" s="1" t="s">
        <v>2152</v>
      </c>
      <c r="AX427" s="7">
        <v>44888.536757358415</v>
      </c>
      <c r="AY427" s="1" t="s">
        <v>860</v>
      </c>
      <c r="AZ427" s="6">
        <v>13260</v>
      </c>
      <c r="BA427" s="5">
        <v>44886</v>
      </c>
      <c r="BB427" s="5">
        <v>44918</v>
      </c>
      <c r="BC427" s="5">
        <v>44886</v>
      </c>
      <c r="BD427" s="5">
        <v>44886</v>
      </c>
      <c r="BE427" s="7">
        <v>44926</v>
      </c>
      <c r="BF427" s="1" t="s">
        <v>2170</v>
      </c>
      <c r="BG427" s="1"/>
      <c r="BH427" s="1"/>
      <c r="BI427" s="1" t="s">
        <v>108</v>
      </c>
    </row>
    <row r="428" spans="1:61" hidden="1" x14ac:dyDescent="0.25">
      <c r="A428" s="4">
        <v>423</v>
      </c>
      <c r="B428" s="2" t="str">
        <f>HYPERLINK("https://my.zakupivli.pro/remote/dispatcher/state_purchase_view/38720854", "UA-2022-11-22-006871-a")</f>
        <v>UA-2022-11-22-006871-a</v>
      </c>
      <c r="C428" s="2" t="s">
        <v>1516</v>
      </c>
      <c r="D428" s="1" t="s">
        <v>1440</v>
      </c>
      <c r="E428" s="1" t="s">
        <v>1440</v>
      </c>
      <c r="F428" s="1" t="s">
        <v>412</v>
      </c>
      <c r="G428" s="1" t="s">
        <v>1035</v>
      </c>
      <c r="H428" s="1" t="s">
        <v>1218</v>
      </c>
      <c r="I428" s="1" t="s">
        <v>2094</v>
      </c>
      <c r="J428" s="1" t="s">
        <v>1145</v>
      </c>
      <c r="K428" s="1" t="s">
        <v>947</v>
      </c>
      <c r="L428" s="1" t="s">
        <v>1533</v>
      </c>
      <c r="M428" s="1" t="s">
        <v>1533</v>
      </c>
      <c r="N428" s="1" t="s">
        <v>110</v>
      </c>
      <c r="O428" s="1" t="s">
        <v>110</v>
      </c>
      <c r="P428" s="1" t="s">
        <v>110</v>
      </c>
      <c r="Q428" s="5">
        <v>44887</v>
      </c>
      <c r="R428" s="1"/>
      <c r="S428" s="1"/>
      <c r="T428" s="1"/>
      <c r="U428" s="1"/>
      <c r="V428" s="1" t="s">
        <v>2146</v>
      </c>
      <c r="W428" s="4">
        <v>1</v>
      </c>
      <c r="X428" s="6">
        <v>9574.82</v>
      </c>
      <c r="Y428" s="1" t="s">
        <v>1516</v>
      </c>
      <c r="Z428" s="1">
        <v>1</v>
      </c>
      <c r="AA428" s="6">
        <v>9574.82</v>
      </c>
      <c r="AB428" s="1" t="s">
        <v>2167</v>
      </c>
      <c r="AC428" s="1" t="s">
        <v>2162</v>
      </c>
      <c r="AD428" s="1" t="s">
        <v>1100</v>
      </c>
      <c r="AE428" s="1" t="s">
        <v>1522</v>
      </c>
      <c r="AF428" s="1" t="s">
        <v>1186</v>
      </c>
      <c r="AG428" s="1" t="s">
        <v>1522</v>
      </c>
      <c r="AH428" s="6">
        <v>9574.82</v>
      </c>
      <c r="AI428" s="6">
        <v>9574.82</v>
      </c>
      <c r="AJ428" s="1" t="s">
        <v>1498</v>
      </c>
      <c r="AK428" s="1"/>
      <c r="AL428" s="1"/>
      <c r="AM428" s="1" t="s">
        <v>1498</v>
      </c>
      <c r="AN428" s="1" t="s">
        <v>785</v>
      </c>
      <c r="AO428" s="1"/>
      <c r="AP428" s="1" t="s">
        <v>81</v>
      </c>
      <c r="AQ428" s="1"/>
      <c r="AR428" s="1"/>
      <c r="AS428" s="2"/>
      <c r="AT428" s="1"/>
      <c r="AU428" s="1"/>
      <c r="AV428" s="1"/>
      <c r="AW428" s="1" t="s">
        <v>2152</v>
      </c>
      <c r="AX428" s="7">
        <v>44887.521541112787</v>
      </c>
      <c r="AY428" s="1" t="s">
        <v>856</v>
      </c>
      <c r="AZ428" s="6">
        <v>9574.82</v>
      </c>
      <c r="BA428" s="5">
        <v>44886</v>
      </c>
      <c r="BB428" s="5">
        <v>44926</v>
      </c>
      <c r="BC428" s="5">
        <v>44886</v>
      </c>
      <c r="BD428" s="5">
        <v>44886</v>
      </c>
      <c r="BE428" s="7">
        <v>44926</v>
      </c>
      <c r="BF428" s="1" t="s">
        <v>2170</v>
      </c>
      <c r="BG428" s="1"/>
      <c r="BH428" s="1"/>
      <c r="BI428" s="1" t="s">
        <v>108</v>
      </c>
    </row>
    <row r="429" spans="1:61" hidden="1" x14ac:dyDescent="0.25">
      <c r="A429" s="4">
        <v>424</v>
      </c>
      <c r="B429" s="2" t="str">
        <f>HYPERLINK("https://my.zakupivli.pro/remote/dispatcher/state_purchase_view/38720540", "UA-2022-11-22-006551-a")</f>
        <v>UA-2022-11-22-006551-a</v>
      </c>
      <c r="C429" s="2" t="s">
        <v>1516</v>
      </c>
      <c r="D429" s="1" t="s">
        <v>1440</v>
      </c>
      <c r="E429" s="1" t="s">
        <v>1440</v>
      </c>
      <c r="F429" s="1" t="s">
        <v>412</v>
      </c>
      <c r="G429" s="1" t="s">
        <v>1035</v>
      </c>
      <c r="H429" s="1" t="s">
        <v>1218</v>
      </c>
      <c r="I429" s="1" t="s">
        <v>2094</v>
      </c>
      <c r="J429" s="1" t="s">
        <v>1145</v>
      </c>
      <c r="K429" s="1" t="s">
        <v>947</v>
      </c>
      <c r="L429" s="1" t="s">
        <v>1533</v>
      </c>
      <c r="M429" s="1" t="s">
        <v>1533</v>
      </c>
      <c r="N429" s="1" t="s">
        <v>110</v>
      </c>
      <c r="O429" s="1" t="s">
        <v>110</v>
      </c>
      <c r="P429" s="1" t="s">
        <v>110</v>
      </c>
      <c r="Q429" s="5">
        <v>44887</v>
      </c>
      <c r="R429" s="1"/>
      <c r="S429" s="1"/>
      <c r="T429" s="1"/>
      <c r="U429" s="1"/>
      <c r="V429" s="1" t="s">
        <v>2146</v>
      </c>
      <c r="W429" s="4">
        <v>1</v>
      </c>
      <c r="X429" s="6">
        <v>4703.99</v>
      </c>
      <c r="Y429" s="1" t="s">
        <v>1516</v>
      </c>
      <c r="Z429" s="1">
        <v>1</v>
      </c>
      <c r="AA429" s="6">
        <v>4703.99</v>
      </c>
      <c r="AB429" s="1" t="s">
        <v>2167</v>
      </c>
      <c r="AC429" s="1" t="s">
        <v>2162</v>
      </c>
      <c r="AD429" s="1" t="s">
        <v>1100</v>
      </c>
      <c r="AE429" s="1" t="s">
        <v>1522</v>
      </c>
      <c r="AF429" s="1" t="s">
        <v>1186</v>
      </c>
      <c r="AG429" s="1" t="s">
        <v>1522</v>
      </c>
      <c r="AH429" s="6">
        <v>4703.99</v>
      </c>
      <c r="AI429" s="6">
        <v>4703.99</v>
      </c>
      <c r="AJ429" s="1" t="s">
        <v>1498</v>
      </c>
      <c r="AK429" s="1"/>
      <c r="AL429" s="1"/>
      <c r="AM429" s="1" t="s">
        <v>1498</v>
      </c>
      <c r="AN429" s="1" t="s">
        <v>785</v>
      </c>
      <c r="AO429" s="1"/>
      <c r="AP429" s="1" t="s">
        <v>81</v>
      </c>
      <c r="AQ429" s="1"/>
      <c r="AR429" s="1"/>
      <c r="AS429" s="2"/>
      <c r="AT429" s="1"/>
      <c r="AU429" s="1"/>
      <c r="AV429" s="1"/>
      <c r="AW429" s="1" t="s">
        <v>2152</v>
      </c>
      <c r="AX429" s="7">
        <v>44887.51413932471</v>
      </c>
      <c r="AY429" s="1" t="s">
        <v>849</v>
      </c>
      <c r="AZ429" s="6">
        <v>4703.99</v>
      </c>
      <c r="BA429" s="5">
        <v>44886</v>
      </c>
      <c r="BB429" s="5">
        <v>44926</v>
      </c>
      <c r="BC429" s="5">
        <v>44886</v>
      </c>
      <c r="BD429" s="5">
        <v>44886</v>
      </c>
      <c r="BE429" s="7">
        <v>44926</v>
      </c>
      <c r="BF429" s="1" t="s">
        <v>2170</v>
      </c>
      <c r="BG429" s="1"/>
      <c r="BH429" s="1"/>
      <c r="BI429" s="1" t="s">
        <v>108</v>
      </c>
    </row>
    <row r="430" spans="1:61" hidden="1" x14ac:dyDescent="0.25">
      <c r="A430" s="4">
        <v>425</v>
      </c>
      <c r="B430" s="2" t="str">
        <f>HYPERLINK("https://my.zakupivli.pro/remote/dispatcher/state_purchase_view/38707682", "UA-2022-11-21-014053-a")</f>
        <v>UA-2022-11-21-014053-a</v>
      </c>
      <c r="C430" s="2" t="s">
        <v>1516</v>
      </c>
      <c r="D430" s="1" t="s">
        <v>1332</v>
      </c>
      <c r="E430" s="1" t="s">
        <v>1331</v>
      </c>
      <c r="F430" s="1" t="s">
        <v>412</v>
      </c>
      <c r="G430" s="1" t="s">
        <v>994</v>
      </c>
      <c r="H430" s="1" t="s">
        <v>1218</v>
      </c>
      <c r="I430" s="1" t="s">
        <v>2094</v>
      </c>
      <c r="J430" s="1" t="s">
        <v>1145</v>
      </c>
      <c r="K430" s="1" t="s">
        <v>947</v>
      </c>
      <c r="L430" s="1" t="s">
        <v>1533</v>
      </c>
      <c r="M430" s="1" t="s">
        <v>1533</v>
      </c>
      <c r="N430" s="1" t="s">
        <v>110</v>
      </c>
      <c r="O430" s="1" t="s">
        <v>110</v>
      </c>
      <c r="P430" s="1" t="s">
        <v>110</v>
      </c>
      <c r="Q430" s="5">
        <v>44886</v>
      </c>
      <c r="R430" s="1"/>
      <c r="S430" s="1"/>
      <c r="T430" s="1"/>
      <c r="U430" s="1"/>
      <c r="V430" s="1" t="s">
        <v>2146</v>
      </c>
      <c r="W430" s="4">
        <v>1</v>
      </c>
      <c r="X430" s="6">
        <v>199999</v>
      </c>
      <c r="Y430" s="1" t="s">
        <v>1516</v>
      </c>
      <c r="Z430" s="1">
        <v>1</v>
      </c>
      <c r="AA430" s="6">
        <v>199999</v>
      </c>
      <c r="AB430" s="1" t="s">
        <v>2167</v>
      </c>
      <c r="AC430" s="1" t="s">
        <v>2162</v>
      </c>
      <c r="AD430" s="1" t="s">
        <v>1100</v>
      </c>
      <c r="AE430" s="1" t="s">
        <v>1522</v>
      </c>
      <c r="AF430" s="1" t="s">
        <v>1186</v>
      </c>
      <c r="AG430" s="1" t="s">
        <v>1522</v>
      </c>
      <c r="AH430" s="6">
        <v>199999</v>
      </c>
      <c r="AI430" s="6">
        <v>199999</v>
      </c>
      <c r="AJ430" s="1" t="s">
        <v>2087</v>
      </c>
      <c r="AK430" s="1"/>
      <c r="AL430" s="1"/>
      <c r="AM430" s="1" t="s">
        <v>2087</v>
      </c>
      <c r="AN430" s="1" t="s">
        <v>831</v>
      </c>
      <c r="AO430" s="1"/>
      <c r="AP430" s="1" t="s">
        <v>88</v>
      </c>
      <c r="AQ430" s="1"/>
      <c r="AR430" s="1"/>
      <c r="AS430" s="2"/>
      <c r="AT430" s="1"/>
      <c r="AU430" s="1"/>
      <c r="AV430" s="1"/>
      <c r="AW430" s="1" t="s">
        <v>2152</v>
      </c>
      <c r="AX430" s="7">
        <v>44886.707068951284</v>
      </c>
      <c r="AY430" s="1" t="s">
        <v>839</v>
      </c>
      <c r="AZ430" s="6">
        <v>199999</v>
      </c>
      <c r="BA430" s="5">
        <v>44886</v>
      </c>
      <c r="BB430" s="5">
        <v>44918</v>
      </c>
      <c r="BC430" s="5">
        <v>44886</v>
      </c>
      <c r="BD430" s="5">
        <v>44886</v>
      </c>
      <c r="BE430" s="7">
        <v>44926</v>
      </c>
      <c r="BF430" s="1" t="s">
        <v>2170</v>
      </c>
      <c r="BG430" s="1"/>
      <c r="BH430" s="1"/>
      <c r="BI430" s="1" t="s">
        <v>108</v>
      </c>
    </row>
    <row r="431" spans="1:61" hidden="1" x14ac:dyDescent="0.25">
      <c r="A431" s="4">
        <v>426</v>
      </c>
      <c r="B431" s="2" t="str">
        <f>HYPERLINK("https://my.zakupivli.pro/remote/dispatcher/state_purchase_view/38707475", "UA-2022-11-21-013929-a")</f>
        <v>UA-2022-11-21-013929-a</v>
      </c>
      <c r="C431" s="2" t="s">
        <v>1516</v>
      </c>
      <c r="D431" s="1" t="s">
        <v>1341</v>
      </c>
      <c r="E431" s="1" t="s">
        <v>1341</v>
      </c>
      <c r="F431" s="1" t="s">
        <v>412</v>
      </c>
      <c r="G431" s="1" t="s">
        <v>994</v>
      </c>
      <c r="H431" s="1" t="s">
        <v>1218</v>
      </c>
      <c r="I431" s="1" t="s">
        <v>2094</v>
      </c>
      <c r="J431" s="1" t="s">
        <v>1145</v>
      </c>
      <c r="K431" s="1" t="s">
        <v>947</v>
      </c>
      <c r="L431" s="1" t="s">
        <v>1533</v>
      </c>
      <c r="M431" s="1" t="s">
        <v>1533</v>
      </c>
      <c r="N431" s="1" t="s">
        <v>110</v>
      </c>
      <c r="O431" s="1" t="s">
        <v>110</v>
      </c>
      <c r="P431" s="1" t="s">
        <v>110</v>
      </c>
      <c r="Q431" s="5">
        <v>44886</v>
      </c>
      <c r="R431" s="1"/>
      <c r="S431" s="1"/>
      <c r="T431" s="1"/>
      <c r="U431" s="1"/>
      <c r="V431" s="1" t="s">
        <v>2146</v>
      </c>
      <c r="W431" s="4">
        <v>1</v>
      </c>
      <c r="X431" s="6">
        <v>136000</v>
      </c>
      <c r="Y431" s="1" t="s">
        <v>1516</v>
      </c>
      <c r="Z431" s="1">
        <v>1</v>
      </c>
      <c r="AA431" s="6">
        <v>136000</v>
      </c>
      <c r="AB431" s="1" t="s">
        <v>2167</v>
      </c>
      <c r="AC431" s="1" t="s">
        <v>2162</v>
      </c>
      <c r="AD431" s="1" t="s">
        <v>1100</v>
      </c>
      <c r="AE431" s="1" t="s">
        <v>1522</v>
      </c>
      <c r="AF431" s="1" t="s">
        <v>1186</v>
      </c>
      <c r="AG431" s="1" t="s">
        <v>1522</v>
      </c>
      <c r="AH431" s="6">
        <v>136000</v>
      </c>
      <c r="AI431" s="6">
        <v>136000</v>
      </c>
      <c r="AJ431" s="1" t="s">
        <v>2087</v>
      </c>
      <c r="AK431" s="1"/>
      <c r="AL431" s="1"/>
      <c r="AM431" s="1" t="s">
        <v>2087</v>
      </c>
      <c r="AN431" s="1" t="s">
        <v>831</v>
      </c>
      <c r="AO431" s="1"/>
      <c r="AP431" s="1" t="s">
        <v>88</v>
      </c>
      <c r="AQ431" s="1"/>
      <c r="AR431" s="1"/>
      <c r="AS431" s="2"/>
      <c r="AT431" s="1"/>
      <c r="AU431" s="1"/>
      <c r="AV431" s="1"/>
      <c r="AW431" s="1" t="s">
        <v>2152</v>
      </c>
      <c r="AX431" s="7">
        <v>44886.703340725449</v>
      </c>
      <c r="AY431" s="1" t="s">
        <v>830</v>
      </c>
      <c r="AZ431" s="6">
        <v>136000</v>
      </c>
      <c r="BA431" s="5">
        <v>44886</v>
      </c>
      <c r="BB431" s="5">
        <v>44918</v>
      </c>
      <c r="BC431" s="5">
        <v>44886</v>
      </c>
      <c r="BD431" s="5">
        <v>44886</v>
      </c>
      <c r="BE431" s="7">
        <v>44926</v>
      </c>
      <c r="BF431" s="1" t="s">
        <v>2170</v>
      </c>
      <c r="BG431" s="1"/>
      <c r="BH431" s="1"/>
      <c r="BI431" s="1" t="s">
        <v>108</v>
      </c>
    </row>
    <row r="432" spans="1:61" hidden="1" x14ac:dyDescent="0.25">
      <c r="A432" s="4">
        <v>427</v>
      </c>
      <c r="B432" s="2" t="str">
        <f>HYPERLINK("https://my.zakupivli.pro/remote/dispatcher/state_purchase_view/38627447", "UA-2022-11-17-005574-a")</f>
        <v>UA-2022-11-17-005574-a</v>
      </c>
      <c r="C432" s="2" t="s">
        <v>1516</v>
      </c>
      <c r="D432" s="1" t="s">
        <v>1406</v>
      </c>
      <c r="E432" s="1" t="s">
        <v>1406</v>
      </c>
      <c r="F432" s="1" t="s">
        <v>412</v>
      </c>
      <c r="G432" s="1" t="s">
        <v>995</v>
      </c>
      <c r="H432" s="1" t="s">
        <v>1218</v>
      </c>
      <c r="I432" s="1" t="s">
        <v>2094</v>
      </c>
      <c r="J432" s="1" t="s">
        <v>1145</v>
      </c>
      <c r="K432" s="1" t="s">
        <v>947</v>
      </c>
      <c r="L432" s="1" t="s">
        <v>1533</v>
      </c>
      <c r="M432" s="1" t="s">
        <v>1533</v>
      </c>
      <c r="N432" s="1" t="s">
        <v>110</v>
      </c>
      <c r="O432" s="1" t="s">
        <v>110</v>
      </c>
      <c r="P432" s="1" t="s">
        <v>110</v>
      </c>
      <c r="Q432" s="5">
        <v>44882</v>
      </c>
      <c r="R432" s="1"/>
      <c r="S432" s="1"/>
      <c r="T432" s="1"/>
      <c r="U432" s="1"/>
      <c r="V432" s="1" t="s">
        <v>2146</v>
      </c>
      <c r="W432" s="4">
        <v>1</v>
      </c>
      <c r="X432" s="6">
        <v>79999</v>
      </c>
      <c r="Y432" s="1" t="s">
        <v>1516</v>
      </c>
      <c r="Z432" s="1">
        <v>1</v>
      </c>
      <c r="AA432" s="6">
        <v>79999</v>
      </c>
      <c r="AB432" s="1" t="s">
        <v>2167</v>
      </c>
      <c r="AC432" s="1" t="s">
        <v>2162</v>
      </c>
      <c r="AD432" s="1" t="s">
        <v>1100</v>
      </c>
      <c r="AE432" s="1" t="s">
        <v>2094</v>
      </c>
      <c r="AF432" s="1" t="s">
        <v>1186</v>
      </c>
      <c r="AG432" s="1" t="s">
        <v>1522</v>
      </c>
      <c r="AH432" s="6">
        <v>79999</v>
      </c>
      <c r="AI432" s="6">
        <v>79999</v>
      </c>
      <c r="AJ432" s="1" t="s">
        <v>2060</v>
      </c>
      <c r="AK432" s="1"/>
      <c r="AL432" s="1"/>
      <c r="AM432" s="1" t="s">
        <v>2060</v>
      </c>
      <c r="AN432" s="1" t="s">
        <v>201</v>
      </c>
      <c r="AO432" s="1"/>
      <c r="AP432" s="1" t="s">
        <v>59</v>
      </c>
      <c r="AQ432" s="1"/>
      <c r="AR432" s="1"/>
      <c r="AS432" s="2"/>
      <c r="AT432" s="1"/>
      <c r="AU432" s="1"/>
      <c r="AV432" s="1"/>
      <c r="AW432" s="1" t="s">
        <v>2152</v>
      </c>
      <c r="AX432" s="7">
        <v>44882.531115390935</v>
      </c>
      <c r="AY432" s="1" t="s">
        <v>762</v>
      </c>
      <c r="AZ432" s="6">
        <v>79999</v>
      </c>
      <c r="BA432" s="5">
        <v>44881</v>
      </c>
      <c r="BB432" s="5">
        <v>44918</v>
      </c>
      <c r="BC432" s="5">
        <v>44881</v>
      </c>
      <c r="BD432" s="5">
        <v>44881</v>
      </c>
      <c r="BE432" s="7">
        <v>44926</v>
      </c>
      <c r="BF432" s="1" t="s">
        <v>2170</v>
      </c>
      <c r="BG432" s="1"/>
      <c r="BH432" s="1"/>
      <c r="BI432" s="1" t="s">
        <v>108</v>
      </c>
    </row>
    <row r="433" spans="1:61" hidden="1" x14ac:dyDescent="0.25">
      <c r="A433" s="4">
        <v>428</v>
      </c>
      <c r="B433" s="2" t="str">
        <f>HYPERLINK("https://my.zakupivli.pro/remote/dispatcher/state_purchase_view/38640502", "UA-2022-11-17-012146-a")</f>
        <v>UA-2022-11-17-012146-a</v>
      </c>
      <c r="C433" s="2" t="str">
        <f>HYPERLINK("https://my.zakupivli.pro/remote/dispatcher/state_purchase_lot_view/789899", "UA-2022-11-17-012146-a-L1")</f>
        <v>UA-2022-11-17-012146-a-L1</v>
      </c>
      <c r="D433" s="1" t="s">
        <v>1851</v>
      </c>
      <c r="E433" s="1" t="s">
        <v>1850</v>
      </c>
      <c r="F433" s="1" t="s">
        <v>412</v>
      </c>
      <c r="G433" s="1" t="s">
        <v>966</v>
      </c>
      <c r="H433" s="1" t="s">
        <v>1185</v>
      </c>
      <c r="I433" s="1" t="s">
        <v>2094</v>
      </c>
      <c r="J433" s="1" t="s">
        <v>1145</v>
      </c>
      <c r="K433" s="1" t="s">
        <v>947</v>
      </c>
      <c r="L433" s="1" t="s">
        <v>1533</v>
      </c>
      <c r="M433" s="1" t="s">
        <v>1533</v>
      </c>
      <c r="N433" s="1" t="s">
        <v>110</v>
      </c>
      <c r="O433" s="1" t="s">
        <v>110</v>
      </c>
      <c r="P433" s="1" t="s">
        <v>110</v>
      </c>
      <c r="Q433" s="5">
        <v>44882</v>
      </c>
      <c r="R433" s="1" t="s">
        <v>469</v>
      </c>
      <c r="S433" s="1" t="s">
        <v>471</v>
      </c>
      <c r="T433" s="5">
        <v>44882</v>
      </c>
      <c r="U433" s="5">
        <v>44890</v>
      </c>
      <c r="V433" s="1" t="s">
        <v>2147</v>
      </c>
      <c r="W433" s="4">
        <v>0</v>
      </c>
      <c r="X433" s="6">
        <v>199700</v>
      </c>
      <c r="Y433" s="6">
        <v>199700</v>
      </c>
      <c r="Z433" s="1">
        <v>1</v>
      </c>
      <c r="AA433" s="6">
        <v>199700</v>
      </c>
      <c r="AB433" s="1" t="s">
        <v>2167</v>
      </c>
      <c r="AC433" s="6">
        <v>998.5</v>
      </c>
      <c r="AD433" s="1" t="s">
        <v>1100</v>
      </c>
      <c r="AE433" s="1" t="s">
        <v>2094</v>
      </c>
      <c r="AF433" s="1" t="s">
        <v>1186</v>
      </c>
      <c r="AG433" s="1" t="s">
        <v>1522</v>
      </c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2"/>
      <c r="AT433" s="1"/>
      <c r="AU433" s="1"/>
      <c r="AV433" s="1"/>
      <c r="AW433" s="1" t="s">
        <v>2153</v>
      </c>
      <c r="AX433" s="7">
        <v>44890.001111983322</v>
      </c>
      <c r="AY433" s="1"/>
      <c r="AZ433" s="1"/>
      <c r="BA433" s="1"/>
      <c r="BB433" s="5">
        <v>44918</v>
      </c>
      <c r="BC433" s="1" t="s">
        <v>109</v>
      </c>
      <c r="BD433" s="1" t="s">
        <v>109</v>
      </c>
      <c r="BE433" s="1"/>
      <c r="BF433" s="1"/>
      <c r="BG433" s="1"/>
      <c r="BH433" s="1"/>
      <c r="BI433" s="1"/>
    </row>
    <row r="434" spans="1:61" hidden="1" x14ac:dyDescent="0.25">
      <c r="A434" s="4">
        <v>429</v>
      </c>
      <c r="B434" s="2" t="str">
        <f>HYPERLINK("https://my.zakupivli.pro/remote/dispatcher/state_purchase_view/38640404", "UA-2022-11-17-012246-a")</f>
        <v>UA-2022-11-17-012246-a</v>
      </c>
      <c r="C434" s="2" t="str">
        <f>HYPERLINK("https://my.zakupivli.pro/remote/dispatcher/state_purchase_lot_view/789897", "UA-2022-11-17-012246-a-L1")</f>
        <v>UA-2022-11-17-012246-a-L1</v>
      </c>
      <c r="D434" s="1" t="s">
        <v>1853</v>
      </c>
      <c r="E434" s="1" t="s">
        <v>1852</v>
      </c>
      <c r="F434" s="1" t="s">
        <v>412</v>
      </c>
      <c r="G434" s="1" t="s">
        <v>966</v>
      </c>
      <c r="H434" s="1" t="s">
        <v>1185</v>
      </c>
      <c r="I434" s="1" t="s">
        <v>2094</v>
      </c>
      <c r="J434" s="1" t="s">
        <v>1145</v>
      </c>
      <c r="K434" s="1" t="s">
        <v>947</v>
      </c>
      <c r="L434" s="1" t="s">
        <v>1533</v>
      </c>
      <c r="M434" s="1" t="s">
        <v>1533</v>
      </c>
      <c r="N434" s="1" t="s">
        <v>110</v>
      </c>
      <c r="O434" s="1" t="s">
        <v>110</v>
      </c>
      <c r="P434" s="1" t="s">
        <v>110</v>
      </c>
      <c r="Q434" s="5">
        <v>44882</v>
      </c>
      <c r="R434" s="1" t="s">
        <v>469</v>
      </c>
      <c r="S434" s="1" t="s">
        <v>471</v>
      </c>
      <c r="T434" s="5">
        <v>44882</v>
      </c>
      <c r="U434" s="5">
        <v>44890</v>
      </c>
      <c r="V434" s="1" t="s">
        <v>2147</v>
      </c>
      <c r="W434" s="4">
        <v>1</v>
      </c>
      <c r="X434" s="6">
        <v>177200</v>
      </c>
      <c r="Y434" s="6">
        <v>177200</v>
      </c>
      <c r="Z434" s="1">
        <v>1</v>
      </c>
      <c r="AA434" s="6">
        <v>177200</v>
      </c>
      <c r="AB434" s="1" t="s">
        <v>2167</v>
      </c>
      <c r="AC434" s="6">
        <v>886</v>
      </c>
      <c r="AD434" s="1" t="s">
        <v>1100</v>
      </c>
      <c r="AE434" s="1" t="s">
        <v>2094</v>
      </c>
      <c r="AF434" s="1" t="s">
        <v>1186</v>
      </c>
      <c r="AG434" s="1" t="s">
        <v>1522</v>
      </c>
      <c r="AH434" s="6">
        <v>177199.97</v>
      </c>
      <c r="AI434" s="6">
        <v>177199.97</v>
      </c>
      <c r="AJ434" s="1" t="s">
        <v>2130</v>
      </c>
      <c r="AK434" s="6">
        <v>2.9999999998835847E-2</v>
      </c>
      <c r="AL434" s="6">
        <v>1.6930022572706461E-7</v>
      </c>
      <c r="AM434" s="1" t="s">
        <v>2130</v>
      </c>
      <c r="AN434" s="1" t="s">
        <v>796</v>
      </c>
      <c r="AO434" s="1" t="s">
        <v>1115</v>
      </c>
      <c r="AP434" s="1" t="s">
        <v>72</v>
      </c>
      <c r="AQ434" s="6">
        <v>2.9999999998835847E-2</v>
      </c>
      <c r="AR434" s="6">
        <v>1.6930022572706461E-7</v>
      </c>
      <c r="AS434" s="2"/>
      <c r="AT434" s="7">
        <v>44894.515810269397</v>
      </c>
      <c r="AU434" s="1" t="s">
        <v>476</v>
      </c>
      <c r="AV434" s="1" t="s">
        <v>480</v>
      </c>
      <c r="AW434" s="1" t="s">
        <v>2151</v>
      </c>
      <c r="AX434" s="7">
        <v>44900.671136757242</v>
      </c>
      <c r="AY434" s="1" t="s">
        <v>938</v>
      </c>
      <c r="AZ434" s="6">
        <v>177199.97</v>
      </c>
      <c r="BA434" s="1"/>
      <c r="BB434" s="5">
        <v>44918</v>
      </c>
      <c r="BC434" s="5">
        <v>44900</v>
      </c>
      <c r="BD434" s="5">
        <v>44900</v>
      </c>
      <c r="BE434" s="7">
        <v>44926</v>
      </c>
      <c r="BF434" s="1" t="s">
        <v>2170</v>
      </c>
      <c r="BG434" s="1"/>
      <c r="BH434" s="1"/>
      <c r="BI434" s="1" t="s">
        <v>797</v>
      </c>
    </row>
    <row r="435" spans="1:61" hidden="1" x14ac:dyDescent="0.25">
      <c r="A435" s="4">
        <v>430</v>
      </c>
      <c r="B435" s="2" t="str">
        <f>HYPERLINK("https://my.zakupivli.pro/remote/dispatcher/state_purchase_view/38640375", "UA-2022-11-17-012303-a")</f>
        <v>UA-2022-11-17-012303-a</v>
      </c>
      <c r="C435" s="2" t="str">
        <f>HYPERLINK("https://my.zakupivli.pro/remote/dispatcher/state_purchase_lot_view/789894", "UA-2022-11-17-012303-a-L1")</f>
        <v>UA-2022-11-17-012303-a-L1</v>
      </c>
      <c r="D435" s="1" t="s">
        <v>1863</v>
      </c>
      <c r="E435" s="1" t="s">
        <v>1862</v>
      </c>
      <c r="F435" s="1" t="s">
        <v>412</v>
      </c>
      <c r="G435" s="1" t="s">
        <v>966</v>
      </c>
      <c r="H435" s="1" t="s">
        <v>1185</v>
      </c>
      <c r="I435" s="1" t="s">
        <v>2094</v>
      </c>
      <c r="J435" s="1" t="s">
        <v>1145</v>
      </c>
      <c r="K435" s="1" t="s">
        <v>947</v>
      </c>
      <c r="L435" s="1" t="s">
        <v>1533</v>
      </c>
      <c r="M435" s="1" t="s">
        <v>1533</v>
      </c>
      <c r="N435" s="1" t="s">
        <v>110</v>
      </c>
      <c r="O435" s="1" t="s">
        <v>110</v>
      </c>
      <c r="P435" s="1" t="s">
        <v>110</v>
      </c>
      <c r="Q435" s="5">
        <v>44882</v>
      </c>
      <c r="R435" s="1" t="s">
        <v>469</v>
      </c>
      <c r="S435" s="1" t="s">
        <v>471</v>
      </c>
      <c r="T435" s="5">
        <v>44882</v>
      </c>
      <c r="U435" s="5">
        <v>44890</v>
      </c>
      <c r="V435" s="1" t="s">
        <v>2147</v>
      </c>
      <c r="W435" s="4">
        <v>1</v>
      </c>
      <c r="X435" s="6">
        <v>134920</v>
      </c>
      <c r="Y435" s="6">
        <v>134920</v>
      </c>
      <c r="Z435" s="1">
        <v>1</v>
      </c>
      <c r="AA435" s="6">
        <v>134920</v>
      </c>
      <c r="AB435" s="1" t="s">
        <v>2167</v>
      </c>
      <c r="AC435" s="6">
        <v>674.6</v>
      </c>
      <c r="AD435" s="1" t="s">
        <v>1100</v>
      </c>
      <c r="AE435" s="1" t="s">
        <v>2094</v>
      </c>
      <c r="AF435" s="1" t="s">
        <v>1186</v>
      </c>
      <c r="AG435" s="1" t="s">
        <v>1522</v>
      </c>
      <c r="AH435" s="6">
        <v>134920</v>
      </c>
      <c r="AI435" s="6">
        <v>134920</v>
      </c>
      <c r="AJ435" s="1" t="s">
        <v>2130</v>
      </c>
      <c r="AK435" s="1"/>
      <c r="AL435" s="1"/>
      <c r="AM435" s="1"/>
      <c r="AN435" s="1"/>
      <c r="AO435" s="1"/>
      <c r="AP435" s="1"/>
      <c r="AQ435" s="1"/>
      <c r="AR435" s="1"/>
      <c r="AS435" s="2"/>
      <c r="AT435" s="7">
        <v>44893.572188064107</v>
      </c>
      <c r="AU435" s="1"/>
      <c r="AV435" s="1"/>
      <c r="AW435" s="1" t="s">
        <v>2153</v>
      </c>
      <c r="AX435" s="7">
        <v>44899.002269398006</v>
      </c>
      <c r="AY435" s="1"/>
      <c r="AZ435" s="1"/>
      <c r="BA435" s="1"/>
      <c r="BB435" s="5">
        <v>44918</v>
      </c>
      <c r="BC435" s="1" t="s">
        <v>109</v>
      </c>
      <c r="BD435" s="1" t="s">
        <v>109</v>
      </c>
      <c r="BE435" s="1"/>
      <c r="BF435" s="1"/>
      <c r="BG435" s="1"/>
      <c r="BH435" s="1"/>
      <c r="BI435" s="1" t="s">
        <v>797</v>
      </c>
    </row>
    <row r="436" spans="1:61" hidden="1" x14ac:dyDescent="0.25">
      <c r="A436" s="4">
        <v>431</v>
      </c>
      <c r="B436" s="2" t="str">
        <f>HYPERLINK("https://my.zakupivli.pro/remote/dispatcher/state_purchase_view/38637521", "UA-2022-11-17-010486-a")</f>
        <v>UA-2022-11-17-010486-a</v>
      </c>
      <c r="C436" s="2" t="s">
        <v>1516</v>
      </c>
      <c r="D436" s="1" t="s">
        <v>1304</v>
      </c>
      <c r="E436" s="1" t="s">
        <v>1303</v>
      </c>
      <c r="F436" s="1" t="s">
        <v>412</v>
      </c>
      <c r="G436" s="1" t="s">
        <v>970</v>
      </c>
      <c r="H436" s="1" t="s">
        <v>1218</v>
      </c>
      <c r="I436" s="1" t="s">
        <v>2094</v>
      </c>
      <c r="J436" s="1" t="s">
        <v>1145</v>
      </c>
      <c r="K436" s="1" t="s">
        <v>947</v>
      </c>
      <c r="L436" s="1" t="s">
        <v>1533</v>
      </c>
      <c r="M436" s="1" t="s">
        <v>1533</v>
      </c>
      <c r="N436" s="1" t="s">
        <v>110</v>
      </c>
      <c r="O436" s="1" t="s">
        <v>110</v>
      </c>
      <c r="P436" s="1" t="s">
        <v>110</v>
      </c>
      <c r="Q436" s="5">
        <v>44882</v>
      </c>
      <c r="R436" s="1"/>
      <c r="S436" s="1"/>
      <c r="T436" s="1"/>
      <c r="U436" s="1"/>
      <c r="V436" s="1" t="s">
        <v>2146</v>
      </c>
      <c r="W436" s="4">
        <v>1</v>
      </c>
      <c r="X436" s="6">
        <v>196250</v>
      </c>
      <c r="Y436" s="1" t="s">
        <v>1516</v>
      </c>
      <c r="Z436" s="1">
        <v>1</v>
      </c>
      <c r="AA436" s="6">
        <v>196250</v>
      </c>
      <c r="AB436" s="1" t="s">
        <v>2167</v>
      </c>
      <c r="AC436" s="1" t="s">
        <v>2162</v>
      </c>
      <c r="AD436" s="1" t="s">
        <v>1100</v>
      </c>
      <c r="AE436" s="1" t="s">
        <v>1522</v>
      </c>
      <c r="AF436" s="1" t="s">
        <v>1186</v>
      </c>
      <c r="AG436" s="1" t="s">
        <v>1522</v>
      </c>
      <c r="AH436" s="6">
        <v>196250</v>
      </c>
      <c r="AI436" s="6">
        <v>196250</v>
      </c>
      <c r="AJ436" s="1" t="s">
        <v>2067</v>
      </c>
      <c r="AK436" s="1"/>
      <c r="AL436" s="1"/>
      <c r="AM436" s="1" t="s">
        <v>2067</v>
      </c>
      <c r="AN436" s="1" t="s">
        <v>904</v>
      </c>
      <c r="AO436" s="1"/>
      <c r="AP436" s="1" t="s">
        <v>7</v>
      </c>
      <c r="AQ436" s="1"/>
      <c r="AR436" s="1"/>
      <c r="AS436" s="2"/>
      <c r="AT436" s="1"/>
      <c r="AU436" s="1"/>
      <c r="AV436" s="1"/>
      <c r="AW436" s="1" t="s">
        <v>2152</v>
      </c>
      <c r="AX436" s="7">
        <v>44882.655883706386</v>
      </c>
      <c r="AY436" s="1" t="s">
        <v>825</v>
      </c>
      <c r="AZ436" s="6">
        <v>196250</v>
      </c>
      <c r="BA436" s="5">
        <v>44882</v>
      </c>
      <c r="BB436" s="5">
        <v>44918</v>
      </c>
      <c r="BC436" s="5">
        <v>44882</v>
      </c>
      <c r="BD436" s="5">
        <v>44882</v>
      </c>
      <c r="BE436" s="7">
        <v>44926</v>
      </c>
      <c r="BF436" s="1" t="s">
        <v>2170</v>
      </c>
      <c r="BG436" s="1"/>
      <c r="BH436" s="1"/>
      <c r="BI436" s="1" t="s">
        <v>108</v>
      </c>
    </row>
    <row r="437" spans="1:61" hidden="1" x14ac:dyDescent="0.25">
      <c r="A437" s="4">
        <v>432</v>
      </c>
      <c r="B437" s="2" t="str">
        <f>HYPERLINK("https://my.zakupivli.pro/remote/dispatcher/state_purchase_view/38637078", "UA-2022-11-17-010286-a")</f>
        <v>UA-2022-11-17-010286-a</v>
      </c>
      <c r="C437" s="2" t="s">
        <v>1516</v>
      </c>
      <c r="D437" s="1" t="s">
        <v>1301</v>
      </c>
      <c r="E437" s="1" t="s">
        <v>1301</v>
      </c>
      <c r="F437" s="1" t="s">
        <v>412</v>
      </c>
      <c r="G437" s="1" t="s">
        <v>970</v>
      </c>
      <c r="H437" s="1" t="s">
        <v>1218</v>
      </c>
      <c r="I437" s="1" t="s">
        <v>2094</v>
      </c>
      <c r="J437" s="1" t="s">
        <v>1145</v>
      </c>
      <c r="K437" s="1" t="s">
        <v>947</v>
      </c>
      <c r="L437" s="1" t="s">
        <v>1533</v>
      </c>
      <c r="M437" s="1" t="s">
        <v>1533</v>
      </c>
      <c r="N437" s="1" t="s">
        <v>110</v>
      </c>
      <c r="O437" s="1" t="s">
        <v>110</v>
      </c>
      <c r="P437" s="1" t="s">
        <v>110</v>
      </c>
      <c r="Q437" s="5">
        <v>44882</v>
      </c>
      <c r="R437" s="1"/>
      <c r="S437" s="1"/>
      <c r="T437" s="1"/>
      <c r="U437" s="1"/>
      <c r="V437" s="1" t="s">
        <v>2146</v>
      </c>
      <c r="W437" s="4">
        <v>1</v>
      </c>
      <c r="X437" s="6">
        <v>198670</v>
      </c>
      <c r="Y437" s="1" t="s">
        <v>1516</v>
      </c>
      <c r="Z437" s="1">
        <v>1</v>
      </c>
      <c r="AA437" s="6">
        <v>198670</v>
      </c>
      <c r="AB437" s="1" t="s">
        <v>2167</v>
      </c>
      <c r="AC437" s="1" t="s">
        <v>2162</v>
      </c>
      <c r="AD437" s="1" t="s">
        <v>1100</v>
      </c>
      <c r="AE437" s="1" t="s">
        <v>1522</v>
      </c>
      <c r="AF437" s="1" t="s">
        <v>1186</v>
      </c>
      <c r="AG437" s="1" t="s">
        <v>1522</v>
      </c>
      <c r="AH437" s="6">
        <v>198670</v>
      </c>
      <c r="AI437" s="6">
        <v>198670</v>
      </c>
      <c r="AJ437" s="1" t="s">
        <v>2067</v>
      </c>
      <c r="AK437" s="1"/>
      <c r="AL437" s="1"/>
      <c r="AM437" s="1" t="s">
        <v>2067</v>
      </c>
      <c r="AN437" s="1" t="s">
        <v>904</v>
      </c>
      <c r="AO437" s="1"/>
      <c r="AP437" s="1" t="s">
        <v>23</v>
      </c>
      <c r="AQ437" s="1"/>
      <c r="AR437" s="1"/>
      <c r="AS437" s="2"/>
      <c r="AT437" s="1"/>
      <c r="AU437" s="1"/>
      <c r="AV437" s="1"/>
      <c r="AW437" s="1" t="s">
        <v>2152</v>
      </c>
      <c r="AX437" s="7">
        <v>44882.652052973521</v>
      </c>
      <c r="AY437" s="1" t="s">
        <v>812</v>
      </c>
      <c r="AZ437" s="6">
        <v>198670</v>
      </c>
      <c r="BA437" s="5">
        <v>44882</v>
      </c>
      <c r="BB437" s="5">
        <v>44918</v>
      </c>
      <c r="BC437" s="5">
        <v>44882</v>
      </c>
      <c r="BD437" s="5">
        <v>44882</v>
      </c>
      <c r="BE437" s="7">
        <v>44926</v>
      </c>
      <c r="BF437" s="1" t="s">
        <v>2170</v>
      </c>
      <c r="BG437" s="1"/>
      <c r="BH437" s="1"/>
      <c r="BI437" s="1" t="s">
        <v>108</v>
      </c>
    </row>
    <row r="438" spans="1:61" hidden="1" x14ac:dyDescent="0.25">
      <c r="A438" s="4">
        <v>433</v>
      </c>
      <c r="B438" s="2" t="str">
        <f>HYPERLINK("https://my.zakupivli.pro/remote/dispatcher/state_purchase_view/38628589", "UA-2022-11-17-006038-a")</f>
        <v>UA-2022-11-17-006038-a</v>
      </c>
      <c r="C438" s="2" t="s">
        <v>1516</v>
      </c>
      <c r="D438" s="1" t="s">
        <v>1314</v>
      </c>
      <c r="E438" s="1" t="s">
        <v>1314</v>
      </c>
      <c r="F438" s="1" t="s">
        <v>412</v>
      </c>
      <c r="G438" s="1" t="s">
        <v>970</v>
      </c>
      <c r="H438" s="1" t="s">
        <v>1218</v>
      </c>
      <c r="I438" s="1" t="s">
        <v>2094</v>
      </c>
      <c r="J438" s="1" t="s">
        <v>1145</v>
      </c>
      <c r="K438" s="1" t="s">
        <v>947</v>
      </c>
      <c r="L438" s="1" t="s">
        <v>1533</v>
      </c>
      <c r="M438" s="1" t="s">
        <v>1533</v>
      </c>
      <c r="N438" s="1" t="s">
        <v>110</v>
      </c>
      <c r="O438" s="1" t="s">
        <v>110</v>
      </c>
      <c r="P438" s="1" t="s">
        <v>110</v>
      </c>
      <c r="Q438" s="5">
        <v>44882</v>
      </c>
      <c r="R438" s="1"/>
      <c r="S438" s="1"/>
      <c r="T438" s="1"/>
      <c r="U438" s="1"/>
      <c r="V438" s="1" t="s">
        <v>2146</v>
      </c>
      <c r="W438" s="4">
        <v>1</v>
      </c>
      <c r="X438" s="6">
        <v>49999</v>
      </c>
      <c r="Y438" s="1" t="s">
        <v>1516</v>
      </c>
      <c r="Z438" s="1">
        <v>1</v>
      </c>
      <c r="AA438" s="6">
        <v>49999</v>
      </c>
      <c r="AB438" s="1" t="s">
        <v>2167</v>
      </c>
      <c r="AC438" s="1" t="s">
        <v>2162</v>
      </c>
      <c r="AD438" s="1" t="s">
        <v>1100</v>
      </c>
      <c r="AE438" s="1" t="s">
        <v>2094</v>
      </c>
      <c r="AF438" s="1" t="s">
        <v>1186</v>
      </c>
      <c r="AG438" s="1" t="s">
        <v>1522</v>
      </c>
      <c r="AH438" s="6">
        <v>49999</v>
      </c>
      <c r="AI438" s="6">
        <v>49999</v>
      </c>
      <c r="AJ438" s="1" t="s">
        <v>2060</v>
      </c>
      <c r="AK438" s="1"/>
      <c r="AL438" s="1"/>
      <c r="AM438" s="1" t="s">
        <v>2060</v>
      </c>
      <c r="AN438" s="1" t="s">
        <v>201</v>
      </c>
      <c r="AO438" s="1"/>
      <c r="AP438" s="1" t="s">
        <v>13</v>
      </c>
      <c r="AQ438" s="1"/>
      <c r="AR438" s="1"/>
      <c r="AS438" s="2"/>
      <c r="AT438" s="1"/>
      <c r="AU438" s="1"/>
      <c r="AV438" s="1"/>
      <c r="AW438" s="1" t="s">
        <v>2152</v>
      </c>
      <c r="AX438" s="7">
        <v>44882.552011116029</v>
      </c>
      <c r="AY438" s="1" t="s">
        <v>802</v>
      </c>
      <c r="AZ438" s="6">
        <v>49999</v>
      </c>
      <c r="BA438" s="5">
        <v>44881</v>
      </c>
      <c r="BB438" s="5">
        <v>44918</v>
      </c>
      <c r="BC438" s="5">
        <v>44881</v>
      </c>
      <c r="BD438" s="5">
        <v>44881</v>
      </c>
      <c r="BE438" s="7">
        <v>44926</v>
      </c>
      <c r="BF438" s="1" t="s">
        <v>2170</v>
      </c>
      <c r="BG438" s="1"/>
      <c r="BH438" s="1"/>
      <c r="BI438" s="1" t="s">
        <v>108</v>
      </c>
    </row>
    <row r="439" spans="1:61" hidden="1" x14ac:dyDescent="0.25">
      <c r="A439" s="4">
        <v>434</v>
      </c>
      <c r="B439" s="2" t="str">
        <f>HYPERLINK("https://my.zakupivli.pro/remote/dispatcher/state_purchase_view/38628278", "UA-2022-11-17-005899-a")</f>
        <v>UA-2022-11-17-005899-a</v>
      </c>
      <c r="C439" s="2" t="s">
        <v>1516</v>
      </c>
      <c r="D439" s="1" t="s">
        <v>1302</v>
      </c>
      <c r="E439" s="1" t="s">
        <v>1302</v>
      </c>
      <c r="F439" s="1" t="s">
        <v>412</v>
      </c>
      <c r="G439" s="1" t="s">
        <v>970</v>
      </c>
      <c r="H439" s="1" t="s">
        <v>1218</v>
      </c>
      <c r="I439" s="1" t="s">
        <v>2094</v>
      </c>
      <c r="J439" s="1" t="s">
        <v>1145</v>
      </c>
      <c r="K439" s="1" t="s">
        <v>947</v>
      </c>
      <c r="L439" s="1" t="s">
        <v>1533</v>
      </c>
      <c r="M439" s="1" t="s">
        <v>1533</v>
      </c>
      <c r="N439" s="1" t="s">
        <v>110</v>
      </c>
      <c r="O439" s="1" t="s">
        <v>110</v>
      </c>
      <c r="P439" s="1" t="s">
        <v>110</v>
      </c>
      <c r="Q439" s="5">
        <v>44882</v>
      </c>
      <c r="R439" s="1"/>
      <c r="S439" s="1"/>
      <c r="T439" s="1"/>
      <c r="U439" s="1"/>
      <c r="V439" s="1" t="s">
        <v>2146</v>
      </c>
      <c r="W439" s="4">
        <v>1</v>
      </c>
      <c r="X439" s="6">
        <v>49999</v>
      </c>
      <c r="Y439" s="1" t="s">
        <v>1516</v>
      </c>
      <c r="Z439" s="1">
        <v>1</v>
      </c>
      <c r="AA439" s="6">
        <v>49999</v>
      </c>
      <c r="AB439" s="1" t="s">
        <v>2167</v>
      </c>
      <c r="AC439" s="1" t="s">
        <v>2162</v>
      </c>
      <c r="AD439" s="1" t="s">
        <v>1100</v>
      </c>
      <c r="AE439" s="1" t="s">
        <v>2094</v>
      </c>
      <c r="AF439" s="1" t="s">
        <v>1186</v>
      </c>
      <c r="AG439" s="1" t="s">
        <v>1522</v>
      </c>
      <c r="AH439" s="6">
        <v>49999</v>
      </c>
      <c r="AI439" s="6">
        <v>49999</v>
      </c>
      <c r="AJ439" s="1" t="s">
        <v>2060</v>
      </c>
      <c r="AK439" s="1"/>
      <c r="AL439" s="1"/>
      <c r="AM439" s="1" t="s">
        <v>2060</v>
      </c>
      <c r="AN439" s="1" t="s">
        <v>201</v>
      </c>
      <c r="AO439" s="1"/>
      <c r="AP439" s="1" t="s">
        <v>59</v>
      </c>
      <c r="AQ439" s="1"/>
      <c r="AR439" s="1"/>
      <c r="AS439" s="2"/>
      <c r="AT439" s="1"/>
      <c r="AU439" s="1"/>
      <c r="AV439" s="1"/>
      <c r="AW439" s="1" t="s">
        <v>2152</v>
      </c>
      <c r="AX439" s="7">
        <v>44882.542060459687</v>
      </c>
      <c r="AY439" s="1" t="s">
        <v>788</v>
      </c>
      <c r="AZ439" s="6">
        <v>49999</v>
      </c>
      <c r="BA439" s="5">
        <v>44881</v>
      </c>
      <c r="BB439" s="5">
        <v>44918</v>
      </c>
      <c r="BC439" s="5">
        <v>44881</v>
      </c>
      <c r="BD439" s="5">
        <v>44881</v>
      </c>
      <c r="BE439" s="7">
        <v>44926</v>
      </c>
      <c r="BF439" s="1" t="s">
        <v>2170</v>
      </c>
      <c r="BG439" s="1"/>
      <c r="BH439" s="1"/>
      <c r="BI439" s="1" t="s">
        <v>108</v>
      </c>
    </row>
    <row r="440" spans="1:61" hidden="1" x14ac:dyDescent="0.25">
      <c r="A440" s="4">
        <v>435</v>
      </c>
      <c r="B440" s="2" t="str">
        <f>HYPERLINK("https://my.zakupivli.pro/remote/dispatcher/state_purchase_view/38627989", "UA-2022-11-17-005824-a")</f>
        <v>UA-2022-11-17-005824-a</v>
      </c>
      <c r="C440" s="2" t="s">
        <v>1516</v>
      </c>
      <c r="D440" s="1" t="s">
        <v>1408</v>
      </c>
      <c r="E440" s="1" t="s">
        <v>1407</v>
      </c>
      <c r="F440" s="1" t="s">
        <v>412</v>
      </c>
      <c r="G440" s="1" t="s">
        <v>995</v>
      </c>
      <c r="H440" s="1" t="s">
        <v>1218</v>
      </c>
      <c r="I440" s="1" t="s">
        <v>2094</v>
      </c>
      <c r="J440" s="1" t="s">
        <v>1145</v>
      </c>
      <c r="K440" s="1" t="s">
        <v>947</v>
      </c>
      <c r="L440" s="1" t="s">
        <v>1533</v>
      </c>
      <c r="M440" s="1" t="s">
        <v>1533</v>
      </c>
      <c r="N440" s="1" t="s">
        <v>110</v>
      </c>
      <c r="O440" s="1" t="s">
        <v>110</v>
      </c>
      <c r="P440" s="1" t="s">
        <v>110</v>
      </c>
      <c r="Q440" s="5">
        <v>44882</v>
      </c>
      <c r="R440" s="1"/>
      <c r="S440" s="1"/>
      <c r="T440" s="1"/>
      <c r="U440" s="1"/>
      <c r="V440" s="1" t="s">
        <v>2146</v>
      </c>
      <c r="W440" s="4">
        <v>1</v>
      </c>
      <c r="X440" s="6">
        <v>78999</v>
      </c>
      <c r="Y440" s="1" t="s">
        <v>1516</v>
      </c>
      <c r="Z440" s="1">
        <v>1</v>
      </c>
      <c r="AA440" s="6">
        <v>78999</v>
      </c>
      <c r="AB440" s="1" t="s">
        <v>2167</v>
      </c>
      <c r="AC440" s="1" t="s">
        <v>2162</v>
      </c>
      <c r="AD440" s="1" t="s">
        <v>1100</v>
      </c>
      <c r="AE440" s="1" t="s">
        <v>2094</v>
      </c>
      <c r="AF440" s="1" t="s">
        <v>1186</v>
      </c>
      <c r="AG440" s="1" t="s">
        <v>1522</v>
      </c>
      <c r="AH440" s="6">
        <v>78999</v>
      </c>
      <c r="AI440" s="6">
        <v>78999</v>
      </c>
      <c r="AJ440" s="1" t="s">
        <v>2060</v>
      </c>
      <c r="AK440" s="1"/>
      <c r="AL440" s="1"/>
      <c r="AM440" s="1" t="s">
        <v>2060</v>
      </c>
      <c r="AN440" s="1" t="s">
        <v>201</v>
      </c>
      <c r="AO440" s="1"/>
      <c r="AP440" s="1" t="s">
        <v>59</v>
      </c>
      <c r="AQ440" s="1"/>
      <c r="AR440" s="1"/>
      <c r="AS440" s="2"/>
      <c r="AT440" s="1"/>
      <c r="AU440" s="1"/>
      <c r="AV440" s="1"/>
      <c r="AW440" s="1" t="s">
        <v>2152</v>
      </c>
      <c r="AX440" s="7">
        <v>44882.53882103369</v>
      </c>
      <c r="AY440" s="1" t="s">
        <v>773</v>
      </c>
      <c r="AZ440" s="6">
        <v>78999</v>
      </c>
      <c r="BA440" s="5">
        <v>44881</v>
      </c>
      <c r="BB440" s="5">
        <v>44918</v>
      </c>
      <c r="BC440" s="5">
        <v>44881</v>
      </c>
      <c r="BD440" s="5">
        <v>44881</v>
      </c>
      <c r="BE440" s="7">
        <v>44926</v>
      </c>
      <c r="BF440" s="1" t="s">
        <v>2170</v>
      </c>
      <c r="BG440" s="1"/>
      <c r="BH440" s="1"/>
      <c r="BI440" s="1" t="s">
        <v>108</v>
      </c>
    </row>
    <row r="441" spans="1:61" hidden="1" x14ac:dyDescent="0.25">
      <c r="A441" s="4">
        <v>436</v>
      </c>
      <c r="B441" s="2" t="str">
        <f>HYPERLINK("https://my.zakupivli.pro/remote/dispatcher/state_purchase_view/38627780", "UA-2022-11-17-005708-a")</f>
        <v>UA-2022-11-17-005708-a</v>
      </c>
      <c r="C441" s="2" t="s">
        <v>1516</v>
      </c>
      <c r="D441" s="1" t="s">
        <v>1410</v>
      </c>
      <c r="E441" s="1" t="s">
        <v>1409</v>
      </c>
      <c r="F441" s="1" t="s">
        <v>412</v>
      </c>
      <c r="G441" s="1" t="s">
        <v>995</v>
      </c>
      <c r="H441" s="1" t="s">
        <v>1218</v>
      </c>
      <c r="I441" s="1" t="s">
        <v>2094</v>
      </c>
      <c r="J441" s="1" t="s">
        <v>1145</v>
      </c>
      <c r="K441" s="1" t="s">
        <v>947</v>
      </c>
      <c r="L441" s="1" t="s">
        <v>1533</v>
      </c>
      <c r="M441" s="1" t="s">
        <v>1533</v>
      </c>
      <c r="N441" s="1" t="s">
        <v>110</v>
      </c>
      <c r="O441" s="1" t="s">
        <v>110</v>
      </c>
      <c r="P441" s="1" t="s">
        <v>110</v>
      </c>
      <c r="Q441" s="5">
        <v>44882</v>
      </c>
      <c r="R441" s="1"/>
      <c r="S441" s="1"/>
      <c r="T441" s="1"/>
      <c r="U441" s="1"/>
      <c r="V441" s="1" t="s">
        <v>2146</v>
      </c>
      <c r="W441" s="4">
        <v>1</v>
      </c>
      <c r="X441" s="6">
        <v>30000</v>
      </c>
      <c r="Y441" s="1" t="s">
        <v>1516</v>
      </c>
      <c r="Z441" s="1">
        <v>1</v>
      </c>
      <c r="AA441" s="6">
        <v>30000</v>
      </c>
      <c r="AB441" s="1" t="s">
        <v>2167</v>
      </c>
      <c r="AC441" s="1" t="s">
        <v>2162</v>
      </c>
      <c r="AD441" s="1" t="s">
        <v>1100</v>
      </c>
      <c r="AE441" s="1" t="s">
        <v>2094</v>
      </c>
      <c r="AF441" s="1" t="s">
        <v>1186</v>
      </c>
      <c r="AG441" s="1" t="s">
        <v>1522</v>
      </c>
      <c r="AH441" s="6">
        <v>30000</v>
      </c>
      <c r="AI441" s="6">
        <v>30000</v>
      </c>
      <c r="AJ441" s="1" t="s">
        <v>2060</v>
      </c>
      <c r="AK441" s="1"/>
      <c r="AL441" s="1"/>
      <c r="AM441" s="1" t="s">
        <v>2060</v>
      </c>
      <c r="AN441" s="1" t="s">
        <v>201</v>
      </c>
      <c r="AO441" s="1"/>
      <c r="AP441" s="1" t="s">
        <v>59</v>
      </c>
      <c r="AQ441" s="1"/>
      <c r="AR441" s="1"/>
      <c r="AS441" s="2"/>
      <c r="AT441" s="1"/>
      <c r="AU441" s="1"/>
      <c r="AV441" s="1"/>
      <c r="AW441" s="1" t="s">
        <v>2152</v>
      </c>
      <c r="AX441" s="7">
        <v>44882.535338950947</v>
      </c>
      <c r="AY441" s="1" t="s">
        <v>767</v>
      </c>
      <c r="AZ441" s="6">
        <v>30000</v>
      </c>
      <c r="BA441" s="5">
        <v>44881</v>
      </c>
      <c r="BB441" s="5">
        <v>44918</v>
      </c>
      <c r="BC441" s="5">
        <v>44881</v>
      </c>
      <c r="BD441" s="5">
        <v>44881</v>
      </c>
      <c r="BE441" s="7">
        <v>44926</v>
      </c>
      <c r="BF441" s="1" t="s">
        <v>2170</v>
      </c>
      <c r="BG441" s="1"/>
      <c r="BH441" s="1"/>
      <c r="BI441" s="1" t="s">
        <v>108</v>
      </c>
    </row>
    <row r="442" spans="1:61" hidden="1" x14ac:dyDescent="0.25">
      <c r="A442" s="4">
        <v>437</v>
      </c>
      <c r="B442" s="2" t="str">
        <f>HYPERLINK("https://my.zakupivli.pro/remote/dispatcher/state_purchase_view/38609651", "UA-2022-11-16-011256-a")</f>
        <v>UA-2022-11-16-011256-a</v>
      </c>
      <c r="C442" s="2" t="str">
        <f>HYPERLINK("https://my.zakupivli.pro/remote/dispatcher/state_purchase_lot_view/788601", "UA-2022-11-16-011256-a-L1")</f>
        <v>UA-2022-11-16-011256-a-L1</v>
      </c>
      <c r="D442" s="1" t="s">
        <v>1384</v>
      </c>
      <c r="E442" s="1" t="s">
        <v>1383</v>
      </c>
      <c r="F442" s="1" t="s">
        <v>412</v>
      </c>
      <c r="G442" s="1" t="s">
        <v>967</v>
      </c>
      <c r="H442" s="1" t="s">
        <v>1185</v>
      </c>
      <c r="I442" s="1" t="s">
        <v>2094</v>
      </c>
      <c r="J442" s="1" t="s">
        <v>1145</v>
      </c>
      <c r="K442" s="1" t="s">
        <v>947</v>
      </c>
      <c r="L442" s="1" t="s">
        <v>1533</v>
      </c>
      <c r="M442" s="1" t="s">
        <v>1533</v>
      </c>
      <c r="N442" s="1" t="s">
        <v>110</v>
      </c>
      <c r="O442" s="1" t="s">
        <v>110</v>
      </c>
      <c r="P442" s="1" t="s">
        <v>110</v>
      </c>
      <c r="Q442" s="5">
        <v>44881</v>
      </c>
      <c r="R442" s="1" t="s">
        <v>468</v>
      </c>
      <c r="S442" s="1" t="s">
        <v>470</v>
      </c>
      <c r="T442" s="5">
        <v>44881</v>
      </c>
      <c r="U442" s="5">
        <v>44889</v>
      </c>
      <c r="V442" s="1" t="s">
        <v>2147</v>
      </c>
      <c r="W442" s="4">
        <v>1</v>
      </c>
      <c r="X442" s="6">
        <v>305000</v>
      </c>
      <c r="Y442" s="6">
        <v>305000</v>
      </c>
      <c r="Z442" s="1">
        <v>1</v>
      </c>
      <c r="AA442" s="6">
        <v>305000</v>
      </c>
      <c r="AB442" s="1" t="s">
        <v>2167</v>
      </c>
      <c r="AC442" s="6">
        <v>1525</v>
      </c>
      <c r="AD442" s="1" t="s">
        <v>1100</v>
      </c>
      <c r="AE442" s="1" t="s">
        <v>2094</v>
      </c>
      <c r="AF442" s="1" t="s">
        <v>1186</v>
      </c>
      <c r="AG442" s="1" t="s">
        <v>1522</v>
      </c>
      <c r="AH442" s="6">
        <v>305000</v>
      </c>
      <c r="AI442" s="6">
        <v>305000</v>
      </c>
      <c r="AJ442" s="1" t="s">
        <v>2036</v>
      </c>
      <c r="AK442" s="1"/>
      <c r="AL442" s="1"/>
      <c r="AM442" s="1" t="s">
        <v>2036</v>
      </c>
      <c r="AN442" s="1" t="s">
        <v>904</v>
      </c>
      <c r="AO442" s="1" t="s">
        <v>1132</v>
      </c>
      <c r="AP442" s="1" t="s">
        <v>75</v>
      </c>
      <c r="AQ442" s="1"/>
      <c r="AR442" s="1"/>
      <c r="AS442" s="2"/>
      <c r="AT442" s="7">
        <v>44893.4386382292</v>
      </c>
      <c r="AU442" s="1" t="s">
        <v>475</v>
      </c>
      <c r="AV442" s="1" t="s">
        <v>479</v>
      </c>
      <c r="AW442" s="1" t="s">
        <v>2151</v>
      </c>
      <c r="AX442" s="7">
        <v>44900.665439923163</v>
      </c>
      <c r="AY442" s="1" t="s">
        <v>903</v>
      </c>
      <c r="AZ442" s="6">
        <v>305000</v>
      </c>
      <c r="BA442" s="1"/>
      <c r="BB442" s="5">
        <v>44918</v>
      </c>
      <c r="BC442" s="5">
        <v>44900</v>
      </c>
      <c r="BD442" s="5">
        <v>44900</v>
      </c>
      <c r="BE442" s="7">
        <v>44926</v>
      </c>
      <c r="BF442" s="1" t="s">
        <v>2170</v>
      </c>
      <c r="BG442" s="1"/>
      <c r="BH442" s="1"/>
      <c r="BI442" s="1" t="s">
        <v>905</v>
      </c>
    </row>
    <row r="443" spans="1:61" hidden="1" x14ac:dyDescent="0.25">
      <c r="A443" s="4">
        <v>438</v>
      </c>
      <c r="B443" s="2" t="str">
        <f>HYPERLINK("https://my.zakupivli.pro/remote/dispatcher/state_purchase_view/38608200", "UA-2022-11-16-010113-a")</f>
        <v>UA-2022-11-16-010113-a</v>
      </c>
      <c r="C443" s="2" t="str">
        <f>HYPERLINK("https://my.zakupivli.pro/remote/dispatcher/state_purchase_lot_view/788546", "UA-2022-11-16-010113-a-L1")</f>
        <v>UA-2022-11-16-010113-a-L1</v>
      </c>
      <c r="D443" s="1" t="s">
        <v>1395</v>
      </c>
      <c r="E443" s="1" t="s">
        <v>1394</v>
      </c>
      <c r="F443" s="1" t="s">
        <v>412</v>
      </c>
      <c r="G443" s="1" t="s">
        <v>967</v>
      </c>
      <c r="H443" s="1" t="s">
        <v>1185</v>
      </c>
      <c r="I443" s="1" t="s">
        <v>2094</v>
      </c>
      <c r="J443" s="1" t="s">
        <v>1145</v>
      </c>
      <c r="K443" s="1" t="s">
        <v>947</v>
      </c>
      <c r="L443" s="1" t="s">
        <v>1533</v>
      </c>
      <c r="M443" s="1" t="s">
        <v>1533</v>
      </c>
      <c r="N443" s="1" t="s">
        <v>110</v>
      </c>
      <c r="O443" s="1" t="s">
        <v>110</v>
      </c>
      <c r="P443" s="1" t="s">
        <v>110</v>
      </c>
      <c r="Q443" s="5">
        <v>44881</v>
      </c>
      <c r="R443" s="1" t="s">
        <v>468</v>
      </c>
      <c r="S443" s="1" t="s">
        <v>470</v>
      </c>
      <c r="T443" s="5">
        <v>44881</v>
      </c>
      <c r="U443" s="5">
        <v>44889</v>
      </c>
      <c r="V443" s="1" t="s">
        <v>2147</v>
      </c>
      <c r="W443" s="4">
        <v>1</v>
      </c>
      <c r="X443" s="6">
        <v>245100</v>
      </c>
      <c r="Y443" s="6">
        <v>245100</v>
      </c>
      <c r="Z443" s="1">
        <v>1</v>
      </c>
      <c r="AA443" s="6">
        <v>245100</v>
      </c>
      <c r="AB443" s="1" t="s">
        <v>2167</v>
      </c>
      <c r="AC443" s="6">
        <v>1225.5</v>
      </c>
      <c r="AD443" s="1" t="s">
        <v>1100</v>
      </c>
      <c r="AE443" s="1" t="s">
        <v>2094</v>
      </c>
      <c r="AF443" s="1" t="s">
        <v>1186</v>
      </c>
      <c r="AG443" s="1" t="s">
        <v>1522</v>
      </c>
      <c r="AH443" s="6">
        <v>245080</v>
      </c>
      <c r="AI443" s="6">
        <v>245080</v>
      </c>
      <c r="AJ443" s="1" t="s">
        <v>2036</v>
      </c>
      <c r="AK443" s="6">
        <v>20</v>
      </c>
      <c r="AL443" s="6">
        <v>8.1599347205222353E-5</v>
      </c>
      <c r="AM443" s="1" t="s">
        <v>2036</v>
      </c>
      <c r="AN443" s="1" t="s">
        <v>904</v>
      </c>
      <c r="AO443" s="1" t="s">
        <v>1132</v>
      </c>
      <c r="AP443" s="1" t="s">
        <v>75</v>
      </c>
      <c r="AQ443" s="6">
        <v>20</v>
      </c>
      <c r="AR443" s="6">
        <v>8.1599347205222353E-5</v>
      </c>
      <c r="AS443" s="2"/>
      <c r="AT443" s="7">
        <v>44893.433909995707</v>
      </c>
      <c r="AU443" s="1" t="s">
        <v>475</v>
      </c>
      <c r="AV443" s="1" t="s">
        <v>479</v>
      </c>
      <c r="AW443" s="1" t="s">
        <v>2151</v>
      </c>
      <c r="AX443" s="7">
        <v>44900.667698760917</v>
      </c>
      <c r="AY443" s="1" t="s">
        <v>920</v>
      </c>
      <c r="AZ443" s="6">
        <v>245080</v>
      </c>
      <c r="BA443" s="1"/>
      <c r="BB443" s="5">
        <v>44918</v>
      </c>
      <c r="BC443" s="5">
        <v>44900</v>
      </c>
      <c r="BD443" s="5">
        <v>44900</v>
      </c>
      <c r="BE443" s="7">
        <v>44926</v>
      </c>
      <c r="BF443" s="1" t="s">
        <v>2170</v>
      </c>
      <c r="BG443" s="1"/>
      <c r="BH443" s="1"/>
      <c r="BI443" s="1" t="s">
        <v>905</v>
      </c>
    </row>
    <row r="444" spans="1:61" hidden="1" x14ac:dyDescent="0.25">
      <c r="A444" s="4">
        <v>439</v>
      </c>
      <c r="B444" s="2" t="str">
        <f>HYPERLINK("https://my.zakupivli.pro/remote/dispatcher/state_purchase_view/38444399", "UA-2022-11-09-005960-a")</f>
        <v>UA-2022-11-09-005960-a</v>
      </c>
      <c r="C444" s="2" t="str">
        <f>HYPERLINK("https://my.zakupivli.pro/remote/dispatcher/state_purchase_lot_view/782009", "UA-2022-11-09-005960-a-L1")</f>
        <v>UA-2022-11-09-005960-a-L1</v>
      </c>
      <c r="D444" s="1" t="s">
        <v>1742</v>
      </c>
      <c r="E444" s="1" t="s">
        <v>1741</v>
      </c>
      <c r="F444" s="1" t="s">
        <v>412</v>
      </c>
      <c r="G444" s="1" t="s">
        <v>966</v>
      </c>
      <c r="H444" s="1" t="s">
        <v>1185</v>
      </c>
      <c r="I444" s="1" t="s">
        <v>2094</v>
      </c>
      <c r="J444" s="1" t="s">
        <v>1145</v>
      </c>
      <c r="K444" s="1" t="s">
        <v>947</v>
      </c>
      <c r="L444" s="1" t="s">
        <v>1533</v>
      </c>
      <c r="M444" s="1" t="s">
        <v>1533</v>
      </c>
      <c r="N444" s="1" t="s">
        <v>110</v>
      </c>
      <c r="O444" s="1" t="s">
        <v>110</v>
      </c>
      <c r="P444" s="1" t="s">
        <v>110</v>
      </c>
      <c r="Q444" s="5">
        <v>44874</v>
      </c>
      <c r="R444" s="1" t="s">
        <v>466</v>
      </c>
      <c r="S444" s="1" t="s">
        <v>467</v>
      </c>
      <c r="T444" s="5">
        <v>44874</v>
      </c>
      <c r="U444" s="5">
        <v>44882</v>
      </c>
      <c r="V444" s="1" t="s">
        <v>2147</v>
      </c>
      <c r="W444" s="4">
        <v>1</v>
      </c>
      <c r="X444" s="6">
        <v>169000</v>
      </c>
      <c r="Y444" s="6">
        <v>169000</v>
      </c>
      <c r="Z444" s="1">
        <v>1</v>
      </c>
      <c r="AA444" s="6">
        <v>169000</v>
      </c>
      <c r="AB444" s="1" t="s">
        <v>2167</v>
      </c>
      <c r="AC444" s="6">
        <v>845</v>
      </c>
      <c r="AD444" s="1" t="s">
        <v>1100</v>
      </c>
      <c r="AE444" s="1" t="s">
        <v>2094</v>
      </c>
      <c r="AF444" s="1" t="s">
        <v>1186</v>
      </c>
      <c r="AG444" s="1" t="s">
        <v>1522</v>
      </c>
      <c r="AH444" s="6">
        <v>169000</v>
      </c>
      <c r="AI444" s="6">
        <v>169000</v>
      </c>
      <c r="AJ444" s="1" t="s">
        <v>2130</v>
      </c>
      <c r="AK444" s="1"/>
      <c r="AL444" s="1"/>
      <c r="AM444" s="1" t="s">
        <v>2130</v>
      </c>
      <c r="AN444" s="1" t="s">
        <v>796</v>
      </c>
      <c r="AO444" s="1" t="s">
        <v>1115</v>
      </c>
      <c r="AP444" s="1" t="s">
        <v>72</v>
      </c>
      <c r="AQ444" s="1"/>
      <c r="AR444" s="1"/>
      <c r="AS444" s="2"/>
      <c r="AT444" s="7">
        <v>44889.506597444008</v>
      </c>
      <c r="AU444" s="1" t="s">
        <v>473</v>
      </c>
      <c r="AV444" s="1" t="s">
        <v>477</v>
      </c>
      <c r="AW444" s="1" t="s">
        <v>2151</v>
      </c>
      <c r="AX444" s="7">
        <v>44900.565816987306</v>
      </c>
      <c r="AY444" s="1" t="s">
        <v>894</v>
      </c>
      <c r="AZ444" s="6">
        <v>169000</v>
      </c>
      <c r="BA444" s="1"/>
      <c r="BB444" s="5">
        <v>44918</v>
      </c>
      <c r="BC444" s="5">
        <v>44900</v>
      </c>
      <c r="BD444" s="5">
        <v>44900</v>
      </c>
      <c r="BE444" s="7">
        <v>44926</v>
      </c>
      <c r="BF444" s="1" t="s">
        <v>2170</v>
      </c>
      <c r="BG444" s="1"/>
      <c r="BH444" s="1"/>
      <c r="BI444" s="1" t="s">
        <v>797</v>
      </c>
    </row>
    <row r="445" spans="1:61" hidden="1" x14ac:dyDescent="0.25">
      <c r="A445" s="4">
        <v>440</v>
      </c>
      <c r="B445" s="2" t="str">
        <f>HYPERLINK("https://my.zakupivli.pro/remote/dispatcher/state_purchase_view/38457473", "UA-2022-11-09-012121-a")</f>
        <v>UA-2022-11-09-012121-a</v>
      </c>
      <c r="C445" s="2" t="str">
        <f>HYPERLINK("https://my.zakupivli.pro/remote/dispatcher/state_purchase_lot_view/782498", "UA-2022-11-09-012121-a-L1")</f>
        <v>UA-2022-11-09-012121-a-L1</v>
      </c>
      <c r="D445" s="1" t="s">
        <v>1863</v>
      </c>
      <c r="E445" s="1" t="s">
        <v>1862</v>
      </c>
      <c r="F445" s="1" t="s">
        <v>412</v>
      </c>
      <c r="G445" s="1" t="s">
        <v>966</v>
      </c>
      <c r="H445" s="1" t="s">
        <v>1185</v>
      </c>
      <c r="I445" s="1" t="s">
        <v>2094</v>
      </c>
      <c r="J445" s="1" t="s">
        <v>1145</v>
      </c>
      <c r="K445" s="1" t="s">
        <v>947</v>
      </c>
      <c r="L445" s="1" t="s">
        <v>1533</v>
      </c>
      <c r="M445" s="1" t="s">
        <v>1533</v>
      </c>
      <c r="N445" s="1" t="s">
        <v>110</v>
      </c>
      <c r="O445" s="1" t="s">
        <v>110</v>
      </c>
      <c r="P445" s="1" t="s">
        <v>110</v>
      </c>
      <c r="Q445" s="5">
        <v>44874</v>
      </c>
      <c r="R445" s="1" t="s">
        <v>466</v>
      </c>
      <c r="S445" s="1" t="s">
        <v>467</v>
      </c>
      <c r="T445" s="5">
        <v>44874</v>
      </c>
      <c r="U445" s="5">
        <v>44882</v>
      </c>
      <c r="V445" s="1" t="s">
        <v>2147</v>
      </c>
      <c r="W445" s="4">
        <v>0</v>
      </c>
      <c r="X445" s="6">
        <v>134920</v>
      </c>
      <c r="Y445" s="6">
        <v>134920</v>
      </c>
      <c r="Z445" s="1">
        <v>1</v>
      </c>
      <c r="AA445" s="6">
        <v>134920</v>
      </c>
      <c r="AB445" s="1" t="s">
        <v>2167</v>
      </c>
      <c r="AC445" s="6">
        <v>674.6</v>
      </c>
      <c r="AD445" s="1" t="s">
        <v>1100</v>
      </c>
      <c r="AE445" s="1" t="s">
        <v>2094</v>
      </c>
      <c r="AF445" s="1" t="s">
        <v>1186</v>
      </c>
      <c r="AG445" s="1" t="s">
        <v>1522</v>
      </c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2"/>
      <c r="AT445" s="1"/>
      <c r="AU445" s="1"/>
      <c r="AV445" s="1"/>
      <c r="AW445" s="1" t="s">
        <v>2153</v>
      </c>
      <c r="AX445" s="7">
        <v>44882.000359473277</v>
      </c>
      <c r="AY445" s="1"/>
      <c r="AZ445" s="1"/>
      <c r="BA445" s="1"/>
      <c r="BB445" s="5">
        <v>44918</v>
      </c>
      <c r="BC445" s="1" t="s">
        <v>109</v>
      </c>
      <c r="BD445" s="1" t="s">
        <v>109</v>
      </c>
      <c r="BE445" s="1"/>
      <c r="BF445" s="1"/>
      <c r="BG445" s="1"/>
      <c r="BH445" s="1"/>
      <c r="BI445" s="1"/>
    </row>
    <row r="446" spans="1:61" hidden="1" x14ac:dyDescent="0.25">
      <c r="A446" s="4">
        <v>441</v>
      </c>
      <c r="B446" s="2" t="str">
        <f>HYPERLINK("https://my.zakupivli.pro/remote/dispatcher/state_purchase_view/38456797", "UA-2022-11-09-011719-a")</f>
        <v>UA-2022-11-09-011719-a</v>
      </c>
      <c r="C446" s="2" t="str">
        <f>HYPERLINK("https://my.zakupivli.pro/remote/dispatcher/state_purchase_lot_view/782452", "UA-2022-11-09-011719-a-L1")</f>
        <v>UA-2022-11-09-011719-a-L1</v>
      </c>
      <c r="D446" s="1" t="s">
        <v>1853</v>
      </c>
      <c r="E446" s="1" t="s">
        <v>1852</v>
      </c>
      <c r="F446" s="1" t="s">
        <v>412</v>
      </c>
      <c r="G446" s="1" t="s">
        <v>966</v>
      </c>
      <c r="H446" s="1" t="s">
        <v>1185</v>
      </c>
      <c r="I446" s="1" t="s">
        <v>2094</v>
      </c>
      <c r="J446" s="1" t="s">
        <v>1145</v>
      </c>
      <c r="K446" s="1" t="s">
        <v>947</v>
      </c>
      <c r="L446" s="1" t="s">
        <v>1533</v>
      </c>
      <c r="M446" s="1" t="s">
        <v>1533</v>
      </c>
      <c r="N446" s="1" t="s">
        <v>110</v>
      </c>
      <c r="O446" s="1" t="s">
        <v>110</v>
      </c>
      <c r="P446" s="1" t="s">
        <v>110</v>
      </c>
      <c r="Q446" s="5">
        <v>44874</v>
      </c>
      <c r="R446" s="1" t="s">
        <v>466</v>
      </c>
      <c r="S446" s="1" t="s">
        <v>467</v>
      </c>
      <c r="T446" s="5">
        <v>44874</v>
      </c>
      <c r="U446" s="5">
        <v>44882</v>
      </c>
      <c r="V446" s="1" t="s">
        <v>2147</v>
      </c>
      <c r="W446" s="4">
        <v>0</v>
      </c>
      <c r="X446" s="6">
        <v>177200</v>
      </c>
      <c r="Y446" s="6">
        <v>177200</v>
      </c>
      <c r="Z446" s="1">
        <v>1</v>
      </c>
      <c r="AA446" s="6">
        <v>177200</v>
      </c>
      <c r="AB446" s="1" t="s">
        <v>2167</v>
      </c>
      <c r="AC446" s="6">
        <v>886</v>
      </c>
      <c r="AD446" s="1" t="s">
        <v>1100</v>
      </c>
      <c r="AE446" s="1" t="s">
        <v>2094</v>
      </c>
      <c r="AF446" s="1" t="s">
        <v>1186</v>
      </c>
      <c r="AG446" s="1" t="s">
        <v>1522</v>
      </c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2"/>
      <c r="AT446" s="1"/>
      <c r="AU446" s="1"/>
      <c r="AV446" s="1"/>
      <c r="AW446" s="1" t="s">
        <v>2153</v>
      </c>
      <c r="AX446" s="7">
        <v>44882.000359388243</v>
      </c>
      <c r="AY446" s="1"/>
      <c r="AZ446" s="1"/>
      <c r="BA446" s="1"/>
      <c r="BB446" s="5">
        <v>44918</v>
      </c>
      <c r="BC446" s="1" t="s">
        <v>109</v>
      </c>
      <c r="BD446" s="1" t="s">
        <v>109</v>
      </c>
      <c r="BE446" s="1"/>
      <c r="BF446" s="1"/>
      <c r="BG446" s="1"/>
      <c r="BH446" s="1"/>
      <c r="BI446" s="1"/>
    </row>
    <row r="447" spans="1:61" hidden="1" x14ac:dyDescent="0.25">
      <c r="A447" s="4">
        <v>442</v>
      </c>
      <c r="B447" s="2" t="str">
        <f>HYPERLINK("https://my.zakupivli.pro/remote/dispatcher/state_purchase_view/38456268", "UA-2022-11-09-011449-a")</f>
        <v>UA-2022-11-09-011449-a</v>
      </c>
      <c r="C447" s="2" t="str">
        <f>HYPERLINK("https://my.zakupivli.pro/remote/dispatcher/state_purchase_lot_view/782424", "UA-2022-11-09-011449-a-L1")</f>
        <v>UA-2022-11-09-011449-a-L1</v>
      </c>
      <c r="D447" s="1" t="s">
        <v>1851</v>
      </c>
      <c r="E447" s="1" t="s">
        <v>1850</v>
      </c>
      <c r="F447" s="1" t="s">
        <v>412</v>
      </c>
      <c r="G447" s="1" t="s">
        <v>966</v>
      </c>
      <c r="H447" s="1" t="s">
        <v>1185</v>
      </c>
      <c r="I447" s="1" t="s">
        <v>2094</v>
      </c>
      <c r="J447" s="1" t="s">
        <v>1145</v>
      </c>
      <c r="K447" s="1" t="s">
        <v>947</v>
      </c>
      <c r="L447" s="1" t="s">
        <v>1533</v>
      </c>
      <c r="M447" s="1" t="s">
        <v>1533</v>
      </c>
      <c r="N447" s="1" t="s">
        <v>110</v>
      </c>
      <c r="O447" s="1" t="s">
        <v>110</v>
      </c>
      <c r="P447" s="1" t="s">
        <v>110</v>
      </c>
      <c r="Q447" s="5">
        <v>44874</v>
      </c>
      <c r="R447" s="1" t="s">
        <v>466</v>
      </c>
      <c r="S447" s="1" t="s">
        <v>467</v>
      </c>
      <c r="T447" s="5">
        <v>44874</v>
      </c>
      <c r="U447" s="5">
        <v>44882</v>
      </c>
      <c r="V447" s="1" t="s">
        <v>2147</v>
      </c>
      <c r="W447" s="4">
        <v>0</v>
      </c>
      <c r="X447" s="6">
        <v>199700</v>
      </c>
      <c r="Y447" s="6">
        <v>199700</v>
      </c>
      <c r="Z447" s="1">
        <v>1</v>
      </c>
      <c r="AA447" s="6">
        <v>199700</v>
      </c>
      <c r="AB447" s="1" t="s">
        <v>2167</v>
      </c>
      <c r="AC447" s="6">
        <v>998.5</v>
      </c>
      <c r="AD447" s="1" t="s">
        <v>1100</v>
      </c>
      <c r="AE447" s="1" t="s">
        <v>2094</v>
      </c>
      <c r="AF447" s="1" t="s">
        <v>1186</v>
      </c>
      <c r="AG447" s="1" t="s">
        <v>1522</v>
      </c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2"/>
      <c r="AT447" s="1"/>
      <c r="AU447" s="1"/>
      <c r="AV447" s="1"/>
      <c r="AW447" s="1" t="s">
        <v>2153</v>
      </c>
      <c r="AX447" s="7">
        <v>44882.000440623597</v>
      </c>
      <c r="AY447" s="1"/>
      <c r="AZ447" s="1"/>
      <c r="BA447" s="1"/>
      <c r="BB447" s="5">
        <v>44918</v>
      </c>
      <c r="BC447" s="1" t="s">
        <v>109</v>
      </c>
      <c r="BD447" s="1" t="s">
        <v>109</v>
      </c>
      <c r="BE447" s="1"/>
      <c r="BF447" s="1"/>
      <c r="BG447" s="1"/>
      <c r="BH447" s="1"/>
      <c r="BI447" s="1"/>
    </row>
    <row r="448" spans="1:61" hidden="1" x14ac:dyDescent="0.25">
      <c r="A448" s="4">
        <v>443</v>
      </c>
      <c r="B448" s="2" t="str">
        <f>HYPERLINK("https://my.zakupivli.pro/remote/dispatcher/state_purchase_view/38444043", "UA-2022-11-09-005814-a")</f>
        <v>UA-2022-11-09-005814-a</v>
      </c>
      <c r="C448" s="2" t="str">
        <f>HYPERLINK("https://my.zakupivli.pro/remote/dispatcher/state_purchase_lot_view/782000", "UA-2022-11-09-005814-a-L1")</f>
        <v>UA-2022-11-09-005814-a-L1</v>
      </c>
      <c r="D448" s="1" t="s">
        <v>1747</v>
      </c>
      <c r="E448" s="1" t="s">
        <v>1746</v>
      </c>
      <c r="F448" s="1" t="s">
        <v>412</v>
      </c>
      <c r="G448" s="1" t="s">
        <v>1051</v>
      </c>
      <c r="H448" s="1" t="s">
        <v>1185</v>
      </c>
      <c r="I448" s="1" t="s">
        <v>2094</v>
      </c>
      <c r="J448" s="1" t="s">
        <v>1145</v>
      </c>
      <c r="K448" s="1" t="s">
        <v>947</v>
      </c>
      <c r="L448" s="1" t="s">
        <v>1533</v>
      </c>
      <c r="M448" s="1" t="s">
        <v>1533</v>
      </c>
      <c r="N448" s="1" t="s">
        <v>110</v>
      </c>
      <c r="O448" s="1" t="s">
        <v>110</v>
      </c>
      <c r="P448" s="1" t="s">
        <v>110</v>
      </c>
      <c r="Q448" s="5">
        <v>44874</v>
      </c>
      <c r="R448" s="1" t="s">
        <v>466</v>
      </c>
      <c r="S448" s="1" t="s">
        <v>467</v>
      </c>
      <c r="T448" s="5">
        <v>44874</v>
      </c>
      <c r="U448" s="5">
        <v>44882</v>
      </c>
      <c r="V448" s="1" t="s">
        <v>2147</v>
      </c>
      <c r="W448" s="4">
        <v>1</v>
      </c>
      <c r="X448" s="6">
        <v>192900</v>
      </c>
      <c r="Y448" s="6">
        <v>192900</v>
      </c>
      <c r="Z448" s="1">
        <v>1</v>
      </c>
      <c r="AA448" s="6">
        <v>192900</v>
      </c>
      <c r="AB448" s="1" t="s">
        <v>2167</v>
      </c>
      <c r="AC448" s="6">
        <v>964.5</v>
      </c>
      <c r="AD448" s="1" t="s">
        <v>1100</v>
      </c>
      <c r="AE448" s="1" t="s">
        <v>2094</v>
      </c>
      <c r="AF448" s="1" t="s">
        <v>1186</v>
      </c>
      <c r="AG448" s="1" t="s">
        <v>1522</v>
      </c>
      <c r="AH448" s="6">
        <v>192900</v>
      </c>
      <c r="AI448" s="6">
        <v>192900</v>
      </c>
      <c r="AJ448" s="1" t="s">
        <v>2130</v>
      </c>
      <c r="AK448" s="1"/>
      <c r="AL448" s="1"/>
      <c r="AM448" s="1" t="s">
        <v>2130</v>
      </c>
      <c r="AN448" s="1" t="s">
        <v>796</v>
      </c>
      <c r="AO448" s="1" t="s">
        <v>1115</v>
      </c>
      <c r="AP448" s="1" t="s">
        <v>72</v>
      </c>
      <c r="AQ448" s="1"/>
      <c r="AR448" s="1"/>
      <c r="AS448" s="2"/>
      <c r="AT448" s="7">
        <v>44889.500205350603</v>
      </c>
      <c r="AU448" s="1" t="s">
        <v>473</v>
      </c>
      <c r="AV448" s="1" t="s">
        <v>477</v>
      </c>
      <c r="AW448" s="1" t="s">
        <v>2151</v>
      </c>
      <c r="AX448" s="7">
        <v>44900.563736156641</v>
      </c>
      <c r="AY448" s="1" t="s">
        <v>878</v>
      </c>
      <c r="AZ448" s="6">
        <v>192900</v>
      </c>
      <c r="BA448" s="1"/>
      <c r="BB448" s="5">
        <v>44918</v>
      </c>
      <c r="BC448" s="5">
        <v>44900</v>
      </c>
      <c r="BD448" s="5">
        <v>44900</v>
      </c>
      <c r="BE448" s="7">
        <v>44926</v>
      </c>
      <c r="BF448" s="1" t="s">
        <v>2170</v>
      </c>
      <c r="BG448" s="1"/>
      <c r="BH448" s="1"/>
      <c r="BI448" s="1" t="s">
        <v>797</v>
      </c>
    </row>
    <row r="449" spans="1:61" hidden="1" x14ac:dyDescent="0.25">
      <c r="A449" s="4">
        <v>444</v>
      </c>
      <c r="B449" s="2" t="str">
        <f>HYPERLINK("https://my.zakupivli.pro/remote/dispatcher/state_purchase_view/38425368", "UA-2022-11-08-011524-a")</f>
        <v>UA-2022-11-08-011524-a</v>
      </c>
      <c r="C449" s="2" t="s">
        <v>1516</v>
      </c>
      <c r="D449" s="1" t="s">
        <v>1163</v>
      </c>
      <c r="E449" s="1" t="s">
        <v>1163</v>
      </c>
      <c r="F449" s="1" t="s">
        <v>412</v>
      </c>
      <c r="G449" s="1" t="s">
        <v>143</v>
      </c>
      <c r="H449" s="1" t="s">
        <v>1218</v>
      </c>
      <c r="I449" s="1" t="s">
        <v>2094</v>
      </c>
      <c r="J449" s="1" t="s">
        <v>1145</v>
      </c>
      <c r="K449" s="1" t="s">
        <v>947</v>
      </c>
      <c r="L449" s="1" t="s">
        <v>1533</v>
      </c>
      <c r="M449" s="1" t="s">
        <v>1533</v>
      </c>
      <c r="N449" s="1" t="s">
        <v>110</v>
      </c>
      <c r="O449" s="1" t="s">
        <v>110</v>
      </c>
      <c r="P449" s="1" t="s">
        <v>110</v>
      </c>
      <c r="Q449" s="5">
        <v>44873</v>
      </c>
      <c r="R449" s="1"/>
      <c r="S449" s="1"/>
      <c r="T449" s="1"/>
      <c r="U449" s="1"/>
      <c r="V449" s="1" t="s">
        <v>2146</v>
      </c>
      <c r="W449" s="4">
        <v>1</v>
      </c>
      <c r="X449" s="6">
        <v>94000</v>
      </c>
      <c r="Y449" s="1" t="s">
        <v>1516</v>
      </c>
      <c r="Z449" s="1">
        <v>2000</v>
      </c>
      <c r="AA449" s="6">
        <v>47</v>
      </c>
      <c r="AB449" s="1" t="s">
        <v>2158</v>
      </c>
      <c r="AC449" s="1" t="s">
        <v>2162</v>
      </c>
      <c r="AD449" s="1" t="s">
        <v>1100</v>
      </c>
      <c r="AE449" s="1" t="s">
        <v>2094</v>
      </c>
      <c r="AF449" s="1" t="s">
        <v>1186</v>
      </c>
      <c r="AG449" s="1" t="s">
        <v>1522</v>
      </c>
      <c r="AH449" s="6">
        <v>94000</v>
      </c>
      <c r="AI449" s="6">
        <v>47</v>
      </c>
      <c r="AJ449" s="1" t="s">
        <v>2056</v>
      </c>
      <c r="AK449" s="1"/>
      <c r="AL449" s="1"/>
      <c r="AM449" s="1" t="s">
        <v>2056</v>
      </c>
      <c r="AN449" s="1" t="s">
        <v>887</v>
      </c>
      <c r="AO449" s="1"/>
      <c r="AP449" s="1" t="s">
        <v>57</v>
      </c>
      <c r="AQ449" s="1"/>
      <c r="AR449" s="1"/>
      <c r="AS449" s="2"/>
      <c r="AT449" s="1"/>
      <c r="AU449" s="1"/>
      <c r="AV449" s="1"/>
      <c r="AW449" s="1" t="s">
        <v>2152</v>
      </c>
      <c r="AX449" s="7">
        <v>44873.655742956202</v>
      </c>
      <c r="AY449" s="1" t="s">
        <v>757</v>
      </c>
      <c r="AZ449" s="6">
        <v>94000</v>
      </c>
      <c r="BA449" s="1"/>
      <c r="BB449" s="5">
        <v>44926</v>
      </c>
      <c r="BC449" s="5">
        <v>44873</v>
      </c>
      <c r="BD449" s="5">
        <v>44873</v>
      </c>
      <c r="BE449" s="7">
        <v>44926</v>
      </c>
      <c r="BF449" s="1" t="s">
        <v>2170</v>
      </c>
      <c r="BG449" s="1"/>
      <c r="BH449" s="1"/>
      <c r="BI449" s="1" t="s">
        <v>108</v>
      </c>
    </row>
    <row r="450" spans="1:61" hidden="1" x14ac:dyDescent="0.25">
      <c r="A450" s="4">
        <v>445</v>
      </c>
      <c r="B450" s="2" t="str">
        <f>HYPERLINK("https://my.zakupivli.pro/remote/dispatcher/state_purchase_view/38363288", "UA-2022-11-04-010064-a")</f>
        <v>UA-2022-11-04-010064-a</v>
      </c>
      <c r="C450" s="2" t="s">
        <v>1516</v>
      </c>
      <c r="D450" s="1" t="s">
        <v>1686</v>
      </c>
      <c r="E450" s="1" t="s">
        <v>1686</v>
      </c>
      <c r="F450" s="1" t="s">
        <v>412</v>
      </c>
      <c r="G450" s="1" t="s">
        <v>992</v>
      </c>
      <c r="H450" s="1" t="s">
        <v>1218</v>
      </c>
      <c r="I450" s="1" t="s">
        <v>2094</v>
      </c>
      <c r="J450" s="1" t="s">
        <v>1145</v>
      </c>
      <c r="K450" s="1" t="s">
        <v>947</v>
      </c>
      <c r="L450" s="1" t="s">
        <v>1533</v>
      </c>
      <c r="M450" s="1" t="s">
        <v>1533</v>
      </c>
      <c r="N450" s="1" t="s">
        <v>110</v>
      </c>
      <c r="O450" s="1" t="s">
        <v>110</v>
      </c>
      <c r="P450" s="1" t="s">
        <v>110</v>
      </c>
      <c r="Q450" s="5">
        <v>44869</v>
      </c>
      <c r="R450" s="1"/>
      <c r="S450" s="1"/>
      <c r="T450" s="1"/>
      <c r="U450" s="1"/>
      <c r="V450" s="1" t="s">
        <v>2146</v>
      </c>
      <c r="W450" s="4">
        <v>1</v>
      </c>
      <c r="X450" s="6">
        <v>4200</v>
      </c>
      <c r="Y450" s="1" t="s">
        <v>1516</v>
      </c>
      <c r="Z450" s="1">
        <v>1</v>
      </c>
      <c r="AA450" s="6">
        <v>4200</v>
      </c>
      <c r="AB450" s="1" t="s">
        <v>2167</v>
      </c>
      <c r="AC450" s="1" t="s">
        <v>2162</v>
      </c>
      <c r="AD450" s="1" t="s">
        <v>1100</v>
      </c>
      <c r="AE450" s="1" t="s">
        <v>1522</v>
      </c>
      <c r="AF450" s="1" t="s">
        <v>1186</v>
      </c>
      <c r="AG450" s="1" t="s">
        <v>1522</v>
      </c>
      <c r="AH450" s="6">
        <v>4200</v>
      </c>
      <c r="AI450" s="6">
        <v>4200</v>
      </c>
      <c r="AJ450" s="1" t="s">
        <v>1546</v>
      </c>
      <c r="AK450" s="1"/>
      <c r="AL450" s="1"/>
      <c r="AM450" s="1" t="s">
        <v>1546</v>
      </c>
      <c r="AN450" s="1" t="s">
        <v>602</v>
      </c>
      <c r="AO450" s="1"/>
      <c r="AP450" s="1" t="s">
        <v>11</v>
      </c>
      <c r="AQ450" s="1"/>
      <c r="AR450" s="1"/>
      <c r="AS450" s="2"/>
      <c r="AT450" s="1"/>
      <c r="AU450" s="1"/>
      <c r="AV450" s="1"/>
      <c r="AW450" s="1" t="s">
        <v>2152</v>
      </c>
      <c r="AX450" s="7">
        <v>44869.641967865035</v>
      </c>
      <c r="AY450" s="1" t="s">
        <v>185</v>
      </c>
      <c r="AZ450" s="6">
        <v>4200</v>
      </c>
      <c r="BA450" s="5">
        <v>44867</v>
      </c>
      <c r="BB450" s="5">
        <v>44895</v>
      </c>
      <c r="BC450" s="5">
        <v>44867</v>
      </c>
      <c r="BD450" s="5">
        <v>44867</v>
      </c>
      <c r="BE450" s="7">
        <v>44926</v>
      </c>
      <c r="BF450" s="1" t="s">
        <v>2170</v>
      </c>
      <c r="BG450" s="1"/>
      <c r="BH450" s="1"/>
      <c r="BI450" s="1" t="s">
        <v>108</v>
      </c>
    </row>
    <row r="451" spans="1:61" hidden="1" x14ac:dyDescent="0.25">
      <c r="A451" s="4">
        <v>446</v>
      </c>
      <c r="B451" s="2" t="str">
        <f>HYPERLINK("https://my.zakupivli.pro/remote/dispatcher/state_purchase_view/38282075", "UA-2022-11-01-010911-a")</f>
        <v>UA-2022-11-01-010911-a</v>
      </c>
      <c r="C451" s="2" t="str">
        <f>HYPERLINK("https://my.zakupivli.pro/remote/dispatcher/state_purchase_lot_view/775689", "UA-2022-11-01-010911-a-L1")</f>
        <v>UA-2022-11-01-010911-a-L1</v>
      </c>
      <c r="D451" s="1" t="s">
        <v>1747</v>
      </c>
      <c r="E451" s="1" t="s">
        <v>1746</v>
      </c>
      <c r="F451" s="1" t="s">
        <v>412</v>
      </c>
      <c r="G451" s="1" t="s">
        <v>1051</v>
      </c>
      <c r="H451" s="1" t="s">
        <v>1185</v>
      </c>
      <c r="I451" s="1" t="s">
        <v>2094</v>
      </c>
      <c r="J451" s="1" t="s">
        <v>1145</v>
      </c>
      <c r="K451" s="1" t="s">
        <v>947</v>
      </c>
      <c r="L451" s="1" t="s">
        <v>1533</v>
      </c>
      <c r="M451" s="1" t="s">
        <v>1533</v>
      </c>
      <c r="N451" s="1" t="s">
        <v>110</v>
      </c>
      <c r="O451" s="1" t="s">
        <v>110</v>
      </c>
      <c r="P451" s="1" t="s">
        <v>110</v>
      </c>
      <c r="Q451" s="5">
        <v>44866</v>
      </c>
      <c r="R451" s="1" t="s">
        <v>463</v>
      </c>
      <c r="S451" s="1" t="s">
        <v>464</v>
      </c>
      <c r="T451" s="5">
        <v>44866</v>
      </c>
      <c r="U451" s="5">
        <v>44874</v>
      </c>
      <c r="V451" s="1" t="s">
        <v>2147</v>
      </c>
      <c r="W451" s="4">
        <v>0</v>
      </c>
      <c r="X451" s="6">
        <v>192900</v>
      </c>
      <c r="Y451" s="6">
        <v>192900</v>
      </c>
      <c r="Z451" s="1">
        <v>1</v>
      </c>
      <c r="AA451" s="6">
        <v>192900</v>
      </c>
      <c r="AB451" s="1" t="s">
        <v>2167</v>
      </c>
      <c r="AC451" s="6">
        <v>964.5</v>
      </c>
      <c r="AD451" s="1" t="s">
        <v>1100</v>
      </c>
      <c r="AE451" s="1" t="s">
        <v>2094</v>
      </c>
      <c r="AF451" s="1" t="s">
        <v>1186</v>
      </c>
      <c r="AG451" s="1" t="s">
        <v>1522</v>
      </c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2"/>
      <c r="AT451" s="1"/>
      <c r="AU451" s="1"/>
      <c r="AV451" s="1"/>
      <c r="AW451" s="1" t="s">
        <v>2153</v>
      </c>
      <c r="AX451" s="7">
        <v>44874.00038243139</v>
      </c>
      <c r="AY451" s="1"/>
      <c r="AZ451" s="1"/>
      <c r="BA451" s="1"/>
      <c r="BB451" s="5">
        <v>44918</v>
      </c>
      <c r="BC451" s="1" t="s">
        <v>109</v>
      </c>
      <c r="BD451" s="1" t="s">
        <v>109</v>
      </c>
      <c r="BE451" s="1"/>
      <c r="BF451" s="1"/>
      <c r="BG451" s="1"/>
      <c r="BH451" s="1"/>
      <c r="BI451" s="1"/>
    </row>
    <row r="452" spans="1:61" hidden="1" x14ac:dyDescent="0.25">
      <c r="A452" s="4">
        <v>447</v>
      </c>
      <c r="B452" s="2" t="str">
        <f>HYPERLINK("https://my.zakupivli.pro/remote/dispatcher/state_purchase_view/38283018", "UA-2022-11-01-011243-a")</f>
        <v>UA-2022-11-01-011243-a</v>
      </c>
      <c r="C452" s="2" t="str">
        <f>HYPERLINK("https://my.zakupivli.pro/remote/dispatcher/state_purchase_lot_view/775738", "UA-2022-11-01-011243-a-L1")</f>
        <v>UA-2022-11-01-011243-a-L1</v>
      </c>
      <c r="D452" s="1" t="s">
        <v>1742</v>
      </c>
      <c r="E452" s="1" t="s">
        <v>1741</v>
      </c>
      <c r="F452" s="1" t="s">
        <v>412</v>
      </c>
      <c r="G452" s="1" t="s">
        <v>966</v>
      </c>
      <c r="H452" s="1" t="s">
        <v>1185</v>
      </c>
      <c r="I452" s="1" t="s">
        <v>2094</v>
      </c>
      <c r="J452" s="1" t="s">
        <v>1145</v>
      </c>
      <c r="K452" s="1" t="s">
        <v>947</v>
      </c>
      <c r="L452" s="1" t="s">
        <v>1533</v>
      </c>
      <c r="M452" s="1" t="s">
        <v>1533</v>
      </c>
      <c r="N452" s="1" t="s">
        <v>110</v>
      </c>
      <c r="O452" s="1" t="s">
        <v>110</v>
      </c>
      <c r="P452" s="1" t="s">
        <v>110</v>
      </c>
      <c r="Q452" s="5">
        <v>44866</v>
      </c>
      <c r="R452" s="1" t="s">
        <v>463</v>
      </c>
      <c r="S452" s="1" t="s">
        <v>464</v>
      </c>
      <c r="T452" s="5">
        <v>44866</v>
      </c>
      <c r="U452" s="5">
        <v>44874</v>
      </c>
      <c r="V452" s="1" t="s">
        <v>2147</v>
      </c>
      <c r="W452" s="4">
        <v>0</v>
      </c>
      <c r="X452" s="6">
        <v>169000</v>
      </c>
      <c r="Y452" s="6">
        <v>169000</v>
      </c>
      <c r="Z452" s="1">
        <v>1</v>
      </c>
      <c r="AA452" s="6">
        <v>169000</v>
      </c>
      <c r="AB452" s="1" t="s">
        <v>2167</v>
      </c>
      <c r="AC452" s="6">
        <v>845</v>
      </c>
      <c r="AD452" s="1" t="s">
        <v>1100</v>
      </c>
      <c r="AE452" s="1" t="s">
        <v>2094</v>
      </c>
      <c r="AF452" s="1" t="s">
        <v>1186</v>
      </c>
      <c r="AG452" s="1" t="s">
        <v>1522</v>
      </c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2"/>
      <c r="AT452" s="1"/>
      <c r="AU452" s="1"/>
      <c r="AV452" s="1"/>
      <c r="AW452" s="1" t="s">
        <v>2153</v>
      </c>
      <c r="AX452" s="7">
        <v>44874.000208809841</v>
      </c>
      <c r="AY452" s="1"/>
      <c r="AZ452" s="1"/>
      <c r="BA452" s="1"/>
      <c r="BB452" s="5">
        <v>44918</v>
      </c>
      <c r="BC452" s="1" t="s">
        <v>109</v>
      </c>
      <c r="BD452" s="1" t="s">
        <v>109</v>
      </c>
      <c r="BE452" s="1"/>
      <c r="BF452" s="1"/>
      <c r="BG452" s="1"/>
      <c r="BH452" s="1"/>
      <c r="BI452" s="1"/>
    </row>
    <row r="453" spans="1:61" hidden="1" x14ac:dyDescent="0.25">
      <c r="A453" s="4">
        <v>448</v>
      </c>
      <c r="B453" s="2" t="str">
        <f>HYPERLINK("https://my.zakupivli.pro/remote/dispatcher/state_purchase_view/38274652", "UA-2022-11-01-007102-a")</f>
        <v>UA-2022-11-01-007102-a</v>
      </c>
      <c r="C453" s="2" t="s">
        <v>1516</v>
      </c>
      <c r="D453" s="1" t="s">
        <v>1906</v>
      </c>
      <c r="E453" s="1" t="s">
        <v>1906</v>
      </c>
      <c r="F453" s="1" t="s">
        <v>412</v>
      </c>
      <c r="G453" s="1" t="s">
        <v>1024</v>
      </c>
      <c r="H453" s="1" t="s">
        <v>1218</v>
      </c>
      <c r="I453" s="1" t="s">
        <v>2094</v>
      </c>
      <c r="J453" s="1" t="s">
        <v>1145</v>
      </c>
      <c r="K453" s="1" t="s">
        <v>947</v>
      </c>
      <c r="L453" s="1" t="s">
        <v>1533</v>
      </c>
      <c r="M453" s="1" t="s">
        <v>1533</v>
      </c>
      <c r="N453" s="1" t="s">
        <v>110</v>
      </c>
      <c r="O453" s="1" t="s">
        <v>110</v>
      </c>
      <c r="P453" s="1" t="s">
        <v>110</v>
      </c>
      <c r="Q453" s="5">
        <v>44866</v>
      </c>
      <c r="R453" s="1"/>
      <c r="S453" s="1"/>
      <c r="T453" s="1"/>
      <c r="U453" s="1"/>
      <c r="V453" s="1" t="s">
        <v>2146</v>
      </c>
      <c r="W453" s="4">
        <v>1</v>
      </c>
      <c r="X453" s="6">
        <v>1670.37</v>
      </c>
      <c r="Y453" s="1" t="s">
        <v>1516</v>
      </c>
      <c r="Z453" s="1">
        <v>14131</v>
      </c>
      <c r="AA453" s="6">
        <v>0.12</v>
      </c>
      <c r="AB453" s="1" t="s">
        <v>2154</v>
      </c>
      <c r="AC453" s="1" t="s">
        <v>2162</v>
      </c>
      <c r="AD453" s="1" t="s">
        <v>1100</v>
      </c>
      <c r="AE453" s="1" t="s">
        <v>2094</v>
      </c>
      <c r="AF453" s="1" t="s">
        <v>1186</v>
      </c>
      <c r="AG453" s="1" t="s">
        <v>1522</v>
      </c>
      <c r="AH453" s="6">
        <v>1670.37</v>
      </c>
      <c r="AI453" s="6">
        <v>0.1182060717571297</v>
      </c>
      <c r="AJ453" s="1" t="s">
        <v>1146</v>
      </c>
      <c r="AK453" s="1"/>
      <c r="AL453" s="1"/>
      <c r="AM453" s="1" t="s">
        <v>1146</v>
      </c>
      <c r="AN453" s="1" t="s">
        <v>733</v>
      </c>
      <c r="AO453" s="1"/>
      <c r="AP453" s="1" t="s">
        <v>46</v>
      </c>
      <c r="AQ453" s="1"/>
      <c r="AR453" s="1"/>
      <c r="AS453" s="2"/>
      <c r="AT453" s="1"/>
      <c r="AU453" s="1"/>
      <c r="AV453" s="1"/>
      <c r="AW453" s="1" t="s">
        <v>2152</v>
      </c>
      <c r="AX453" s="7">
        <v>44866.587680782606</v>
      </c>
      <c r="AY453" s="1" t="s">
        <v>135</v>
      </c>
      <c r="AZ453" s="6">
        <v>1670.37</v>
      </c>
      <c r="BA453" s="5">
        <v>44835</v>
      </c>
      <c r="BB453" s="5">
        <v>44926</v>
      </c>
      <c r="BC453" s="5">
        <v>44865</v>
      </c>
      <c r="BD453" s="5">
        <v>44835</v>
      </c>
      <c r="BE453" s="7">
        <v>44926</v>
      </c>
      <c r="BF453" s="1" t="s">
        <v>2170</v>
      </c>
      <c r="BG453" s="1"/>
      <c r="BH453" s="1"/>
      <c r="BI453" s="1" t="s">
        <v>108</v>
      </c>
    </row>
    <row r="454" spans="1:61" hidden="1" x14ac:dyDescent="0.25">
      <c r="A454" s="4">
        <v>449</v>
      </c>
      <c r="B454" s="2" t="str">
        <f>HYPERLINK("https://my.zakupivli.pro/remote/dispatcher/state_purchase_view/37964434", "UA-2022-10-13-008171-a")</f>
        <v>UA-2022-10-13-008171-a</v>
      </c>
      <c r="C454" s="2" t="s">
        <v>1516</v>
      </c>
      <c r="D454" s="1" t="s">
        <v>1844</v>
      </c>
      <c r="E454" s="1" t="s">
        <v>1844</v>
      </c>
      <c r="F454" s="1" t="s">
        <v>412</v>
      </c>
      <c r="G454" s="1" t="s">
        <v>1035</v>
      </c>
      <c r="H454" s="1" t="s">
        <v>1218</v>
      </c>
      <c r="I454" s="1" t="s">
        <v>2094</v>
      </c>
      <c r="J454" s="1" t="s">
        <v>1145</v>
      </c>
      <c r="K454" s="1" t="s">
        <v>947</v>
      </c>
      <c r="L454" s="1" t="s">
        <v>1533</v>
      </c>
      <c r="M454" s="1" t="s">
        <v>1533</v>
      </c>
      <c r="N454" s="1" t="s">
        <v>110</v>
      </c>
      <c r="O454" s="1" t="s">
        <v>110</v>
      </c>
      <c r="P454" s="1" t="s">
        <v>110</v>
      </c>
      <c r="Q454" s="5">
        <v>44847</v>
      </c>
      <c r="R454" s="1"/>
      <c r="S454" s="1"/>
      <c r="T454" s="1"/>
      <c r="U454" s="1"/>
      <c r="V454" s="1" t="s">
        <v>2146</v>
      </c>
      <c r="W454" s="4">
        <v>1</v>
      </c>
      <c r="X454" s="6">
        <v>32972.36</v>
      </c>
      <c r="Y454" s="1" t="s">
        <v>1516</v>
      </c>
      <c r="Z454" s="1">
        <v>1</v>
      </c>
      <c r="AA454" s="6">
        <v>32972.36</v>
      </c>
      <c r="AB454" s="1" t="s">
        <v>2167</v>
      </c>
      <c r="AC454" s="1" t="s">
        <v>2162</v>
      </c>
      <c r="AD454" s="1" t="s">
        <v>1100</v>
      </c>
      <c r="AE454" s="1" t="s">
        <v>1522</v>
      </c>
      <c r="AF454" s="1" t="s">
        <v>1186</v>
      </c>
      <c r="AG454" s="1" t="s">
        <v>1522</v>
      </c>
      <c r="AH454" s="6">
        <v>32972.36</v>
      </c>
      <c r="AI454" s="6">
        <v>32972.36</v>
      </c>
      <c r="AJ454" s="1" t="s">
        <v>1498</v>
      </c>
      <c r="AK454" s="1"/>
      <c r="AL454" s="1"/>
      <c r="AM454" s="1" t="s">
        <v>1498</v>
      </c>
      <c r="AN454" s="1" t="s">
        <v>785</v>
      </c>
      <c r="AO454" s="1"/>
      <c r="AP454" s="1" t="s">
        <v>81</v>
      </c>
      <c r="AQ454" s="1"/>
      <c r="AR454" s="1"/>
      <c r="AS454" s="2"/>
      <c r="AT454" s="1"/>
      <c r="AU454" s="1"/>
      <c r="AV454" s="1"/>
      <c r="AW454" s="1" t="s">
        <v>2152</v>
      </c>
      <c r="AX454" s="7">
        <v>44847.609333134998</v>
      </c>
      <c r="AY454" s="1" t="s">
        <v>291</v>
      </c>
      <c r="AZ454" s="6">
        <v>32972.36</v>
      </c>
      <c r="BA454" s="5">
        <v>44847</v>
      </c>
      <c r="BB454" s="5">
        <v>44926</v>
      </c>
      <c r="BC454" s="5">
        <v>44847</v>
      </c>
      <c r="BD454" s="5">
        <v>44847</v>
      </c>
      <c r="BE454" s="7">
        <v>44926</v>
      </c>
      <c r="BF454" s="1" t="s">
        <v>2170</v>
      </c>
      <c r="BG454" s="1"/>
      <c r="BH454" s="1"/>
      <c r="BI454" s="1" t="s">
        <v>108</v>
      </c>
    </row>
    <row r="455" spans="1:61" hidden="1" x14ac:dyDescent="0.25">
      <c r="A455" s="4">
        <v>450</v>
      </c>
      <c r="B455" s="2" t="str">
        <f>HYPERLINK("https://my.zakupivli.pro/remote/dispatcher/state_purchase_view/37883170", "UA-2022-10-07-006029-a")</f>
        <v>UA-2022-10-07-006029-a</v>
      </c>
      <c r="C455" s="2" t="s">
        <v>1516</v>
      </c>
      <c r="D455" s="1" t="s">
        <v>1214</v>
      </c>
      <c r="E455" s="1" t="s">
        <v>1214</v>
      </c>
      <c r="F455" s="1" t="s">
        <v>412</v>
      </c>
      <c r="G455" s="1" t="s">
        <v>144</v>
      </c>
      <c r="H455" s="1" t="s">
        <v>2015</v>
      </c>
      <c r="I455" s="1" t="s">
        <v>2094</v>
      </c>
      <c r="J455" s="1" t="s">
        <v>1145</v>
      </c>
      <c r="K455" s="1" t="s">
        <v>947</v>
      </c>
      <c r="L455" s="1" t="s">
        <v>1533</v>
      </c>
      <c r="M455" s="1" t="s">
        <v>1533</v>
      </c>
      <c r="N455" s="1" t="s">
        <v>110</v>
      </c>
      <c r="O455" s="1" t="s">
        <v>110</v>
      </c>
      <c r="P455" s="1" t="s">
        <v>110</v>
      </c>
      <c r="Q455" s="5">
        <v>44841</v>
      </c>
      <c r="R455" s="1" t="s">
        <v>454</v>
      </c>
      <c r="S455" s="1" t="s">
        <v>457</v>
      </c>
      <c r="T455" s="5">
        <v>44847</v>
      </c>
      <c r="U455" s="5">
        <v>44852</v>
      </c>
      <c r="V455" s="1" t="s">
        <v>2147</v>
      </c>
      <c r="W455" s="4">
        <v>1</v>
      </c>
      <c r="X455" s="6">
        <v>85124</v>
      </c>
      <c r="Y455" s="1" t="s">
        <v>1516</v>
      </c>
      <c r="Z455" s="1">
        <v>14576</v>
      </c>
      <c r="AA455" s="6">
        <v>5.84</v>
      </c>
      <c r="AB455" s="1" t="s">
        <v>1485</v>
      </c>
      <c r="AC455" s="6">
        <v>425.62</v>
      </c>
      <c r="AD455" s="1" t="s">
        <v>1100</v>
      </c>
      <c r="AE455" s="1" t="s">
        <v>2094</v>
      </c>
      <c r="AF455" s="1" t="s">
        <v>1186</v>
      </c>
      <c r="AG455" s="1" t="s">
        <v>1522</v>
      </c>
      <c r="AH455" s="6">
        <v>82733.38</v>
      </c>
      <c r="AI455" s="6">
        <v>5.6760002744237106</v>
      </c>
      <c r="AJ455" s="1" t="s">
        <v>2038</v>
      </c>
      <c r="AK455" s="6">
        <v>2390.6199999999953</v>
      </c>
      <c r="AL455" s="6">
        <v>2.8083971617875046E-2</v>
      </c>
      <c r="AM455" s="1" t="s">
        <v>2038</v>
      </c>
      <c r="AN455" s="1" t="s">
        <v>922</v>
      </c>
      <c r="AO455" s="1" t="s">
        <v>1123</v>
      </c>
      <c r="AP455" s="1" t="s">
        <v>47</v>
      </c>
      <c r="AQ455" s="6">
        <v>2390.6199999999953</v>
      </c>
      <c r="AR455" s="6">
        <v>2.8083971617875046E-2</v>
      </c>
      <c r="AS455" s="2"/>
      <c r="AT455" s="7">
        <v>44852.684317349282</v>
      </c>
      <c r="AU455" s="1" t="s">
        <v>460</v>
      </c>
      <c r="AV455" s="1" t="s">
        <v>465</v>
      </c>
      <c r="AW455" s="1" t="s">
        <v>2152</v>
      </c>
      <c r="AX455" s="7">
        <v>44865.523118571931</v>
      </c>
      <c r="AY455" s="1" t="s">
        <v>1015</v>
      </c>
      <c r="AZ455" s="6">
        <v>82733.38</v>
      </c>
      <c r="BA455" s="1"/>
      <c r="BB455" s="5">
        <v>44926</v>
      </c>
      <c r="BC455" s="5">
        <v>44862</v>
      </c>
      <c r="BD455" s="5">
        <v>44862</v>
      </c>
      <c r="BE455" s="7">
        <v>44926</v>
      </c>
      <c r="BF455" s="1" t="s">
        <v>2170</v>
      </c>
      <c r="BG455" s="1"/>
      <c r="BH455" s="1"/>
      <c r="BI455" s="1" t="s">
        <v>923</v>
      </c>
    </row>
    <row r="456" spans="1:61" hidden="1" x14ac:dyDescent="0.25">
      <c r="A456" s="4">
        <v>451</v>
      </c>
      <c r="B456" s="2" t="str">
        <f>HYPERLINK("https://my.zakupivli.pro/remote/dispatcher/state_purchase_view/37845039", "UA-2022-10-05-011766-a")</f>
        <v>UA-2022-10-05-011766-a</v>
      </c>
      <c r="C456" s="2" t="s">
        <v>1516</v>
      </c>
      <c r="D456" s="1" t="s">
        <v>1886</v>
      </c>
      <c r="E456" s="1" t="s">
        <v>1886</v>
      </c>
      <c r="F456" s="1" t="s">
        <v>412</v>
      </c>
      <c r="G456" s="1" t="s">
        <v>1051</v>
      </c>
      <c r="H456" s="1" t="s">
        <v>2015</v>
      </c>
      <c r="I456" s="1" t="s">
        <v>2094</v>
      </c>
      <c r="J456" s="1" t="s">
        <v>1145</v>
      </c>
      <c r="K456" s="1" t="s">
        <v>947</v>
      </c>
      <c r="L456" s="1" t="s">
        <v>1533</v>
      </c>
      <c r="M456" s="1" t="s">
        <v>1533</v>
      </c>
      <c r="N456" s="1" t="s">
        <v>110</v>
      </c>
      <c r="O456" s="1" t="s">
        <v>110</v>
      </c>
      <c r="P456" s="1" t="s">
        <v>110</v>
      </c>
      <c r="Q456" s="5">
        <v>44839</v>
      </c>
      <c r="R456" s="1" t="s">
        <v>453</v>
      </c>
      <c r="S456" s="1" t="s">
        <v>456</v>
      </c>
      <c r="T456" s="5">
        <v>44845</v>
      </c>
      <c r="U456" s="5">
        <v>44848</v>
      </c>
      <c r="V456" s="1" t="s">
        <v>2147</v>
      </c>
      <c r="W456" s="4">
        <v>1</v>
      </c>
      <c r="X456" s="6">
        <v>199000</v>
      </c>
      <c r="Y456" s="1" t="s">
        <v>1516</v>
      </c>
      <c r="Z456" s="1">
        <v>1</v>
      </c>
      <c r="AA456" s="6">
        <v>199000</v>
      </c>
      <c r="AB456" s="1" t="s">
        <v>2167</v>
      </c>
      <c r="AC456" s="6">
        <v>995</v>
      </c>
      <c r="AD456" s="1" t="s">
        <v>1100</v>
      </c>
      <c r="AE456" s="1" t="s">
        <v>2094</v>
      </c>
      <c r="AF456" s="1" t="s">
        <v>1186</v>
      </c>
      <c r="AG456" s="1" t="s">
        <v>1522</v>
      </c>
      <c r="AH456" s="6">
        <v>198896.69</v>
      </c>
      <c r="AI456" s="6">
        <v>198896.69</v>
      </c>
      <c r="AJ456" s="1" t="s">
        <v>2122</v>
      </c>
      <c r="AK456" s="6">
        <v>103.30999999999767</v>
      </c>
      <c r="AL456" s="6">
        <v>5.1914572864320441E-4</v>
      </c>
      <c r="AM456" s="1" t="s">
        <v>2122</v>
      </c>
      <c r="AN456" s="1" t="s">
        <v>225</v>
      </c>
      <c r="AO456" s="1" t="s">
        <v>1107</v>
      </c>
      <c r="AP456" s="1" t="s">
        <v>55</v>
      </c>
      <c r="AQ456" s="6">
        <v>103.30999999999767</v>
      </c>
      <c r="AR456" s="6">
        <v>5.1914572864320441E-4</v>
      </c>
      <c r="AS456" s="2"/>
      <c r="AT456" s="7">
        <v>44851.600423255521</v>
      </c>
      <c r="AU456" s="1" t="s">
        <v>459</v>
      </c>
      <c r="AV456" s="1" t="s">
        <v>464</v>
      </c>
      <c r="AW456" s="1" t="s">
        <v>2152</v>
      </c>
      <c r="AX456" s="7">
        <v>44853.43184199361</v>
      </c>
      <c r="AY456" s="1" t="s">
        <v>740</v>
      </c>
      <c r="AZ456" s="6">
        <v>198896.69</v>
      </c>
      <c r="BA456" s="1"/>
      <c r="BB456" s="5">
        <v>44895</v>
      </c>
      <c r="BC456" s="5">
        <v>44853</v>
      </c>
      <c r="BD456" s="5">
        <v>44853</v>
      </c>
      <c r="BE456" s="7">
        <v>44926</v>
      </c>
      <c r="BF456" s="1" t="s">
        <v>2170</v>
      </c>
      <c r="BG456" s="1"/>
      <c r="BH456" s="1"/>
      <c r="BI456" s="1" t="s">
        <v>226</v>
      </c>
    </row>
    <row r="457" spans="1:61" hidden="1" x14ac:dyDescent="0.25">
      <c r="A457" s="4">
        <v>452</v>
      </c>
      <c r="B457" s="2" t="str">
        <f>HYPERLINK("https://my.zakupivli.pro/remote/dispatcher/state_purchase_view/37793247", "UA-2022-10-03-007522-a")</f>
        <v>UA-2022-10-03-007522-a</v>
      </c>
      <c r="C457" s="2" t="s">
        <v>1516</v>
      </c>
      <c r="D457" s="1" t="s">
        <v>1163</v>
      </c>
      <c r="E457" s="1" t="s">
        <v>1163</v>
      </c>
      <c r="F457" s="1" t="s">
        <v>412</v>
      </c>
      <c r="G457" s="1" t="s">
        <v>143</v>
      </c>
      <c r="H457" s="1" t="s">
        <v>1218</v>
      </c>
      <c r="I457" s="1" t="s">
        <v>2094</v>
      </c>
      <c r="J457" s="1" t="s">
        <v>1145</v>
      </c>
      <c r="K457" s="1" t="s">
        <v>947</v>
      </c>
      <c r="L457" s="1" t="s">
        <v>1533</v>
      </c>
      <c r="M457" s="1" t="s">
        <v>1533</v>
      </c>
      <c r="N457" s="1" t="s">
        <v>110</v>
      </c>
      <c r="O457" s="1" t="s">
        <v>110</v>
      </c>
      <c r="P457" s="1" t="s">
        <v>110</v>
      </c>
      <c r="Q457" s="5">
        <v>44837</v>
      </c>
      <c r="R457" s="1"/>
      <c r="S457" s="1"/>
      <c r="T457" s="1"/>
      <c r="U457" s="1"/>
      <c r="V457" s="1" t="s">
        <v>2146</v>
      </c>
      <c r="W457" s="4">
        <v>1</v>
      </c>
      <c r="X457" s="6">
        <v>49820</v>
      </c>
      <c r="Y457" s="1" t="s">
        <v>1516</v>
      </c>
      <c r="Z457" s="1">
        <v>1060</v>
      </c>
      <c r="AA457" s="6">
        <v>47</v>
      </c>
      <c r="AB457" s="1" t="s">
        <v>2158</v>
      </c>
      <c r="AC457" s="1" t="s">
        <v>2162</v>
      </c>
      <c r="AD457" s="1" t="s">
        <v>1100</v>
      </c>
      <c r="AE457" s="1" t="s">
        <v>2094</v>
      </c>
      <c r="AF457" s="1" t="s">
        <v>1186</v>
      </c>
      <c r="AG457" s="1" t="s">
        <v>1522</v>
      </c>
      <c r="AH457" s="6">
        <v>49820</v>
      </c>
      <c r="AI457" s="6">
        <v>47</v>
      </c>
      <c r="AJ457" s="1" t="s">
        <v>2078</v>
      </c>
      <c r="AK457" s="1"/>
      <c r="AL457" s="1"/>
      <c r="AM457" s="1" t="s">
        <v>2078</v>
      </c>
      <c r="AN457" s="1" t="s">
        <v>915</v>
      </c>
      <c r="AO457" s="1"/>
      <c r="AP457" s="1" t="s">
        <v>132</v>
      </c>
      <c r="AQ457" s="1"/>
      <c r="AR457" s="1"/>
      <c r="AS457" s="2"/>
      <c r="AT457" s="1"/>
      <c r="AU457" s="1"/>
      <c r="AV457" s="1"/>
      <c r="AW457" s="1" t="s">
        <v>2152</v>
      </c>
      <c r="AX457" s="7">
        <v>44837.642039010359</v>
      </c>
      <c r="AY457" s="1" t="s">
        <v>251</v>
      </c>
      <c r="AZ457" s="6">
        <v>49820</v>
      </c>
      <c r="BA457" s="1"/>
      <c r="BB457" s="5">
        <v>44926</v>
      </c>
      <c r="BC457" s="5">
        <v>44837</v>
      </c>
      <c r="BD457" s="5">
        <v>44837</v>
      </c>
      <c r="BE457" s="7">
        <v>44926</v>
      </c>
      <c r="BF457" s="1" t="s">
        <v>2170</v>
      </c>
      <c r="BG457" s="1"/>
      <c r="BH457" s="1"/>
      <c r="BI457" s="1" t="s">
        <v>108</v>
      </c>
    </row>
    <row r="458" spans="1:61" hidden="1" x14ac:dyDescent="0.25">
      <c r="A458" s="4">
        <v>453</v>
      </c>
      <c r="B458" s="2" t="str">
        <f>HYPERLINK("https://my.zakupivli.pro/remote/dispatcher/state_purchase_view/37791693", "UA-2022-10-03-006804-a")</f>
        <v>UA-2022-10-03-006804-a</v>
      </c>
      <c r="C458" s="2" t="s">
        <v>1516</v>
      </c>
      <c r="D458" s="1" t="s">
        <v>1214</v>
      </c>
      <c r="E458" s="1" t="s">
        <v>1214</v>
      </c>
      <c r="F458" s="1" t="s">
        <v>412</v>
      </c>
      <c r="G458" s="1" t="s">
        <v>144</v>
      </c>
      <c r="H458" s="1" t="s">
        <v>1218</v>
      </c>
      <c r="I458" s="1" t="s">
        <v>2094</v>
      </c>
      <c r="J458" s="1" t="s">
        <v>1145</v>
      </c>
      <c r="K458" s="1" t="s">
        <v>947</v>
      </c>
      <c r="L458" s="1" t="s">
        <v>1533</v>
      </c>
      <c r="M458" s="1" t="s">
        <v>1533</v>
      </c>
      <c r="N458" s="1" t="s">
        <v>110</v>
      </c>
      <c r="O458" s="1" t="s">
        <v>110</v>
      </c>
      <c r="P458" s="1" t="s">
        <v>110</v>
      </c>
      <c r="Q458" s="5">
        <v>44837</v>
      </c>
      <c r="R458" s="1"/>
      <c r="S458" s="1"/>
      <c r="T458" s="1"/>
      <c r="U458" s="1"/>
      <c r="V458" s="1" t="s">
        <v>2146</v>
      </c>
      <c r="W458" s="4">
        <v>1</v>
      </c>
      <c r="X458" s="6">
        <v>20000</v>
      </c>
      <c r="Y458" s="1" t="s">
        <v>1516</v>
      </c>
      <c r="Z458" s="1">
        <v>3424.1837999999998</v>
      </c>
      <c r="AA458" s="6">
        <v>5.84</v>
      </c>
      <c r="AB458" s="1" t="s">
        <v>1485</v>
      </c>
      <c r="AC458" s="1" t="s">
        <v>2162</v>
      </c>
      <c r="AD458" s="1" t="s">
        <v>1100</v>
      </c>
      <c r="AE458" s="1" t="s">
        <v>2094</v>
      </c>
      <c r="AF458" s="1" t="s">
        <v>1186</v>
      </c>
      <c r="AG458" s="1" t="s">
        <v>1522</v>
      </c>
      <c r="AH458" s="6">
        <v>20000</v>
      </c>
      <c r="AI458" s="6">
        <v>5.8411214953271031</v>
      </c>
      <c r="AJ458" s="1" t="s">
        <v>2068</v>
      </c>
      <c r="AK458" s="1"/>
      <c r="AL458" s="1"/>
      <c r="AM458" s="1" t="s">
        <v>2068</v>
      </c>
      <c r="AN458" s="1" t="s">
        <v>922</v>
      </c>
      <c r="AO458" s="1"/>
      <c r="AP458" s="1" t="s">
        <v>39</v>
      </c>
      <c r="AQ458" s="1"/>
      <c r="AR458" s="1"/>
      <c r="AS458" s="2"/>
      <c r="AT458" s="1"/>
      <c r="AU458" s="1"/>
      <c r="AV458" s="1"/>
      <c r="AW458" s="1" t="s">
        <v>2152</v>
      </c>
      <c r="AX458" s="7">
        <v>44837.622222713748</v>
      </c>
      <c r="AY458" s="1" t="s">
        <v>1014</v>
      </c>
      <c r="AZ458" s="6">
        <v>20000</v>
      </c>
      <c r="BA458" s="5">
        <v>44835</v>
      </c>
      <c r="BB458" s="5">
        <v>44865</v>
      </c>
      <c r="BC458" s="5">
        <v>44834</v>
      </c>
      <c r="BD458" s="5">
        <v>44834</v>
      </c>
      <c r="BE458" s="7">
        <v>44926</v>
      </c>
      <c r="BF458" s="1" t="s">
        <v>2170</v>
      </c>
      <c r="BG458" s="1"/>
      <c r="BH458" s="1"/>
      <c r="BI458" s="1" t="s">
        <v>108</v>
      </c>
    </row>
    <row r="459" spans="1:61" hidden="1" x14ac:dyDescent="0.25">
      <c r="A459" s="4">
        <v>454</v>
      </c>
      <c r="B459" s="2" t="str">
        <f>HYPERLINK("https://my.zakupivli.pro/remote/dispatcher/state_purchase_view/37738901", "UA-2022-09-28-008455-a")</f>
        <v>UA-2022-09-28-008455-a</v>
      </c>
      <c r="C459" s="2" t="s">
        <v>1516</v>
      </c>
      <c r="D459" s="1" t="s">
        <v>1214</v>
      </c>
      <c r="E459" s="1" t="s">
        <v>1214</v>
      </c>
      <c r="F459" s="1" t="s">
        <v>412</v>
      </c>
      <c r="G459" s="1" t="s">
        <v>144</v>
      </c>
      <c r="H459" s="1" t="s">
        <v>2015</v>
      </c>
      <c r="I459" s="1" t="s">
        <v>2094</v>
      </c>
      <c r="J459" s="1" t="s">
        <v>1145</v>
      </c>
      <c r="K459" s="1" t="s">
        <v>947</v>
      </c>
      <c r="L459" s="1" t="s">
        <v>1533</v>
      </c>
      <c r="M459" s="1" t="s">
        <v>1533</v>
      </c>
      <c r="N459" s="1" t="s">
        <v>110</v>
      </c>
      <c r="O459" s="1" t="s">
        <v>110</v>
      </c>
      <c r="P459" s="1" t="s">
        <v>110</v>
      </c>
      <c r="Q459" s="5">
        <v>44832</v>
      </c>
      <c r="R459" s="1" t="s">
        <v>450</v>
      </c>
      <c r="S459" s="1" t="s">
        <v>452</v>
      </c>
      <c r="T459" s="5">
        <v>44838</v>
      </c>
      <c r="U459" s="5">
        <v>44841</v>
      </c>
      <c r="V459" s="1" t="s">
        <v>2147</v>
      </c>
      <c r="W459" s="4">
        <v>1</v>
      </c>
      <c r="X459" s="6">
        <v>85124</v>
      </c>
      <c r="Y459" s="1" t="s">
        <v>1516</v>
      </c>
      <c r="Z459" s="1">
        <v>14576</v>
      </c>
      <c r="AA459" s="6">
        <v>5.84</v>
      </c>
      <c r="AB459" s="1" t="s">
        <v>1485</v>
      </c>
      <c r="AC459" s="6">
        <v>425.62</v>
      </c>
      <c r="AD459" s="1" t="s">
        <v>1100</v>
      </c>
      <c r="AE459" s="1" t="s">
        <v>2094</v>
      </c>
      <c r="AF459" s="1" t="s">
        <v>1186</v>
      </c>
      <c r="AG459" s="1" t="s">
        <v>1522</v>
      </c>
      <c r="AH459" s="6">
        <v>82733.38</v>
      </c>
      <c r="AI459" s="6">
        <v>5.6760002744237106</v>
      </c>
      <c r="AJ459" s="1" t="s">
        <v>2038</v>
      </c>
      <c r="AK459" s="6">
        <v>2390.6199999999953</v>
      </c>
      <c r="AL459" s="6">
        <v>2.8083971617875046E-2</v>
      </c>
      <c r="AM459" s="1"/>
      <c r="AN459" s="1"/>
      <c r="AO459" s="1"/>
      <c r="AP459" s="1"/>
      <c r="AQ459" s="1"/>
      <c r="AR459" s="1"/>
      <c r="AS459" s="2"/>
      <c r="AT459" s="7">
        <v>44841.549367752777</v>
      </c>
      <c r="AU459" s="1"/>
      <c r="AV459" s="1"/>
      <c r="AW459" s="1" t="s">
        <v>2153</v>
      </c>
      <c r="AX459" s="7">
        <v>44846.000799876922</v>
      </c>
      <c r="AY459" s="1"/>
      <c r="AZ459" s="1"/>
      <c r="BA459" s="1"/>
      <c r="BB459" s="5">
        <v>44926</v>
      </c>
      <c r="BC459" s="1" t="s">
        <v>109</v>
      </c>
      <c r="BD459" s="1" t="s">
        <v>109</v>
      </c>
      <c r="BE459" s="1"/>
      <c r="BF459" s="1"/>
      <c r="BG459" s="1"/>
      <c r="BH459" s="1"/>
      <c r="BI459" s="1" t="s">
        <v>923</v>
      </c>
    </row>
    <row r="460" spans="1:61" hidden="1" x14ac:dyDescent="0.25">
      <c r="A460" s="4">
        <v>455</v>
      </c>
      <c r="B460" s="2" t="str">
        <f>HYPERLINK("https://my.zakupivli.pro/remote/dispatcher/state_purchase_view/37536859", "UA-2022-09-15-010539-a")</f>
        <v>UA-2022-09-15-010539-a</v>
      </c>
      <c r="C460" s="2" t="s">
        <v>1516</v>
      </c>
      <c r="D460" s="1" t="s">
        <v>1214</v>
      </c>
      <c r="E460" s="1" t="s">
        <v>1214</v>
      </c>
      <c r="F460" s="1" t="s">
        <v>412</v>
      </c>
      <c r="G460" s="1" t="s">
        <v>144</v>
      </c>
      <c r="H460" s="1" t="s">
        <v>2015</v>
      </c>
      <c r="I460" s="1" t="s">
        <v>2094</v>
      </c>
      <c r="J460" s="1" t="s">
        <v>1145</v>
      </c>
      <c r="K460" s="1" t="s">
        <v>947</v>
      </c>
      <c r="L460" s="1" t="s">
        <v>1533</v>
      </c>
      <c r="M460" s="1" t="s">
        <v>1533</v>
      </c>
      <c r="N460" s="1" t="s">
        <v>110</v>
      </c>
      <c r="O460" s="1" t="s">
        <v>110</v>
      </c>
      <c r="P460" s="1" t="s">
        <v>110</v>
      </c>
      <c r="Q460" s="5">
        <v>44819</v>
      </c>
      <c r="R460" s="1" t="s">
        <v>444</v>
      </c>
      <c r="S460" s="1" t="s">
        <v>447</v>
      </c>
      <c r="T460" s="5">
        <v>44825</v>
      </c>
      <c r="U460" s="5">
        <v>44830</v>
      </c>
      <c r="V460" s="1" t="s">
        <v>2147</v>
      </c>
      <c r="W460" s="4">
        <v>1</v>
      </c>
      <c r="X460" s="6">
        <v>105120</v>
      </c>
      <c r="Y460" s="1" t="s">
        <v>1516</v>
      </c>
      <c r="Z460" s="1">
        <v>18000</v>
      </c>
      <c r="AA460" s="6">
        <v>5.84</v>
      </c>
      <c r="AB460" s="1" t="s">
        <v>1485</v>
      </c>
      <c r="AC460" s="6">
        <v>525.6</v>
      </c>
      <c r="AD460" s="1" t="s">
        <v>1100</v>
      </c>
      <c r="AE460" s="1" t="s">
        <v>2094</v>
      </c>
      <c r="AF460" s="1" t="s">
        <v>1186</v>
      </c>
      <c r="AG460" s="1" t="s">
        <v>1522</v>
      </c>
      <c r="AH460" s="6">
        <v>98820</v>
      </c>
      <c r="AI460" s="6">
        <v>5.49</v>
      </c>
      <c r="AJ460" s="1" t="s">
        <v>2038</v>
      </c>
      <c r="AK460" s="6">
        <v>6300</v>
      </c>
      <c r="AL460" s="6">
        <v>5.9931506849315065E-2</v>
      </c>
      <c r="AM460" s="1"/>
      <c r="AN460" s="1"/>
      <c r="AO460" s="1"/>
      <c r="AP460" s="1"/>
      <c r="AQ460" s="1"/>
      <c r="AR460" s="1"/>
      <c r="AS460" s="2"/>
      <c r="AT460" s="7">
        <v>44832.558093481704</v>
      </c>
      <c r="AU460" s="1"/>
      <c r="AV460" s="1"/>
      <c r="AW460" s="1" t="s">
        <v>2153</v>
      </c>
      <c r="AX460" s="7">
        <v>44835.00191025353</v>
      </c>
      <c r="AY460" s="1"/>
      <c r="AZ460" s="1"/>
      <c r="BA460" s="5">
        <v>44835</v>
      </c>
      <c r="BB460" s="5">
        <v>44926</v>
      </c>
      <c r="BC460" s="1" t="s">
        <v>109</v>
      </c>
      <c r="BD460" s="1" t="s">
        <v>109</v>
      </c>
      <c r="BE460" s="1"/>
      <c r="BF460" s="1"/>
      <c r="BG460" s="1"/>
      <c r="BH460" s="1"/>
      <c r="BI460" s="1" t="s">
        <v>923</v>
      </c>
    </row>
    <row r="461" spans="1:61" hidden="1" x14ac:dyDescent="0.25">
      <c r="A461" s="4">
        <v>456</v>
      </c>
      <c r="B461" s="2" t="str">
        <f>HYPERLINK("https://my.zakupivli.pro/remote/dispatcher/state_purchase_view/37514958", "UA-2022-09-14-010901-a")</f>
        <v>UA-2022-09-14-010901-a</v>
      </c>
      <c r="C461" s="2" t="s">
        <v>1516</v>
      </c>
      <c r="D461" s="1" t="s">
        <v>1905</v>
      </c>
      <c r="E461" s="1" t="s">
        <v>1905</v>
      </c>
      <c r="F461" s="1" t="s">
        <v>412</v>
      </c>
      <c r="G461" s="1" t="s">
        <v>964</v>
      </c>
      <c r="H461" s="1" t="s">
        <v>2015</v>
      </c>
      <c r="I461" s="1" t="s">
        <v>2094</v>
      </c>
      <c r="J461" s="1" t="s">
        <v>1145</v>
      </c>
      <c r="K461" s="1" t="s">
        <v>947</v>
      </c>
      <c r="L461" s="1" t="s">
        <v>1533</v>
      </c>
      <c r="M461" s="1" t="s">
        <v>1533</v>
      </c>
      <c r="N461" s="1" t="s">
        <v>110</v>
      </c>
      <c r="O461" s="1" t="s">
        <v>110</v>
      </c>
      <c r="P461" s="1" t="s">
        <v>110</v>
      </c>
      <c r="Q461" s="5">
        <v>44818</v>
      </c>
      <c r="R461" s="1" t="s">
        <v>443</v>
      </c>
      <c r="S461" s="1" t="s">
        <v>446</v>
      </c>
      <c r="T461" s="5">
        <v>44824</v>
      </c>
      <c r="U461" s="5">
        <v>44827</v>
      </c>
      <c r="V461" s="1" t="s">
        <v>2147</v>
      </c>
      <c r="W461" s="4">
        <v>1</v>
      </c>
      <c r="X461" s="6">
        <v>26000</v>
      </c>
      <c r="Y461" s="1" t="s">
        <v>1516</v>
      </c>
      <c r="Z461" s="1">
        <v>1</v>
      </c>
      <c r="AA461" s="6">
        <v>26000</v>
      </c>
      <c r="AB461" s="1" t="s">
        <v>2167</v>
      </c>
      <c r="AC461" s="6">
        <v>130</v>
      </c>
      <c r="AD461" s="1" t="s">
        <v>1100</v>
      </c>
      <c r="AE461" s="1" t="s">
        <v>2094</v>
      </c>
      <c r="AF461" s="1" t="s">
        <v>1186</v>
      </c>
      <c r="AG461" s="1" t="s">
        <v>1522</v>
      </c>
      <c r="AH461" s="6">
        <v>25505</v>
      </c>
      <c r="AI461" s="6">
        <v>25505</v>
      </c>
      <c r="AJ461" s="1" t="s">
        <v>2036</v>
      </c>
      <c r="AK461" s="6">
        <v>495</v>
      </c>
      <c r="AL461" s="6">
        <v>1.9038461538461539E-2</v>
      </c>
      <c r="AM461" s="1" t="s">
        <v>2036</v>
      </c>
      <c r="AN461" s="1" t="s">
        <v>904</v>
      </c>
      <c r="AO461" s="1" t="s">
        <v>1132</v>
      </c>
      <c r="AP461" s="1" t="s">
        <v>75</v>
      </c>
      <c r="AQ461" s="6">
        <v>495</v>
      </c>
      <c r="AR461" s="6">
        <v>1.9038461538461539E-2</v>
      </c>
      <c r="AS461" s="2"/>
      <c r="AT461" s="7">
        <v>44827.491030072742</v>
      </c>
      <c r="AU461" s="1" t="s">
        <v>448</v>
      </c>
      <c r="AV461" s="1" t="s">
        <v>457</v>
      </c>
      <c r="AW461" s="1" t="s">
        <v>2152</v>
      </c>
      <c r="AX461" s="7">
        <v>44838.705790209642</v>
      </c>
      <c r="AY461" s="1" t="s">
        <v>220</v>
      </c>
      <c r="AZ461" s="6">
        <v>25505</v>
      </c>
      <c r="BA461" s="1"/>
      <c r="BB461" s="5">
        <v>44918</v>
      </c>
      <c r="BC461" s="5">
        <v>44838</v>
      </c>
      <c r="BD461" s="5">
        <v>44838</v>
      </c>
      <c r="BE461" s="7">
        <v>44926</v>
      </c>
      <c r="BF461" s="1" t="s">
        <v>2170</v>
      </c>
      <c r="BG461" s="1"/>
      <c r="BH461" s="1"/>
      <c r="BI461" s="1" t="s">
        <v>905</v>
      </c>
    </row>
    <row r="462" spans="1:61" hidden="1" x14ac:dyDescent="0.25">
      <c r="A462" s="4">
        <v>457</v>
      </c>
      <c r="B462" s="2" t="str">
        <f>HYPERLINK("https://my.zakupivli.pro/remote/dispatcher/state_purchase_view/37515033", "UA-2022-09-14-010931-a")</f>
        <v>UA-2022-09-14-010931-a</v>
      </c>
      <c r="C462" s="2" t="s">
        <v>1516</v>
      </c>
      <c r="D462" s="1" t="s">
        <v>1904</v>
      </c>
      <c r="E462" s="1" t="s">
        <v>1904</v>
      </c>
      <c r="F462" s="1" t="s">
        <v>412</v>
      </c>
      <c r="G462" s="1" t="s">
        <v>964</v>
      </c>
      <c r="H462" s="1" t="s">
        <v>2015</v>
      </c>
      <c r="I462" s="1" t="s">
        <v>2094</v>
      </c>
      <c r="J462" s="1" t="s">
        <v>1145</v>
      </c>
      <c r="K462" s="1" t="s">
        <v>947</v>
      </c>
      <c r="L462" s="1" t="s">
        <v>1533</v>
      </c>
      <c r="M462" s="1" t="s">
        <v>1533</v>
      </c>
      <c r="N462" s="1" t="s">
        <v>110</v>
      </c>
      <c r="O462" s="1" t="s">
        <v>110</v>
      </c>
      <c r="P462" s="1" t="s">
        <v>110</v>
      </c>
      <c r="Q462" s="5">
        <v>44818</v>
      </c>
      <c r="R462" s="1" t="s">
        <v>443</v>
      </c>
      <c r="S462" s="1" t="s">
        <v>446</v>
      </c>
      <c r="T462" s="5">
        <v>44824</v>
      </c>
      <c r="U462" s="5">
        <v>44827</v>
      </c>
      <c r="V462" s="1" t="s">
        <v>2147</v>
      </c>
      <c r="W462" s="4">
        <v>1</v>
      </c>
      <c r="X462" s="6">
        <v>36000</v>
      </c>
      <c r="Y462" s="1" t="s">
        <v>1516</v>
      </c>
      <c r="Z462" s="1">
        <v>1</v>
      </c>
      <c r="AA462" s="6">
        <v>36000</v>
      </c>
      <c r="AB462" s="1" t="s">
        <v>2167</v>
      </c>
      <c r="AC462" s="6">
        <v>180</v>
      </c>
      <c r="AD462" s="1" t="s">
        <v>1100</v>
      </c>
      <c r="AE462" s="1" t="s">
        <v>2094</v>
      </c>
      <c r="AF462" s="1" t="s">
        <v>1186</v>
      </c>
      <c r="AG462" s="1" t="s">
        <v>1522</v>
      </c>
      <c r="AH462" s="6">
        <v>35451</v>
      </c>
      <c r="AI462" s="6">
        <v>35451</v>
      </c>
      <c r="AJ462" s="1" t="s">
        <v>2036</v>
      </c>
      <c r="AK462" s="6">
        <v>549</v>
      </c>
      <c r="AL462" s="6">
        <v>1.525E-2</v>
      </c>
      <c r="AM462" s="1" t="s">
        <v>2036</v>
      </c>
      <c r="AN462" s="1" t="s">
        <v>904</v>
      </c>
      <c r="AO462" s="1" t="s">
        <v>1132</v>
      </c>
      <c r="AP462" s="1" t="s">
        <v>75</v>
      </c>
      <c r="AQ462" s="6">
        <v>549</v>
      </c>
      <c r="AR462" s="6">
        <v>1.525E-2</v>
      </c>
      <c r="AS462" s="2"/>
      <c r="AT462" s="7">
        <v>44827.495224219951</v>
      </c>
      <c r="AU462" s="1" t="s">
        <v>448</v>
      </c>
      <c r="AV462" s="1" t="s">
        <v>457</v>
      </c>
      <c r="AW462" s="1" t="s">
        <v>2152</v>
      </c>
      <c r="AX462" s="7">
        <v>44838.634587551831</v>
      </c>
      <c r="AY462" s="1" t="s">
        <v>192</v>
      </c>
      <c r="AZ462" s="6">
        <v>35451</v>
      </c>
      <c r="BA462" s="1"/>
      <c r="BB462" s="5">
        <v>44918</v>
      </c>
      <c r="BC462" s="5">
        <v>44838</v>
      </c>
      <c r="BD462" s="5">
        <v>44838</v>
      </c>
      <c r="BE462" s="7">
        <v>44926</v>
      </c>
      <c r="BF462" s="1" t="s">
        <v>2170</v>
      </c>
      <c r="BG462" s="1"/>
      <c r="BH462" s="1"/>
      <c r="BI462" s="1" t="s">
        <v>905</v>
      </c>
    </row>
    <row r="463" spans="1:61" hidden="1" x14ac:dyDescent="0.25">
      <c r="A463" s="4">
        <v>458</v>
      </c>
      <c r="B463" s="2" t="str">
        <f>HYPERLINK("https://my.zakupivli.pro/remote/dispatcher/state_purchase_view/37514942", "UA-2022-09-14-010866-a")</f>
        <v>UA-2022-09-14-010866-a</v>
      </c>
      <c r="C463" s="2" t="s">
        <v>1516</v>
      </c>
      <c r="D463" s="1" t="s">
        <v>1902</v>
      </c>
      <c r="E463" s="1" t="s">
        <v>1902</v>
      </c>
      <c r="F463" s="1" t="s">
        <v>412</v>
      </c>
      <c r="G463" s="1" t="s">
        <v>964</v>
      </c>
      <c r="H463" s="1" t="s">
        <v>2015</v>
      </c>
      <c r="I463" s="1" t="s">
        <v>2094</v>
      </c>
      <c r="J463" s="1" t="s">
        <v>1145</v>
      </c>
      <c r="K463" s="1" t="s">
        <v>947</v>
      </c>
      <c r="L463" s="1" t="s">
        <v>1533</v>
      </c>
      <c r="M463" s="1" t="s">
        <v>1533</v>
      </c>
      <c r="N463" s="1" t="s">
        <v>110</v>
      </c>
      <c r="O463" s="1" t="s">
        <v>110</v>
      </c>
      <c r="P463" s="1" t="s">
        <v>110</v>
      </c>
      <c r="Q463" s="5">
        <v>44818</v>
      </c>
      <c r="R463" s="1" t="s">
        <v>443</v>
      </c>
      <c r="S463" s="1" t="s">
        <v>446</v>
      </c>
      <c r="T463" s="5">
        <v>44824</v>
      </c>
      <c r="U463" s="5">
        <v>44827</v>
      </c>
      <c r="V463" s="1" t="s">
        <v>2147</v>
      </c>
      <c r="W463" s="4">
        <v>1</v>
      </c>
      <c r="X463" s="6">
        <v>103000</v>
      </c>
      <c r="Y463" s="1" t="s">
        <v>1516</v>
      </c>
      <c r="Z463" s="1">
        <v>1</v>
      </c>
      <c r="AA463" s="6">
        <v>103000</v>
      </c>
      <c r="AB463" s="1" t="s">
        <v>2167</v>
      </c>
      <c r="AC463" s="6">
        <v>515</v>
      </c>
      <c r="AD463" s="1" t="s">
        <v>1100</v>
      </c>
      <c r="AE463" s="1" t="s">
        <v>2094</v>
      </c>
      <c r="AF463" s="1" t="s">
        <v>1186</v>
      </c>
      <c r="AG463" s="1" t="s">
        <v>1522</v>
      </c>
      <c r="AH463" s="6">
        <v>102075</v>
      </c>
      <c r="AI463" s="6">
        <v>102075</v>
      </c>
      <c r="AJ463" s="1" t="s">
        <v>2036</v>
      </c>
      <c r="AK463" s="6">
        <v>925</v>
      </c>
      <c r="AL463" s="6">
        <v>8.9805825242718438E-3</v>
      </c>
      <c r="AM463" s="1" t="s">
        <v>2036</v>
      </c>
      <c r="AN463" s="1" t="s">
        <v>904</v>
      </c>
      <c r="AO463" s="1" t="s">
        <v>1132</v>
      </c>
      <c r="AP463" s="1" t="s">
        <v>75</v>
      </c>
      <c r="AQ463" s="6">
        <v>925</v>
      </c>
      <c r="AR463" s="6">
        <v>8.9805825242718438E-3</v>
      </c>
      <c r="AS463" s="2"/>
      <c r="AT463" s="7">
        <v>44827.493655571758</v>
      </c>
      <c r="AU463" s="1" t="s">
        <v>448</v>
      </c>
      <c r="AV463" s="1" t="s">
        <v>457</v>
      </c>
      <c r="AW463" s="1" t="s">
        <v>2152</v>
      </c>
      <c r="AX463" s="7">
        <v>44838.656989346993</v>
      </c>
      <c r="AY463" s="1" t="s">
        <v>208</v>
      </c>
      <c r="AZ463" s="6">
        <v>102075</v>
      </c>
      <c r="BA463" s="1"/>
      <c r="BB463" s="5">
        <v>44918</v>
      </c>
      <c r="BC463" s="5">
        <v>44838</v>
      </c>
      <c r="BD463" s="5">
        <v>44838</v>
      </c>
      <c r="BE463" s="7">
        <v>44926</v>
      </c>
      <c r="BF463" s="1" t="s">
        <v>2170</v>
      </c>
      <c r="BG463" s="1"/>
      <c r="BH463" s="1"/>
      <c r="BI463" s="1" t="s">
        <v>905</v>
      </c>
    </row>
    <row r="464" spans="1:61" hidden="1" x14ac:dyDescent="0.25">
      <c r="A464" s="4">
        <v>459</v>
      </c>
      <c r="B464" s="2" t="str">
        <f>HYPERLINK("https://my.zakupivli.pro/remote/dispatcher/state_purchase_view/37479770", "UA-2022-09-13-004631-a")</f>
        <v>UA-2022-09-13-004631-a</v>
      </c>
      <c r="C464" s="2" t="s">
        <v>1516</v>
      </c>
      <c r="D464" s="1" t="s">
        <v>1807</v>
      </c>
      <c r="E464" s="1" t="s">
        <v>1807</v>
      </c>
      <c r="F464" s="1" t="s">
        <v>412</v>
      </c>
      <c r="G464" s="1" t="s">
        <v>1074</v>
      </c>
      <c r="H464" s="1" t="s">
        <v>1184</v>
      </c>
      <c r="I464" s="1" t="s">
        <v>2094</v>
      </c>
      <c r="J464" s="1" t="s">
        <v>1145</v>
      </c>
      <c r="K464" s="1" t="s">
        <v>947</v>
      </c>
      <c r="L464" s="1" t="s">
        <v>1533</v>
      </c>
      <c r="M464" s="1" t="s">
        <v>1533</v>
      </c>
      <c r="N464" s="1" t="s">
        <v>110</v>
      </c>
      <c r="O464" s="1" t="s">
        <v>110</v>
      </c>
      <c r="P464" s="1" t="s">
        <v>110</v>
      </c>
      <c r="Q464" s="5">
        <v>44817</v>
      </c>
      <c r="R464" s="1" t="s">
        <v>442</v>
      </c>
      <c r="S464" s="1" t="s">
        <v>445</v>
      </c>
      <c r="T464" s="5">
        <v>44817</v>
      </c>
      <c r="U464" s="5">
        <v>44833</v>
      </c>
      <c r="V464" s="7">
        <v>44833.503148148149</v>
      </c>
      <c r="W464" s="4">
        <v>2</v>
      </c>
      <c r="X464" s="6">
        <v>200000</v>
      </c>
      <c r="Y464" s="1" t="s">
        <v>1516</v>
      </c>
      <c r="Z464" s="1">
        <v>1</v>
      </c>
      <c r="AA464" s="6">
        <v>200000</v>
      </c>
      <c r="AB464" s="1" t="s">
        <v>2167</v>
      </c>
      <c r="AC464" s="6">
        <v>2000</v>
      </c>
      <c r="AD464" s="1" t="s">
        <v>1100</v>
      </c>
      <c r="AE464" s="1" t="s">
        <v>2094</v>
      </c>
      <c r="AF464" s="1" t="s">
        <v>1186</v>
      </c>
      <c r="AG464" s="1" t="s">
        <v>1522</v>
      </c>
      <c r="AH464" s="6">
        <v>199500</v>
      </c>
      <c r="AI464" s="6">
        <v>199500</v>
      </c>
      <c r="AJ464" s="1" t="s">
        <v>2121</v>
      </c>
      <c r="AK464" s="6">
        <v>500</v>
      </c>
      <c r="AL464" s="6">
        <v>2.5000000000000001E-3</v>
      </c>
      <c r="AM464" s="1" t="s">
        <v>2121</v>
      </c>
      <c r="AN464" s="1" t="s">
        <v>815</v>
      </c>
      <c r="AO464" s="1" t="s">
        <v>1105</v>
      </c>
      <c r="AP464" s="1" t="s">
        <v>56</v>
      </c>
      <c r="AQ464" s="6">
        <v>500</v>
      </c>
      <c r="AR464" s="6">
        <v>2.5000000000000001E-3</v>
      </c>
      <c r="AS464" s="2" t="str">
        <f>HYPERLINK("https://auctions.prozorro.gov.ua/tenders/1945e4718ab142e4bb150b66e4f68b81")</f>
        <v>https://auctions.prozorro.gov.ua/tenders/1945e4718ab142e4bb150b66e4f68b81</v>
      </c>
      <c r="AT464" s="7">
        <v>44840.639153678218</v>
      </c>
      <c r="AU464" s="1" t="s">
        <v>458</v>
      </c>
      <c r="AV464" s="1" t="s">
        <v>462</v>
      </c>
      <c r="AW464" s="1" t="s">
        <v>2152</v>
      </c>
      <c r="AX464" s="7">
        <v>44852.579979094131</v>
      </c>
      <c r="AY464" s="1" t="s">
        <v>712</v>
      </c>
      <c r="AZ464" s="6">
        <v>199500</v>
      </c>
      <c r="BA464" s="1"/>
      <c r="BB464" s="5">
        <v>44918</v>
      </c>
      <c r="BC464" s="5">
        <v>44852</v>
      </c>
      <c r="BD464" s="5">
        <v>44852</v>
      </c>
      <c r="BE464" s="7">
        <v>44926</v>
      </c>
      <c r="BF464" s="1" t="s">
        <v>2170</v>
      </c>
      <c r="BG464" s="1"/>
      <c r="BH464" s="1"/>
      <c r="BI464" s="1" t="s">
        <v>817</v>
      </c>
    </row>
    <row r="465" spans="1:61" hidden="1" x14ac:dyDescent="0.25">
      <c r="A465" s="4">
        <v>460</v>
      </c>
      <c r="B465" s="2" t="str">
        <f>HYPERLINK("https://my.zakupivli.pro/remote/dispatcher/state_purchase_view/37485882", "UA-2022-09-13-007775-a")</f>
        <v>UA-2022-09-13-007775-a</v>
      </c>
      <c r="C465" s="2" t="s">
        <v>1516</v>
      </c>
      <c r="D465" s="1" t="s">
        <v>1752</v>
      </c>
      <c r="E465" s="1" t="s">
        <v>1752</v>
      </c>
      <c r="F465" s="1" t="s">
        <v>412</v>
      </c>
      <c r="G465" s="1" t="s">
        <v>966</v>
      </c>
      <c r="H465" s="1" t="s">
        <v>1184</v>
      </c>
      <c r="I465" s="1" t="s">
        <v>2094</v>
      </c>
      <c r="J465" s="1" t="s">
        <v>1145</v>
      </c>
      <c r="K465" s="1" t="s">
        <v>947</v>
      </c>
      <c r="L465" s="1" t="s">
        <v>1533</v>
      </c>
      <c r="M465" s="1" t="s">
        <v>1533</v>
      </c>
      <c r="N465" s="1" t="s">
        <v>110</v>
      </c>
      <c r="O465" s="1" t="s">
        <v>110</v>
      </c>
      <c r="P465" s="1" t="s">
        <v>110</v>
      </c>
      <c r="Q465" s="5">
        <v>44817</v>
      </c>
      <c r="R465" s="1" t="s">
        <v>442</v>
      </c>
      <c r="S465" s="1" t="s">
        <v>445</v>
      </c>
      <c r="T465" s="5">
        <v>44817</v>
      </c>
      <c r="U465" s="5">
        <v>44833</v>
      </c>
      <c r="V465" s="7">
        <v>44833.482083333336</v>
      </c>
      <c r="W465" s="4">
        <v>2</v>
      </c>
      <c r="X465" s="6">
        <v>360000</v>
      </c>
      <c r="Y465" s="1" t="s">
        <v>1516</v>
      </c>
      <c r="Z465" s="1">
        <v>1</v>
      </c>
      <c r="AA465" s="6">
        <v>360000</v>
      </c>
      <c r="AB465" s="1" t="s">
        <v>2167</v>
      </c>
      <c r="AC465" s="6">
        <v>3600</v>
      </c>
      <c r="AD465" s="1" t="s">
        <v>1100</v>
      </c>
      <c r="AE465" s="1" t="s">
        <v>2094</v>
      </c>
      <c r="AF465" s="1" t="s">
        <v>1186</v>
      </c>
      <c r="AG465" s="1" t="s">
        <v>1522</v>
      </c>
      <c r="AH465" s="6">
        <v>359990</v>
      </c>
      <c r="AI465" s="6">
        <v>359990</v>
      </c>
      <c r="AJ465" s="1" t="s">
        <v>2036</v>
      </c>
      <c r="AK465" s="6">
        <v>10</v>
      </c>
      <c r="AL465" s="6">
        <v>2.7777777777777779E-5</v>
      </c>
      <c r="AM465" s="1" t="s">
        <v>2036</v>
      </c>
      <c r="AN465" s="1" t="s">
        <v>904</v>
      </c>
      <c r="AO465" s="1" t="s">
        <v>1132</v>
      </c>
      <c r="AP465" s="1" t="s">
        <v>75</v>
      </c>
      <c r="AQ465" s="6">
        <v>10</v>
      </c>
      <c r="AR465" s="6">
        <v>2.7777777777777779E-5</v>
      </c>
      <c r="AS465" s="2" t="str">
        <f>HYPERLINK("https://auctions.prozorro.gov.ua/tenders/353bfd6d67c44259bf28a745fcaac82a")</f>
        <v>https://auctions.prozorro.gov.ua/tenders/353bfd6d67c44259bf28a745fcaac82a</v>
      </c>
      <c r="AT465" s="7">
        <v>44833.635782998324</v>
      </c>
      <c r="AU465" s="1" t="s">
        <v>455</v>
      </c>
      <c r="AV465" s="1" t="s">
        <v>461</v>
      </c>
      <c r="AW465" s="1" t="s">
        <v>2152</v>
      </c>
      <c r="AX465" s="7">
        <v>44845.57594626132</v>
      </c>
      <c r="AY465" s="1" t="s">
        <v>273</v>
      </c>
      <c r="AZ465" s="6">
        <v>359990</v>
      </c>
      <c r="BA465" s="1"/>
      <c r="BB465" s="5">
        <v>44918</v>
      </c>
      <c r="BC465" s="5">
        <v>44845</v>
      </c>
      <c r="BD465" s="5">
        <v>44845</v>
      </c>
      <c r="BE465" s="7">
        <v>44926</v>
      </c>
      <c r="BF465" s="1" t="s">
        <v>2170</v>
      </c>
      <c r="BG465" s="1"/>
      <c r="BH465" s="1"/>
      <c r="BI465" s="1" t="s">
        <v>906</v>
      </c>
    </row>
    <row r="466" spans="1:61" hidden="1" x14ac:dyDescent="0.25">
      <c r="A466" s="4">
        <v>461</v>
      </c>
      <c r="B466" s="2" t="str">
        <f>HYPERLINK("https://my.zakupivli.pro/remote/dispatcher/state_purchase_view/37479535", "UA-2022-09-13-004496-a")</f>
        <v>UA-2022-09-13-004496-a</v>
      </c>
      <c r="C466" s="2" t="s">
        <v>1516</v>
      </c>
      <c r="D466" s="1" t="s">
        <v>1803</v>
      </c>
      <c r="E466" s="1" t="s">
        <v>1803</v>
      </c>
      <c r="F466" s="1" t="s">
        <v>412</v>
      </c>
      <c r="G466" s="1" t="s">
        <v>1074</v>
      </c>
      <c r="H466" s="1" t="s">
        <v>1184</v>
      </c>
      <c r="I466" s="1" t="s">
        <v>2094</v>
      </c>
      <c r="J466" s="1" t="s">
        <v>1145</v>
      </c>
      <c r="K466" s="1" t="s">
        <v>947</v>
      </c>
      <c r="L466" s="1" t="s">
        <v>1533</v>
      </c>
      <c r="M466" s="1" t="s">
        <v>1533</v>
      </c>
      <c r="N466" s="1" t="s">
        <v>110</v>
      </c>
      <c r="O466" s="1" t="s">
        <v>110</v>
      </c>
      <c r="P466" s="1" t="s">
        <v>110</v>
      </c>
      <c r="Q466" s="5">
        <v>44817</v>
      </c>
      <c r="R466" s="1" t="s">
        <v>442</v>
      </c>
      <c r="S466" s="1" t="s">
        <v>445</v>
      </c>
      <c r="T466" s="5">
        <v>44817</v>
      </c>
      <c r="U466" s="5">
        <v>44833</v>
      </c>
      <c r="V466" s="7">
        <v>44833.46471064815</v>
      </c>
      <c r="W466" s="4">
        <v>2</v>
      </c>
      <c r="X466" s="6">
        <v>300000</v>
      </c>
      <c r="Y466" s="1" t="s">
        <v>1516</v>
      </c>
      <c r="Z466" s="1">
        <v>1</v>
      </c>
      <c r="AA466" s="6">
        <v>300000</v>
      </c>
      <c r="AB466" s="1" t="s">
        <v>2167</v>
      </c>
      <c r="AC466" s="6">
        <v>3000</v>
      </c>
      <c r="AD466" s="1" t="s">
        <v>1100</v>
      </c>
      <c r="AE466" s="1" t="s">
        <v>2094</v>
      </c>
      <c r="AF466" s="1" t="s">
        <v>1186</v>
      </c>
      <c r="AG466" s="1" t="s">
        <v>1522</v>
      </c>
      <c r="AH466" s="6">
        <v>299250</v>
      </c>
      <c r="AI466" s="6">
        <v>299250</v>
      </c>
      <c r="AJ466" s="1" t="s">
        <v>2121</v>
      </c>
      <c r="AK466" s="6">
        <v>750</v>
      </c>
      <c r="AL466" s="6">
        <v>2.5000000000000001E-3</v>
      </c>
      <c r="AM466" s="1" t="s">
        <v>2121</v>
      </c>
      <c r="AN466" s="1" t="s">
        <v>815</v>
      </c>
      <c r="AO466" s="1" t="s">
        <v>1105</v>
      </c>
      <c r="AP466" s="1" t="s">
        <v>56</v>
      </c>
      <c r="AQ466" s="6">
        <v>750</v>
      </c>
      <c r="AR466" s="6">
        <v>2.5000000000000001E-3</v>
      </c>
      <c r="AS466" s="2" t="str">
        <f>HYPERLINK("https://auctions.prozorro.gov.ua/tenders/df4d6d15d30148f1bab6902ea71a147c")</f>
        <v>https://auctions.prozorro.gov.ua/tenders/df4d6d15d30148f1bab6902ea71a147c</v>
      </c>
      <c r="AT466" s="7">
        <v>44840.634922385092</v>
      </c>
      <c r="AU466" s="1" t="s">
        <v>458</v>
      </c>
      <c r="AV466" s="1" t="s">
        <v>462</v>
      </c>
      <c r="AW466" s="1" t="s">
        <v>2152</v>
      </c>
      <c r="AX466" s="7">
        <v>44852.585193832034</v>
      </c>
      <c r="AY466" s="1" t="s">
        <v>728</v>
      </c>
      <c r="AZ466" s="6">
        <v>299250</v>
      </c>
      <c r="BA466" s="1"/>
      <c r="BB466" s="5">
        <v>44918</v>
      </c>
      <c r="BC466" s="5">
        <v>44852</v>
      </c>
      <c r="BD466" s="5">
        <v>44852</v>
      </c>
      <c r="BE466" s="7">
        <v>44926</v>
      </c>
      <c r="BF466" s="1" t="s">
        <v>2170</v>
      </c>
      <c r="BG466" s="1"/>
      <c r="BH466" s="1"/>
      <c r="BI466" s="1" t="s">
        <v>817</v>
      </c>
    </row>
    <row r="467" spans="1:61" hidden="1" x14ac:dyDescent="0.25">
      <c r="A467" s="4">
        <v>462</v>
      </c>
      <c r="B467" s="2" t="str">
        <f>HYPERLINK("https://my.zakupivli.pro/remote/dispatcher/state_purchase_view/37358596", "UA-2022-09-05-010166-a")</f>
        <v>UA-2022-09-05-010166-a</v>
      </c>
      <c r="C467" s="2" t="s">
        <v>1516</v>
      </c>
      <c r="D467" s="1" t="s">
        <v>1902</v>
      </c>
      <c r="E467" s="1" t="s">
        <v>1902</v>
      </c>
      <c r="F467" s="1" t="s">
        <v>412</v>
      </c>
      <c r="G467" s="1" t="s">
        <v>964</v>
      </c>
      <c r="H467" s="1" t="s">
        <v>2015</v>
      </c>
      <c r="I467" s="1" t="s">
        <v>2094</v>
      </c>
      <c r="J467" s="1" t="s">
        <v>1145</v>
      </c>
      <c r="K467" s="1" t="s">
        <v>947</v>
      </c>
      <c r="L467" s="1" t="s">
        <v>1533</v>
      </c>
      <c r="M467" s="1" t="s">
        <v>1533</v>
      </c>
      <c r="N467" s="1" t="s">
        <v>110</v>
      </c>
      <c r="O467" s="1" t="s">
        <v>110</v>
      </c>
      <c r="P467" s="1" t="s">
        <v>110</v>
      </c>
      <c r="Q467" s="5">
        <v>44809</v>
      </c>
      <c r="R467" s="1" t="s">
        <v>438</v>
      </c>
      <c r="S467" s="1" t="s">
        <v>440</v>
      </c>
      <c r="T467" s="5">
        <v>44813</v>
      </c>
      <c r="U467" s="5">
        <v>44818</v>
      </c>
      <c r="V467" s="1" t="s">
        <v>2147</v>
      </c>
      <c r="W467" s="4">
        <v>1</v>
      </c>
      <c r="X467" s="6">
        <v>103000</v>
      </c>
      <c r="Y467" s="1" t="s">
        <v>1516</v>
      </c>
      <c r="Z467" s="1">
        <v>1</v>
      </c>
      <c r="AA467" s="6">
        <v>103000</v>
      </c>
      <c r="AB467" s="1" t="s">
        <v>2167</v>
      </c>
      <c r="AC467" s="6">
        <v>515</v>
      </c>
      <c r="AD467" s="1" t="s">
        <v>1100</v>
      </c>
      <c r="AE467" s="1" t="s">
        <v>2094</v>
      </c>
      <c r="AF467" s="1" t="s">
        <v>1186</v>
      </c>
      <c r="AG467" s="1" t="s">
        <v>1522</v>
      </c>
      <c r="AH467" s="6">
        <v>102075</v>
      </c>
      <c r="AI467" s="6">
        <v>102075</v>
      </c>
      <c r="AJ467" s="1" t="s">
        <v>2036</v>
      </c>
      <c r="AK467" s="6">
        <v>925</v>
      </c>
      <c r="AL467" s="6">
        <v>8.9805825242718438E-3</v>
      </c>
      <c r="AM467" s="1"/>
      <c r="AN467" s="1"/>
      <c r="AO467" s="1"/>
      <c r="AP467" s="1"/>
      <c r="AQ467" s="1"/>
      <c r="AR467" s="1"/>
      <c r="AS467" s="2"/>
      <c r="AT467" s="7">
        <v>44818.649573634502</v>
      </c>
      <c r="AU467" s="1"/>
      <c r="AV467" s="1"/>
      <c r="AW467" s="1" t="s">
        <v>2153</v>
      </c>
      <c r="AX467" s="7">
        <v>44821.00088004853</v>
      </c>
      <c r="AY467" s="1"/>
      <c r="AZ467" s="1"/>
      <c r="BA467" s="1"/>
      <c r="BB467" s="5">
        <v>44918</v>
      </c>
      <c r="BC467" s="1" t="s">
        <v>109</v>
      </c>
      <c r="BD467" s="1" t="s">
        <v>109</v>
      </c>
      <c r="BE467" s="1"/>
      <c r="BF467" s="1"/>
      <c r="BG467" s="1"/>
      <c r="BH467" s="1"/>
      <c r="BI467" s="1" t="s">
        <v>905</v>
      </c>
    </row>
    <row r="468" spans="1:61" hidden="1" x14ac:dyDescent="0.25">
      <c r="A468" s="4">
        <v>463</v>
      </c>
      <c r="B468" s="2" t="str">
        <f>HYPERLINK("https://my.zakupivli.pro/remote/dispatcher/state_purchase_view/37358505", "UA-2022-09-05-010135-a")</f>
        <v>UA-2022-09-05-010135-a</v>
      </c>
      <c r="C468" s="2" t="s">
        <v>1516</v>
      </c>
      <c r="D468" s="1" t="s">
        <v>1905</v>
      </c>
      <c r="E468" s="1" t="s">
        <v>1905</v>
      </c>
      <c r="F468" s="1" t="s">
        <v>412</v>
      </c>
      <c r="G468" s="1" t="s">
        <v>964</v>
      </c>
      <c r="H468" s="1" t="s">
        <v>2015</v>
      </c>
      <c r="I468" s="1" t="s">
        <v>2094</v>
      </c>
      <c r="J468" s="1" t="s">
        <v>1145</v>
      </c>
      <c r="K468" s="1" t="s">
        <v>947</v>
      </c>
      <c r="L468" s="1" t="s">
        <v>1533</v>
      </c>
      <c r="M468" s="1" t="s">
        <v>1533</v>
      </c>
      <c r="N468" s="1" t="s">
        <v>110</v>
      </c>
      <c r="O468" s="1" t="s">
        <v>110</v>
      </c>
      <c r="P468" s="1" t="s">
        <v>110</v>
      </c>
      <c r="Q468" s="5">
        <v>44809</v>
      </c>
      <c r="R468" s="1" t="s">
        <v>438</v>
      </c>
      <c r="S468" s="1" t="s">
        <v>440</v>
      </c>
      <c r="T468" s="5">
        <v>44813</v>
      </c>
      <c r="U468" s="5">
        <v>44818</v>
      </c>
      <c r="V468" s="1" t="s">
        <v>2147</v>
      </c>
      <c r="W468" s="4">
        <v>1</v>
      </c>
      <c r="X468" s="6">
        <v>26000</v>
      </c>
      <c r="Y468" s="1" t="s">
        <v>1516</v>
      </c>
      <c r="Z468" s="1">
        <v>1</v>
      </c>
      <c r="AA468" s="6">
        <v>26000</v>
      </c>
      <c r="AB468" s="1" t="s">
        <v>2167</v>
      </c>
      <c r="AC468" s="6">
        <v>130</v>
      </c>
      <c r="AD468" s="1" t="s">
        <v>1100</v>
      </c>
      <c r="AE468" s="1" t="s">
        <v>2094</v>
      </c>
      <c r="AF468" s="1" t="s">
        <v>1186</v>
      </c>
      <c r="AG468" s="1" t="s">
        <v>1522</v>
      </c>
      <c r="AH468" s="6">
        <v>25505</v>
      </c>
      <c r="AI468" s="6">
        <v>25505</v>
      </c>
      <c r="AJ468" s="1" t="s">
        <v>2036</v>
      </c>
      <c r="AK468" s="6">
        <v>495</v>
      </c>
      <c r="AL468" s="6">
        <v>1.9038461538461539E-2</v>
      </c>
      <c r="AM468" s="1"/>
      <c r="AN468" s="1"/>
      <c r="AO468" s="1"/>
      <c r="AP468" s="1"/>
      <c r="AQ468" s="1"/>
      <c r="AR468" s="1"/>
      <c r="AS468" s="2"/>
      <c r="AT468" s="7">
        <v>44818.64766804906</v>
      </c>
      <c r="AU468" s="1"/>
      <c r="AV468" s="1"/>
      <c r="AW468" s="1" t="s">
        <v>2153</v>
      </c>
      <c r="AX468" s="7">
        <v>44821.002570265715</v>
      </c>
      <c r="AY468" s="1"/>
      <c r="AZ468" s="1"/>
      <c r="BA468" s="1"/>
      <c r="BB468" s="5">
        <v>44918</v>
      </c>
      <c r="BC468" s="1" t="s">
        <v>109</v>
      </c>
      <c r="BD468" s="1" t="s">
        <v>109</v>
      </c>
      <c r="BE468" s="1"/>
      <c r="BF468" s="1"/>
      <c r="BG468" s="1"/>
      <c r="BH468" s="1"/>
      <c r="BI468" s="1" t="s">
        <v>905</v>
      </c>
    </row>
    <row r="469" spans="1:61" hidden="1" x14ac:dyDescent="0.25">
      <c r="A469" s="4">
        <v>464</v>
      </c>
      <c r="B469" s="2" t="str">
        <f>HYPERLINK("https://my.zakupivli.pro/remote/dispatcher/state_purchase_view/37358379", "UA-2022-09-05-010046-a")</f>
        <v>UA-2022-09-05-010046-a</v>
      </c>
      <c r="C469" s="2" t="s">
        <v>1516</v>
      </c>
      <c r="D469" s="1" t="s">
        <v>1904</v>
      </c>
      <c r="E469" s="1" t="s">
        <v>1904</v>
      </c>
      <c r="F469" s="1" t="s">
        <v>412</v>
      </c>
      <c r="G469" s="1" t="s">
        <v>964</v>
      </c>
      <c r="H469" s="1" t="s">
        <v>2015</v>
      </c>
      <c r="I469" s="1" t="s">
        <v>2094</v>
      </c>
      <c r="J469" s="1" t="s">
        <v>1145</v>
      </c>
      <c r="K469" s="1" t="s">
        <v>947</v>
      </c>
      <c r="L469" s="1" t="s">
        <v>1533</v>
      </c>
      <c r="M469" s="1" t="s">
        <v>1533</v>
      </c>
      <c r="N469" s="1" t="s">
        <v>110</v>
      </c>
      <c r="O469" s="1" t="s">
        <v>110</v>
      </c>
      <c r="P469" s="1" t="s">
        <v>110</v>
      </c>
      <c r="Q469" s="5">
        <v>44809</v>
      </c>
      <c r="R469" s="1" t="s">
        <v>438</v>
      </c>
      <c r="S469" s="1" t="s">
        <v>440</v>
      </c>
      <c r="T469" s="5">
        <v>44813</v>
      </c>
      <c r="U469" s="5">
        <v>44818</v>
      </c>
      <c r="V469" s="1" t="s">
        <v>2147</v>
      </c>
      <c r="W469" s="4">
        <v>1</v>
      </c>
      <c r="X469" s="6">
        <v>36000</v>
      </c>
      <c r="Y469" s="1" t="s">
        <v>1516</v>
      </c>
      <c r="Z469" s="1">
        <v>1</v>
      </c>
      <c r="AA469" s="6">
        <v>36000</v>
      </c>
      <c r="AB469" s="1" t="s">
        <v>2167</v>
      </c>
      <c r="AC469" s="6">
        <v>180</v>
      </c>
      <c r="AD469" s="1" t="s">
        <v>1100</v>
      </c>
      <c r="AE469" s="1" t="s">
        <v>2094</v>
      </c>
      <c r="AF469" s="1" t="s">
        <v>1186</v>
      </c>
      <c r="AG469" s="1" t="s">
        <v>1522</v>
      </c>
      <c r="AH469" s="6">
        <v>35451</v>
      </c>
      <c r="AI469" s="6">
        <v>35451</v>
      </c>
      <c r="AJ469" s="1" t="s">
        <v>2036</v>
      </c>
      <c r="AK469" s="6">
        <v>549</v>
      </c>
      <c r="AL469" s="6">
        <v>1.525E-2</v>
      </c>
      <c r="AM469" s="1"/>
      <c r="AN469" s="1"/>
      <c r="AO469" s="1"/>
      <c r="AP469" s="1"/>
      <c r="AQ469" s="1"/>
      <c r="AR469" s="1"/>
      <c r="AS469" s="2"/>
      <c r="AT469" s="7">
        <v>44818.64553850855</v>
      </c>
      <c r="AU469" s="1"/>
      <c r="AV469" s="1"/>
      <c r="AW469" s="1" t="s">
        <v>2153</v>
      </c>
      <c r="AX469" s="7">
        <v>44821.00280135942</v>
      </c>
      <c r="AY469" s="1"/>
      <c r="AZ469" s="1"/>
      <c r="BA469" s="1"/>
      <c r="BB469" s="5">
        <v>44918</v>
      </c>
      <c r="BC469" s="1" t="s">
        <v>109</v>
      </c>
      <c r="BD469" s="1" t="s">
        <v>109</v>
      </c>
      <c r="BE469" s="1"/>
      <c r="BF469" s="1"/>
      <c r="BG469" s="1"/>
      <c r="BH469" s="1"/>
      <c r="BI469" s="1" t="s">
        <v>905</v>
      </c>
    </row>
    <row r="470" spans="1:61" hidden="1" x14ac:dyDescent="0.25">
      <c r="A470" s="4">
        <v>465</v>
      </c>
      <c r="B470" s="2" t="str">
        <f>HYPERLINK("https://my.zakupivli.pro/remote/dispatcher/state_purchase_view/37358179", "UA-2022-09-05-009989-a")</f>
        <v>UA-2022-09-05-009989-a</v>
      </c>
      <c r="C470" s="2" t="s">
        <v>1516</v>
      </c>
      <c r="D470" s="1" t="s">
        <v>1903</v>
      </c>
      <c r="E470" s="1" t="s">
        <v>1903</v>
      </c>
      <c r="F470" s="1" t="s">
        <v>412</v>
      </c>
      <c r="G470" s="1" t="s">
        <v>964</v>
      </c>
      <c r="H470" s="1" t="s">
        <v>1184</v>
      </c>
      <c r="I470" s="1" t="s">
        <v>2094</v>
      </c>
      <c r="J470" s="1" t="s">
        <v>1145</v>
      </c>
      <c r="K470" s="1" t="s">
        <v>947</v>
      </c>
      <c r="L470" s="1" t="s">
        <v>1533</v>
      </c>
      <c r="M470" s="1" t="s">
        <v>1533</v>
      </c>
      <c r="N470" s="1" t="s">
        <v>110</v>
      </c>
      <c r="O470" s="1" t="s">
        <v>110</v>
      </c>
      <c r="P470" s="1" t="s">
        <v>110</v>
      </c>
      <c r="Q470" s="5">
        <v>44809</v>
      </c>
      <c r="R470" s="1" t="s">
        <v>438</v>
      </c>
      <c r="S470" s="1" t="s">
        <v>441</v>
      </c>
      <c r="T470" s="5">
        <v>44809</v>
      </c>
      <c r="U470" s="5">
        <v>44825</v>
      </c>
      <c r="V470" s="7">
        <v>44825.574791666666</v>
      </c>
      <c r="W470" s="4">
        <v>2</v>
      </c>
      <c r="X470" s="6">
        <v>335000</v>
      </c>
      <c r="Y470" s="1" t="s">
        <v>1516</v>
      </c>
      <c r="Z470" s="1">
        <v>1</v>
      </c>
      <c r="AA470" s="6">
        <v>335000</v>
      </c>
      <c r="AB470" s="1" t="s">
        <v>2167</v>
      </c>
      <c r="AC470" s="6">
        <v>3350</v>
      </c>
      <c r="AD470" s="1" t="s">
        <v>1100</v>
      </c>
      <c r="AE470" s="1" t="s">
        <v>2094</v>
      </c>
      <c r="AF470" s="1" t="s">
        <v>1186</v>
      </c>
      <c r="AG470" s="1" t="s">
        <v>1522</v>
      </c>
      <c r="AH470" s="6">
        <v>334286</v>
      </c>
      <c r="AI470" s="6">
        <v>334286</v>
      </c>
      <c r="AJ470" s="1" t="s">
        <v>2036</v>
      </c>
      <c r="AK470" s="6">
        <v>714</v>
      </c>
      <c r="AL470" s="6">
        <v>2.1313432835820896E-3</v>
      </c>
      <c r="AM470" s="1" t="s">
        <v>2036</v>
      </c>
      <c r="AN470" s="1" t="s">
        <v>904</v>
      </c>
      <c r="AO470" s="1" t="s">
        <v>1132</v>
      </c>
      <c r="AP470" s="1" t="s">
        <v>75</v>
      </c>
      <c r="AQ470" s="6">
        <v>714</v>
      </c>
      <c r="AR470" s="6">
        <v>2.1313432835820896E-3</v>
      </c>
      <c r="AS470" s="2" t="str">
        <f>HYPERLINK("https://auctions.prozorro.gov.ua/tenders/75ce6a0f19ae4d5193cb0ea6d4d658ce")</f>
        <v>https://auctions.prozorro.gov.ua/tenders/75ce6a0f19ae4d5193cb0ea6d4d658ce</v>
      </c>
      <c r="AT470" s="7">
        <v>44826.687496408806</v>
      </c>
      <c r="AU470" s="1" t="s">
        <v>451</v>
      </c>
      <c r="AV470" s="1" t="s">
        <v>457</v>
      </c>
      <c r="AW470" s="1" t="s">
        <v>2152</v>
      </c>
      <c r="AX470" s="7">
        <v>44838.658661400754</v>
      </c>
      <c r="AY470" s="1" t="s">
        <v>249</v>
      </c>
      <c r="AZ470" s="6">
        <v>334286</v>
      </c>
      <c r="BA470" s="1"/>
      <c r="BB470" s="5">
        <v>44918</v>
      </c>
      <c r="BC470" s="5">
        <v>44838</v>
      </c>
      <c r="BD470" s="5">
        <v>44838</v>
      </c>
      <c r="BE470" s="7">
        <v>44926</v>
      </c>
      <c r="BF470" s="1" t="s">
        <v>2170</v>
      </c>
      <c r="BG470" s="1"/>
      <c r="BH470" s="1"/>
      <c r="BI470" s="1" t="s">
        <v>906</v>
      </c>
    </row>
    <row r="471" spans="1:61" hidden="1" x14ac:dyDescent="0.25">
      <c r="A471" s="4">
        <v>466</v>
      </c>
      <c r="B471" s="2" t="str">
        <f>HYPERLINK("https://my.zakupivli.pro/remote/dispatcher/state_purchase_view/37358019", "UA-2022-09-05-009855-a")</f>
        <v>UA-2022-09-05-009855-a</v>
      </c>
      <c r="C471" s="2" t="s">
        <v>1516</v>
      </c>
      <c r="D471" s="1" t="s">
        <v>1889</v>
      </c>
      <c r="E471" s="1" t="s">
        <v>1889</v>
      </c>
      <c r="F471" s="1" t="s">
        <v>412</v>
      </c>
      <c r="G471" s="1" t="s">
        <v>966</v>
      </c>
      <c r="H471" s="1" t="s">
        <v>1184</v>
      </c>
      <c r="I471" s="1" t="s">
        <v>2094</v>
      </c>
      <c r="J471" s="1" t="s">
        <v>1145</v>
      </c>
      <c r="K471" s="1" t="s">
        <v>947</v>
      </c>
      <c r="L471" s="1" t="s">
        <v>1533</v>
      </c>
      <c r="M471" s="1" t="s">
        <v>1533</v>
      </c>
      <c r="N471" s="1" t="s">
        <v>110</v>
      </c>
      <c r="O471" s="1" t="s">
        <v>110</v>
      </c>
      <c r="P471" s="1" t="s">
        <v>110</v>
      </c>
      <c r="Q471" s="5">
        <v>44809</v>
      </c>
      <c r="R471" s="1" t="s">
        <v>438</v>
      </c>
      <c r="S471" s="1" t="s">
        <v>441</v>
      </c>
      <c r="T471" s="5">
        <v>44809</v>
      </c>
      <c r="U471" s="5">
        <v>44825</v>
      </c>
      <c r="V471" s="7">
        <v>44825.494062500002</v>
      </c>
      <c r="W471" s="4">
        <v>2</v>
      </c>
      <c r="X471" s="6">
        <v>501000</v>
      </c>
      <c r="Y471" s="1" t="s">
        <v>1516</v>
      </c>
      <c r="Z471" s="1">
        <v>1</v>
      </c>
      <c r="AA471" s="6">
        <v>501000</v>
      </c>
      <c r="AB471" s="1" t="s">
        <v>2167</v>
      </c>
      <c r="AC471" s="6">
        <v>5010</v>
      </c>
      <c r="AD471" s="1" t="s">
        <v>1100</v>
      </c>
      <c r="AE471" s="1" t="s">
        <v>2094</v>
      </c>
      <c r="AF471" s="1" t="s">
        <v>1186</v>
      </c>
      <c r="AG471" s="1" t="s">
        <v>1522</v>
      </c>
      <c r="AH471" s="6">
        <v>500000</v>
      </c>
      <c r="AI471" s="6">
        <v>500000</v>
      </c>
      <c r="AJ471" s="1" t="s">
        <v>2036</v>
      </c>
      <c r="AK471" s="6">
        <v>1000</v>
      </c>
      <c r="AL471" s="6">
        <v>1.996007984031936E-3</v>
      </c>
      <c r="AM471" s="1" t="s">
        <v>2036</v>
      </c>
      <c r="AN471" s="1" t="s">
        <v>904</v>
      </c>
      <c r="AO471" s="1" t="s">
        <v>1132</v>
      </c>
      <c r="AP471" s="1" t="s">
        <v>75</v>
      </c>
      <c r="AQ471" s="6">
        <v>1000</v>
      </c>
      <c r="AR471" s="6">
        <v>1.996007984031936E-3</v>
      </c>
      <c r="AS471" s="2" t="str">
        <f>HYPERLINK("https://auctions.prozorro.gov.ua/tenders/9528403559ef4ac9a9032bc460eb0ad1")</f>
        <v>https://auctions.prozorro.gov.ua/tenders/9528403559ef4ac9a9032bc460eb0ad1</v>
      </c>
      <c r="AT471" s="7">
        <v>44826.689903427636</v>
      </c>
      <c r="AU471" s="1" t="s">
        <v>451</v>
      </c>
      <c r="AV471" s="1" t="s">
        <v>457</v>
      </c>
      <c r="AW471" s="1" t="s">
        <v>2152</v>
      </c>
      <c r="AX471" s="7">
        <v>44838.673599344766</v>
      </c>
      <c r="AY471" s="1" t="s">
        <v>235</v>
      </c>
      <c r="AZ471" s="6">
        <v>500000</v>
      </c>
      <c r="BA471" s="1"/>
      <c r="BB471" s="5">
        <v>44918</v>
      </c>
      <c r="BC471" s="5">
        <v>44838</v>
      </c>
      <c r="BD471" s="5">
        <v>44838</v>
      </c>
      <c r="BE471" s="7">
        <v>44926</v>
      </c>
      <c r="BF471" s="1" t="s">
        <v>2170</v>
      </c>
      <c r="BG471" s="1"/>
      <c r="BH471" s="1"/>
      <c r="BI471" s="1" t="s">
        <v>906</v>
      </c>
    </row>
    <row r="472" spans="1:61" hidden="1" x14ac:dyDescent="0.25">
      <c r="A472" s="4">
        <v>467</v>
      </c>
      <c r="B472" s="2" t="str">
        <f>HYPERLINK("https://my.zakupivli.pro/remote/dispatcher/state_purchase_view/37357896", "UA-2022-09-05-009790-a")</f>
        <v>UA-2022-09-05-009790-a</v>
      </c>
      <c r="C472" s="2" t="s">
        <v>1516</v>
      </c>
      <c r="D472" s="1" t="s">
        <v>1888</v>
      </c>
      <c r="E472" s="1" t="s">
        <v>1888</v>
      </c>
      <c r="F472" s="1" t="s">
        <v>412</v>
      </c>
      <c r="G472" s="1" t="s">
        <v>966</v>
      </c>
      <c r="H472" s="1" t="s">
        <v>1184</v>
      </c>
      <c r="I472" s="1" t="s">
        <v>2094</v>
      </c>
      <c r="J472" s="1" t="s">
        <v>1145</v>
      </c>
      <c r="K472" s="1" t="s">
        <v>947</v>
      </c>
      <c r="L472" s="1" t="s">
        <v>1533</v>
      </c>
      <c r="M472" s="1" t="s">
        <v>1533</v>
      </c>
      <c r="N472" s="1" t="s">
        <v>110</v>
      </c>
      <c r="O472" s="1" t="s">
        <v>110</v>
      </c>
      <c r="P472" s="1" t="s">
        <v>110</v>
      </c>
      <c r="Q472" s="5">
        <v>44809</v>
      </c>
      <c r="R472" s="1" t="s">
        <v>438</v>
      </c>
      <c r="S472" s="1" t="s">
        <v>445</v>
      </c>
      <c r="T472" s="5">
        <v>44809</v>
      </c>
      <c r="U472" s="5">
        <v>44833</v>
      </c>
      <c r="V472" s="7">
        <v>44833.461770833332</v>
      </c>
      <c r="W472" s="4">
        <v>2</v>
      </c>
      <c r="X472" s="6">
        <v>498000</v>
      </c>
      <c r="Y472" s="1" t="s">
        <v>1516</v>
      </c>
      <c r="Z472" s="1">
        <v>1</v>
      </c>
      <c r="AA472" s="6">
        <v>498000</v>
      </c>
      <c r="AB472" s="1" t="s">
        <v>2167</v>
      </c>
      <c r="AC472" s="6">
        <v>4980</v>
      </c>
      <c r="AD472" s="1" t="s">
        <v>1100</v>
      </c>
      <c r="AE472" s="1" t="s">
        <v>2094</v>
      </c>
      <c r="AF472" s="1" t="s">
        <v>1186</v>
      </c>
      <c r="AG472" s="1" t="s">
        <v>1522</v>
      </c>
      <c r="AH472" s="6">
        <v>497700</v>
      </c>
      <c r="AI472" s="6">
        <v>497700</v>
      </c>
      <c r="AJ472" s="1" t="s">
        <v>2130</v>
      </c>
      <c r="AK472" s="6">
        <v>300</v>
      </c>
      <c r="AL472" s="6">
        <v>6.0240963855421692E-4</v>
      </c>
      <c r="AM472" s="1" t="s">
        <v>2130</v>
      </c>
      <c r="AN472" s="1" t="s">
        <v>796</v>
      </c>
      <c r="AO472" s="1" t="s">
        <v>1115</v>
      </c>
      <c r="AP472" s="1" t="s">
        <v>72</v>
      </c>
      <c r="AQ472" s="6">
        <v>300</v>
      </c>
      <c r="AR472" s="6">
        <v>6.0240963855421692E-4</v>
      </c>
      <c r="AS472" s="2" t="str">
        <f>HYPERLINK("https://auctions.prozorro.gov.ua/tenders/597bfe6e05e6446c8945f1d8c7019142")</f>
        <v>https://auctions.prozorro.gov.ua/tenders/597bfe6e05e6446c8945f1d8c7019142</v>
      </c>
      <c r="AT472" s="7">
        <v>44833.63179695193</v>
      </c>
      <c r="AU472" s="1" t="s">
        <v>455</v>
      </c>
      <c r="AV472" s="1" t="s">
        <v>461</v>
      </c>
      <c r="AW472" s="1" t="s">
        <v>2152</v>
      </c>
      <c r="AX472" s="7">
        <v>44851.490525521855</v>
      </c>
      <c r="AY472" s="1" t="s">
        <v>699</v>
      </c>
      <c r="AZ472" s="6">
        <v>497700</v>
      </c>
      <c r="BA472" s="1"/>
      <c r="BB472" s="5">
        <v>44918</v>
      </c>
      <c r="BC472" s="5">
        <v>44851</v>
      </c>
      <c r="BD472" s="5">
        <v>44851</v>
      </c>
      <c r="BE472" s="7">
        <v>44926</v>
      </c>
      <c r="BF472" s="1" t="s">
        <v>2170</v>
      </c>
      <c r="BG472" s="1"/>
      <c r="BH472" s="1"/>
      <c r="BI472" s="1" t="s">
        <v>798</v>
      </c>
    </row>
    <row r="473" spans="1:61" hidden="1" x14ac:dyDescent="0.25">
      <c r="A473" s="4">
        <v>468</v>
      </c>
      <c r="B473" s="2" t="str">
        <f>HYPERLINK("https://my.zakupivli.pro/remote/dispatcher/state_purchase_view/37357560", "UA-2022-09-05-009674-a")</f>
        <v>UA-2022-09-05-009674-a</v>
      </c>
      <c r="C473" s="2" t="s">
        <v>1516</v>
      </c>
      <c r="D473" s="1" t="s">
        <v>1887</v>
      </c>
      <c r="E473" s="1" t="s">
        <v>1887</v>
      </c>
      <c r="F473" s="1" t="s">
        <v>412</v>
      </c>
      <c r="G473" s="1" t="s">
        <v>966</v>
      </c>
      <c r="H473" s="1" t="s">
        <v>1184</v>
      </c>
      <c r="I473" s="1" t="s">
        <v>2094</v>
      </c>
      <c r="J473" s="1" t="s">
        <v>1145</v>
      </c>
      <c r="K473" s="1" t="s">
        <v>947</v>
      </c>
      <c r="L473" s="1" t="s">
        <v>1533</v>
      </c>
      <c r="M473" s="1" t="s">
        <v>1533</v>
      </c>
      <c r="N473" s="1" t="s">
        <v>110</v>
      </c>
      <c r="O473" s="1" t="s">
        <v>110</v>
      </c>
      <c r="P473" s="1" t="s">
        <v>110</v>
      </c>
      <c r="Q473" s="5">
        <v>44809</v>
      </c>
      <c r="R473" s="1" t="s">
        <v>438</v>
      </c>
      <c r="S473" s="1" t="s">
        <v>441</v>
      </c>
      <c r="T473" s="5">
        <v>44809</v>
      </c>
      <c r="U473" s="5">
        <v>44825</v>
      </c>
      <c r="V473" s="7">
        <v>44825.615520833337</v>
      </c>
      <c r="W473" s="4">
        <v>2</v>
      </c>
      <c r="X473" s="6">
        <v>501000</v>
      </c>
      <c r="Y473" s="1" t="s">
        <v>1516</v>
      </c>
      <c r="Z473" s="1">
        <v>1</v>
      </c>
      <c r="AA473" s="6">
        <v>501000</v>
      </c>
      <c r="AB473" s="1" t="s">
        <v>2167</v>
      </c>
      <c r="AC473" s="6">
        <v>5010</v>
      </c>
      <c r="AD473" s="1" t="s">
        <v>1100</v>
      </c>
      <c r="AE473" s="1" t="s">
        <v>2094</v>
      </c>
      <c r="AF473" s="1" t="s">
        <v>1186</v>
      </c>
      <c r="AG473" s="1" t="s">
        <v>1522</v>
      </c>
      <c r="AH473" s="6">
        <v>500162</v>
      </c>
      <c r="AI473" s="6">
        <v>500162</v>
      </c>
      <c r="AJ473" s="1" t="s">
        <v>2033</v>
      </c>
      <c r="AK473" s="6">
        <v>838</v>
      </c>
      <c r="AL473" s="6">
        <v>1.6726546906187625E-3</v>
      </c>
      <c r="AM473" s="1" t="s">
        <v>2033</v>
      </c>
      <c r="AN473" s="1" t="s">
        <v>948</v>
      </c>
      <c r="AO473" s="1" t="s">
        <v>1110</v>
      </c>
      <c r="AP473" s="1" t="s">
        <v>54</v>
      </c>
      <c r="AQ473" s="6">
        <v>838</v>
      </c>
      <c r="AR473" s="6">
        <v>1.6726546906187625E-3</v>
      </c>
      <c r="AS473" s="2" t="str">
        <f>HYPERLINK("https://auctions.prozorro.gov.ua/tenders/e770ebd576e548e9b7e3b5dd34a0a3e4")</f>
        <v>https://auctions.prozorro.gov.ua/tenders/e770ebd576e548e9b7e3b5dd34a0a3e4</v>
      </c>
      <c r="AT473" s="7">
        <v>44826.695402135847</v>
      </c>
      <c r="AU473" s="1" t="s">
        <v>451</v>
      </c>
      <c r="AV473" s="1" t="s">
        <v>457</v>
      </c>
      <c r="AW473" s="1" t="s">
        <v>2152</v>
      </c>
      <c r="AX473" s="7">
        <v>44838.669340984314</v>
      </c>
      <c r="AY473" s="1" t="s">
        <v>261</v>
      </c>
      <c r="AZ473" s="6">
        <v>500162</v>
      </c>
      <c r="BA473" s="1"/>
      <c r="BB473" s="5">
        <v>44918</v>
      </c>
      <c r="BC473" s="5">
        <v>44838</v>
      </c>
      <c r="BD473" s="5">
        <v>44838</v>
      </c>
      <c r="BE473" s="7">
        <v>44926</v>
      </c>
      <c r="BF473" s="1" t="s">
        <v>2170</v>
      </c>
      <c r="BG473" s="1"/>
      <c r="BH473" s="1"/>
      <c r="BI473" s="1" t="s">
        <v>949</v>
      </c>
    </row>
    <row r="474" spans="1:61" hidden="1" x14ac:dyDescent="0.25">
      <c r="A474" s="4">
        <v>469</v>
      </c>
      <c r="B474" s="2" t="str">
        <f>HYPERLINK("https://my.zakupivli.pro/remote/dispatcher/state_purchase_view/37235138", "UA-2022-08-26-003609-a")</f>
        <v>UA-2022-08-26-003609-a</v>
      </c>
      <c r="C474" s="2" t="s">
        <v>1516</v>
      </c>
      <c r="D474" s="1" t="s">
        <v>1884</v>
      </c>
      <c r="E474" s="1" t="s">
        <v>1884</v>
      </c>
      <c r="F474" s="1" t="s">
        <v>412</v>
      </c>
      <c r="G474" s="1" t="s">
        <v>1075</v>
      </c>
      <c r="H474" s="1" t="s">
        <v>2015</v>
      </c>
      <c r="I474" s="1" t="s">
        <v>2094</v>
      </c>
      <c r="J474" s="1" t="s">
        <v>1145</v>
      </c>
      <c r="K474" s="1" t="s">
        <v>947</v>
      </c>
      <c r="L474" s="1" t="s">
        <v>1533</v>
      </c>
      <c r="M474" s="1" t="s">
        <v>1533</v>
      </c>
      <c r="N474" s="1" t="s">
        <v>110</v>
      </c>
      <c r="O474" s="1" t="s">
        <v>110</v>
      </c>
      <c r="P474" s="1" t="s">
        <v>110</v>
      </c>
      <c r="Q474" s="5">
        <v>44799</v>
      </c>
      <c r="R474" s="1" t="s">
        <v>435</v>
      </c>
      <c r="S474" s="1" t="s">
        <v>437</v>
      </c>
      <c r="T474" s="5">
        <v>44805</v>
      </c>
      <c r="U474" s="5">
        <v>44810</v>
      </c>
      <c r="V474" s="1" t="s">
        <v>2147</v>
      </c>
      <c r="W474" s="4">
        <v>1</v>
      </c>
      <c r="X474" s="6">
        <v>195000</v>
      </c>
      <c r="Y474" s="1" t="s">
        <v>1516</v>
      </c>
      <c r="Z474" s="1">
        <v>1</v>
      </c>
      <c r="AA474" s="6">
        <v>195000</v>
      </c>
      <c r="AB474" s="1" t="s">
        <v>2167</v>
      </c>
      <c r="AC474" s="6">
        <v>975</v>
      </c>
      <c r="AD474" s="1" t="s">
        <v>1100</v>
      </c>
      <c r="AE474" s="1" t="s">
        <v>2094</v>
      </c>
      <c r="AF474" s="1" t="s">
        <v>1186</v>
      </c>
      <c r="AG474" s="1" t="s">
        <v>1522</v>
      </c>
      <c r="AH474" s="6">
        <v>194999.52</v>
      </c>
      <c r="AI474" s="6">
        <v>194999.52</v>
      </c>
      <c r="AJ474" s="1" t="s">
        <v>2121</v>
      </c>
      <c r="AK474" s="6">
        <v>0.48000000001047738</v>
      </c>
      <c r="AL474" s="6">
        <v>2.4615384615921918E-6</v>
      </c>
      <c r="AM474" s="1" t="s">
        <v>2121</v>
      </c>
      <c r="AN474" s="1" t="s">
        <v>815</v>
      </c>
      <c r="AO474" s="1" t="s">
        <v>1105</v>
      </c>
      <c r="AP474" s="1" t="s">
        <v>56</v>
      </c>
      <c r="AQ474" s="6">
        <v>0.48000000001047738</v>
      </c>
      <c r="AR474" s="6">
        <v>2.4615384615921918E-6</v>
      </c>
      <c r="AS474" s="2"/>
      <c r="AT474" s="7">
        <v>44810.575724525115</v>
      </c>
      <c r="AU474" s="1" t="s">
        <v>439</v>
      </c>
      <c r="AV474" s="1" t="s">
        <v>449</v>
      </c>
      <c r="AW474" s="1" t="s">
        <v>2152</v>
      </c>
      <c r="AX474" s="7">
        <v>44812.440175983174</v>
      </c>
      <c r="AY474" s="1" t="s">
        <v>180</v>
      </c>
      <c r="AZ474" s="6">
        <v>194999.52</v>
      </c>
      <c r="BA474" s="1"/>
      <c r="BB474" s="5">
        <v>44918</v>
      </c>
      <c r="BC474" s="5">
        <v>44812</v>
      </c>
      <c r="BD474" s="5">
        <v>44812</v>
      </c>
      <c r="BE474" s="7">
        <v>44926</v>
      </c>
      <c r="BF474" s="1" t="s">
        <v>2170</v>
      </c>
      <c r="BG474" s="1"/>
      <c r="BH474" s="1"/>
      <c r="BI474" s="1" t="s">
        <v>816</v>
      </c>
    </row>
    <row r="475" spans="1:61" hidden="1" x14ac:dyDescent="0.25">
      <c r="A475" s="4">
        <v>470</v>
      </c>
      <c r="B475" s="2" t="str">
        <f>HYPERLINK("https://my.zakupivli.pro/remote/dispatcher/state_purchase_view/37087834", "UA-2022-08-16-005299-a")</f>
        <v>UA-2022-08-16-005299-a</v>
      </c>
      <c r="C475" s="2" t="s">
        <v>1516</v>
      </c>
      <c r="D475" s="1" t="s">
        <v>1884</v>
      </c>
      <c r="E475" s="1" t="s">
        <v>1884</v>
      </c>
      <c r="F475" s="1" t="s">
        <v>412</v>
      </c>
      <c r="G475" s="1" t="s">
        <v>1075</v>
      </c>
      <c r="H475" s="1" t="s">
        <v>2015</v>
      </c>
      <c r="I475" s="1" t="s">
        <v>2094</v>
      </c>
      <c r="J475" s="1" t="s">
        <v>1145</v>
      </c>
      <c r="K475" s="1" t="s">
        <v>947</v>
      </c>
      <c r="L475" s="1" t="s">
        <v>1533</v>
      </c>
      <c r="M475" s="1" t="s">
        <v>1533</v>
      </c>
      <c r="N475" s="1" t="s">
        <v>110</v>
      </c>
      <c r="O475" s="1" t="s">
        <v>110</v>
      </c>
      <c r="P475" s="1" t="s">
        <v>110</v>
      </c>
      <c r="Q475" s="5">
        <v>44789</v>
      </c>
      <c r="R475" s="1" t="s">
        <v>433</v>
      </c>
      <c r="S475" s="1" t="s">
        <v>434</v>
      </c>
      <c r="T475" s="5">
        <v>44795</v>
      </c>
      <c r="U475" s="5">
        <v>44798</v>
      </c>
      <c r="V475" s="1" t="s">
        <v>2147</v>
      </c>
      <c r="W475" s="4">
        <v>1</v>
      </c>
      <c r="X475" s="6">
        <v>195000</v>
      </c>
      <c r="Y475" s="1" t="s">
        <v>1516</v>
      </c>
      <c r="Z475" s="1">
        <v>1</v>
      </c>
      <c r="AA475" s="6">
        <v>195000</v>
      </c>
      <c r="AB475" s="1" t="s">
        <v>2167</v>
      </c>
      <c r="AC475" s="6">
        <v>975</v>
      </c>
      <c r="AD475" s="1" t="s">
        <v>1100</v>
      </c>
      <c r="AE475" s="1" t="s">
        <v>2094</v>
      </c>
      <c r="AF475" s="1" t="s">
        <v>1186</v>
      </c>
      <c r="AG475" s="1" t="s">
        <v>1522</v>
      </c>
      <c r="AH475" s="6">
        <v>194999.52</v>
      </c>
      <c r="AI475" s="6">
        <v>194999.52</v>
      </c>
      <c r="AJ475" s="1" t="s">
        <v>2121</v>
      </c>
      <c r="AK475" s="6">
        <v>0.48000000001047738</v>
      </c>
      <c r="AL475" s="6">
        <v>2.4615384615921918E-6</v>
      </c>
      <c r="AM475" s="1"/>
      <c r="AN475" s="1"/>
      <c r="AO475" s="1"/>
      <c r="AP475" s="1"/>
      <c r="AQ475" s="1"/>
      <c r="AR475" s="1"/>
      <c r="AS475" s="2"/>
      <c r="AT475" s="7">
        <v>44799.421211945002</v>
      </c>
      <c r="AU475" s="1"/>
      <c r="AV475" s="1"/>
      <c r="AW475" s="1" t="s">
        <v>2153</v>
      </c>
      <c r="AX475" s="7">
        <v>44804.000776000059</v>
      </c>
      <c r="AY475" s="1"/>
      <c r="AZ475" s="1"/>
      <c r="BA475" s="1"/>
      <c r="BB475" s="5">
        <v>44918</v>
      </c>
      <c r="BC475" s="1" t="s">
        <v>109</v>
      </c>
      <c r="BD475" s="1" t="s">
        <v>109</v>
      </c>
      <c r="BE475" s="1"/>
      <c r="BF475" s="1"/>
      <c r="BG475" s="1"/>
      <c r="BH475" s="1"/>
      <c r="BI475" s="1" t="s">
        <v>816</v>
      </c>
    </row>
    <row r="476" spans="1:61" hidden="1" x14ac:dyDescent="0.25">
      <c r="A476" s="4">
        <v>471</v>
      </c>
      <c r="B476" s="2" t="str">
        <f>HYPERLINK("https://my.zakupivli.pro/remote/dispatcher/state_purchase_view/36992885", "UA-2022-08-09-008604-a")</f>
        <v>UA-2022-08-09-008604-a</v>
      </c>
      <c r="C476" s="2" t="s">
        <v>1516</v>
      </c>
      <c r="D476" s="1" t="s">
        <v>1159</v>
      </c>
      <c r="E476" s="1" t="s">
        <v>1158</v>
      </c>
      <c r="F476" s="1" t="s">
        <v>412</v>
      </c>
      <c r="G476" s="1" t="s">
        <v>842</v>
      </c>
      <c r="H476" s="1" t="s">
        <v>1218</v>
      </c>
      <c r="I476" s="1" t="s">
        <v>2094</v>
      </c>
      <c r="J476" s="1" t="s">
        <v>1145</v>
      </c>
      <c r="K476" s="1" t="s">
        <v>947</v>
      </c>
      <c r="L476" s="1" t="s">
        <v>1533</v>
      </c>
      <c r="M476" s="1" t="s">
        <v>1533</v>
      </c>
      <c r="N476" s="1" t="s">
        <v>110</v>
      </c>
      <c r="O476" s="1" t="s">
        <v>110</v>
      </c>
      <c r="P476" s="1" t="s">
        <v>110</v>
      </c>
      <c r="Q476" s="5">
        <v>44782</v>
      </c>
      <c r="R476" s="1"/>
      <c r="S476" s="1"/>
      <c r="T476" s="1"/>
      <c r="U476" s="1"/>
      <c r="V476" s="1" t="s">
        <v>2146</v>
      </c>
      <c r="W476" s="4">
        <v>1</v>
      </c>
      <c r="X476" s="6">
        <v>7600</v>
      </c>
      <c r="Y476" s="1" t="s">
        <v>1516</v>
      </c>
      <c r="Z476" s="1">
        <v>4</v>
      </c>
      <c r="AA476" s="6">
        <v>1900</v>
      </c>
      <c r="AB476" s="1" t="s">
        <v>2175</v>
      </c>
      <c r="AC476" s="1" t="s">
        <v>2162</v>
      </c>
      <c r="AD476" s="1" t="s">
        <v>1100</v>
      </c>
      <c r="AE476" s="1" t="s">
        <v>1522</v>
      </c>
      <c r="AF476" s="1" t="s">
        <v>1186</v>
      </c>
      <c r="AG476" s="1" t="s">
        <v>1522</v>
      </c>
      <c r="AH476" s="6">
        <v>7600</v>
      </c>
      <c r="AI476" s="6">
        <v>1900</v>
      </c>
      <c r="AJ476" s="1" t="s">
        <v>2093</v>
      </c>
      <c r="AK476" s="1"/>
      <c r="AL476" s="1"/>
      <c r="AM476" s="1" t="s">
        <v>2093</v>
      </c>
      <c r="AN476" s="1" t="s">
        <v>835</v>
      </c>
      <c r="AO476" s="1"/>
      <c r="AP476" s="1" t="s">
        <v>139</v>
      </c>
      <c r="AQ476" s="1"/>
      <c r="AR476" s="1"/>
      <c r="AS476" s="2"/>
      <c r="AT476" s="1"/>
      <c r="AU476" s="1"/>
      <c r="AV476" s="1"/>
      <c r="AW476" s="1" t="s">
        <v>2152</v>
      </c>
      <c r="AX476" s="7">
        <v>44782.673148768903</v>
      </c>
      <c r="AY476" s="1" t="s">
        <v>166</v>
      </c>
      <c r="AZ476" s="6">
        <v>7600</v>
      </c>
      <c r="BA476" s="5">
        <v>44781</v>
      </c>
      <c r="BB476" s="5">
        <v>44926</v>
      </c>
      <c r="BC476" s="5">
        <v>44781</v>
      </c>
      <c r="BD476" s="5">
        <v>44781</v>
      </c>
      <c r="BE476" s="7">
        <v>44926</v>
      </c>
      <c r="BF476" s="1" t="s">
        <v>2170</v>
      </c>
      <c r="BG476" s="1"/>
      <c r="BH476" s="1"/>
      <c r="BI476" s="1" t="s">
        <v>108</v>
      </c>
    </row>
    <row r="477" spans="1:61" hidden="1" x14ac:dyDescent="0.25">
      <c r="A477" s="4">
        <v>472</v>
      </c>
      <c r="B477" s="2" t="str">
        <f>HYPERLINK("https://my.zakupivli.pro/remote/dispatcher/state_purchase_view/36983596", "UA-2022-08-09-003776-a")</f>
        <v>UA-2022-08-09-003776-a</v>
      </c>
      <c r="C477" s="2" t="s">
        <v>1516</v>
      </c>
      <c r="D477" s="1" t="s">
        <v>1666</v>
      </c>
      <c r="E477" s="1" t="s">
        <v>1666</v>
      </c>
      <c r="F477" s="1" t="s">
        <v>412</v>
      </c>
      <c r="G477" s="1" t="s">
        <v>990</v>
      </c>
      <c r="H477" s="1" t="s">
        <v>1218</v>
      </c>
      <c r="I477" s="1" t="s">
        <v>2094</v>
      </c>
      <c r="J477" s="1" t="s">
        <v>1145</v>
      </c>
      <c r="K477" s="1" t="s">
        <v>947</v>
      </c>
      <c r="L477" s="1" t="s">
        <v>1533</v>
      </c>
      <c r="M477" s="1" t="s">
        <v>1533</v>
      </c>
      <c r="N477" s="1" t="s">
        <v>110</v>
      </c>
      <c r="O477" s="1" t="s">
        <v>110</v>
      </c>
      <c r="P477" s="1" t="s">
        <v>110</v>
      </c>
      <c r="Q477" s="5">
        <v>44782</v>
      </c>
      <c r="R477" s="1"/>
      <c r="S477" s="1"/>
      <c r="T477" s="1"/>
      <c r="U477" s="1"/>
      <c r="V477" s="1" t="s">
        <v>2146</v>
      </c>
      <c r="W477" s="4">
        <v>1</v>
      </c>
      <c r="X477" s="6">
        <v>34930</v>
      </c>
      <c r="Y477" s="1" t="s">
        <v>1516</v>
      </c>
      <c r="Z477" s="1">
        <v>2</v>
      </c>
      <c r="AA477" s="6">
        <v>17465</v>
      </c>
      <c r="AB477" s="1" t="s">
        <v>2175</v>
      </c>
      <c r="AC477" s="1" t="s">
        <v>2162</v>
      </c>
      <c r="AD477" s="1" t="s">
        <v>1100</v>
      </c>
      <c r="AE477" s="1" t="s">
        <v>1522</v>
      </c>
      <c r="AF477" s="1" t="s">
        <v>1186</v>
      </c>
      <c r="AG477" s="1" t="s">
        <v>1522</v>
      </c>
      <c r="AH477" s="6">
        <v>34930</v>
      </c>
      <c r="AI477" s="6">
        <v>17465</v>
      </c>
      <c r="AJ477" s="1" t="s">
        <v>1138</v>
      </c>
      <c r="AK477" s="1"/>
      <c r="AL477" s="1"/>
      <c r="AM477" s="1" t="s">
        <v>1138</v>
      </c>
      <c r="AN477" s="1" t="s">
        <v>786</v>
      </c>
      <c r="AO477" s="1"/>
      <c r="AP477" s="1" t="s">
        <v>150</v>
      </c>
      <c r="AQ477" s="1"/>
      <c r="AR477" s="1"/>
      <c r="AS477" s="2"/>
      <c r="AT477" s="1"/>
      <c r="AU477" s="1"/>
      <c r="AV477" s="1"/>
      <c r="AW477" s="1" t="s">
        <v>2152</v>
      </c>
      <c r="AX477" s="7">
        <v>44782.501230766837</v>
      </c>
      <c r="AY477" s="1" t="s">
        <v>154</v>
      </c>
      <c r="AZ477" s="6">
        <v>34930</v>
      </c>
      <c r="BA477" s="5">
        <v>44779</v>
      </c>
      <c r="BB477" s="5">
        <v>44780</v>
      </c>
      <c r="BC477" s="5">
        <v>44778</v>
      </c>
      <c r="BD477" s="5">
        <v>44778</v>
      </c>
      <c r="BE477" s="7">
        <v>44926</v>
      </c>
      <c r="BF477" s="1" t="s">
        <v>2170</v>
      </c>
      <c r="BG477" s="1"/>
      <c r="BH477" s="1"/>
      <c r="BI477" s="1" t="s">
        <v>108</v>
      </c>
    </row>
    <row r="478" spans="1:61" hidden="1" x14ac:dyDescent="0.25">
      <c r="A478" s="4">
        <v>473</v>
      </c>
      <c r="B478" s="2" t="str">
        <f>HYPERLINK("https://my.zakupivli.pro/remote/dispatcher/state_purchase_view/36950850", "UA-2022-08-05-006328-a")</f>
        <v>UA-2022-08-05-006328-a</v>
      </c>
      <c r="C478" s="2" t="s">
        <v>1516</v>
      </c>
      <c r="D478" s="1" t="s">
        <v>1214</v>
      </c>
      <c r="E478" s="1" t="s">
        <v>1214</v>
      </c>
      <c r="F478" s="1" t="s">
        <v>412</v>
      </c>
      <c r="G478" s="1" t="s">
        <v>144</v>
      </c>
      <c r="H478" s="1" t="s">
        <v>1218</v>
      </c>
      <c r="I478" s="1" t="s">
        <v>2094</v>
      </c>
      <c r="J478" s="1" t="s">
        <v>1145</v>
      </c>
      <c r="K478" s="1" t="s">
        <v>947</v>
      </c>
      <c r="L478" s="1" t="s">
        <v>1533</v>
      </c>
      <c r="M478" s="1" t="s">
        <v>1533</v>
      </c>
      <c r="N478" s="1" t="s">
        <v>110</v>
      </c>
      <c r="O478" s="1" t="s">
        <v>110</v>
      </c>
      <c r="P478" s="1" t="s">
        <v>110</v>
      </c>
      <c r="Q478" s="5">
        <v>44778</v>
      </c>
      <c r="R478" s="1"/>
      <c r="S478" s="1"/>
      <c r="T478" s="1"/>
      <c r="U478" s="1"/>
      <c r="V478" s="1" t="s">
        <v>2146</v>
      </c>
      <c r="W478" s="4">
        <v>1</v>
      </c>
      <c r="X478" s="6">
        <v>49998.65</v>
      </c>
      <c r="Y478" s="1" t="s">
        <v>1516</v>
      </c>
      <c r="Z478" s="1">
        <v>10309</v>
      </c>
      <c r="AA478" s="6">
        <v>4.8499999999999996</v>
      </c>
      <c r="AB478" s="1" t="s">
        <v>1485</v>
      </c>
      <c r="AC478" s="1" t="s">
        <v>2162</v>
      </c>
      <c r="AD478" s="1" t="s">
        <v>1100</v>
      </c>
      <c r="AE478" s="1" t="s">
        <v>2094</v>
      </c>
      <c r="AF478" s="1" t="s">
        <v>1186</v>
      </c>
      <c r="AG478" s="1" t="s">
        <v>1522</v>
      </c>
      <c r="AH478" s="6">
        <v>49998.65</v>
      </c>
      <c r="AI478" s="6">
        <v>4.8500000000000005</v>
      </c>
      <c r="AJ478" s="1" t="s">
        <v>2068</v>
      </c>
      <c r="AK478" s="1"/>
      <c r="AL478" s="1"/>
      <c r="AM478" s="1" t="s">
        <v>2068</v>
      </c>
      <c r="AN478" s="1" t="s">
        <v>922</v>
      </c>
      <c r="AO478" s="1"/>
      <c r="AP478" s="1" t="s">
        <v>140</v>
      </c>
      <c r="AQ478" s="1"/>
      <c r="AR478" s="1"/>
      <c r="AS478" s="2"/>
      <c r="AT478" s="1"/>
      <c r="AU478" s="1"/>
      <c r="AV478" s="1"/>
      <c r="AW478" s="1" t="s">
        <v>2152</v>
      </c>
      <c r="AX478" s="7">
        <v>44778.601812606503</v>
      </c>
      <c r="AY478" s="1" t="s">
        <v>1013</v>
      </c>
      <c r="AZ478" s="6">
        <v>49998.65</v>
      </c>
      <c r="BA478" s="5">
        <v>44777</v>
      </c>
      <c r="BB478" s="5">
        <v>44926</v>
      </c>
      <c r="BC478" s="5">
        <v>44777</v>
      </c>
      <c r="BD478" s="5">
        <v>44777</v>
      </c>
      <c r="BE478" s="7">
        <v>44926</v>
      </c>
      <c r="BF478" s="1" t="s">
        <v>2170</v>
      </c>
      <c r="BG478" s="1"/>
      <c r="BH478" s="1"/>
      <c r="BI478" s="1" t="s">
        <v>108</v>
      </c>
    </row>
    <row r="479" spans="1:61" hidden="1" x14ac:dyDescent="0.25">
      <c r="A479" s="4">
        <v>474</v>
      </c>
      <c r="B479" s="2" t="str">
        <f>HYPERLINK("https://my.zakupivli.pro/remote/dispatcher/state_purchase_view/36841254", "UA-2022-07-28-002980-a")</f>
        <v>UA-2022-07-28-002980-a</v>
      </c>
      <c r="C479" s="2" t="s">
        <v>1516</v>
      </c>
      <c r="D479" s="1" t="s">
        <v>1885</v>
      </c>
      <c r="E479" s="1" t="s">
        <v>1885</v>
      </c>
      <c r="F479" s="1" t="s">
        <v>412</v>
      </c>
      <c r="G479" s="1" t="s">
        <v>1051</v>
      </c>
      <c r="H479" s="1" t="s">
        <v>2015</v>
      </c>
      <c r="I479" s="1" t="s">
        <v>2094</v>
      </c>
      <c r="J479" s="1" t="s">
        <v>1145</v>
      </c>
      <c r="K479" s="1" t="s">
        <v>947</v>
      </c>
      <c r="L479" s="1" t="s">
        <v>1533</v>
      </c>
      <c r="M479" s="1" t="s">
        <v>1533</v>
      </c>
      <c r="N479" s="1" t="s">
        <v>110</v>
      </c>
      <c r="O479" s="1" t="s">
        <v>110</v>
      </c>
      <c r="P479" s="1" t="s">
        <v>110</v>
      </c>
      <c r="Q479" s="5">
        <v>44770</v>
      </c>
      <c r="R479" s="1" t="s">
        <v>430</v>
      </c>
      <c r="S479" s="1" t="s">
        <v>431</v>
      </c>
      <c r="T479" s="5">
        <v>44776</v>
      </c>
      <c r="U479" s="5">
        <v>44781</v>
      </c>
      <c r="V479" s="7">
        <v>44781.54519675926</v>
      </c>
      <c r="W479" s="4">
        <v>2</v>
      </c>
      <c r="X479" s="6">
        <v>195000</v>
      </c>
      <c r="Y479" s="1" t="s">
        <v>1516</v>
      </c>
      <c r="Z479" s="1">
        <v>1</v>
      </c>
      <c r="AA479" s="6">
        <v>195000</v>
      </c>
      <c r="AB479" s="1" t="s">
        <v>2167</v>
      </c>
      <c r="AC479" s="6">
        <v>975</v>
      </c>
      <c r="AD479" s="1" t="s">
        <v>1100</v>
      </c>
      <c r="AE479" s="1" t="s">
        <v>2094</v>
      </c>
      <c r="AF479" s="1" t="s">
        <v>1186</v>
      </c>
      <c r="AG479" s="1" t="s">
        <v>1522</v>
      </c>
      <c r="AH479" s="6">
        <v>193005.5</v>
      </c>
      <c r="AI479" s="6">
        <v>193005.5</v>
      </c>
      <c r="AJ479" s="1" t="s">
        <v>2122</v>
      </c>
      <c r="AK479" s="6">
        <v>1994.5</v>
      </c>
      <c r="AL479" s="6">
        <v>1.0228205128205128E-2</v>
      </c>
      <c r="AM479" s="1" t="s">
        <v>2122</v>
      </c>
      <c r="AN479" s="1" t="s">
        <v>225</v>
      </c>
      <c r="AO479" s="1" t="s">
        <v>1107</v>
      </c>
      <c r="AP479" s="1" t="s">
        <v>55</v>
      </c>
      <c r="AQ479" s="6">
        <v>1994.5</v>
      </c>
      <c r="AR479" s="6">
        <v>1.0228205128205128E-2</v>
      </c>
      <c r="AS479" s="2" t="str">
        <f>HYPERLINK("https://auctions.prozorro.gov.ua/tenders/9c3f42e7e7cf43a9a8a236e735059a3d")</f>
        <v>https://auctions.prozorro.gov.ua/tenders/9c3f42e7e7cf43a9a8a236e735059a3d</v>
      </c>
      <c r="AT479" s="7">
        <v>44781.668795789883</v>
      </c>
      <c r="AU479" s="1" t="s">
        <v>432</v>
      </c>
      <c r="AV479" s="1" t="s">
        <v>436</v>
      </c>
      <c r="AW479" s="1" t="s">
        <v>2152</v>
      </c>
      <c r="AX479" s="7">
        <v>44784.498912932948</v>
      </c>
      <c r="AY479" s="1" t="s">
        <v>180</v>
      </c>
      <c r="AZ479" s="6">
        <v>193005.5</v>
      </c>
      <c r="BA479" s="1"/>
      <c r="BB479" s="5">
        <v>44880</v>
      </c>
      <c r="BC479" s="5">
        <v>44784</v>
      </c>
      <c r="BD479" s="5">
        <v>44784</v>
      </c>
      <c r="BE479" s="7">
        <v>44926</v>
      </c>
      <c r="BF479" s="1" t="s">
        <v>2170</v>
      </c>
      <c r="BG479" s="1"/>
      <c r="BH479" s="1"/>
      <c r="BI479" s="1" t="s">
        <v>227</v>
      </c>
    </row>
    <row r="480" spans="1:61" hidden="1" x14ac:dyDescent="0.25">
      <c r="A480" s="4">
        <v>475</v>
      </c>
      <c r="B480" s="2" t="str">
        <f>HYPERLINK("https://my.zakupivli.pro/remote/dispatcher/state_purchase_view/36763164", "UA-2022-07-21-005702-a")</f>
        <v>UA-2022-07-21-005702-a</v>
      </c>
      <c r="C480" s="2" t="s">
        <v>1516</v>
      </c>
      <c r="D480" s="1" t="s">
        <v>1716</v>
      </c>
      <c r="E480" s="1" t="s">
        <v>1716</v>
      </c>
      <c r="F480" s="1"/>
      <c r="G480" s="1" t="s">
        <v>991</v>
      </c>
      <c r="H480" s="1" t="s">
        <v>1218</v>
      </c>
      <c r="I480" s="1" t="s">
        <v>2094</v>
      </c>
      <c r="J480" s="1" t="s">
        <v>1145</v>
      </c>
      <c r="K480" s="1" t="s">
        <v>947</v>
      </c>
      <c r="L480" s="1" t="s">
        <v>1533</v>
      </c>
      <c r="M480" s="1" t="s">
        <v>1533</v>
      </c>
      <c r="N480" s="1" t="s">
        <v>110</v>
      </c>
      <c r="O480" s="1" t="s">
        <v>110</v>
      </c>
      <c r="P480" s="1" t="s">
        <v>110</v>
      </c>
      <c r="Q480" s="5">
        <v>44763</v>
      </c>
      <c r="R480" s="1"/>
      <c r="S480" s="1"/>
      <c r="T480" s="1"/>
      <c r="U480" s="1"/>
      <c r="V480" s="1" t="s">
        <v>2146</v>
      </c>
      <c r="W480" s="4">
        <v>1</v>
      </c>
      <c r="X480" s="6">
        <v>4765</v>
      </c>
      <c r="Y480" s="1" t="s">
        <v>1516</v>
      </c>
      <c r="Z480" s="1">
        <v>40</v>
      </c>
      <c r="AA480" s="6">
        <v>119.12</v>
      </c>
      <c r="AB480" s="1" t="s">
        <v>2175</v>
      </c>
      <c r="AC480" s="1" t="s">
        <v>2162</v>
      </c>
      <c r="AD480" s="1" t="s">
        <v>1100</v>
      </c>
      <c r="AE480" s="1" t="s">
        <v>1522</v>
      </c>
      <c r="AF480" s="1" t="s">
        <v>1186</v>
      </c>
      <c r="AG480" s="1" t="s">
        <v>1522</v>
      </c>
      <c r="AH480" s="6">
        <v>4765</v>
      </c>
      <c r="AI480" s="6">
        <v>119.125</v>
      </c>
      <c r="AJ480" s="1" t="s">
        <v>2026</v>
      </c>
      <c r="AK480" s="1"/>
      <c r="AL480" s="1"/>
      <c r="AM480" s="1" t="s">
        <v>2026</v>
      </c>
      <c r="AN480" s="1" t="s">
        <v>818</v>
      </c>
      <c r="AO480" s="1"/>
      <c r="AP480" s="1" t="s">
        <v>127</v>
      </c>
      <c r="AQ480" s="1"/>
      <c r="AR480" s="1"/>
      <c r="AS480" s="2"/>
      <c r="AT480" s="1"/>
      <c r="AU480" s="1"/>
      <c r="AV480" s="1"/>
      <c r="AW480" s="1" t="s">
        <v>2152</v>
      </c>
      <c r="AX480" s="7">
        <v>44763.629888032003</v>
      </c>
      <c r="AY480" s="1" t="s">
        <v>1071</v>
      </c>
      <c r="AZ480" s="6">
        <v>4765</v>
      </c>
      <c r="BA480" s="1"/>
      <c r="BB480" s="5">
        <v>44796</v>
      </c>
      <c r="BC480" s="5">
        <v>44761</v>
      </c>
      <c r="BD480" s="5">
        <v>44761</v>
      </c>
      <c r="BE480" s="7">
        <v>44926</v>
      </c>
      <c r="BF480" s="1" t="s">
        <v>2170</v>
      </c>
      <c r="BG480" s="1"/>
      <c r="BH480" s="1"/>
      <c r="BI480" s="1" t="s">
        <v>108</v>
      </c>
    </row>
    <row r="481" spans="1:61" hidden="1" x14ac:dyDescent="0.25">
      <c r="A481" s="4">
        <v>476</v>
      </c>
      <c r="B481" s="2" t="str">
        <f>HYPERLINK("https://my.zakupivli.pro/remote/dispatcher/state_purchase_view/36762726", "UA-2022-07-21-005501-a")</f>
        <v>UA-2022-07-21-005501-a</v>
      </c>
      <c r="C481" s="2" t="s">
        <v>1516</v>
      </c>
      <c r="D481" s="1" t="s">
        <v>1</v>
      </c>
      <c r="E481" s="1" t="s">
        <v>1164</v>
      </c>
      <c r="F481" s="1"/>
      <c r="G481" s="1" t="s">
        <v>143</v>
      </c>
      <c r="H481" s="1" t="s">
        <v>1218</v>
      </c>
      <c r="I481" s="1" t="s">
        <v>2094</v>
      </c>
      <c r="J481" s="1" t="s">
        <v>1145</v>
      </c>
      <c r="K481" s="1" t="s">
        <v>947</v>
      </c>
      <c r="L481" s="1" t="s">
        <v>1533</v>
      </c>
      <c r="M481" s="1" t="s">
        <v>1533</v>
      </c>
      <c r="N481" s="1" t="s">
        <v>110</v>
      </c>
      <c r="O481" s="1" t="s">
        <v>110</v>
      </c>
      <c r="P481" s="1" t="s">
        <v>110</v>
      </c>
      <c r="Q481" s="5">
        <v>44763</v>
      </c>
      <c r="R481" s="1"/>
      <c r="S481" s="1"/>
      <c r="T481" s="1"/>
      <c r="U481" s="1"/>
      <c r="V481" s="1" t="s">
        <v>2146</v>
      </c>
      <c r="W481" s="4">
        <v>1</v>
      </c>
      <c r="X481" s="6">
        <v>49500</v>
      </c>
      <c r="Y481" s="1" t="s">
        <v>1516</v>
      </c>
      <c r="Z481" s="1">
        <v>990</v>
      </c>
      <c r="AA481" s="6">
        <v>50</v>
      </c>
      <c r="AB481" s="1" t="s">
        <v>2158</v>
      </c>
      <c r="AC481" s="1" t="s">
        <v>2162</v>
      </c>
      <c r="AD481" s="1" t="s">
        <v>1100</v>
      </c>
      <c r="AE481" s="1" t="s">
        <v>2094</v>
      </c>
      <c r="AF481" s="1" t="s">
        <v>1186</v>
      </c>
      <c r="AG481" s="1" t="s">
        <v>1522</v>
      </c>
      <c r="AH481" s="6">
        <v>49500</v>
      </c>
      <c r="AI481" s="6">
        <v>50</v>
      </c>
      <c r="AJ481" s="1" t="s">
        <v>2078</v>
      </c>
      <c r="AK481" s="1"/>
      <c r="AL481" s="1"/>
      <c r="AM481" s="1" t="s">
        <v>2078</v>
      </c>
      <c r="AN481" s="1" t="s">
        <v>915</v>
      </c>
      <c r="AO481" s="1"/>
      <c r="AP481" s="1" t="s">
        <v>57</v>
      </c>
      <c r="AQ481" s="1"/>
      <c r="AR481" s="1"/>
      <c r="AS481" s="2"/>
      <c r="AT481" s="1"/>
      <c r="AU481" s="1"/>
      <c r="AV481" s="1"/>
      <c r="AW481" s="1" t="s">
        <v>2152</v>
      </c>
      <c r="AX481" s="7">
        <v>44763.622434195844</v>
      </c>
      <c r="AY481" s="1" t="s">
        <v>196</v>
      </c>
      <c r="AZ481" s="6">
        <v>49500</v>
      </c>
      <c r="BA481" s="1"/>
      <c r="BB481" s="5">
        <v>44926</v>
      </c>
      <c r="BC481" s="5">
        <v>44763</v>
      </c>
      <c r="BD481" s="5">
        <v>44763</v>
      </c>
      <c r="BE481" s="7">
        <v>44926</v>
      </c>
      <c r="BF481" s="1" t="s">
        <v>2170</v>
      </c>
      <c r="BG481" s="1"/>
      <c r="BH481" s="1"/>
      <c r="BI481" s="1" t="s">
        <v>108</v>
      </c>
    </row>
    <row r="482" spans="1:61" hidden="1" x14ac:dyDescent="0.25">
      <c r="A482" s="4">
        <v>477</v>
      </c>
      <c r="B482" s="2" t="str">
        <f>HYPERLINK("https://my.zakupivli.pro/remote/dispatcher/state_purchase_view/36342908", "UA-2022-06-10-001316-a")</f>
        <v>UA-2022-06-10-001316-a</v>
      </c>
      <c r="C482" s="2" t="s">
        <v>1516</v>
      </c>
      <c r="D482" s="1" t="s">
        <v>1716</v>
      </c>
      <c r="E482" s="1" t="s">
        <v>1716</v>
      </c>
      <c r="F482" s="1"/>
      <c r="G482" s="1" t="s">
        <v>991</v>
      </c>
      <c r="H482" s="1" t="s">
        <v>1218</v>
      </c>
      <c r="I482" s="1" t="s">
        <v>2094</v>
      </c>
      <c r="J482" s="1" t="s">
        <v>1145</v>
      </c>
      <c r="K482" s="1" t="s">
        <v>947</v>
      </c>
      <c r="L482" s="1" t="s">
        <v>1533</v>
      </c>
      <c r="M482" s="1" t="s">
        <v>1533</v>
      </c>
      <c r="N482" s="1" t="s">
        <v>110</v>
      </c>
      <c r="O482" s="1" t="s">
        <v>110</v>
      </c>
      <c r="P482" s="1" t="s">
        <v>110</v>
      </c>
      <c r="Q482" s="5">
        <v>44722</v>
      </c>
      <c r="R482" s="1"/>
      <c r="S482" s="1"/>
      <c r="T482" s="1"/>
      <c r="U482" s="1"/>
      <c r="V482" s="1" t="s">
        <v>2146</v>
      </c>
      <c r="W482" s="4">
        <v>1</v>
      </c>
      <c r="X482" s="6">
        <v>4765</v>
      </c>
      <c r="Y482" s="1" t="s">
        <v>1516</v>
      </c>
      <c r="Z482" s="1">
        <v>40</v>
      </c>
      <c r="AA482" s="6">
        <v>119.12</v>
      </c>
      <c r="AB482" s="1" t="s">
        <v>2175</v>
      </c>
      <c r="AC482" s="1" t="s">
        <v>2162</v>
      </c>
      <c r="AD482" s="1" t="s">
        <v>1100</v>
      </c>
      <c r="AE482" s="1" t="s">
        <v>1522</v>
      </c>
      <c r="AF482" s="1" t="s">
        <v>1186</v>
      </c>
      <c r="AG482" s="1" t="s">
        <v>1522</v>
      </c>
      <c r="AH482" s="6">
        <v>4765</v>
      </c>
      <c r="AI482" s="6">
        <v>119.125</v>
      </c>
      <c r="AJ482" s="1" t="s">
        <v>1497</v>
      </c>
      <c r="AK482" s="1"/>
      <c r="AL482" s="1"/>
      <c r="AM482" s="1" t="s">
        <v>1497</v>
      </c>
      <c r="AN482" s="1" t="s">
        <v>771</v>
      </c>
      <c r="AO482" s="1"/>
      <c r="AP482" s="1" t="s">
        <v>80</v>
      </c>
      <c r="AQ482" s="1"/>
      <c r="AR482" s="1"/>
      <c r="AS482" s="2"/>
      <c r="AT482" s="1"/>
      <c r="AU482" s="1"/>
      <c r="AV482" s="1"/>
      <c r="AW482" s="1" t="s">
        <v>2152</v>
      </c>
      <c r="AX482" s="7">
        <v>44722.43657738933</v>
      </c>
      <c r="AY482" s="1" t="s">
        <v>1057</v>
      </c>
      <c r="AZ482" s="6">
        <v>4765</v>
      </c>
      <c r="BA482" s="5">
        <v>44720</v>
      </c>
      <c r="BB482" s="5">
        <v>44796</v>
      </c>
      <c r="BC482" s="5">
        <v>44720</v>
      </c>
      <c r="BD482" s="5">
        <v>44720</v>
      </c>
      <c r="BE482" s="7">
        <v>44926</v>
      </c>
      <c r="BF482" s="1" t="s">
        <v>2170</v>
      </c>
      <c r="BG482" s="1"/>
      <c r="BH482" s="1"/>
      <c r="BI482" s="1" t="s">
        <v>108</v>
      </c>
    </row>
    <row r="483" spans="1:61" hidden="1" x14ac:dyDescent="0.25">
      <c r="A483" s="4">
        <v>478</v>
      </c>
      <c r="B483" s="2" t="str">
        <f>HYPERLINK("https://my.zakupivli.pro/remote/dispatcher/state_purchase_view/36270751", "UA-2022-06-02-004929-a")</f>
        <v>UA-2022-06-02-004929-a</v>
      </c>
      <c r="C483" s="2" t="s">
        <v>1516</v>
      </c>
      <c r="D483" s="1" t="s">
        <v>0</v>
      </c>
      <c r="E483" s="1" t="s">
        <v>1162</v>
      </c>
      <c r="F483" s="1"/>
      <c r="G483" s="1" t="s">
        <v>143</v>
      </c>
      <c r="H483" s="1" t="s">
        <v>1218</v>
      </c>
      <c r="I483" s="1" t="s">
        <v>2094</v>
      </c>
      <c r="J483" s="1" t="s">
        <v>1145</v>
      </c>
      <c r="K483" s="1" t="s">
        <v>947</v>
      </c>
      <c r="L483" s="1" t="s">
        <v>1533</v>
      </c>
      <c r="M483" s="1" t="s">
        <v>1533</v>
      </c>
      <c r="N483" s="1" t="s">
        <v>110</v>
      </c>
      <c r="O483" s="1" t="s">
        <v>110</v>
      </c>
      <c r="P483" s="1" t="s">
        <v>110</v>
      </c>
      <c r="Q483" s="5">
        <v>44714</v>
      </c>
      <c r="R483" s="1"/>
      <c r="S483" s="1"/>
      <c r="T483" s="1"/>
      <c r="U483" s="1"/>
      <c r="V483" s="1" t="s">
        <v>2146</v>
      </c>
      <c r="W483" s="4">
        <v>1</v>
      </c>
      <c r="X483" s="6">
        <v>49970</v>
      </c>
      <c r="Y483" s="1" t="s">
        <v>1516</v>
      </c>
      <c r="Z483" s="1">
        <v>970</v>
      </c>
      <c r="AA483" s="6">
        <v>51.52</v>
      </c>
      <c r="AB483" s="1" t="s">
        <v>2157</v>
      </c>
      <c r="AC483" s="1" t="s">
        <v>2162</v>
      </c>
      <c r="AD483" s="1" t="s">
        <v>1100</v>
      </c>
      <c r="AE483" s="1" t="s">
        <v>2094</v>
      </c>
      <c r="AF483" s="1" t="s">
        <v>1186</v>
      </c>
      <c r="AG483" s="1" t="s">
        <v>1522</v>
      </c>
      <c r="AH483" s="6">
        <v>49970</v>
      </c>
      <c r="AI483" s="6">
        <v>51.515463917525771</v>
      </c>
      <c r="AJ483" s="1" t="s">
        <v>2078</v>
      </c>
      <c r="AK483" s="1"/>
      <c r="AL483" s="1"/>
      <c r="AM483" s="1" t="s">
        <v>2078</v>
      </c>
      <c r="AN483" s="1" t="s">
        <v>915</v>
      </c>
      <c r="AO483" s="1"/>
      <c r="AP483" s="1" t="s">
        <v>57</v>
      </c>
      <c r="AQ483" s="1"/>
      <c r="AR483" s="1"/>
      <c r="AS483" s="2"/>
      <c r="AT483" s="1"/>
      <c r="AU483" s="1"/>
      <c r="AV483" s="1"/>
      <c r="AW483" s="1" t="s">
        <v>2152</v>
      </c>
      <c r="AX483" s="7">
        <v>44714.621701242279</v>
      </c>
      <c r="AY483" s="1" t="s">
        <v>159</v>
      </c>
      <c r="AZ483" s="6">
        <v>49970</v>
      </c>
      <c r="BA483" s="1"/>
      <c r="BB483" s="5">
        <v>44926</v>
      </c>
      <c r="BC483" s="5">
        <v>44713</v>
      </c>
      <c r="BD483" s="5">
        <v>44713</v>
      </c>
      <c r="BE483" s="7">
        <v>44926</v>
      </c>
      <c r="BF483" s="1" t="s">
        <v>2170</v>
      </c>
      <c r="BG483" s="1"/>
      <c r="BH483" s="1"/>
      <c r="BI483" s="1" t="s">
        <v>108</v>
      </c>
    </row>
    <row r="484" spans="1:61" hidden="1" x14ac:dyDescent="0.25">
      <c r="A484" s="4">
        <v>479</v>
      </c>
      <c r="B484" s="2" t="str">
        <f>HYPERLINK("https://my.zakupivli.pro/remote/dispatcher/state_purchase_view/36246603", "UA-2022-05-31-002335-a")</f>
        <v>UA-2022-05-31-002335-a</v>
      </c>
      <c r="C484" s="2" t="s">
        <v>1516</v>
      </c>
      <c r="D484" s="1" t="s">
        <v>1998</v>
      </c>
      <c r="E484" s="1" t="s">
        <v>1998</v>
      </c>
      <c r="F484" s="1"/>
      <c r="G484" s="1" t="s">
        <v>974</v>
      </c>
      <c r="H484" s="1" t="s">
        <v>1218</v>
      </c>
      <c r="I484" s="1" t="s">
        <v>2094</v>
      </c>
      <c r="J484" s="1" t="s">
        <v>1145</v>
      </c>
      <c r="K484" s="1" t="s">
        <v>947</v>
      </c>
      <c r="L484" s="1" t="s">
        <v>1533</v>
      </c>
      <c r="M484" s="1" t="s">
        <v>1533</v>
      </c>
      <c r="N484" s="1" t="s">
        <v>110</v>
      </c>
      <c r="O484" s="1" t="s">
        <v>110</v>
      </c>
      <c r="P484" s="1" t="s">
        <v>110</v>
      </c>
      <c r="Q484" s="5">
        <v>44712</v>
      </c>
      <c r="R484" s="1"/>
      <c r="S484" s="1"/>
      <c r="T484" s="1"/>
      <c r="U484" s="1"/>
      <c r="V484" s="1" t="s">
        <v>2146</v>
      </c>
      <c r="W484" s="4">
        <v>1</v>
      </c>
      <c r="X484" s="6">
        <v>240000</v>
      </c>
      <c r="Y484" s="1" t="s">
        <v>1516</v>
      </c>
      <c r="Z484" s="1">
        <v>1</v>
      </c>
      <c r="AA484" s="6">
        <v>240000</v>
      </c>
      <c r="AB484" s="1" t="s">
        <v>2167</v>
      </c>
      <c r="AC484" s="1" t="s">
        <v>2162</v>
      </c>
      <c r="AD484" s="1" t="s">
        <v>1100</v>
      </c>
      <c r="AE484" s="1" t="s">
        <v>1522</v>
      </c>
      <c r="AF484" s="1" t="s">
        <v>1186</v>
      </c>
      <c r="AG484" s="1" t="s">
        <v>1522</v>
      </c>
      <c r="AH484" s="6">
        <v>240000</v>
      </c>
      <c r="AI484" s="6">
        <v>240000</v>
      </c>
      <c r="AJ484" s="1" t="s">
        <v>1188</v>
      </c>
      <c r="AK484" s="1"/>
      <c r="AL484" s="1"/>
      <c r="AM484" s="1" t="s">
        <v>1188</v>
      </c>
      <c r="AN484" s="1" t="s">
        <v>861</v>
      </c>
      <c r="AO484" s="1"/>
      <c r="AP484" s="1" t="s">
        <v>103</v>
      </c>
      <c r="AQ484" s="1"/>
      <c r="AR484" s="1"/>
      <c r="AS484" s="2"/>
      <c r="AT484" s="1"/>
      <c r="AU484" s="1"/>
      <c r="AV484" s="1"/>
      <c r="AW484" s="1" t="s">
        <v>2152</v>
      </c>
      <c r="AX484" s="7">
        <v>44712.550205905929</v>
      </c>
      <c r="AY484" s="1" t="s">
        <v>1031</v>
      </c>
      <c r="AZ484" s="6">
        <v>240000</v>
      </c>
      <c r="BA484" s="5">
        <v>44705</v>
      </c>
      <c r="BB484" s="5">
        <v>44796</v>
      </c>
      <c r="BC484" s="5">
        <v>44705</v>
      </c>
      <c r="BD484" s="5">
        <v>44705</v>
      </c>
      <c r="BE484" s="7">
        <v>44926</v>
      </c>
      <c r="BF484" s="1" t="s">
        <v>2170</v>
      </c>
      <c r="BG484" s="1"/>
      <c r="BH484" s="1"/>
      <c r="BI484" s="1" t="s">
        <v>108</v>
      </c>
    </row>
    <row r="485" spans="1:61" hidden="1" x14ac:dyDescent="0.25">
      <c r="A485" s="4">
        <v>480</v>
      </c>
      <c r="B485" s="2" t="str">
        <f>HYPERLINK("https://my.zakupivli.pro/remote/dispatcher/state_purchase_view/36134618", "UA-2022-05-16-003402-a")</f>
        <v>UA-2022-05-16-003402-a</v>
      </c>
      <c r="C485" s="2" t="s">
        <v>1516</v>
      </c>
      <c r="D485" s="1" t="s">
        <v>1667</v>
      </c>
      <c r="E485" s="1" t="s">
        <v>1667</v>
      </c>
      <c r="F485" s="1"/>
      <c r="G485" s="1" t="s">
        <v>990</v>
      </c>
      <c r="H485" s="1" t="s">
        <v>1218</v>
      </c>
      <c r="I485" s="1" t="s">
        <v>2094</v>
      </c>
      <c r="J485" s="1" t="s">
        <v>1145</v>
      </c>
      <c r="K485" s="1" t="s">
        <v>947</v>
      </c>
      <c r="L485" s="1" t="s">
        <v>1533</v>
      </c>
      <c r="M485" s="1" t="s">
        <v>1533</v>
      </c>
      <c r="N485" s="1" t="s">
        <v>110</v>
      </c>
      <c r="O485" s="1" t="s">
        <v>110</v>
      </c>
      <c r="P485" s="1" t="s">
        <v>110</v>
      </c>
      <c r="Q485" s="5">
        <v>44697</v>
      </c>
      <c r="R485" s="1"/>
      <c r="S485" s="1"/>
      <c r="T485" s="1"/>
      <c r="U485" s="1"/>
      <c r="V485" s="1" t="s">
        <v>2146</v>
      </c>
      <c r="W485" s="4">
        <v>1</v>
      </c>
      <c r="X485" s="6">
        <v>24976.2</v>
      </c>
      <c r="Y485" s="1" t="s">
        <v>1516</v>
      </c>
      <c r="Z485" s="1">
        <v>1</v>
      </c>
      <c r="AA485" s="6">
        <v>24976.2</v>
      </c>
      <c r="AB485" s="1" t="s">
        <v>2167</v>
      </c>
      <c r="AC485" s="1" t="s">
        <v>2162</v>
      </c>
      <c r="AD485" s="1" t="s">
        <v>1100</v>
      </c>
      <c r="AE485" s="1" t="s">
        <v>2094</v>
      </c>
      <c r="AF485" s="1" t="s">
        <v>1186</v>
      </c>
      <c r="AG485" s="1" t="s">
        <v>1522</v>
      </c>
      <c r="AH485" s="6">
        <v>24976.2</v>
      </c>
      <c r="AI485" s="6">
        <v>24976.2</v>
      </c>
      <c r="AJ485" s="1" t="s">
        <v>2085</v>
      </c>
      <c r="AK485" s="1"/>
      <c r="AL485" s="1"/>
      <c r="AM485" s="1" t="s">
        <v>2085</v>
      </c>
      <c r="AN485" s="1" t="s">
        <v>803</v>
      </c>
      <c r="AO485" s="1"/>
      <c r="AP485" s="1" t="s">
        <v>120</v>
      </c>
      <c r="AQ485" s="1"/>
      <c r="AR485" s="1"/>
      <c r="AS485" s="2"/>
      <c r="AT485" s="1"/>
      <c r="AU485" s="1"/>
      <c r="AV485" s="1"/>
      <c r="AW485" s="1" t="s">
        <v>2152</v>
      </c>
      <c r="AX485" s="7">
        <v>44697.5951034834</v>
      </c>
      <c r="AY485" s="1" t="s">
        <v>1007</v>
      </c>
      <c r="AZ485" s="6">
        <v>24976.2</v>
      </c>
      <c r="BA485" s="5">
        <v>44695</v>
      </c>
      <c r="BB485" s="5">
        <v>44696</v>
      </c>
      <c r="BC485" s="5">
        <v>44694</v>
      </c>
      <c r="BD485" s="5">
        <v>44694</v>
      </c>
      <c r="BE485" s="7">
        <v>44926</v>
      </c>
      <c r="BF485" s="1" t="s">
        <v>2170</v>
      </c>
      <c r="BG485" s="1"/>
      <c r="BH485" s="1"/>
      <c r="BI485" s="1" t="s">
        <v>108</v>
      </c>
    </row>
    <row r="486" spans="1:61" hidden="1" x14ac:dyDescent="0.25">
      <c r="A486" s="4">
        <v>481</v>
      </c>
      <c r="B486" s="2" t="str">
        <f>HYPERLINK("https://my.zakupivli.pro/remote/dispatcher/state_purchase_view/36009446", "UA-2022-04-27-001541-a")</f>
        <v>UA-2022-04-27-001541-a</v>
      </c>
      <c r="C486" s="2" t="s">
        <v>1516</v>
      </c>
      <c r="D486" s="1" t="s">
        <v>1653</v>
      </c>
      <c r="E486" s="1" t="s">
        <v>1653</v>
      </c>
      <c r="F486" s="1"/>
      <c r="G486" s="1" t="s">
        <v>1074</v>
      </c>
      <c r="H486" s="1" t="s">
        <v>1218</v>
      </c>
      <c r="I486" s="1" t="s">
        <v>2094</v>
      </c>
      <c r="J486" s="1" t="s">
        <v>1145</v>
      </c>
      <c r="K486" s="1" t="s">
        <v>947</v>
      </c>
      <c r="L486" s="1" t="s">
        <v>1533</v>
      </c>
      <c r="M486" s="1" t="s">
        <v>1533</v>
      </c>
      <c r="N486" s="1" t="s">
        <v>110</v>
      </c>
      <c r="O486" s="1" t="s">
        <v>110</v>
      </c>
      <c r="P486" s="1" t="s">
        <v>110</v>
      </c>
      <c r="Q486" s="5">
        <v>44678</v>
      </c>
      <c r="R486" s="1"/>
      <c r="S486" s="1"/>
      <c r="T486" s="1"/>
      <c r="U486" s="1"/>
      <c r="V486" s="1" t="s">
        <v>2146</v>
      </c>
      <c r="W486" s="4">
        <v>1</v>
      </c>
      <c r="X486" s="6">
        <v>199977</v>
      </c>
      <c r="Y486" s="1" t="s">
        <v>1516</v>
      </c>
      <c r="Z486" s="1">
        <v>573</v>
      </c>
      <c r="AA486" s="6">
        <v>349</v>
      </c>
      <c r="AB486" s="1" t="s">
        <v>2161</v>
      </c>
      <c r="AC486" s="1" t="s">
        <v>2162</v>
      </c>
      <c r="AD486" s="1" t="s">
        <v>1100</v>
      </c>
      <c r="AE486" s="1" t="s">
        <v>1522</v>
      </c>
      <c r="AF486" s="1" t="s">
        <v>1186</v>
      </c>
      <c r="AG486" s="1" t="s">
        <v>1522</v>
      </c>
      <c r="AH486" s="6">
        <v>199977</v>
      </c>
      <c r="AI486" s="6">
        <v>349</v>
      </c>
      <c r="AJ486" s="1" t="s">
        <v>1523</v>
      </c>
      <c r="AK486" s="1"/>
      <c r="AL486" s="1"/>
      <c r="AM486" s="1" t="s">
        <v>1523</v>
      </c>
      <c r="AN486" s="1" t="s">
        <v>815</v>
      </c>
      <c r="AO486" s="1"/>
      <c r="AP486" s="1" t="s">
        <v>10</v>
      </c>
      <c r="AQ486" s="1"/>
      <c r="AR486" s="1"/>
      <c r="AS486" s="2"/>
      <c r="AT486" s="1"/>
      <c r="AU486" s="1"/>
      <c r="AV486" s="1"/>
      <c r="AW486" s="1" t="s">
        <v>2152</v>
      </c>
      <c r="AX486" s="7">
        <v>44678.550003774595</v>
      </c>
      <c r="AY486" s="1" t="s">
        <v>987</v>
      </c>
      <c r="AZ486" s="6">
        <v>199977</v>
      </c>
      <c r="BA486" s="5">
        <v>44672</v>
      </c>
      <c r="BB486" s="5">
        <v>44705</v>
      </c>
      <c r="BC486" s="5">
        <v>44672</v>
      </c>
      <c r="BD486" s="5">
        <v>44672</v>
      </c>
      <c r="BE486" s="7">
        <v>44926</v>
      </c>
      <c r="BF486" s="1" t="s">
        <v>2170</v>
      </c>
      <c r="BG486" s="1"/>
      <c r="BH486" s="1"/>
      <c r="BI486" s="1" t="s">
        <v>108</v>
      </c>
    </row>
    <row r="487" spans="1:61" hidden="1" x14ac:dyDescent="0.25">
      <c r="A487" s="4">
        <v>482</v>
      </c>
      <c r="B487" s="2" t="str">
        <f>HYPERLINK("https://my.zakupivli.pro/remote/dispatcher/state_purchase_view/35984437", "UA-2022-04-22-000709-a")</f>
        <v>UA-2022-04-22-000709-a</v>
      </c>
      <c r="C487" s="2" t="s">
        <v>1516</v>
      </c>
      <c r="D487" s="1" t="s">
        <v>1166</v>
      </c>
      <c r="E487" s="1" t="s">
        <v>1165</v>
      </c>
      <c r="F487" s="1"/>
      <c r="G487" s="1" t="s">
        <v>143</v>
      </c>
      <c r="H487" s="1" t="s">
        <v>1218</v>
      </c>
      <c r="I487" s="1" t="s">
        <v>2094</v>
      </c>
      <c r="J487" s="1" t="s">
        <v>1145</v>
      </c>
      <c r="K487" s="1" t="s">
        <v>947</v>
      </c>
      <c r="L487" s="1" t="s">
        <v>1533</v>
      </c>
      <c r="M487" s="1" t="s">
        <v>1533</v>
      </c>
      <c r="N487" s="1" t="s">
        <v>110</v>
      </c>
      <c r="O487" s="1" t="s">
        <v>110</v>
      </c>
      <c r="P487" s="1" t="s">
        <v>110</v>
      </c>
      <c r="Q487" s="5">
        <v>44673</v>
      </c>
      <c r="R487" s="1"/>
      <c r="S487" s="1"/>
      <c r="T487" s="1"/>
      <c r="U487" s="1"/>
      <c r="V487" s="1" t="s">
        <v>2146</v>
      </c>
      <c r="W487" s="4">
        <v>1</v>
      </c>
      <c r="X487" s="6">
        <v>34100</v>
      </c>
      <c r="Y487" s="1" t="s">
        <v>1516</v>
      </c>
      <c r="Z487" s="1">
        <v>1000</v>
      </c>
      <c r="AA487" s="6">
        <v>34.1</v>
      </c>
      <c r="AB487" s="1" t="s">
        <v>2157</v>
      </c>
      <c r="AC487" s="1" t="s">
        <v>2162</v>
      </c>
      <c r="AD487" s="1" t="s">
        <v>1100</v>
      </c>
      <c r="AE487" s="1" t="s">
        <v>2094</v>
      </c>
      <c r="AF487" s="1" t="s">
        <v>1186</v>
      </c>
      <c r="AG487" s="1" t="s">
        <v>1522</v>
      </c>
      <c r="AH487" s="6">
        <v>34100</v>
      </c>
      <c r="AI487" s="6">
        <v>34.1</v>
      </c>
      <c r="AJ487" s="1" t="s">
        <v>2078</v>
      </c>
      <c r="AK487" s="1"/>
      <c r="AL487" s="1"/>
      <c r="AM487" s="1" t="s">
        <v>2078</v>
      </c>
      <c r="AN487" s="1" t="s">
        <v>915</v>
      </c>
      <c r="AO487" s="1"/>
      <c r="AP487" s="1" t="s">
        <v>57</v>
      </c>
      <c r="AQ487" s="1"/>
      <c r="AR487" s="1"/>
      <c r="AS487" s="2"/>
      <c r="AT487" s="1"/>
      <c r="AU487" s="1"/>
      <c r="AV487" s="1"/>
      <c r="AW487" s="1" t="s">
        <v>2152</v>
      </c>
      <c r="AX487" s="7">
        <v>44673.44379359264</v>
      </c>
      <c r="AY487" s="1" t="s">
        <v>1003</v>
      </c>
      <c r="AZ487" s="6">
        <v>34100</v>
      </c>
      <c r="BA487" s="1"/>
      <c r="BB487" s="5">
        <v>44926</v>
      </c>
      <c r="BC487" s="5">
        <v>44657</v>
      </c>
      <c r="BD487" s="5">
        <v>44657</v>
      </c>
      <c r="BE487" s="7">
        <v>44926</v>
      </c>
      <c r="BF487" s="1" t="s">
        <v>2170</v>
      </c>
      <c r="BG487" s="1"/>
      <c r="BH487" s="1"/>
      <c r="BI487" s="1" t="s">
        <v>108</v>
      </c>
    </row>
    <row r="488" spans="1:61" hidden="1" x14ac:dyDescent="0.25">
      <c r="A488" s="4">
        <v>483</v>
      </c>
      <c r="B488" s="2" t="str">
        <f>HYPERLINK("https://my.zakupivli.pro/remote/dispatcher/state_purchase_view/35896017", "UA-2022-04-12-001922-b")</f>
        <v>UA-2022-04-12-001922-b</v>
      </c>
      <c r="C488" s="2" t="s">
        <v>1516</v>
      </c>
      <c r="D488" s="1" t="s">
        <v>1716</v>
      </c>
      <c r="E488" s="1" t="s">
        <v>1716</v>
      </c>
      <c r="F488" s="1"/>
      <c r="G488" s="1" t="s">
        <v>991</v>
      </c>
      <c r="H488" s="1" t="s">
        <v>1218</v>
      </c>
      <c r="I488" s="1" t="s">
        <v>2094</v>
      </c>
      <c r="J488" s="1" t="s">
        <v>1145</v>
      </c>
      <c r="K488" s="1" t="s">
        <v>947</v>
      </c>
      <c r="L488" s="1" t="s">
        <v>1533</v>
      </c>
      <c r="M488" s="1" t="s">
        <v>1533</v>
      </c>
      <c r="N488" s="1" t="s">
        <v>110</v>
      </c>
      <c r="O488" s="1" t="s">
        <v>110</v>
      </c>
      <c r="P488" s="1" t="s">
        <v>110</v>
      </c>
      <c r="Q488" s="5">
        <v>44663</v>
      </c>
      <c r="R488" s="1"/>
      <c r="S488" s="1"/>
      <c r="T488" s="1"/>
      <c r="U488" s="1"/>
      <c r="V488" s="1" t="s">
        <v>2146</v>
      </c>
      <c r="W488" s="4">
        <v>1</v>
      </c>
      <c r="X488" s="6">
        <v>2990</v>
      </c>
      <c r="Y488" s="1" t="s">
        <v>1516</v>
      </c>
      <c r="Z488" s="1">
        <v>26</v>
      </c>
      <c r="AA488" s="6">
        <v>115</v>
      </c>
      <c r="AB488" s="1" t="s">
        <v>2175</v>
      </c>
      <c r="AC488" s="1" t="s">
        <v>2162</v>
      </c>
      <c r="AD488" s="1" t="s">
        <v>1100</v>
      </c>
      <c r="AE488" s="1" t="s">
        <v>1522</v>
      </c>
      <c r="AF488" s="1" t="s">
        <v>1186</v>
      </c>
      <c r="AG488" s="1" t="s">
        <v>1522</v>
      </c>
      <c r="AH488" s="6">
        <v>2990</v>
      </c>
      <c r="AI488" s="6">
        <v>115</v>
      </c>
      <c r="AJ488" s="1" t="s">
        <v>1497</v>
      </c>
      <c r="AK488" s="1"/>
      <c r="AL488" s="1"/>
      <c r="AM488" s="1" t="s">
        <v>1497</v>
      </c>
      <c r="AN488" s="1" t="s">
        <v>771</v>
      </c>
      <c r="AO488" s="1"/>
      <c r="AP488" s="1" t="s">
        <v>80</v>
      </c>
      <c r="AQ488" s="1"/>
      <c r="AR488" s="1"/>
      <c r="AS488" s="2"/>
      <c r="AT488" s="1"/>
      <c r="AU488" s="1"/>
      <c r="AV488" s="1"/>
      <c r="AW488" s="1" t="s">
        <v>2152</v>
      </c>
      <c r="AX488" s="7">
        <v>44663.508407381654</v>
      </c>
      <c r="AY488" s="1" t="s">
        <v>892</v>
      </c>
      <c r="AZ488" s="6">
        <v>2990</v>
      </c>
      <c r="BA488" s="5">
        <v>44650</v>
      </c>
      <c r="BB488" s="5">
        <v>44675</v>
      </c>
      <c r="BC488" s="5">
        <v>44650</v>
      </c>
      <c r="BD488" s="5">
        <v>44650</v>
      </c>
      <c r="BE488" s="7">
        <v>44926</v>
      </c>
      <c r="BF488" s="1" t="s">
        <v>2170</v>
      </c>
      <c r="BG488" s="1"/>
      <c r="BH488" s="1"/>
      <c r="BI488" s="1" t="s">
        <v>108</v>
      </c>
    </row>
    <row r="489" spans="1:61" hidden="1" x14ac:dyDescent="0.25">
      <c r="A489" s="4">
        <v>484</v>
      </c>
      <c r="B489" s="2" t="str">
        <f>HYPERLINK("https://my.zakupivli.pro/remote/dispatcher/state_purchase_view/35516384", "UA-2022-02-25-001070-a")</f>
        <v>UA-2022-02-25-001070-a</v>
      </c>
      <c r="C489" s="2" t="s">
        <v>1516</v>
      </c>
      <c r="D489" s="1" t="s">
        <v>1705</v>
      </c>
      <c r="E489" s="1" t="s">
        <v>1705</v>
      </c>
      <c r="F489" s="1" t="s">
        <v>412</v>
      </c>
      <c r="G489" s="1" t="s">
        <v>1073</v>
      </c>
      <c r="H489" s="1" t="s">
        <v>1218</v>
      </c>
      <c r="I489" s="1" t="s">
        <v>2094</v>
      </c>
      <c r="J489" s="1" t="s">
        <v>1145</v>
      </c>
      <c r="K489" s="1" t="s">
        <v>947</v>
      </c>
      <c r="L489" s="1" t="s">
        <v>1533</v>
      </c>
      <c r="M489" s="1" t="s">
        <v>1534</v>
      </c>
      <c r="N489" s="1" t="s">
        <v>110</v>
      </c>
      <c r="O489" s="1" t="s">
        <v>110</v>
      </c>
      <c r="P489" s="1" t="s">
        <v>110</v>
      </c>
      <c r="Q489" s="5">
        <v>44617</v>
      </c>
      <c r="R489" s="1"/>
      <c r="S489" s="1"/>
      <c r="T489" s="1"/>
      <c r="U489" s="1"/>
      <c r="V489" s="1" t="s">
        <v>2146</v>
      </c>
      <c r="W489" s="4">
        <v>1</v>
      </c>
      <c r="X489" s="6">
        <v>7953</v>
      </c>
      <c r="Y489" s="1" t="s">
        <v>1516</v>
      </c>
      <c r="Z489" s="1">
        <v>602.5</v>
      </c>
      <c r="AA489" s="6">
        <v>13.2</v>
      </c>
      <c r="AB489" s="1" t="s">
        <v>2161</v>
      </c>
      <c r="AC489" s="1" t="s">
        <v>2162</v>
      </c>
      <c r="AD489" s="1" t="s">
        <v>1100</v>
      </c>
      <c r="AE489" s="1" t="s">
        <v>2094</v>
      </c>
      <c r="AF489" s="1" t="s">
        <v>1186</v>
      </c>
      <c r="AG489" s="1" t="s">
        <v>1522</v>
      </c>
      <c r="AH489" s="6">
        <v>7953</v>
      </c>
      <c r="AI489" s="6">
        <v>13.210963455149502</v>
      </c>
      <c r="AJ489" s="1" t="s">
        <v>1472</v>
      </c>
      <c r="AK489" s="1"/>
      <c r="AL489" s="1"/>
      <c r="AM489" s="1" t="s">
        <v>1472</v>
      </c>
      <c r="AN489" s="1" t="s">
        <v>113</v>
      </c>
      <c r="AO489" s="1"/>
      <c r="AP489" s="1" t="s">
        <v>125</v>
      </c>
      <c r="AQ489" s="1"/>
      <c r="AR489" s="1"/>
      <c r="AS489" s="2"/>
      <c r="AT489" s="1"/>
      <c r="AU489" s="1"/>
      <c r="AV489" s="1"/>
      <c r="AW489" s="1" t="s">
        <v>2152</v>
      </c>
      <c r="AX489" s="7">
        <v>44617.478770447917</v>
      </c>
      <c r="AY489" s="1" t="s">
        <v>898</v>
      </c>
      <c r="AZ489" s="6">
        <v>7953</v>
      </c>
      <c r="BA489" s="5">
        <v>44562</v>
      </c>
      <c r="BB489" s="5">
        <v>44926</v>
      </c>
      <c r="BC489" s="5">
        <v>44614</v>
      </c>
      <c r="BD489" s="5">
        <v>44562</v>
      </c>
      <c r="BE489" s="7">
        <v>44926</v>
      </c>
      <c r="BF489" s="1" t="s">
        <v>2170</v>
      </c>
      <c r="BG489" s="1"/>
      <c r="BH489" s="1"/>
      <c r="BI489" s="1" t="s">
        <v>108</v>
      </c>
    </row>
    <row r="490" spans="1:61" hidden="1" x14ac:dyDescent="0.25">
      <c r="A490" s="4">
        <v>485</v>
      </c>
      <c r="B490" s="2" t="str">
        <f>HYPERLINK("https://my.zakupivli.pro/remote/dispatcher/state_purchase_view/35489374", "UA-2022-02-23-010679-a")</f>
        <v>UA-2022-02-23-010679-a</v>
      </c>
      <c r="C490" s="2" t="s">
        <v>1516</v>
      </c>
      <c r="D490" s="1" t="s">
        <v>1708</v>
      </c>
      <c r="E490" s="1" t="s">
        <v>1708</v>
      </c>
      <c r="F490" s="1" t="s">
        <v>412</v>
      </c>
      <c r="G490" s="1" t="s">
        <v>1023</v>
      </c>
      <c r="H490" s="1" t="s">
        <v>1218</v>
      </c>
      <c r="I490" s="1" t="s">
        <v>2094</v>
      </c>
      <c r="J490" s="1" t="s">
        <v>1145</v>
      </c>
      <c r="K490" s="1" t="s">
        <v>947</v>
      </c>
      <c r="L490" s="1" t="s">
        <v>1533</v>
      </c>
      <c r="M490" s="1" t="s">
        <v>1534</v>
      </c>
      <c r="N490" s="1" t="s">
        <v>110</v>
      </c>
      <c r="O490" s="1" t="s">
        <v>110</v>
      </c>
      <c r="P490" s="1" t="s">
        <v>110</v>
      </c>
      <c r="Q490" s="5">
        <v>44615</v>
      </c>
      <c r="R490" s="1"/>
      <c r="S490" s="1"/>
      <c r="T490" s="1"/>
      <c r="U490" s="1"/>
      <c r="V490" s="1" t="s">
        <v>2146</v>
      </c>
      <c r="W490" s="4">
        <v>1</v>
      </c>
      <c r="X490" s="6">
        <v>11883.3</v>
      </c>
      <c r="Y490" s="1" t="s">
        <v>1516</v>
      </c>
      <c r="Z490" s="1">
        <v>654.37</v>
      </c>
      <c r="AA490" s="6">
        <v>18.16</v>
      </c>
      <c r="AB490" s="1" t="s">
        <v>2161</v>
      </c>
      <c r="AC490" s="1" t="s">
        <v>2162</v>
      </c>
      <c r="AD490" s="1" t="s">
        <v>1100</v>
      </c>
      <c r="AE490" s="1" t="s">
        <v>2094</v>
      </c>
      <c r="AF490" s="1" t="s">
        <v>1186</v>
      </c>
      <c r="AG490" s="1" t="s">
        <v>1522</v>
      </c>
      <c r="AH490" s="6">
        <v>11883.3</v>
      </c>
      <c r="AI490" s="6">
        <v>18.170183486238532</v>
      </c>
      <c r="AJ490" s="1" t="s">
        <v>1472</v>
      </c>
      <c r="AK490" s="1"/>
      <c r="AL490" s="1"/>
      <c r="AM490" s="1" t="s">
        <v>1472</v>
      </c>
      <c r="AN490" s="1" t="s">
        <v>113</v>
      </c>
      <c r="AO490" s="1"/>
      <c r="AP490" s="1" t="s">
        <v>125</v>
      </c>
      <c r="AQ490" s="1"/>
      <c r="AR490" s="1"/>
      <c r="AS490" s="2"/>
      <c r="AT490" s="1"/>
      <c r="AU490" s="1"/>
      <c r="AV490" s="1"/>
      <c r="AW490" s="1" t="s">
        <v>2152</v>
      </c>
      <c r="AX490" s="7">
        <v>44615.675083504306</v>
      </c>
      <c r="AY490" s="1" t="s">
        <v>899</v>
      </c>
      <c r="AZ490" s="6">
        <v>11883.3</v>
      </c>
      <c r="BA490" s="5">
        <v>44562</v>
      </c>
      <c r="BB490" s="5">
        <v>44926</v>
      </c>
      <c r="BC490" s="5">
        <v>44614</v>
      </c>
      <c r="BD490" s="5">
        <v>44562</v>
      </c>
      <c r="BE490" s="7">
        <v>44926</v>
      </c>
      <c r="BF490" s="1" t="s">
        <v>2170</v>
      </c>
      <c r="BG490" s="1"/>
      <c r="BH490" s="1"/>
      <c r="BI490" s="1" t="s">
        <v>108</v>
      </c>
    </row>
    <row r="491" spans="1:61" hidden="1" x14ac:dyDescent="0.25">
      <c r="A491" s="4">
        <v>486</v>
      </c>
      <c r="B491" s="2" t="str">
        <f>HYPERLINK("https://my.zakupivli.pro/remote/dispatcher/state_purchase_view/35243442", "UA-2022-02-16-009779-b")</f>
        <v>UA-2022-02-16-009779-b</v>
      </c>
      <c r="C491" s="2" t="s">
        <v>1516</v>
      </c>
      <c r="D491" s="1" t="s">
        <v>1655</v>
      </c>
      <c r="E491" s="1" t="s">
        <v>1655</v>
      </c>
      <c r="F491" s="1" t="s">
        <v>412</v>
      </c>
      <c r="G491" s="1" t="s">
        <v>1009</v>
      </c>
      <c r="H491" s="1" t="s">
        <v>2015</v>
      </c>
      <c r="I491" s="1" t="s">
        <v>2094</v>
      </c>
      <c r="J491" s="1" t="s">
        <v>1145</v>
      </c>
      <c r="K491" s="1" t="s">
        <v>947</v>
      </c>
      <c r="L491" s="1" t="s">
        <v>1533</v>
      </c>
      <c r="M491" s="1" t="s">
        <v>1534</v>
      </c>
      <c r="N491" s="1" t="s">
        <v>110</v>
      </c>
      <c r="O491" s="1" t="s">
        <v>110</v>
      </c>
      <c r="P491" s="1" t="s">
        <v>110</v>
      </c>
      <c r="Q491" s="5">
        <v>44608</v>
      </c>
      <c r="R491" s="1" t="s">
        <v>425</v>
      </c>
      <c r="S491" s="1" t="s">
        <v>426</v>
      </c>
      <c r="T491" s="5">
        <v>44614</v>
      </c>
      <c r="U491" s="5">
        <v>44621</v>
      </c>
      <c r="V491" s="1" t="s">
        <v>2147</v>
      </c>
      <c r="W491" s="4">
        <v>0</v>
      </c>
      <c r="X491" s="6">
        <v>64800</v>
      </c>
      <c r="Y491" s="1" t="s">
        <v>1516</v>
      </c>
      <c r="Z491" s="1">
        <v>144</v>
      </c>
      <c r="AA491" s="6">
        <v>450</v>
      </c>
      <c r="AB491" s="1" t="s">
        <v>2149</v>
      </c>
      <c r="AC491" s="6">
        <v>324</v>
      </c>
      <c r="AD491" s="1" t="s">
        <v>1100</v>
      </c>
      <c r="AE491" s="1" t="s">
        <v>2094</v>
      </c>
      <c r="AF491" s="1" t="s">
        <v>1186</v>
      </c>
      <c r="AG491" s="1" t="s">
        <v>1522</v>
      </c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2"/>
      <c r="AT491" s="1"/>
      <c r="AU491" s="1"/>
      <c r="AV491" s="1"/>
      <c r="AW491" s="1" t="s">
        <v>2153</v>
      </c>
      <c r="AX491" s="7">
        <v>44621.003291313922</v>
      </c>
      <c r="AY491" s="1"/>
      <c r="AZ491" s="1"/>
      <c r="BA491" s="1"/>
      <c r="BB491" s="5">
        <v>44926</v>
      </c>
      <c r="BC491" s="1" t="s">
        <v>109</v>
      </c>
      <c r="BD491" s="1" t="s">
        <v>109</v>
      </c>
      <c r="BE491" s="1"/>
      <c r="BF491" s="1"/>
      <c r="BG491" s="1"/>
      <c r="BH491" s="1"/>
      <c r="BI491" s="1"/>
    </row>
    <row r="492" spans="1:61" hidden="1" x14ac:dyDescent="0.25">
      <c r="A492" s="4">
        <v>487</v>
      </c>
      <c r="B492" s="2" t="str">
        <f>HYPERLINK("https://my.zakupivli.pro/remote/dispatcher/state_purchase_view/35016541", "UA-2022-02-09-015229-b")</f>
        <v>UA-2022-02-09-015229-b</v>
      </c>
      <c r="C492" s="2" t="s">
        <v>1516</v>
      </c>
      <c r="D492" s="1" t="s">
        <v>1662</v>
      </c>
      <c r="E492" s="1" t="s">
        <v>1663</v>
      </c>
      <c r="F492" s="1" t="s">
        <v>412</v>
      </c>
      <c r="G492" s="1" t="s">
        <v>1074</v>
      </c>
      <c r="H492" s="1" t="s">
        <v>1218</v>
      </c>
      <c r="I492" s="1" t="s">
        <v>2094</v>
      </c>
      <c r="J492" s="1" t="s">
        <v>1145</v>
      </c>
      <c r="K492" s="1" t="s">
        <v>947</v>
      </c>
      <c r="L492" s="1" t="s">
        <v>1533</v>
      </c>
      <c r="M492" s="1" t="s">
        <v>1534</v>
      </c>
      <c r="N492" s="1" t="s">
        <v>110</v>
      </c>
      <c r="O492" s="1" t="s">
        <v>110</v>
      </c>
      <c r="P492" s="1" t="s">
        <v>110</v>
      </c>
      <c r="Q492" s="5">
        <v>44601</v>
      </c>
      <c r="R492" s="1"/>
      <c r="S492" s="1"/>
      <c r="T492" s="1"/>
      <c r="U492" s="1"/>
      <c r="V492" s="1" t="s">
        <v>2146</v>
      </c>
      <c r="W492" s="4">
        <v>1</v>
      </c>
      <c r="X492" s="6">
        <v>19537.23</v>
      </c>
      <c r="Y492" s="1" t="s">
        <v>1516</v>
      </c>
      <c r="Z492" s="1">
        <v>114.4</v>
      </c>
      <c r="AA492" s="6">
        <v>170.78</v>
      </c>
      <c r="AB492" s="1" t="s">
        <v>2161</v>
      </c>
      <c r="AC492" s="1" t="s">
        <v>2162</v>
      </c>
      <c r="AD492" s="1" t="s">
        <v>1100</v>
      </c>
      <c r="AE492" s="1" t="s">
        <v>2094</v>
      </c>
      <c r="AF492" s="1" t="s">
        <v>1186</v>
      </c>
      <c r="AG492" s="1" t="s">
        <v>1522</v>
      </c>
      <c r="AH492" s="6">
        <v>19537.23</v>
      </c>
      <c r="AI492" s="6">
        <v>171.37921052631577</v>
      </c>
      <c r="AJ492" s="1" t="s">
        <v>2073</v>
      </c>
      <c r="AK492" s="1"/>
      <c r="AL492" s="1"/>
      <c r="AM492" s="1" t="s">
        <v>2073</v>
      </c>
      <c r="AN492" s="1" t="s">
        <v>933</v>
      </c>
      <c r="AO492" s="1"/>
      <c r="AP492" s="1" t="s">
        <v>137</v>
      </c>
      <c r="AQ492" s="1"/>
      <c r="AR492" s="1"/>
      <c r="AS492" s="2"/>
      <c r="AT492" s="1"/>
      <c r="AU492" s="1"/>
      <c r="AV492" s="1"/>
      <c r="AW492" s="1" t="s">
        <v>2152</v>
      </c>
      <c r="AX492" s="7">
        <v>44601.707669524374</v>
      </c>
      <c r="AY492" s="1" t="s">
        <v>1493</v>
      </c>
      <c r="AZ492" s="6">
        <v>19537.23</v>
      </c>
      <c r="BA492" s="5">
        <v>44562</v>
      </c>
      <c r="BB492" s="5">
        <v>44926</v>
      </c>
      <c r="BC492" s="5">
        <v>44600</v>
      </c>
      <c r="BD492" s="5">
        <v>44562</v>
      </c>
      <c r="BE492" s="7">
        <v>44926</v>
      </c>
      <c r="BF492" s="1" t="s">
        <v>2170</v>
      </c>
      <c r="BG492" s="1"/>
      <c r="BH492" s="1"/>
      <c r="BI492" s="1" t="s">
        <v>108</v>
      </c>
    </row>
    <row r="493" spans="1:61" hidden="1" x14ac:dyDescent="0.25">
      <c r="A493" s="4">
        <v>488</v>
      </c>
      <c r="B493" s="2" t="str">
        <f>HYPERLINK("https://my.zakupivli.pro/remote/dispatcher/state_purchase_view/34985478", "UA-2022-02-09-004191-b")</f>
        <v>UA-2022-02-09-004191-b</v>
      </c>
      <c r="C493" s="2" t="s">
        <v>1516</v>
      </c>
      <c r="D493" s="1" t="s">
        <v>1702</v>
      </c>
      <c r="E493" s="1" t="s">
        <v>1702</v>
      </c>
      <c r="F493" s="1" t="s">
        <v>412</v>
      </c>
      <c r="G493" s="1" t="s">
        <v>1039</v>
      </c>
      <c r="H493" s="1" t="s">
        <v>1218</v>
      </c>
      <c r="I493" s="1" t="s">
        <v>2094</v>
      </c>
      <c r="J493" s="1" t="s">
        <v>1145</v>
      </c>
      <c r="K493" s="1" t="s">
        <v>947</v>
      </c>
      <c r="L493" s="1" t="s">
        <v>1533</v>
      </c>
      <c r="M493" s="1" t="s">
        <v>1534</v>
      </c>
      <c r="N493" s="1" t="s">
        <v>110</v>
      </c>
      <c r="O493" s="1" t="s">
        <v>110</v>
      </c>
      <c r="P493" s="1" t="s">
        <v>110</v>
      </c>
      <c r="Q493" s="5">
        <v>44601</v>
      </c>
      <c r="R493" s="1"/>
      <c r="S493" s="1"/>
      <c r="T493" s="1"/>
      <c r="U493" s="1"/>
      <c r="V493" s="1" t="s">
        <v>2146</v>
      </c>
      <c r="W493" s="4">
        <v>1</v>
      </c>
      <c r="X493" s="6">
        <v>11520</v>
      </c>
      <c r="Y493" s="1" t="s">
        <v>1516</v>
      </c>
      <c r="Z493" s="1">
        <v>1</v>
      </c>
      <c r="AA493" s="6">
        <v>11520</v>
      </c>
      <c r="AB493" s="1" t="s">
        <v>2167</v>
      </c>
      <c r="AC493" s="1" t="s">
        <v>2162</v>
      </c>
      <c r="AD493" s="1" t="s">
        <v>1100</v>
      </c>
      <c r="AE493" s="1" t="s">
        <v>1522</v>
      </c>
      <c r="AF493" s="1" t="s">
        <v>1186</v>
      </c>
      <c r="AG493" s="1" t="s">
        <v>1522</v>
      </c>
      <c r="AH493" s="6">
        <v>11520</v>
      </c>
      <c r="AI493" s="6">
        <v>11520</v>
      </c>
      <c r="AJ493" s="1" t="s">
        <v>2089</v>
      </c>
      <c r="AK493" s="1"/>
      <c r="AL493" s="1"/>
      <c r="AM493" s="1" t="s">
        <v>2089</v>
      </c>
      <c r="AN493" s="1" t="s">
        <v>857</v>
      </c>
      <c r="AO493" s="1"/>
      <c r="AP493" s="1" t="s">
        <v>117</v>
      </c>
      <c r="AQ493" s="1"/>
      <c r="AR493" s="1"/>
      <c r="AS493" s="2"/>
      <c r="AT493" s="1"/>
      <c r="AU493" s="1"/>
      <c r="AV493" s="1"/>
      <c r="AW493" s="1" t="s">
        <v>2152</v>
      </c>
      <c r="AX493" s="7">
        <v>44601.475688151935</v>
      </c>
      <c r="AY493" s="1" t="s">
        <v>712</v>
      </c>
      <c r="AZ493" s="6">
        <v>11520</v>
      </c>
      <c r="BA493" s="5">
        <v>44562</v>
      </c>
      <c r="BB493" s="5">
        <v>44926</v>
      </c>
      <c r="BC493" s="5">
        <v>44600</v>
      </c>
      <c r="BD493" s="5">
        <v>44562</v>
      </c>
      <c r="BE493" s="7">
        <v>44926</v>
      </c>
      <c r="BF493" s="1" t="s">
        <v>2170</v>
      </c>
      <c r="BG493" s="1"/>
      <c r="BH493" s="1"/>
      <c r="BI493" s="1" t="s">
        <v>108</v>
      </c>
    </row>
    <row r="494" spans="1:61" hidden="1" x14ac:dyDescent="0.25">
      <c r="A494" s="4">
        <v>489</v>
      </c>
      <c r="B494" s="2" t="str">
        <f>HYPERLINK("https://my.zakupivli.pro/remote/dispatcher/state_purchase_view/34782092", "UA-2022-02-03-003290-b")</f>
        <v>UA-2022-02-03-003290-b</v>
      </c>
      <c r="C494" s="2" t="s">
        <v>1516</v>
      </c>
      <c r="D494" s="1" t="s">
        <v>1906</v>
      </c>
      <c r="E494" s="1" t="s">
        <v>1906</v>
      </c>
      <c r="F494" s="1" t="s">
        <v>412</v>
      </c>
      <c r="G494" s="1" t="s">
        <v>1024</v>
      </c>
      <c r="H494" s="1" t="s">
        <v>1218</v>
      </c>
      <c r="I494" s="1" t="s">
        <v>2094</v>
      </c>
      <c r="J494" s="1" t="s">
        <v>1145</v>
      </c>
      <c r="K494" s="1" t="s">
        <v>947</v>
      </c>
      <c r="L494" s="1" t="s">
        <v>1533</v>
      </c>
      <c r="M494" s="1" t="s">
        <v>1534</v>
      </c>
      <c r="N494" s="1" t="s">
        <v>110</v>
      </c>
      <c r="O494" s="1" t="s">
        <v>110</v>
      </c>
      <c r="P494" s="1" t="s">
        <v>110</v>
      </c>
      <c r="Q494" s="5">
        <v>44595</v>
      </c>
      <c r="R494" s="1"/>
      <c r="S494" s="1"/>
      <c r="T494" s="1"/>
      <c r="U494" s="1"/>
      <c r="V494" s="1" t="s">
        <v>2146</v>
      </c>
      <c r="W494" s="4">
        <v>1</v>
      </c>
      <c r="X494" s="6">
        <v>4000</v>
      </c>
      <c r="Y494" s="1" t="s">
        <v>1516</v>
      </c>
      <c r="Z494" s="1">
        <v>38672</v>
      </c>
      <c r="AA494" s="6">
        <v>0.1</v>
      </c>
      <c r="AB494" s="1" t="s">
        <v>2154</v>
      </c>
      <c r="AC494" s="1" t="s">
        <v>2162</v>
      </c>
      <c r="AD494" s="1" t="s">
        <v>1100</v>
      </c>
      <c r="AE494" s="1" t="s">
        <v>2094</v>
      </c>
      <c r="AF494" s="1" t="s">
        <v>1186</v>
      </c>
      <c r="AG494" s="1" t="s">
        <v>1522</v>
      </c>
      <c r="AH494" s="6">
        <v>4000</v>
      </c>
      <c r="AI494" s="6">
        <v>0.1034340091021928</v>
      </c>
      <c r="AJ494" s="1" t="s">
        <v>1146</v>
      </c>
      <c r="AK494" s="1"/>
      <c r="AL494" s="1"/>
      <c r="AM494" s="1" t="s">
        <v>1146</v>
      </c>
      <c r="AN494" s="1" t="s">
        <v>733</v>
      </c>
      <c r="AO494" s="1"/>
      <c r="AP494" s="1" t="s">
        <v>128</v>
      </c>
      <c r="AQ494" s="1"/>
      <c r="AR494" s="1"/>
      <c r="AS494" s="2"/>
      <c r="AT494" s="1"/>
      <c r="AU494" s="1"/>
      <c r="AV494" s="1"/>
      <c r="AW494" s="1" t="s">
        <v>2152</v>
      </c>
      <c r="AX494" s="7">
        <v>44595.655509610842</v>
      </c>
      <c r="AY494" s="1" t="s">
        <v>135</v>
      </c>
      <c r="AZ494" s="6">
        <v>4000</v>
      </c>
      <c r="BA494" s="1"/>
      <c r="BB494" s="5">
        <v>44895</v>
      </c>
      <c r="BC494" s="5">
        <v>44594</v>
      </c>
      <c r="BD494" s="5">
        <v>44562</v>
      </c>
      <c r="BE494" s="7">
        <v>44895</v>
      </c>
      <c r="BF494" s="1" t="s">
        <v>2170</v>
      </c>
      <c r="BG494" s="1"/>
      <c r="BH494" s="1"/>
      <c r="BI494" s="1" t="s">
        <v>108</v>
      </c>
    </row>
    <row r="495" spans="1:61" hidden="1" x14ac:dyDescent="0.25">
      <c r="A495" s="4">
        <v>490</v>
      </c>
      <c r="B495" s="2" t="str">
        <f>HYPERLINK("https://my.zakupivli.pro/remote/dispatcher/state_purchase_view/34790280", "UA-2022-02-03-005650-b")</f>
        <v>UA-2022-02-03-005650-b</v>
      </c>
      <c r="C495" s="2" t="s">
        <v>1516</v>
      </c>
      <c r="D495" s="1" t="s">
        <v>1204</v>
      </c>
      <c r="E495" s="1" t="s">
        <v>1204</v>
      </c>
      <c r="F495" s="1" t="s">
        <v>412</v>
      </c>
      <c r="G495" s="1" t="s">
        <v>813</v>
      </c>
      <c r="H495" s="1" t="s">
        <v>1218</v>
      </c>
      <c r="I495" s="1" t="s">
        <v>2094</v>
      </c>
      <c r="J495" s="1" t="s">
        <v>1145</v>
      </c>
      <c r="K495" s="1" t="s">
        <v>947</v>
      </c>
      <c r="L495" s="1" t="s">
        <v>1533</v>
      </c>
      <c r="M495" s="1" t="s">
        <v>1534</v>
      </c>
      <c r="N495" s="1" t="s">
        <v>110</v>
      </c>
      <c r="O495" s="1" t="s">
        <v>110</v>
      </c>
      <c r="P495" s="1" t="s">
        <v>110</v>
      </c>
      <c r="Q495" s="5">
        <v>44595</v>
      </c>
      <c r="R495" s="1"/>
      <c r="S495" s="1"/>
      <c r="T495" s="1"/>
      <c r="U495" s="1"/>
      <c r="V495" s="1" t="s">
        <v>2146</v>
      </c>
      <c r="W495" s="4">
        <v>1</v>
      </c>
      <c r="X495" s="6">
        <v>2990</v>
      </c>
      <c r="Y495" s="1" t="s">
        <v>1516</v>
      </c>
      <c r="Z495" s="1">
        <v>1</v>
      </c>
      <c r="AA495" s="6">
        <v>2990</v>
      </c>
      <c r="AB495" s="1" t="s">
        <v>2175</v>
      </c>
      <c r="AC495" s="1" t="s">
        <v>2162</v>
      </c>
      <c r="AD495" s="1" t="s">
        <v>1100</v>
      </c>
      <c r="AE495" s="1" t="s">
        <v>1522</v>
      </c>
      <c r="AF495" s="1" t="s">
        <v>1186</v>
      </c>
      <c r="AG495" s="1" t="s">
        <v>1522</v>
      </c>
      <c r="AH495" s="6">
        <v>2990</v>
      </c>
      <c r="AI495" s="6">
        <v>2990</v>
      </c>
      <c r="AJ495" s="1" t="s">
        <v>1497</v>
      </c>
      <c r="AK495" s="1"/>
      <c r="AL495" s="1"/>
      <c r="AM495" s="1" t="s">
        <v>1497</v>
      </c>
      <c r="AN495" s="1" t="s">
        <v>771</v>
      </c>
      <c r="AO495" s="1"/>
      <c r="AP495" s="1" t="s">
        <v>147</v>
      </c>
      <c r="AQ495" s="1"/>
      <c r="AR495" s="1"/>
      <c r="AS495" s="2"/>
      <c r="AT495" s="1"/>
      <c r="AU495" s="1"/>
      <c r="AV495" s="1"/>
      <c r="AW495" s="1" t="s">
        <v>2152</v>
      </c>
      <c r="AX495" s="7">
        <v>44595.51751714421</v>
      </c>
      <c r="AY495" s="1" t="s">
        <v>289</v>
      </c>
      <c r="AZ495" s="6">
        <v>2990</v>
      </c>
      <c r="BA495" s="5">
        <v>44594</v>
      </c>
      <c r="BB495" s="5">
        <v>44926</v>
      </c>
      <c r="BC495" s="5">
        <v>44594</v>
      </c>
      <c r="BD495" s="5">
        <v>44594</v>
      </c>
      <c r="BE495" s="7">
        <v>44926</v>
      </c>
      <c r="BF495" s="1" t="s">
        <v>2170</v>
      </c>
      <c r="BG495" s="1"/>
      <c r="BH495" s="1"/>
      <c r="BI495" s="1" t="s">
        <v>108</v>
      </c>
    </row>
    <row r="496" spans="1:61" hidden="1" x14ac:dyDescent="0.25">
      <c r="A496" s="4">
        <v>491</v>
      </c>
      <c r="B496" s="2" t="str">
        <f>HYPERLINK("https://my.zakupivli.pro/remote/dispatcher/state_purchase_view/34780583", "UA-2022-02-03-002823-b")</f>
        <v>UA-2022-02-03-002823-b</v>
      </c>
      <c r="C496" s="2" t="s">
        <v>1516</v>
      </c>
      <c r="D496" s="1" t="s">
        <v>1682</v>
      </c>
      <c r="E496" s="1" t="s">
        <v>1682</v>
      </c>
      <c r="F496" s="1" t="s">
        <v>412</v>
      </c>
      <c r="G496" s="1" t="s">
        <v>1024</v>
      </c>
      <c r="H496" s="1" t="s">
        <v>1218</v>
      </c>
      <c r="I496" s="1" t="s">
        <v>2094</v>
      </c>
      <c r="J496" s="1" t="s">
        <v>1145</v>
      </c>
      <c r="K496" s="1" t="s">
        <v>947</v>
      </c>
      <c r="L496" s="1" t="s">
        <v>1533</v>
      </c>
      <c r="M496" s="1" t="s">
        <v>1534</v>
      </c>
      <c r="N496" s="1" t="s">
        <v>110</v>
      </c>
      <c r="O496" s="1" t="s">
        <v>110</v>
      </c>
      <c r="P496" s="1" t="s">
        <v>110</v>
      </c>
      <c r="Q496" s="5">
        <v>44595</v>
      </c>
      <c r="R496" s="1"/>
      <c r="S496" s="1"/>
      <c r="T496" s="1"/>
      <c r="U496" s="1"/>
      <c r="V496" s="1" t="s">
        <v>2146</v>
      </c>
      <c r="W496" s="4">
        <v>1</v>
      </c>
      <c r="X496" s="6">
        <v>6212.35</v>
      </c>
      <c r="Y496" s="1" t="s">
        <v>1516</v>
      </c>
      <c r="Z496" s="1">
        <v>6609</v>
      </c>
      <c r="AA496" s="6">
        <v>0.94</v>
      </c>
      <c r="AB496" s="1" t="s">
        <v>1485</v>
      </c>
      <c r="AC496" s="1" t="s">
        <v>2162</v>
      </c>
      <c r="AD496" s="1" t="s">
        <v>1100</v>
      </c>
      <c r="AE496" s="1" t="s">
        <v>2094</v>
      </c>
      <c r="AF496" s="1" t="s">
        <v>1186</v>
      </c>
      <c r="AG496" s="1" t="s">
        <v>1522</v>
      </c>
      <c r="AH496" s="6">
        <v>6212.35</v>
      </c>
      <c r="AI496" s="6">
        <v>0.93998335602965655</v>
      </c>
      <c r="AJ496" s="1" t="s">
        <v>1146</v>
      </c>
      <c r="AK496" s="1"/>
      <c r="AL496" s="1"/>
      <c r="AM496" s="1" t="s">
        <v>1146</v>
      </c>
      <c r="AN496" s="1" t="s">
        <v>733</v>
      </c>
      <c r="AO496" s="1"/>
      <c r="AP496" s="1" t="s">
        <v>128</v>
      </c>
      <c r="AQ496" s="1"/>
      <c r="AR496" s="1"/>
      <c r="AS496" s="2"/>
      <c r="AT496" s="1"/>
      <c r="AU496" s="1"/>
      <c r="AV496" s="1"/>
      <c r="AW496" s="1" t="s">
        <v>2152</v>
      </c>
      <c r="AX496" s="7">
        <v>44595.652137133729</v>
      </c>
      <c r="AY496" s="1" t="s">
        <v>134</v>
      </c>
      <c r="AZ496" s="6">
        <v>6212.35</v>
      </c>
      <c r="BA496" s="1"/>
      <c r="BB496" s="5">
        <v>44620</v>
      </c>
      <c r="BC496" s="5">
        <v>44594</v>
      </c>
      <c r="BD496" s="5">
        <v>44562</v>
      </c>
      <c r="BE496" s="7">
        <v>44620</v>
      </c>
      <c r="BF496" s="1" t="s">
        <v>2170</v>
      </c>
      <c r="BG496" s="1"/>
      <c r="BH496" s="1"/>
      <c r="BI496" s="1" t="s">
        <v>108</v>
      </c>
    </row>
    <row r="497" spans="1:61" hidden="1" x14ac:dyDescent="0.25">
      <c r="A497" s="4">
        <v>492</v>
      </c>
      <c r="B497" s="2" t="str">
        <f>HYPERLINK("https://my.zakupivli.pro/remote/dispatcher/state_purchase_view/34711288", "UA-2022-02-01-012106-b")</f>
        <v>UA-2022-02-01-012106-b</v>
      </c>
      <c r="C497" s="2" t="s">
        <v>1516</v>
      </c>
      <c r="D497" s="1" t="s">
        <v>1142</v>
      </c>
      <c r="E497" s="1" t="s">
        <v>1142</v>
      </c>
      <c r="F497" s="1" t="s">
        <v>412</v>
      </c>
      <c r="G497" s="1" t="s">
        <v>1039</v>
      </c>
      <c r="H497" s="1" t="s">
        <v>1218</v>
      </c>
      <c r="I497" s="1" t="s">
        <v>2094</v>
      </c>
      <c r="J497" s="1" t="s">
        <v>1145</v>
      </c>
      <c r="K497" s="1" t="s">
        <v>947</v>
      </c>
      <c r="L497" s="1" t="s">
        <v>1533</v>
      </c>
      <c r="M497" s="1" t="s">
        <v>1534</v>
      </c>
      <c r="N497" s="1" t="s">
        <v>110</v>
      </c>
      <c r="O497" s="1" t="s">
        <v>110</v>
      </c>
      <c r="P497" s="1" t="s">
        <v>110</v>
      </c>
      <c r="Q497" s="5">
        <v>44593</v>
      </c>
      <c r="R497" s="1"/>
      <c r="S497" s="1"/>
      <c r="T497" s="1"/>
      <c r="U497" s="1"/>
      <c r="V497" s="1" t="s">
        <v>2146</v>
      </c>
      <c r="W497" s="4">
        <v>1</v>
      </c>
      <c r="X497" s="6">
        <v>2200</v>
      </c>
      <c r="Y497" s="1" t="s">
        <v>1516</v>
      </c>
      <c r="Z497" s="1">
        <v>1</v>
      </c>
      <c r="AA497" s="6">
        <v>2200</v>
      </c>
      <c r="AB497" s="1" t="s">
        <v>2167</v>
      </c>
      <c r="AC497" s="1" t="s">
        <v>2162</v>
      </c>
      <c r="AD497" s="1" t="s">
        <v>1100</v>
      </c>
      <c r="AE497" s="1" t="s">
        <v>1522</v>
      </c>
      <c r="AF497" s="1" t="s">
        <v>1186</v>
      </c>
      <c r="AG497" s="1" t="s">
        <v>1522</v>
      </c>
      <c r="AH497" s="6">
        <v>2200</v>
      </c>
      <c r="AI497" s="6">
        <v>2200</v>
      </c>
      <c r="AJ497" s="1" t="s">
        <v>1169</v>
      </c>
      <c r="AK497" s="1"/>
      <c r="AL497" s="1"/>
      <c r="AM497" s="1" t="s">
        <v>1169</v>
      </c>
      <c r="AN497" s="1" t="s">
        <v>826</v>
      </c>
      <c r="AO497" s="1"/>
      <c r="AP497" s="1" t="s">
        <v>63</v>
      </c>
      <c r="AQ497" s="1"/>
      <c r="AR497" s="1"/>
      <c r="AS497" s="2"/>
      <c r="AT497" s="1"/>
      <c r="AU497" s="1"/>
      <c r="AV497" s="1"/>
      <c r="AW497" s="1" t="s">
        <v>2152</v>
      </c>
      <c r="AX497" s="7">
        <v>44593.708313788229</v>
      </c>
      <c r="AY497" s="1" t="s">
        <v>1092</v>
      </c>
      <c r="AZ497" s="6">
        <v>2200</v>
      </c>
      <c r="BA497" s="1"/>
      <c r="BB497" s="5">
        <v>44926</v>
      </c>
      <c r="BC497" s="5">
        <v>44592</v>
      </c>
      <c r="BD497" s="5">
        <v>44592</v>
      </c>
      <c r="BE497" s="7">
        <v>44926</v>
      </c>
      <c r="BF497" s="1" t="s">
        <v>2170</v>
      </c>
      <c r="BG497" s="1"/>
      <c r="BH497" s="1"/>
      <c r="BI497" s="1" t="s">
        <v>108</v>
      </c>
    </row>
    <row r="498" spans="1:61" hidden="1" x14ac:dyDescent="0.25">
      <c r="A498" s="4">
        <v>493</v>
      </c>
      <c r="B498" s="2" t="str">
        <f>HYPERLINK("https://my.zakupivli.pro/remote/dispatcher/state_purchase_view/34712029", "UA-2022-02-01-012398-b")</f>
        <v>UA-2022-02-01-012398-b</v>
      </c>
      <c r="C498" s="2" t="s">
        <v>1516</v>
      </c>
      <c r="D498" s="1" t="s">
        <v>1676</v>
      </c>
      <c r="E498" s="1" t="s">
        <v>1676</v>
      </c>
      <c r="F498" s="1" t="s">
        <v>412</v>
      </c>
      <c r="G498" s="1" t="s">
        <v>1038</v>
      </c>
      <c r="H498" s="1" t="s">
        <v>1218</v>
      </c>
      <c r="I498" s="1" t="s">
        <v>2094</v>
      </c>
      <c r="J498" s="1" t="s">
        <v>1145</v>
      </c>
      <c r="K498" s="1" t="s">
        <v>947</v>
      </c>
      <c r="L498" s="1" t="s">
        <v>1533</v>
      </c>
      <c r="M498" s="1" t="s">
        <v>1534</v>
      </c>
      <c r="N498" s="1" t="s">
        <v>110</v>
      </c>
      <c r="O498" s="1" t="s">
        <v>110</v>
      </c>
      <c r="P498" s="1" t="s">
        <v>110</v>
      </c>
      <c r="Q498" s="5">
        <v>44593</v>
      </c>
      <c r="R498" s="1"/>
      <c r="S498" s="1"/>
      <c r="T498" s="1"/>
      <c r="U498" s="1"/>
      <c r="V498" s="1" t="s">
        <v>2146</v>
      </c>
      <c r="W498" s="4">
        <v>1</v>
      </c>
      <c r="X498" s="6">
        <v>15000</v>
      </c>
      <c r="Y498" s="1" t="s">
        <v>1516</v>
      </c>
      <c r="Z498" s="1">
        <v>1</v>
      </c>
      <c r="AA498" s="6">
        <v>15000</v>
      </c>
      <c r="AB498" s="1" t="s">
        <v>2167</v>
      </c>
      <c r="AC498" s="1" t="s">
        <v>2162</v>
      </c>
      <c r="AD498" s="1" t="s">
        <v>1100</v>
      </c>
      <c r="AE498" s="1" t="s">
        <v>1522</v>
      </c>
      <c r="AF498" s="1" t="s">
        <v>1186</v>
      </c>
      <c r="AG498" s="1" t="s">
        <v>1522</v>
      </c>
      <c r="AH498" s="6">
        <v>15000</v>
      </c>
      <c r="AI498" s="6">
        <v>15000</v>
      </c>
      <c r="AJ498" s="1" t="s">
        <v>1541</v>
      </c>
      <c r="AK498" s="1"/>
      <c r="AL498" s="1"/>
      <c r="AM498" s="1" t="s">
        <v>1541</v>
      </c>
      <c r="AN498" s="1" t="s">
        <v>810</v>
      </c>
      <c r="AO498" s="1"/>
      <c r="AP498" s="1" t="s">
        <v>141</v>
      </c>
      <c r="AQ498" s="1"/>
      <c r="AR498" s="1"/>
      <c r="AS498" s="2"/>
      <c r="AT498" s="1"/>
      <c r="AU498" s="1"/>
      <c r="AV498" s="1"/>
      <c r="AW498" s="1" t="s">
        <v>2152</v>
      </c>
      <c r="AX498" s="7">
        <v>44593.7190009927</v>
      </c>
      <c r="AY498" s="1" t="s">
        <v>152</v>
      </c>
      <c r="AZ498" s="6">
        <v>15000</v>
      </c>
      <c r="BA498" s="5">
        <v>44562</v>
      </c>
      <c r="BB498" s="5">
        <v>44743</v>
      </c>
      <c r="BC498" s="5">
        <v>44592</v>
      </c>
      <c r="BD498" s="5">
        <v>44562</v>
      </c>
      <c r="BE498" s="7">
        <v>44743</v>
      </c>
      <c r="BF498" s="1" t="s">
        <v>2170</v>
      </c>
      <c r="BG498" s="1"/>
      <c r="BH498" s="1"/>
      <c r="BI498" s="1" t="s">
        <v>108</v>
      </c>
    </row>
    <row r="499" spans="1:61" hidden="1" x14ac:dyDescent="0.25">
      <c r="A499" s="4">
        <v>494</v>
      </c>
      <c r="B499" s="2" t="str">
        <f>HYPERLINK("https://my.zakupivli.pro/remote/dispatcher/state_purchase_view/34708116", "UA-2022-02-01-011263-b")</f>
        <v>UA-2022-02-01-011263-b</v>
      </c>
      <c r="C499" s="2" t="s">
        <v>1516</v>
      </c>
      <c r="D499" s="1" t="s">
        <v>1907</v>
      </c>
      <c r="E499" s="1" t="s">
        <v>1907</v>
      </c>
      <c r="F499" s="1" t="s">
        <v>412</v>
      </c>
      <c r="G499" s="1" t="s">
        <v>1039</v>
      </c>
      <c r="H499" s="1" t="s">
        <v>1218</v>
      </c>
      <c r="I499" s="1" t="s">
        <v>2094</v>
      </c>
      <c r="J499" s="1" t="s">
        <v>1145</v>
      </c>
      <c r="K499" s="1" t="s">
        <v>947</v>
      </c>
      <c r="L499" s="1" t="s">
        <v>1533</v>
      </c>
      <c r="M499" s="1" t="s">
        <v>1534</v>
      </c>
      <c r="N499" s="1" t="s">
        <v>110</v>
      </c>
      <c r="O499" s="1" t="s">
        <v>110</v>
      </c>
      <c r="P499" s="1" t="s">
        <v>110</v>
      </c>
      <c r="Q499" s="5">
        <v>44593</v>
      </c>
      <c r="R499" s="1"/>
      <c r="S499" s="1"/>
      <c r="T499" s="1"/>
      <c r="U499" s="1"/>
      <c r="V499" s="1" t="s">
        <v>2146</v>
      </c>
      <c r="W499" s="4">
        <v>1</v>
      </c>
      <c r="X499" s="6">
        <v>32364</v>
      </c>
      <c r="Y499" s="1" t="s">
        <v>1516</v>
      </c>
      <c r="Z499" s="1">
        <v>1</v>
      </c>
      <c r="AA499" s="6">
        <v>32364</v>
      </c>
      <c r="AB499" s="1" t="s">
        <v>2167</v>
      </c>
      <c r="AC499" s="1" t="s">
        <v>2162</v>
      </c>
      <c r="AD499" s="1" t="s">
        <v>1100</v>
      </c>
      <c r="AE499" s="1" t="s">
        <v>1522</v>
      </c>
      <c r="AF499" s="1" t="s">
        <v>1186</v>
      </c>
      <c r="AG499" s="1" t="s">
        <v>1522</v>
      </c>
      <c r="AH499" s="6">
        <v>32364</v>
      </c>
      <c r="AI499" s="6">
        <v>32364</v>
      </c>
      <c r="AJ499" s="1" t="s">
        <v>2057</v>
      </c>
      <c r="AK499" s="1"/>
      <c r="AL499" s="1"/>
      <c r="AM499" s="1" t="s">
        <v>2057</v>
      </c>
      <c r="AN499" s="1" t="s">
        <v>855</v>
      </c>
      <c r="AO499" s="1"/>
      <c r="AP499" s="1" t="s">
        <v>149</v>
      </c>
      <c r="AQ499" s="1"/>
      <c r="AR499" s="1"/>
      <c r="AS499" s="2"/>
      <c r="AT499" s="1"/>
      <c r="AU499" s="1"/>
      <c r="AV499" s="1"/>
      <c r="AW499" s="1" t="s">
        <v>2152</v>
      </c>
      <c r="AX499" s="7">
        <v>44593.687985729339</v>
      </c>
      <c r="AY499" s="1" t="s">
        <v>1080</v>
      </c>
      <c r="AZ499" s="6">
        <v>32364</v>
      </c>
      <c r="BA499" s="5">
        <v>44562</v>
      </c>
      <c r="BB499" s="5">
        <v>44926</v>
      </c>
      <c r="BC499" s="5">
        <v>44592</v>
      </c>
      <c r="BD499" s="5">
        <v>44562</v>
      </c>
      <c r="BE499" s="7">
        <v>44926</v>
      </c>
      <c r="BF499" s="1" t="s">
        <v>2170</v>
      </c>
      <c r="BG499" s="1"/>
      <c r="BH499" s="1"/>
      <c r="BI499" s="1" t="s">
        <v>108</v>
      </c>
    </row>
    <row r="500" spans="1:61" hidden="1" x14ac:dyDescent="0.25">
      <c r="A500" s="4">
        <v>495</v>
      </c>
      <c r="B500" s="2" t="str">
        <f>HYPERLINK("https://my.zakupivli.pro/remote/dispatcher/state_purchase_view/34599404", "UA-2022-01-28-010209-b")</f>
        <v>UA-2022-01-28-010209-b</v>
      </c>
      <c r="C500" s="2" t="s">
        <v>1516</v>
      </c>
      <c r="D500" s="1" t="s">
        <v>1719</v>
      </c>
      <c r="E500" s="1" t="s">
        <v>1719</v>
      </c>
      <c r="F500" s="1" t="s">
        <v>412</v>
      </c>
      <c r="G500" s="1" t="s">
        <v>1056</v>
      </c>
      <c r="H500" s="1" t="s">
        <v>1218</v>
      </c>
      <c r="I500" s="1" t="s">
        <v>2094</v>
      </c>
      <c r="J500" s="1" t="s">
        <v>1145</v>
      </c>
      <c r="K500" s="1" t="s">
        <v>947</v>
      </c>
      <c r="L500" s="1" t="s">
        <v>1533</v>
      </c>
      <c r="M500" s="1" t="s">
        <v>1534</v>
      </c>
      <c r="N500" s="1" t="s">
        <v>110</v>
      </c>
      <c r="O500" s="1" t="s">
        <v>110</v>
      </c>
      <c r="P500" s="1" t="s">
        <v>110</v>
      </c>
      <c r="Q500" s="5">
        <v>44589</v>
      </c>
      <c r="R500" s="1"/>
      <c r="S500" s="1"/>
      <c r="T500" s="1"/>
      <c r="U500" s="1"/>
      <c r="V500" s="1" t="s">
        <v>2146</v>
      </c>
      <c r="W500" s="4">
        <v>1</v>
      </c>
      <c r="X500" s="6">
        <v>2544</v>
      </c>
      <c r="Y500" s="1" t="s">
        <v>1516</v>
      </c>
      <c r="Z500" s="1">
        <v>1</v>
      </c>
      <c r="AA500" s="6">
        <v>2544</v>
      </c>
      <c r="AB500" s="1" t="s">
        <v>2167</v>
      </c>
      <c r="AC500" s="1" t="s">
        <v>2162</v>
      </c>
      <c r="AD500" s="1" t="s">
        <v>1100</v>
      </c>
      <c r="AE500" s="1" t="s">
        <v>2094</v>
      </c>
      <c r="AF500" s="1" t="s">
        <v>1186</v>
      </c>
      <c r="AG500" s="1" t="s">
        <v>1522</v>
      </c>
      <c r="AH500" s="6">
        <v>2544</v>
      </c>
      <c r="AI500" s="6">
        <v>2544</v>
      </c>
      <c r="AJ500" s="1" t="s">
        <v>2107</v>
      </c>
      <c r="AK500" s="1"/>
      <c r="AL500" s="1"/>
      <c r="AM500" s="1" t="s">
        <v>2107</v>
      </c>
      <c r="AN500" s="1" t="s">
        <v>895</v>
      </c>
      <c r="AO500" s="1"/>
      <c r="AP500" s="1" t="s">
        <v>124</v>
      </c>
      <c r="AQ500" s="1"/>
      <c r="AR500" s="1"/>
      <c r="AS500" s="2"/>
      <c r="AT500" s="1"/>
      <c r="AU500" s="1"/>
      <c r="AV500" s="1"/>
      <c r="AW500" s="1" t="s">
        <v>2152</v>
      </c>
      <c r="AX500" s="7">
        <v>44589.640166291785</v>
      </c>
      <c r="AY500" s="1" t="s">
        <v>1085</v>
      </c>
      <c r="AZ500" s="6">
        <v>2544</v>
      </c>
      <c r="BA500" s="5">
        <v>44562</v>
      </c>
      <c r="BB500" s="5">
        <v>44926</v>
      </c>
      <c r="BC500" s="5">
        <v>44588</v>
      </c>
      <c r="BD500" s="5">
        <v>44562</v>
      </c>
      <c r="BE500" s="7">
        <v>44926</v>
      </c>
      <c r="BF500" s="1" t="s">
        <v>2170</v>
      </c>
      <c r="BG500" s="1"/>
      <c r="BH500" s="1"/>
      <c r="BI500" s="1" t="s">
        <v>108</v>
      </c>
    </row>
    <row r="501" spans="1:61" hidden="1" x14ac:dyDescent="0.25">
      <c r="A501" s="4">
        <v>496</v>
      </c>
      <c r="B501" s="2" t="str">
        <f>HYPERLINK("https://my.zakupivli.pro/remote/dispatcher/state_purchase_view/34589722", "UA-2022-01-28-007579-b")</f>
        <v>UA-2022-01-28-007579-b</v>
      </c>
      <c r="C501" s="2" t="s">
        <v>1516</v>
      </c>
      <c r="D501" s="1" t="s">
        <v>1713</v>
      </c>
      <c r="E501" s="1" t="s">
        <v>1713</v>
      </c>
      <c r="F501" s="1" t="s">
        <v>412</v>
      </c>
      <c r="G501" s="1" t="s">
        <v>1046</v>
      </c>
      <c r="H501" s="1" t="s">
        <v>1218</v>
      </c>
      <c r="I501" s="1" t="s">
        <v>2094</v>
      </c>
      <c r="J501" s="1" t="s">
        <v>1145</v>
      </c>
      <c r="K501" s="1" t="s">
        <v>947</v>
      </c>
      <c r="L501" s="1" t="s">
        <v>1533</v>
      </c>
      <c r="M501" s="1" t="s">
        <v>1534</v>
      </c>
      <c r="N501" s="1" t="s">
        <v>110</v>
      </c>
      <c r="O501" s="1" t="s">
        <v>110</v>
      </c>
      <c r="P501" s="1" t="s">
        <v>110</v>
      </c>
      <c r="Q501" s="5">
        <v>44589</v>
      </c>
      <c r="R501" s="1"/>
      <c r="S501" s="1"/>
      <c r="T501" s="1"/>
      <c r="U501" s="1"/>
      <c r="V501" s="1" t="s">
        <v>2146</v>
      </c>
      <c r="W501" s="4">
        <v>1</v>
      </c>
      <c r="X501" s="6">
        <v>1800</v>
      </c>
      <c r="Y501" s="1" t="s">
        <v>1516</v>
      </c>
      <c r="Z501" s="1">
        <v>1</v>
      </c>
      <c r="AA501" s="6">
        <v>1800</v>
      </c>
      <c r="AB501" s="1" t="s">
        <v>2167</v>
      </c>
      <c r="AC501" s="1" t="s">
        <v>2162</v>
      </c>
      <c r="AD501" s="1" t="s">
        <v>1100</v>
      </c>
      <c r="AE501" s="1" t="s">
        <v>1522</v>
      </c>
      <c r="AF501" s="1" t="s">
        <v>1186</v>
      </c>
      <c r="AG501" s="1" t="s">
        <v>1522</v>
      </c>
      <c r="AH501" s="6">
        <v>1800</v>
      </c>
      <c r="AI501" s="6">
        <v>1800</v>
      </c>
      <c r="AJ501" s="1" t="s">
        <v>2070</v>
      </c>
      <c r="AK501" s="1"/>
      <c r="AL501" s="1"/>
      <c r="AM501" s="1" t="s">
        <v>2070</v>
      </c>
      <c r="AN501" s="1" t="s">
        <v>829</v>
      </c>
      <c r="AO501" s="1"/>
      <c r="AP501" s="1" t="s">
        <v>126</v>
      </c>
      <c r="AQ501" s="1"/>
      <c r="AR501" s="1"/>
      <c r="AS501" s="2"/>
      <c r="AT501" s="1"/>
      <c r="AU501" s="1"/>
      <c r="AV501" s="1"/>
      <c r="AW501" s="1" t="s">
        <v>2152</v>
      </c>
      <c r="AX501" s="7">
        <v>44589.579643943071</v>
      </c>
      <c r="AY501" s="1" t="s">
        <v>982</v>
      </c>
      <c r="AZ501" s="6">
        <v>1800</v>
      </c>
      <c r="BA501" s="1"/>
      <c r="BB501" s="5">
        <v>44926</v>
      </c>
      <c r="BC501" s="5">
        <v>44588</v>
      </c>
      <c r="BD501" s="5">
        <v>44562</v>
      </c>
      <c r="BE501" s="7">
        <v>44926</v>
      </c>
      <c r="BF501" s="1" t="s">
        <v>2170</v>
      </c>
      <c r="BG501" s="1"/>
      <c r="BH501" s="1"/>
      <c r="BI501" s="1" t="s">
        <v>108</v>
      </c>
    </row>
    <row r="502" spans="1:61" hidden="1" x14ac:dyDescent="0.25">
      <c r="A502" s="4">
        <v>497</v>
      </c>
      <c r="B502" s="2" t="str">
        <f>HYPERLINK("https://my.zakupivli.pro/remote/dispatcher/state_purchase_view/34430486", "UA-2022-01-25-014869-b")</f>
        <v>UA-2022-01-25-014869-b</v>
      </c>
      <c r="C502" s="2" t="s">
        <v>1516</v>
      </c>
      <c r="D502" s="1" t="s">
        <v>1214</v>
      </c>
      <c r="E502" s="1" t="s">
        <v>1214</v>
      </c>
      <c r="F502" s="1" t="s">
        <v>412</v>
      </c>
      <c r="G502" s="1" t="s">
        <v>144</v>
      </c>
      <c r="H502" s="1" t="s">
        <v>2015</v>
      </c>
      <c r="I502" s="1" t="s">
        <v>2094</v>
      </c>
      <c r="J502" s="1" t="s">
        <v>1145</v>
      </c>
      <c r="K502" s="1" t="s">
        <v>947</v>
      </c>
      <c r="L502" s="1" t="s">
        <v>1533</v>
      </c>
      <c r="M502" s="1" t="s">
        <v>1534</v>
      </c>
      <c r="N502" s="1" t="s">
        <v>110</v>
      </c>
      <c r="O502" s="1" t="s">
        <v>110</v>
      </c>
      <c r="P502" s="1" t="s">
        <v>110</v>
      </c>
      <c r="Q502" s="5">
        <v>44586</v>
      </c>
      <c r="R502" s="1" t="s">
        <v>418</v>
      </c>
      <c r="S502" s="1" t="s">
        <v>421</v>
      </c>
      <c r="T502" s="5">
        <v>44592</v>
      </c>
      <c r="U502" s="5">
        <v>44595</v>
      </c>
      <c r="V502" s="7">
        <v>44595.656747685185</v>
      </c>
      <c r="W502" s="4">
        <v>3</v>
      </c>
      <c r="X502" s="6">
        <v>195887</v>
      </c>
      <c r="Y502" s="1" t="s">
        <v>1516</v>
      </c>
      <c r="Z502" s="1">
        <v>34366</v>
      </c>
      <c r="AA502" s="6">
        <v>5.7</v>
      </c>
      <c r="AB502" s="1" t="s">
        <v>1485</v>
      </c>
      <c r="AC502" s="6">
        <v>980</v>
      </c>
      <c r="AD502" s="1" t="s">
        <v>1100</v>
      </c>
      <c r="AE502" s="1" t="s">
        <v>2094</v>
      </c>
      <c r="AF502" s="1" t="s">
        <v>1186</v>
      </c>
      <c r="AG502" s="1" t="s">
        <v>1522</v>
      </c>
      <c r="AH502" s="6">
        <v>162894.79999999999</v>
      </c>
      <c r="AI502" s="6">
        <v>4.7399988360588949</v>
      </c>
      <c r="AJ502" s="1" t="s">
        <v>2038</v>
      </c>
      <c r="AK502" s="6">
        <v>32992.200000000012</v>
      </c>
      <c r="AL502" s="6">
        <v>0.16842465298871295</v>
      </c>
      <c r="AM502" s="1" t="s">
        <v>2106</v>
      </c>
      <c r="AN502" s="1" t="s">
        <v>884</v>
      </c>
      <c r="AO502" s="1" t="s">
        <v>1091</v>
      </c>
      <c r="AP502" s="1" t="s">
        <v>872</v>
      </c>
      <c r="AQ502" s="6">
        <v>32992.160000000003</v>
      </c>
      <c r="AR502" s="6">
        <v>0.16842444878935306</v>
      </c>
      <c r="AS502" s="2" t="str">
        <f>HYPERLINK("https://auctions.prozorro.gov.ua/tenders/e5c86e712ffb4ef2aeccb60f73ba7023")</f>
        <v>https://auctions.prozorro.gov.ua/tenders/e5c86e712ffb4ef2aeccb60f73ba7023</v>
      </c>
      <c r="AT502" s="7">
        <v>44602.591061912768</v>
      </c>
      <c r="AU502" s="1" t="s">
        <v>423</v>
      </c>
      <c r="AV502" s="1" t="s">
        <v>428</v>
      </c>
      <c r="AW502" s="1" t="s">
        <v>2152</v>
      </c>
      <c r="AX502" s="7">
        <v>44613.672940075732</v>
      </c>
      <c r="AY502" s="1" t="s">
        <v>1011</v>
      </c>
      <c r="AZ502" s="6">
        <v>162894.84</v>
      </c>
      <c r="BA502" s="1"/>
      <c r="BB502" s="5">
        <v>44926</v>
      </c>
      <c r="BC502" s="5">
        <v>44610</v>
      </c>
      <c r="BD502" s="5">
        <v>44610</v>
      </c>
      <c r="BE502" s="7">
        <v>44926</v>
      </c>
      <c r="BF502" s="1" t="s">
        <v>2170</v>
      </c>
      <c r="BG502" s="1"/>
      <c r="BH502" s="1"/>
      <c r="BI502" s="1" t="s">
        <v>924</v>
      </c>
    </row>
    <row r="503" spans="1:61" hidden="1" x14ac:dyDescent="0.25">
      <c r="A503" s="4">
        <v>498</v>
      </c>
      <c r="B503" s="2" t="str">
        <f>HYPERLINK("https://my.zakupivli.pro/remote/dispatcher/state_purchase_view/34430467", "UA-2022-01-25-015192-b")</f>
        <v>UA-2022-01-25-015192-b</v>
      </c>
      <c r="C503" s="2" t="s">
        <v>1516</v>
      </c>
      <c r="D503" s="1" t="s">
        <v>1658</v>
      </c>
      <c r="E503" s="1" t="s">
        <v>1658</v>
      </c>
      <c r="F503" s="1" t="s">
        <v>412</v>
      </c>
      <c r="G503" s="1" t="s">
        <v>1076</v>
      </c>
      <c r="H503" s="1" t="s">
        <v>1184</v>
      </c>
      <c r="I503" s="1" t="s">
        <v>2094</v>
      </c>
      <c r="J503" s="1" t="s">
        <v>1145</v>
      </c>
      <c r="K503" s="1" t="s">
        <v>947</v>
      </c>
      <c r="L503" s="1" t="s">
        <v>1533</v>
      </c>
      <c r="M503" s="1" t="s">
        <v>1533</v>
      </c>
      <c r="N503" s="1" t="s">
        <v>110</v>
      </c>
      <c r="O503" s="1" t="s">
        <v>110</v>
      </c>
      <c r="P503" s="1" t="s">
        <v>110</v>
      </c>
      <c r="Q503" s="5">
        <v>44586</v>
      </c>
      <c r="R503" s="1" t="s">
        <v>418</v>
      </c>
      <c r="S503" s="1" t="s">
        <v>421</v>
      </c>
      <c r="T503" s="5">
        <v>44586</v>
      </c>
      <c r="U503" s="5">
        <v>44602</v>
      </c>
      <c r="V503" s="7">
        <v>44603.505370370367</v>
      </c>
      <c r="W503" s="4">
        <v>2</v>
      </c>
      <c r="X503" s="6">
        <v>250000</v>
      </c>
      <c r="Y503" s="1" t="s">
        <v>1516</v>
      </c>
      <c r="Z503" s="1">
        <v>1</v>
      </c>
      <c r="AA503" s="6">
        <v>250000</v>
      </c>
      <c r="AB503" s="1" t="s">
        <v>2167</v>
      </c>
      <c r="AC503" s="6">
        <v>2500</v>
      </c>
      <c r="AD503" s="1" t="s">
        <v>1100</v>
      </c>
      <c r="AE503" s="1" t="s">
        <v>2094</v>
      </c>
      <c r="AF503" s="1" t="s">
        <v>1186</v>
      </c>
      <c r="AG503" s="1" t="s">
        <v>1522</v>
      </c>
      <c r="AH503" s="6">
        <v>249998.11</v>
      </c>
      <c r="AI503" s="6">
        <v>249998.11</v>
      </c>
      <c r="AJ503" s="1" t="s">
        <v>2122</v>
      </c>
      <c r="AK503" s="6">
        <v>1.8900000000139698</v>
      </c>
      <c r="AL503" s="6">
        <v>7.5600000000558792E-6</v>
      </c>
      <c r="AM503" s="1" t="s">
        <v>2122</v>
      </c>
      <c r="AN503" s="1" t="s">
        <v>225</v>
      </c>
      <c r="AO503" s="1" t="s">
        <v>1107</v>
      </c>
      <c r="AP503" s="1" t="s">
        <v>55</v>
      </c>
      <c r="AQ503" s="6">
        <v>1.8900000000139698</v>
      </c>
      <c r="AR503" s="6">
        <v>7.5600000000558792E-6</v>
      </c>
      <c r="AS503" s="2" t="str">
        <f>HYPERLINK("https://auctions.prozorro.gov.ua/tenders/fe5e36f5b3534d93bd599c77e85e32e3")</f>
        <v>https://auctions.prozorro.gov.ua/tenders/fe5e36f5b3534d93bd599c77e85e32e3</v>
      </c>
      <c r="AT503" s="7">
        <v>44606.654399752595</v>
      </c>
      <c r="AU503" s="1" t="s">
        <v>427</v>
      </c>
      <c r="AV503" s="1" t="s">
        <v>429</v>
      </c>
      <c r="AW503" s="1" t="s">
        <v>2152</v>
      </c>
      <c r="AX503" s="7">
        <v>44622.567750632705</v>
      </c>
      <c r="AY503" s="1" t="s">
        <v>799</v>
      </c>
      <c r="AZ503" s="6">
        <v>249998.11</v>
      </c>
      <c r="BA503" s="1"/>
      <c r="BB503" s="5">
        <v>44926</v>
      </c>
      <c r="BC503" s="5">
        <v>44622</v>
      </c>
      <c r="BD503" s="5">
        <v>44622</v>
      </c>
      <c r="BE503" s="7">
        <v>44926</v>
      </c>
      <c r="BF503" s="1" t="s">
        <v>2170</v>
      </c>
      <c r="BG503" s="1"/>
      <c r="BH503" s="1"/>
      <c r="BI503" s="1" t="s">
        <v>227</v>
      </c>
    </row>
    <row r="504" spans="1:61" hidden="1" x14ac:dyDescent="0.25">
      <c r="A504" s="4">
        <v>499</v>
      </c>
      <c r="B504" s="2" t="str">
        <f>HYPERLINK("https://my.zakupivli.pro/remote/dispatcher/state_purchase_view/34362521", "UA-2022-01-24-012705-b")</f>
        <v>UA-2022-01-24-012705-b</v>
      </c>
      <c r="C504" s="2" t="s">
        <v>1516</v>
      </c>
      <c r="D504" s="1" t="s">
        <v>1660</v>
      </c>
      <c r="E504" s="1" t="s">
        <v>1660</v>
      </c>
      <c r="F504" s="1" t="s">
        <v>412</v>
      </c>
      <c r="G504" s="1" t="s">
        <v>1021</v>
      </c>
      <c r="H504" s="1" t="s">
        <v>1563</v>
      </c>
      <c r="I504" s="1" t="s">
        <v>2094</v>
      </c>
      <c r="J504" s="1" t="s">
        <v>1145</v>
      </c>
      <c r="K504" s="1" t="s">
        <v>947</v>
      </c>
      <c r="L504" s="1" t="s">
        <v>1533</v>
      </c>
      <c r="M504" s="1" t="s">
        <v>1534</v>
      </c>
      <c r="N504" s="1" t="s">
        <v>110</v>
      </c>
      <c r="O504" s="1" t="s">
        <v>110</v>
      </c>
      <c r="P504" s="1" t="s">
        <v>110</v>
      </c>
      <c r="Q504" s="5">
        <v>44585</v>
      </c>
      <c r="R504" s="1"/>
      <c r="S504" s="1"/>
      <c r="T504" s="1"/>
      <c r="U504" s="1"/>
      <c r="V504" s="1" t="s">
        <v>2146</v>
      </c>
      <c r="W504" s="4">
        <v>1</v>
      </c>
      <c r="X504" s="6">
        <v>62413</v>
      </c>
      <c r="Y504" s="1" t="s">
        <v>1516</v>
      </c>
      <c r="Z504" s="1">
        <v>1</v>
      </c>
      <c r="AA504" s="6">
        <v>62413</v>
      </c>
      <c r="AB504" s="1" t="s">
        <v>2167</v>
      </c>
      <c r="AC504" s="1" t="s">
        <v>2162</v>
      </c>
      <c r="AD504" s="1" t="s">
        <v>1100</v>
      </c>
      <c r="AE504" s="1" t="s">
        <v>2094</v>
      </c>
      <c r="AF504" s="1" t="s">
        <v>1186</v>
      </c>
      <c r="AG504" s="1" t="s">
        <v>1522</v>
      </c>
      <c r="AH504" s="6">
        <v>62413</v>
      </c>
      <c r="AI504" s="6">
        <v>62413</v>
      </c>
      <c r="AJ504" s="1" t="s">
        <v>1147</v>
      </c>
      <c r="AK504" s="1"/>
      <c r="AL504" s="1"/>
      <c r="AM504" s="1" t="s">
        <v>1147</v>
      </c>
      <c r="AN504" s="1" t="s">
        <v>706</v>
      </c>
      <c r="AO504" s="1"/>
      <c r="AP504" s="1" t="s">
        <v>116</v>
      </c>
      <c r="AQ504" s="1"/>
      <c r="AR504" s="1"/>
      <c r="AS504" s="2"/>
      <c r="AT504" s="1"/>
      <c r="AU504" s="1" t="s">
        <v>420</v>
      </c>
      <c r="AV504" s="1" t="s">
        <v>424</v>
      </c>
      <c r="AW504" s="1" t="s">
        <v>2152</v>
      </c>
      <c r="AX504" s="7">
        <v>44592.65251520832</v>
      </c>
      <c r="AY504" s="1" t="s">
        <v>1067</v>
      </c>
      <c r="AZ504" s="6">
        <v>62413</v>
      </c>
      <c r="BA504" s="1"/>
      <c r="BB504" s="5">
        <v>44926</v>
      </c>
      <c r="BC504" s="5">
        <v>44592</v>
      </c>
      <c r="BD504" s="5">
        <v>44562</v>
      </c>
      <c r="BE504" s="7">
        <v>44926</v>
      </c>
      <c r="BF504" s="1" t="s">
        <v>2170</v>
      </c>
      <c r="BG504" s="1"/>
      <c r="BH504" s="1"/>
      <c r="BI504" s="1" t="s">
        <v>108</v>
      </c>
    </row>
    <row r="505" spans="1:61" hidden="1" x14ac:dyDescent="0.25">
      <c r="A505" s="4">
        <v>500</v>
      </c>
      <c r="B505" s="2" t="str">
        <f>HYPERLINK("https://my.zakupivli.pro/remote/dispatcher/state_purchase_view/34263252", "UA-2022-01-20-012369-b")</f>
        <v>UA-2022-01-20-012369-b</v>
      </c>
      <c r="C505" s="2" t="s">
        <v>1516</v>
      </c>
      <c r="D505" s="1" t="s">
        <v>1557</v>
      </c>
      <c r="E505" s="1" t="s">
        <v>1558</v>
      </c>
      <c r="F505" s="1" t="s">
        <v>412</v>
      </c>
      <c r="G505" s="1" t="s">
        <v>145</v>
      </c>
      <c r="H505" s="1" t="s">
        <v>1563</v>
      </c>
      <c r="I505" s="1" t="s">
        <v>2094</v>
      </c>
      <c r="J505" s="1" t="s">
        <v>1145</v>
      </c>
      <c r="K505" s="1" t="s">
        <v>947</v>
      </c>
      <c r="L505" s="1" t="s">
        <v>1533</v>
      </c>
      <c r="M505" s="1" t="s">
        <v>1533</v>
      </c>
      <c r="N505" s="1" t="s">
        <v>110</v>
      </c>
      <c r="O505" s="1" t="s">
        <v>110</v>
      </c>
      <c r="P505" s="1" t="s">
        <v>110</v>
      </c>
      <c r="Q505" s="5">
        <v>44581</v>
      </c>
      <c r="R505" s="1"/>
      <c r="S505" s="1"/>
      <c r="T505" s="1"/>
      <c r="U505" s="1"/>
      <c r="V505" s="1" t="s">
        <v>2146</v>
      </c>
      <c r="W505" s="4">
        <v>1</v>
      </c>
      <c r="X505" s="6">
        <v>1050651.5900000001</v>
      </c>
      <c r="Y505" s="1" t="s">
        <v>1516</v>
      </c>
      <c r="Z505" s="1">
        <v>309.35000000000002</v>
      </c>
      <c r="AA505" s="6">
        <v>3396.32</v>
      </c>
      <c r="AB505" s="1" t="s">
        <v>2150</v>
      </c>
      <c r="AC505" s="1" t="s">
        <v>2162</v>
      </c>
      <c r="AD505" s="1" t="s">
        <v>1100</v>
      </c>
      <c r="AE505" s="1" t="s">
        <v>2094</v>
      </c>
      <c r="AF505" s="1" t="s">
        <v>1186</v>
      </c>
      <c r="AG505" s="1" t="s">
        <v>1522</v>
      </c>
      <c r="AH505" s="6">
        <v>1050651.5900000001</v>
      </c>
      <c r="AI505" s="6">
        <v>3400.1669579288027</v>
      </c>
      <c r="AJ505" s="1" t="s">
        <v>2062</v>
      </c>
      <c r="AK505" s="1"/>
      <c r="AL505" s="1"/>
      <c r="AM505" s="1" t="s">
        <v>2062</v>
      </c>
      <c r="AN505" s="1" t="s">
        <v>897</v>
      </c>
      <c r="AO505" s="1"/>
      <c r="AP505" s="1" t="s">
        <v>107</v>
      </c>
      <c r="AQ505" s="1"/>
      <c r="AR505" s="1"/>
      <c r="AS505" s="2"/>
      <c r="AT505" s="1"/>
      <c r="AU505" s="1" t="s">
        <v>419</v>
      </c>
      <c r="AV505" s="1" t="s">
        <v>422</v>
      </c>
      <c r="AW505" s="1" t="s">
        <v>2152</v>
      </c>
      <c r="AX505" s="7">
        <v>44587.651076981019</v>
      </c>
      <c r="AY505" s="1" t="s">
        <v>1149</v>
      </c>
      <c r="AZ505" s="6">
        <v>1050651.5900000001</v>
      </c>
      <c r="BA505" s="1"/>
      <c r="BB505" s="5">
        <v>44926</v>
      </c>
      <c r="BC505" s="5">
        <v>44587</v>
      </c>
      <c r="BD505" s="5">
        <v>44562</v>
      </c>
      <c r="BE505" s="7">
        <v>44926</v>
      </c>
      <c r="BF505" s="1" t="s">
        <v>2170</v>
      </c>
      <c r="BG505" s="1"/>
      <c r="BH505" s="1"/>
      <c r="BI505" s="1" t="s">
        <v>108</v>
      </c>
    </row>
    <row r="506" spans="1:61" hidden="1" x14ac:dyDescent="0.25">
      <c r="A506" s="4">
        <v>501</v>
      </c>
      <c r="B506" s="2" t="str">
        <f>HYPERLINK("https://my.zakupivli.pro/remote/dispatcher/state_purchase_view/34244824", "UA-2022-01-20-010364-b")</f>
        <v>UA-2022-01-20-010364-b</v>
      </c>
      <c r="C506" s="2" t="s">
        <v>1516</v>
      </c>
      <c r="D506" s="1" t="s">
        <v>1557</v>
      </c>
      <c r="E506" s="1" t="s">
        <v>1558</v>
      </c>
      <c r="F506" s="1" t="s">
        <v>412</v>
      </c>
      <c r="G506" s="1" t="s">
        <v>145</v>
      </c>
      <c r="H506" s="1" t="s">
        <v>1563</v>
      </c>
      <c r="I506" s="1" t="s">
        <v>2094</v>
      </c>
      <c r="J506" s="1" t="s">
        <v>1145</v>
      </c>
      <c r="K506" s="1" t="s">
        <v>947</v>
      </c>
      <c r="L506" s="1" t="s">
        <v>1533</v>
      </c>
      <c r="M506" s="1" t="s">
        <v>1533</v>
      </c>
      <c r="N506" s="1" t="s">
        <v>110</v>
      </c>
      <c r="O506" s="1" t="s">
        <v>110</v>
      </c>
      <c r="P506" s="1" t="s">
        <v>110</v>
      </c>
      <c r="Q506" s="5">
        <v>44581</v>
      </c>
      <c r="R506" s="1"/>
      <c r="S506" s="1"/>
      <c r="T506" s="1"/>
      <c r="U506" s="1"/>
      <c r="V506" s="1" t="s">
        <v>2146</v>
      </c>
      <c r="W506" s="4">
        <v>1</v>
      </c>
      <c r="X506" s="6">
        <v>1050651.5900000001</v>
      </c>
      <c r="Y506" s="1" t="s">
        <v>1516</v>
      </c>
      <c r="Z506" s="1">
        <v>309.35000000000002</v>
      </c>
      <c r="AA506" s="6">
        <v>3396.32</v>
      </c>
      <c r="AB506" s="1" t="s">
        <v>2150</v>
      </c>
      <c r="AC506" s="1" t="s">
        <v>2162</v>
      </c>
      <c r="AD506" s="1" t="s">
        <v>1100</v>
      </c>
      <c r="AE506" s="1" t="s">
        <v>2094</v>
      </c>
      <c r="AF506" s="1" t="s">
        <v>1186</v>
      </c>
      <c r="AG506" s="1" t="s">
        <v>1522</v>
      </c>
      <c r="AH506" s="6">
        <v>1050651.79</v>
      </c>
      <c r="AI506" s="6">
        <v>3400.1676051779937</v>
      </c>
      <c r="AJ506" s="1" t="s">
        <v>2062</v>
      </c>
      <c r="AK506" s="6">
        <v>-0.19999999995343387</v>
      </c>
      <c r="AL506" s="6">
        <v>-1.9035806147062876E-7</v>
      </c>
      <c r="AM506" s="1"/>
      <c r="AN506" s="1"/>
      <c r="AO506" s="1"/>
      <c r="AP506" s="1"/>
      <c r="AQ506" s="1"/>
      <c r="AR506" s="1"/>
      <c r="AS506" s="2"/>
      <c r="AT506" s="1"/>
      <c r="AU506" s="1"/>
      <c r="AV506" s="1"/>
      <c r="AW506" s="1" t="s">
        <v>2171</v>
      </c>
      <c r="AX506" s="7">
        <v>44581.678902395113</v>
      </c>
      <c r="AY506" s="1"/>
      <c r="AZ506" s="1"/>
      <c r="BA506" s="1"/>
      <c r="BB506" s="5">
        <v>44926</v>
      </c>
      <c r="BC506" s="1" t="s">
        <v>109</v>
      </c>
      <c r="BD506" s="1" t="s">
        <v>109</v>
      </c>
      <c r="BE506" s="1"/>
      <c r="BF506" s="1"/>
      <c r="BG506" s="1" t="s">
        <v>1969</v>
      </c>
      <c r="BH506" s="1"/>
      <c r="BI506" s="1" t="s">
        <v>108</v>
      </c>
    </row>
    <row r="507" spans="1:61" hidden="1" x14ac:dyDescent="0.25">
      <c r="A507" s="4">
        <v>502</v>
      </c>
      <c r="B507" s="2" t="str">
        <f>HYPERLINK("https://my.zakupivli.pro/remote/dispatcher/state_purchase_view/33690866", "UA-2021-12-24-011166-c")</f>
        <v>UA-2021-12-24-011166-c</v>
      </c>
      <c r="C507" s="2" t="s">
        <v>1516</v>
      </c>
      <c r="D507" s="1" t="s">
        <v>1654</v>
      </c>
      <c r="E507" s="1" t="s">
        <v>1654</v>
      </c>
      <c r="F507" s="1" t="s">
        <v>298</v>
      </c>
      <c r="G507" s="1" t="s">
        <v>1041</v>
      </c>
      <c r="H507" s="1" t="s">
        <v>1218</v>
      </c>
      <c r="I507" s="1" t="s">
        <v>2094</v>
      </c>
      <c r="J507" s="1" t="s">
        <v>1145</v>
      </c>
      <c r="K507" s="1" t="s">
        <v>947</v>
      </c>
      <c r="L507" s="1" t="s">
        <v>1533</v>
      </c>
      <c r="M507" s="1" t="s">
        <v>1534</v>
      </c>
      <c r="N507" s="1" t="s">
        <v>110</v>
      </c>
      <c r="O507" s="1" t="s">
        <v>110</v>
      </c>
      <c r="P507" s="1" t="s">
        <v>110</v>
      </c>
      <c r="Q507" s="5">
        <v>44554</v>
      </c>
      <c r="R507" s="1"/>
      <c r="S507" s="1"/>
      <c r="T507" s="1"/>
      <c r="U507" s="1"/>
      <c r="V507" s="1" t="s">
        <v>2146</v>
      </c>
      <c r="W507" s="4">
        <v>1</v>
      </c>
      <c r="X507" s="6">
        <v>5480</v>
      </c>
      <c r="Y507" s="1" t="s">
        <v>1516</v>
      </c>
      <c r="Z507" s="1">
        <v>1</v>
      </c>
      <c r="AA507" s="6">
        <v>5480</v>
      </c>
      <c r="AB507" s="1" t="s">
        <v>2167</v>
      </c>
      <c r="AC507" s="1" t="s">
        <v>2162</v>
      </c>
      <c r="AD507" s="1" t="s">
        <v>1100</v>
      </c>
      <c r="AE507" s="1" t="s">
        <v>1522</v>
      </c>
      <c r="AF507" s="1" t="s">
        <v>1186</v>
      </c>
      <c r="AG507" s="1" t="s">
        <v>1522</v>
      </c>
      <c r="AH507" s="6">
        <v>5480</v>
      </c>
      <c r="AI507" s="6">
        <v>5480</v>
      </c>
      <c r="AJ507" s="1" t="s">
        <v>1541</v>
      </c>
      <c r="AK507" s="1"/>
      <c r="AL507" s="1"/>
      <c r="AM507" s="1" t="s">
        <v>1541</v>
      </c>
      <c r="AN507" s="1" t="s">
        <v>810</v>
      </c>
      <c r="AO507" s="1"/>
      <c r="AP507" s="1" t="s">
        <v>141</v>
      </c>
      <c r="AQ507" s="1"/>
      <c r="AR507" s="1"/>
      <c r="AS507" s="2"/>
      <c r="AT507" s="1"/>
      <c r="AU507" s="1"/>
      <c r="AV507" s="1"/>
      <c r="AW507" s="1" t="s">
        <v>2152</v>
      </c>
      <c r="AX507" s="7">
        <v>44554.575108880694</v>
      </c>
      <c r="AY507" s="1" t="s">
        <v>187</v>
      </c>
      <c r="AZ507" s="6">
        <v>5480</v>
      </c>
      <c r="BA507" s="1"/>
      <c r="BB507" s="5">
        <v>44561</v>
      </c>
      <c r="BC507" s="5">
        <v>44552</v>
      </c>
      <c r="BD507" s="5">
        <v>44552</v>
      </c>
      <c r="BE507" s="7">
        <v>44561</v>
      </c>
      <c r="BF507" s="1" t="s">
        <v>2170</v>
      </c>
      <c r="BG507" s="1"/>
      <c r="BH507" s="1"/>
      <c r="BI507" s="1" t="s">
        <v>108</v>
      </c>
    </row>
    <row r="508" spans="1:61" hidden="1" x14ac:dyDescent="0.25">
      <c r="A508" s="4">
        <v>503</v>
      </c>
      <c r="B508" s="2" t="str">
        <f>HYPERLINK("https://my.zakupivli.pro/remote/dispatcher/state_purchase_view/33711715", "UA-2021-12-24-010836-c")</f>
        <v>UA-2021-12-24-010836-c</v>
      </c>
      <c r="C508" s="2" t="s">
        <v>1516</v>
      </c>
      <c r="D508" s="1" t="s">
        <v>1682</v>
      </c>
      <c r="E508" s="1" t="s">
        <v>1682</v>
      </c>
      <c r="F508" s="1" t="s">
        <v>298</v>
      </c>
      <c r="G508" s="1" t="s">
        <v>1024</v>
      </c>
      <c r="H508" s="1" t="s">
        <v>1218</v>
      </c>
      <c r="I508" s="1" t="s">
        <v>2094</v>
      </c>
      <c r="J508" s="1" t="s">
        <v>1145</v>
      </c>
      <c r="K508" s="1" t="s">
        <v>947</v>
      </c>
      <c r="L508" s="1" t="s">
        <v>1533</v>
      </c>
      <c r="M508" s="1" t="s">
        <v>1534</v>
      </c>
      <c r="N508" s="1" t="s">
        <v>110</v>
      </c>
      <c r="O508" s="1" t="s">
        <v>110</v>
      </c>
      <c r="P508" s="1" t="s">
        <v>110</v>
      </c>
      <c r="Q508" s="5">
        <v>44554</v>
      </c>
      <c r="R508" s="1"/>
      <c r="S508" s="1"/>
      <c r="T508" s="1"/>
      <c r="U508" s="1"/>
      <c r="V508" s="1" t="s">
        <v>2146</v>
      </c>
      <c r="W508" s="4">
        <v>1</v>
      </c>
      <c r="X508" s="6">
        <v>6988.97</v>
      </c>
      <c r="Y508" s="1" t="s">
        <v>1516</v>
      </c>
      <c r="Z508" s="1">
        <v>8345</v>
      </c>
      <c r="AA508" s="6">
        <v>0.84</v>
      </c>
      <c r="AB508" s="1" t="s">
        <v>2156</v>
      </c>
      <c r="AC508" s="1" t="s">
        <v>2162</v>
      </c>
      <c r="AD508" s="1" t="s">
        <v>1100</v>
      </c>
      <c r="AE508" s="1" t="s">
        <v>2094</v>
      </c>
      <c r="AF508" s="1" t="s">
        <v>1186</v>
      </c>
      <c r="AG508" s="1" t="s">
        <v>1522</v>
      </c>
      <c r="AH508" s="6">
        <v>6988.97</v>
      </c>
      <c r="AI508" s="6">
        <v>0.8375038945476333</v>
      </c>
      <c r="AJ508" s="1" t="s">
        <v>1146</v>
      </c>
      <c r="AK508" s="1"/>
      <c r="AL508" s="1"/>
      <c r="AM508" s="1" t="s">
        <v>1146</v>
      </c>
      <c r="AN508" s="1" t="s">
        <v>733</v>
      </c>
      <c r="AO508" s="1"/>
      <c r="AP508" s="1" t="s">
        <v>128</v>
      </c>
      <c r="AQ508" s="1"/>
      <c r="AR508" s="1"/>
      <c r="AS508" s="2"/>
      <c r="AT508" s="1"/>
      <c r="AU508" s="1"/>
      <c r="AV508" s="1"/>
      <c r="AW508" s="1" t="s">
        <v>2152</v>
      </c>
      <c r="AX508" s="7">
        <v>44554.569327817109</v>
      </c>
      <c r="AY508" s="1" t="s">
        <v>134</v>
      </c>
      <c r="AZ508" s="6">
        <v>6988.97</v>
      </c>
      <c r="BA508" s="5">
        <v>44531</v>
      </c>
      <c r="BB508" s="5">
        <v>44561</v>
      </c>
      <c r="BC508" s="5">
        <v>44552</v>
      </c>
      <c r="BD508" s="5">
        <v>44552</v>
      </c>
      <c r="BE508" s="7">
        <v>44561</v>
      </c>
      <c r="BF508" s="1" t="s">
        <v>2170</v>
      </c>
      <c r="BG508" s="1"/>
      <c r="BH508" s="1"/>
      <c r="BI508" s="1" t="s">
        <v>108</v>
      </c>
    </row>
    <row r="509" spans="1:61" hidden="1" x14ac:dyDescent="0.25">
      <c r="A509" s="4">
        <v>504</v>
      </c>
      <c r="B509" s="2" t="str">
        <f>HYPERLINK("https://my.zakupivli.pro/remote/dispatcher/state_purchase_view/33699465", "UA-2021-12-24-009976-c")</f>
        <v>UA-2021-12-24-009976-c</v>
      </c>
      <c r="C509" s="2" t="s">
        <v>1516</v>
      </c>
      <c r="D509" s="1" t="s">
        <v>1720</v>
      </c>
      <c r="E509" s="1" t="s">
        <v>1720</v>
      </c>
      <c r="F509" s="1" t="s">
        <v>298</v>
      </c>
      <c r="G509" s="1" t="s">
        <v>1040</v>
      </c>
      <c r="H509" s="1" t="s">
        <v>1218</v>
      </c>
      <c r="I509" s="1" t="s">
        <v>2094</v>
      </c>
      <c r="J509" s="1" t="s">
        <v>1145</v>
      </c>
      <c r="K509" s="1" t="s">
        <v>947</v>
      </c>
      <c r="L509" s="1" t="s">
        <v>1533</v>
      </c>
      <c r="M509" s="1" t="s">
        <v>1534</v>
      </c>
      <c r="N509" s="1" t="s">
        <v>110</v>
      </c>
      <c r="O509" s="1" t="s">
        <v>110</v>
      </c>
      <c r="P509" s="1" t="s">
        <v>110</v>
      </c>
      <c r="Q509" s="5">
        <v>44554</v>
      </c>
      <c r="R509" s="1"/>
      <c r="S509" s="1"/>
      <c r="T509" s="1"/>
      <c r="U509" s="1"/>
      <c r="V509" s="1" t="s">
        <v>2146</v>
      </c>
      <c r="W509" s="4">
        <v>1</v>
      </c>
      <c r="X509" s="6">
        <v>1403.6</v>
      </c>
      <c r="Y509" s="1" t="s">
        <v>1516</v>
      </c>
      <c r="Z509" s="1">
        <v>4.4000000000000004</v>
      </c>
      <c r="AA509" s="6">
        <v>319</v>
      </c>
      <c r="AB509" s="1" t="s">
        <v>2149</v>
      </c>
      <c r="AC509" s="1" t="s">
        <v>2162</v>
      </c>
      <c r="AD509" s="1" t="s">
        <v>1100</v>
      </c>
      <c r="AE509" s="1" t="s">
        <v>1522</v>
      </c>
      <c r="AF509" s="1" t="s">
        <v>1186</v>
      </c>
      <c r="AG509" s="1" t="s">
        <v>1522</v>
      </c>
      <c r="AH509" s="6">
        <v>1403.6</v>
      </c>
      <c r="AI509" s="6">
        <v>350.9</v>
      </c>
      <c r="AJ509" s="1" t="s">
        <v>1135</v>
      </c>
      <c r="AK509" s="1"/>
      <c r="AL509" s="1"/>
      <c r="AM509" s="1" t="s">
        <v>1135</v>
      </c>
      <c r="AN509" s="1" t="s">
        <v>791</v>
      </c>
      <c r="AO509" s="1"/>
      <c r="AP509" s="1" t="s">
        <v>136</v>
      </c>
      <c r="AQ509" s="1"/>
      <c r="AR509" s="1"/>
      <c r="AS509" s="2"/>
      <c r="AT509" s="1"/>
      <c r="AU509" s="1"/>
      <c r="AV509" s="1"/>
      <c r="AW509" s="1" t="s">
        <v>2152</v>
      </c>
      <c r="AX509" s="7">
        <v>44554.550567942555</v>
      </c>
      <c r="AY509" s="1" t="s">
        <v>1077</v>
      </c>
      <c r="AZ509" s="6">
        <v>1403.6</v>
      </c>
      <c r="BA509" s="1"/>
      <c r="BB509" s="5">
        <v>44561</v>
      </c>
      <c r="BC509" s="5">
        <v>44553</v>
      </c>
      <c r="BD509" s="5">
        <v>44553</v>
      </c>
      <c r="BE509" s="7">
        <v>44561</v>
      </c>
      <c r="BF509" s="1" t="s">
        <v>2170</v>
      </c>
      <c r="BG509" s="1"/>
      <c r="BH509" s="1"/>
      <c r="BI509" s="1" t="s">
        <v>108</v>
      </c>
    </row>
    <row r="510" spans="1:61" hidden="1" x14ac:dyDescent="0.25">
      <c r="A510" s="4">
        <v>505</v>
      </c>
      <c r="B510" s="2" t="str">
        <f>HYPERLINK("https://my.zakupivli.pro/remote/dispatcher/state_purchase_view/33697530", "UA-2021-12-24-009810-c")</f>
        <v>UA-2021-12-24-009810-c</v>
      </c>
      <c r="C510" s="2" t="s">
        <v>1516</v>
      </c>
      <c r="D510" s="1" t="s">
        <v>1906</v>
      </c>
      <c r="E510" s="1" t="s">
        <v>1906</v>
      </c>
      <c r="F510" s="1" t="s">
        <v>298</v>
      </c>
      <c r="G510" s="1" t="s">
        <v>1024</v>
      </c>
      <c r="H510" s="1" t="s">
        <v>1218</v>
      </c>
      <c r="I510" s="1" t="s">
        <v>2094</v>
      </c>
      <c r="J510" s="1" t="s">
        <v>1145</v>
      </c>
      <c r="K510" s="1" t="s">
        <v>947</v>
      </c>
      <c r="L510" s="1" t="s">
        <v>1533</v>
      </c>
      <c r="M510" s="1" t="s">
        <v>1534</v>
      </c>
      <c r="N510" s="1" t="s">
        <v>110</v>
      </c>
      <c r="O510" s="1" t="s">
        <v>110</v>
      </c>
      <c r="P510" s="1" t="s">
        <v>110</v>
      </c>
      <c r="Q510" s="5">
        <v>44554</v>
      </c>
      <c r="R510" s="1"/>
      <c r="S510" s="1"/>
      <c r="T510" s="1"/>
      <c r="U510" s="1"/>
      <c r="V510" s="1" t="s">
        <v>2146</v>
      </c>
      <c r="W510" s="4">
        <v>1</v>
      </c>
      <c r="X510" s="6">
        <v>700</v>
      </c>
      <c r="Y510" s="1" t="s">
        <v>1516</v>
      </c>
      <c r="Z510" s="1">
        <v>1</v>
      </c>
      <c r="AA510" s="6">
        <v>700</v>
      </c>
      <c r="AB510" s="1" t="s">
        <v>2167</v>
      </c>
      <c r="AC510" s="1" t="s">
        <v>2162</v>
      </c>
      <c r="AD510" s="1" t="s">
        <v>1100</v>
      </c>
      <c r="AE510" s="1" t="s">
        <v>2094</v>
      </c>
      <c r="AF510" s="1" t="s">
        <v>1186</v>
      </c>
      <c r="AG510" s="1" t="s">
        <v>1522</v>
      </c>
      <c r="AH510" s="6">
        <v>700</v>
      </c>
      <c r="AI510" s="6">
        <v>700</v>
      </c>
      <c r="AJ510" s="1" t="s">
        <v>1146</v>
      </c>
      <c r="AK510" s="1"/>
      <c r="AL510" s="1"/>
      <c r="AM510" s="1" t="s">
        <v>1146</v>
      </c>
      <c r="AN510" s="1" t="s">
        <v>733</v>
      </c>
      <c r="AO510" s="1"/>
      <c r="AP510" s="1" t="s">
        <v>128</v>
      </c>
      <c r="AQ510" s="1"/>
      <c r="AR510" s="1"/>
      <c r="AS510" s="2"/>
      <c r="AT510" s="1"/>
      <c r="AU510" s="1"/>
      <c r="AV510" s="1"/>
      <c r="AW510" s="1" t="s">
        <v>2152</v>
      </c>
      <c r="AX510" s="7">
        <v>44554.547328452063</v>
      </c>
      <c r="AY510" s="1" t="s">
        <v>135</v>
      </c>
      <c r="AZ510" s="6">
        <v>700</v>
      </c>
      <c r="BA510" s="1"/>
      <c r="BB510" s="5">
        <v>44561</v>
      </c>
      <c r="BC510" s="5">
        <v>44552</v>
      </c>
      <c r="BD510" s="5">
        <v>44552</v>
      </c>
      <c r="BE510" s="7">
        <v>44561</v>
      </c>
      <c r="BF510" s="1" t="s">
        <v>2170</v>
      </c>
      <c r="BG510" s="1"/>
      <c r="BH510" s="1"/>
      <c r="BI510" s="1" t="s">
        <v>108</v>
      </c>
    </row>
    <row r="511" spans="1:61" hidden="1" x14ac:dyDescent="0.25">
      <c r="A511" s="4">
        <v>506</v>
      </c>
      <c r="B511" s="2" t="str">
        <f>HYPERLINK("https://my.zakupivli.pro/remote/dispatcher/state_purchase_view/33694507", "UA-2021-12-24-009185-c")</f>
        <v>UA-2021-12-24-009185-c</v>
      </c>
      <c r="C511" s="2" t="s">
        <v>1516</v>
      </c>
      <c r="D511" s="1" t="s">
        <v>1662</v>
      </c>
      <c r="E511" s="1" t="s">
        <v>1662</v>
      </c>
      <c r="F511" s="1" t="s">
        <v>298</v>
      </c>
      <c r="G511" s="1" t="s">
        <v>1074</v>
      </c>
      <c r="H511" s="1" t="s">
        <v>1218</v>
      </c>
      <c r="I511" s="1" t="s">
        <v>2094</v>
      </c>
      <c r="J511" s="1" t="s">
        <v>1145</v>
      </c>
      <c r="K511" s="1" t="s">
        <v>947</v>
      </c>
      <c r="L511" s="1" t="s">
        <v>1533</v>
      </c>
      <c r="M511" s="1" t="s">
        <v>1534</v>
      </c>
      <c r="N511" s="1" t="s">
        <v>110</v>
      </c>
      <c r="O511" s="1" t="s">
        <v>110</v>
      </c>
      <c r="P511" s="1" t="s">
        <v>110</v>
      </c>
      <c r="Q511" s="5">
        <v>44554</v>
      </c>
      <c r="R511" s="1"/>
      <c r="S511" s="1"/>
      <c r="T511" s="1"/>
      <c r="U511" s="1"/>
      <c r="V511" s="1" t="s">
        <v>2146</v>
      </c>
      <c r="W511" s="4">
        <v>1</v>
      </c>
      <c r="X511" s="6">
        <v>2854.96</v>
      </c>
      <c r="Y511" s="1" t="s">
        <v>1516</v>
      </c>
      <c r="Z511" s="1">
        <v>1</v>
      </c>
      <c r="AA511" s="6">
        <v>2854.96</v>
      </c>
      <c r="AB511" s="1" t="s">
        <v>2167</v>
      </c>
      <c r="AC511" s="1" t="s">
        <v>2162</v>
      </c>
      <c r="AD511" s="1" t="s">
        <v>1100</v>
      </c>
      <c r="AE511" s="1" t="s">
        <v>2094</v>
      </c>
      <c r="AF511" s="1" t="s">
        <v>1186</v>
      </c>
      <c r="AG511" s="1" t="s">
        <v>1522</v>
      </c>
      <c r="AH511" s="6">
        <v>2854.96</v>
      </c>
      <c r="AI511" s="6">
        <v>2854.96</v>
      </c>
      <c r="AJ511" s="1" t="s">
        <v>2073</v>
      </c>
      <c r="AK511" s="1"/>
      <c r="AL511" s="1"/>
      <c r="AM511" s="1" t="s">
        <v>2073</v>
      </c>
      <c r="AN511" s="1" t="s">
        <v>933</v>
      </c>
      <c r="AO511" s="1"/>
      <c r="AP511" s="1" t="s">
        <v>138</v>
      </c>
      <c r="AQ511" s="1"/>
      <c r="AR511" s="1"/>
      <c r="AS511" s="2"/>
      <c r="AT511" s="1"/>
      <c r="AU511" s="1"/>
      <c r="AV511" s="1"/>
      <c r="AW511" s="1" t="s">
        <v>2152</v>
      </c>
      <c r="AX511" s="7">
        <v>44554.537334867971</v>
      </c>
      <c r="AY511" s="1" t="s">
        <v>1496</v>
      </c>
      <c r="AZ511" s="6">
        <v>2854.96</v>
      </c>
      <c r="BA511" s="1"/>
      <c r="BB511" s="5">
        <v>44561</v>
      </c>
      <c r="BC511" s="5">
        <v>44553</v>
      </c>
      <c r="BD511" s="5">
        <v>44553</v>
      </c>
      <c r="BE511" s="7">
        <v>44561</v>
      </c>
      <c r="BF511" s="1" t="s">
        <v>2170</v>
      </c>
      <c r="BG511" s="1"/>
      <c r="BH511" s="1"/>
      <c r="BI511" s="1" t="s">
        <v>108</v>
      </c>
    </row>
    <row r="512" spans="1:61" hidden="1" x14ac:dyDescent="0.25">
      <c r="A512" s="4">
        <v>507</v>
      </c>
      <c r="B512" s="2" t="str">
        <f>HYPERLINK("https://my.zakupivli.pro/remote/dispatcher/state_purchase_view/33560857", "UA-2021-12-22-012805-c")</f>
        <v>UA-2021-12-22-012805-c</v>
      </c>
      <c r="C512" s="2" t="s">
        <v>1516</v>
      </c>
      <c r="D512" s="1" t="s">
        <v>1470</v>
      </c>
      <c r="E512" s="1" t="s">
        <v>1491</v>
      </c>
      <c r="F512" s="1" t="s">
        <v>298</v>
      </c>
      <c r="G512" s="1" t="s">
        <v>959</v>
      </c>
      <c r="H512" s="1" t="s">
        <v>1218</v>
      </c>
      <c r="I512" s="1" t="s">
        <v>2094</v>
      </c>
      <c r="J512" s="1" t="s">
        <v>1145</v>
      </c>
      <c r="K512" s="1" t="s">
        <v>947</v>
      </c>
      <c r="L512" s="1" t="s">
        <v>1533</v>
      </c>
      <c r="M512" s="1" t="s">
        <v>1534</v>
      </c>
      <c r="N512" s="1" t="s">
        <v>110</v>
      </c>
      <c r="O512" s="1" t="s">
        <v>110</v>
      </c>
      <c r="P512" s="1" t="s">
        <v>110</v>
      </c>
      <c r="Q512" s="5">
        <v>44552</v>
      </c>
      <c r="R512" s="1"/>
      <c r="S512" s="1"/>
      <c r="T512" s="1"/>
      <c r="U512" s="1"/>
      <c r="V512" s="1" t="s">
        <v>2146</v>
      </c>
      <c r="W512" s="4">
        <v>1</v>
      </c>
      <c r="X512" s="6">
        <v>17150</v>
      </c>
      <c r="Y512" s="1" t="s">
        <v>1516</v>
      </c>
      <c r="Z512" s="1">
        <v>516</v>
      </c>
      <c r="AA512" s="6">
        <v>33.24</v>
      </c>
      <c r="AB512" s="1" t="s">
        <v>2157</v>
      </c>
      <c r="AC512" s="1" t="s">
        <v>2162</v>
      </c>
      <c r="AD512" s="1" t="s">
        <v>1100</v>
      </c>
      <c r="AE512" s="1" t="s">
        <v>1522</v>
      </c>
      <c r="AF512" s="1" t="s">
        <v>1186</v>
      </c>
      <c r="AG512" s="1" t="s">
        <v>1522</v>
      </c>
      <c r="AH512" s="6">
        <v>17150</v>
      </c>
      <c r="AI512" s="6">
        <v>33.236434108527135</v>
      </c>
      <c r="AJ512" s="1" t="s">
        <v>1497</v>
      </c>
      <c r="AK512" s="1"/>
      <c r="AL512" s="1"/>
      <c r="AM512" s="1" t="s">
        <v>1497</v>
      </c>
      <c r="AN512" s="1" t="s">
        <v>771</v>
      </c>
      <c r="AO512" s="1"/>
      <c r="AP512" s="1" t="s">
        <v>147</v>
      </c>
      <c r="AQ512" s="1"/>
      <c r="AR512" s="1"/>
      <c r="AS512" s="2"/>
      <c r="AT512" s="1"/>
      <c r="AU512" s="1"/>
      <c r="AV512" s="1"/>
      <c r="AW512" s="1" t="s">
        <v>2152</v>
      </c>
      <c r="AX512" s="7">
        <v>44552.615506335635</v>
      </c>
      <c r="AY512" s="1" t="s">
        <v>184</v>
      </c>
      <c r="AZ512" s="6">
        <v>17150</v>
      </c>
      <c r="BA512" s="1"/>
      <c r="BB512" s="5">
        <v>44553</v>
      </c>
      <c r="BC512" s="5">
        <v>44552</v>
      </c>
      <c r="BD512" s="5">
        <v>44552</v>
      </c>
      <c r="BE512" s="7">
        <v>44561</v>
      </c>
      <c r="BF512" s="1" t="s">
        <v>2170</v>
      </c>
      <c r="BG512" s="1"/>
      <c r="BH512" s="1"/>
      <c r="BI512" s="1" t="s">
        <v>108</v>
      </c>
    </row>
    <row r="513" spans="1:61" hidden="1" x14ac:dyDescent="0.25">
      <c r="A513" s="4">
        <v>508</v>
      </c>
      <c r="B513" s="2" t="str">
        <f>HYPERLINK("https://my.zakupivli.pro/remote/dispatcher/state_purchase_view/33587473", "UA-2021-12-22-020362-c")</f>
        <v>UA-2021-12-22-020362-c</v>
      </c>
      <c r="C513" s="2" t="s">
        <v>1516</v>
      </c>
      <c r="D513" s="1" t="s">
        <v>1549</v>
      </c>
      <c r="E513" s="1" t="s">
        <v>1550</v>
      </c>
      <c r="F513" s="1" t="s">
        <v>298</v>
      </c>
      <c r="G513" s="1" t="s">
        <v>285</v>
      </c>
      <c r="H513" s="1" t="s">
        <v>1218</v>
      </c>
      <c r="I513" s="1" t="s">
        <v>2094</v>
      </c>
      <c r="J513" s="1" t="s">
        <v>1145</v>
      </c>
      <c r="K513" s="1" t="s">
        <v>947</v>
      </c>
      <c r="L513" s="1" t="s">
        <v>1533</v>
      </c>
      <c r="M513" s="1" t="s">
        <v>1534</v>
      </c>
      <c r="N513" s="1" t="s">
        <v>110</v>
      </c>
      <c r="O513" s="1" t="s">
        <v>110</v>
      </c>
      <c r="P513" s="1" t="s">
        <v>110</v>
      </c>
      <c r="Q513" s="5">
        <v>44552</v>
      </c>
      <c r="R513" s="1"/>
      <c r="S513" s="1"/>
      <c r="T513" s="1"/>
      <c r="U513" s="1"/>
      <c r="V513" s="1" t="s">
        <v>2146</v>
      </c>
      <c r="W513" s="4">
        <v>1</v>
      </c>
      <c r="X513" s="6">
        <v>492</v>
      </c>
      <c r="Y513" s="1" t="s">
        <v>1516</v>
      </c>
      <c r="Z513" s="1">
        <v>24</v>
      </c>
      <c r="AA513" s="6">
        <v>20.5</v>
      </c>
      <c r="AB513" s="1" t="s">
        <v>2175</v>
      </c>
      <c r="AC513" s="1" t="s">
        <v>2162</v>
      </c>
      <c r="AD513" s="1" t="s">
        <v>1100</v>
      </c>
      <c r="AE513" s="1" t="s">
        <v>1522</v>
      </c>
      <c r="AF513" s="1" t="s">
        <v>1186</v>
      </c>
      <c r="AG513" s="1" t="s">
        <v>1522</v>
      </c>
      <c r="AH513" s="6">
        <v>492</v>
      </c>
      <c r="AI513" s="6">
        <v>20.5</v>
      </c>
      <c r="AJ513" s="1" t="s">
        <v>2141</v>
      </c>
      <c r="AK513" s="1"/>
      <c r="AL513" s="1"/>
      <c r="AM513" s="1" t="s">
        <v>2141</v>
      </c>
      <c r="AN513" s="1" t="s">
        <v>769</v>
      </c>
      <c r="AO513" s="1"/>
      <c r="AP513" s="1" t="s">
        <v>148</v>
      </c>
      <c r="AQ513" s="1"/>
      <c r="AR513" s="1"/>
      <c r="AS513" s="2"/>
      <c r="AT513" s="1"/>
      <c r="AU513" s="1"/>
      <c r="AV513" s="1"/>
      <c r="AW513" s="1" t="s">
        <v>2152</v>
      </c>
      <c r="AX513" s="7">
        <v>44553.403202459456</v>
      </c>
      <c r="AY513" s="1" t="s">
        <v>190</v>
      </c>
      <c r="AZ513" s="6">
        <v>492</v>
      </c>
      <c r="BA513" s="1"/>
      <c r="BB513" s="5">
        <v>44553</v>
      </c>
      <c r="BC513" s="5">
        <v>44552</v>
      </c>
      <c r="BD513" s="5">
        <v>44552</v>
      </c>
      <c r="BE513" s="7">
        <v>44561</v>
      </c>
      <c r="BF513" s="1" t="s">
        <v>2170</v>
      </c>
      <c r="BG513" s="1"/>
      <c r="BH513" s="1"/>
      <c r="BI513" s="1" t="s">
        <v>108</v>
      </c>
    </row>
    <row r="514" spans="1:61" hidden="1" x14ac:dyDescent="0.25">
      <c r="A514" s="4">
        <v>509</v>
      </c>
      <c r="B514" s="2" t="str">
        <f>HYPERLINK("https://my.zakupivli.pro/remote/dispatcher/state_purchase_view/33587093", "UA-2021-12-22-020248-c")</f>
        <v>UA-2021-12-22-020248-c</v>
      </c>
      <c r="C514" s="2" t="s">
        <v>1516</v>
      </c>
      <c r="D514" s="1" t="s">
        <v>2142</v>
      </c>
      <c r="E514" s="1" t="s">
        <v>1506</v>
      </c>
      <c r="F514" s="1" t="s">
        <v>298</v>
      </c>
      <c r="G514" s="1" t="s">
        <v>889</v>
      </c>
      <c r="H514" s="1" t="s">
        <v>1218</v>
      </c>
      <c r="I514" s="1" t="s">
        <v>2094</v>
      </c>
      <c r="J514" s="1" t="s">
        <v>1145</v>
      </c>
      <c r="K514" s="1" t="s">
        <v>947</v>
      </c>
      <c r="L514" s="1" t="s">
        <v>1533</v>
      </c>
      <c r="M514" s="1" t="s">
        <v>1534</v>
      </c>
      <c r="N514" s="1" t="s">
        <v>110</v>
      </c>
      <c r="O514" s="1" t="s">
        <v>110</v>
      </c>
      <c r="P514" s="1" t="s">
        <v>110</v>
      </c>
      <c r="Q514" s="5">
        <v>44552</v>
      </c>
      <c r="R514" s="1"/>
      <c r="S514" s="1"/>
      <c r="T514" s="1"/>
      <c r="U514" s="1"/>
      <c r="V514" s="1" t="s">
        <v>2146</v>
      </c>
      <c r="W514" s="4">
        <v>1</v>
      </c>
      <c r="X514" s="6">
        <v>2465.96</v>
      </c>
      <c r="Y514" s="1" t="s">
        <v>1516</v>
      </c>
      <c r="Z514" s="1" t="s">
        <v>2157</v>
      </c>
      <c r="AA514" s="1" t="s">
        <v>2157</v>
      </c>
      <c r="AB514" s="1" t="s">
        <v>2157</v>
      </c>
      <c r="AC514" s="1" t="s">
        <v>2162</v>
      </c>
      <c r="AD514" s="1" t="s">
        <v>1100</v>
      </c>
      <c r="AE514" s="1" t="s">
        <v>1522</v>
      </c>
      <c r="AF514" s="1" t="s">
        <v>1186</v>
      </c>
      <c r="AG514" s="1" t="s">
        <v>1522</v>
      </c>
      <c r="AH514" s="6">
        <v>2465.96</v>
      </c>
      <c r="AI514" s="1" t="s">
        <v>2157</v>
      </c>
      <c r="AJ514" s="1" t="s">
        <v>2141</v>
      </c>
      <c r="AK514" s="1"/>
      <c r="AL514" s="1"/>
      <c r="AM514" s="1" t="s">
        <v>2141</v>
      </c>
      <c r="AN514" s="1" t="s">
        <v>769</v>
      </c>
      <c r="AO514" s="1"/>
      <c r="AP514" s="1" t="s">
        <v>148</v>
      </c>
      <c r="AQ514" s="1"/>
      <c r="AR514" s="1"/>
      <c r="AS514" s="2"/>
      <c r="AT514" s="1"/>
      <c r="AU514" s="1"/>
      <c r="AV514" s="1"/>
      <c r="AW514" s="1" t="s">
        <v>2152</v>
      </c>
      <c r="AX514" s="7">
        <v>44552.772998657012</v>
      </c>
      <c r="AY514" s="1" t="s">
        <v>189</v>
      </c>
      <c r="AZ514" s="6">
        <v>2465.96</v>
      </c>
      <c r="BA514" s="1"/>
      <c r="BB514" s="5">
        <v>44553</v>
      </c>
      <c r="BC514" s="5">
        <v>44552</v>
      </c>
      <c r="BD514" s="5">
        <v>44552</v>
      </c>
      <c r="BE514" s="7">
        <v>44561</v>
      </c>
      <c r="BF514" s="1" t="s">
        <v>2170</v>
      </c>
      <c r="BG514" s="1"/>
      <c r="BH514" s="1"/>
      <c r="BI514" s="1" t="s">
        <v>108</v>
      </c>
    </row>
    <row r="515" spans="1:61" hidden="1" x14ac:dyDescent="0.25">
      <c r="A515" s="4">
        <v>510</v>
      </c>
      <c r="B515" s="2" t="str">
        <f>HYPERLINK("https://my.zakupivli.pro/remote/dispatcher/state_purchase_view/33550210", "UA-2021-12-22-009734-c")</f>
        <v>UA-2021-12-22-009734-c</v>
      </c>
      <c r="C515" s="2" t="s">
        <v>1516</v>
      </c>
      <c r="D515" s="1" t="s">
        <v>1470</v>
      </c>
      <c r="E515" s="1" t="s">
        <v>1490</v>
      </c>
      <c r="F515" s="1" t="s">
        <v>298</v>
      </c>
      <c r="G515" s="1" t="s">
        <v>959</v>
      </c>
      <c r="H515" s="1" t="s">
        <v>1218</v>
      </c>
      <c r="I515" s="1" t="s">
        <v>2094</v>
      </c>
      <c r="J515" s="1" t="s">
        <v>1145</v>
      </c>
      <c r="K515" s="1" t="s">
        <v>947</v>
      </c>
      <c r="L515" s="1" t="s">
        <v>1533</v>
      </c>
      <c r="M515" s="1" t="s">
        <v>1534</v>
      </c>
      <c r="N515" s="1" t="s">
        <v>110</v>
      </c>
      <c r="O515" s="1" t="s">
        <v>110</v>
      </c>
      <c r="P515" s="1" t="s">
        <v>110</v>
      </c>
      <c r="Q515" s="5">
        <v>44552</v>
      </c>
      <c r="R515" s="1"/>
      <c r="S515" s="1"/>
      <c r="T515" s="1"/>
      <c r="U515" s="1"/>
      <c r="V515" s="1" t="s">
        <v>2146</v>
      </c>
      <c r="W515" s="4">
        <v>1</v>
      </c>
      <c r="X515" s="6">
        <v>17150</v>
      </c>
      <c r="Y515" s="1" t="s">
        <v>1516</v>
      </c>
      <c r="Z515" s="1">
        <v>10</v>
      </c>
      <c r="AA515" s="6">
        <v>1715</v>
      </c>
      <c r="AB515" s="1" t="s">
        <v>2175</v>
      </c>
      <c r="AC515" s="1" t="s">
        <v>2162</v>
      </c>
      <c r="AD515" s="1" t="s">
        <v>1100</v>
      </c>
      <c r="AE515" s="1" t="s">
        <v>1522</v>
      </c>
      <c r="AF515" s="1" t="s">
        <v>1186</v>
      </c>
      <c r="AG515" s="1" t="s">
        <v>1522</v>
      </c>
      <c r="AH515" s="6">
        <v>17150</v>
      </c>
      <c r="AI515" s="6">
        <v>1715</v>
      </c>
      <c r="AJ515" s="1" t="s">
        <v>1497</v>
      </c>
      <c r="AK515" s="1"/>
      <c r="AL515" s="1"/>
      <c r="AM515" s="1" t="s">
        <v>1497</v>
      </c>
      <c r="AN515" s="1" t="s">
        <v>771</v>
      </c>
      <c r="AO515" s="1"/>
      <c r="AP515" s="1" t="s">
        <v>147</v>
      </c>
      <c r="AQ515" s="1"/>
      <c r="AR515" s="1"/>
      <c r="AS515" s="2"/>
      <c r="AT515" s="1"/>
      <c r="AU515" s="1"/>
      <c r="AV515" s="1"/>
      <c r="AW515" s="1" t="s">
        <v>2171</v>
      </c>
      <c r="AX515" s="7">
        <v>44552.60893715726</v>
      </c>
      <c r="AY515" s="1"/>
      <c r="AZ515" s="6">
        <v>17150</v>
      </c>
      <c r="BA515" s="1"/>
      <c r="BB515" s="5">
        <v>44553</v>
      </c>
      <c r="BC515" s="1" t="s">
        <v>109</v>
      </c>
      <c r="BD515" s="1" t="s">
        <v>109</v>
      </c>
      <c r="BE515" s="1"/>
      <c r="BF515" s="1" t="s">
        <v>2164</v>
      </c>
      <c r="BG515" s="1" t="s">
        <v>1517</v>
      </c>
      <c r="BH515" s="1"/>
      <c r="BI515" s="1" t="s">
        <v>108</v>
      </c>
    </row>
    <row r="516" spans="1:61" hidden="1" x14ac:dyDescent="0.25">
      <c r="A516" s="4">
        <v>511</v>
      </c>
      <c r="B516" s="2" t="str">
        <f>HYPERLINK("https://my.zakupivli.pro/remote/dispatcher/state_purchase_view/33507896", "UA-2021-12-21-020909-c")</f>
        <v>UA-2021-12-21-020909-c</v>
      </c>
      <c r="C516" s="2" t="s">
        <v>1516</v>
      </c>
      <c r="D516" s="1" t="s">
        <v>1917</v>
      </c>
      <c r="E516" s="1" t="s">
        <v>1917</v>
      </c>
      <c r="F516" s="1" t="s">
        <v>298</v>
      </c>
      <c r="G516" s="1" t="s">
        <v>964</v>
      </c>
      <c r="H516" s="1" t="s">
        <v>1218</v>
      </c>
      <c r="I516" s="1" t="s">
        <v>2094</v>
      </c>
      <c r="J516" s="1" t="s">
        <v>1145</v>
      </c>
      <c r="K516" s="1" t="s">
        <v>947</v>
      </c>
      <c r="L516" s="1" t="s">
        <v>1533</v>
      </c>
      <c r="M516" s="1" t="s">
        <v>1534</v>
      </c>
      <c r="N516" s="1" t="s">
        <v>110</v>
      </c>
      <c r="O516" s="1" t="s">
        <v>110</v>
      </c>
      <c r="P516" s="1" t="s">
        <v>110</v>
      </c>
      <c r="Q516" s="5">
        <v>44551</v>
      </c>
      <c r="R516" s="1"/>
      <c r="S516" s="1"/>
      <c r="T516" s="1"/>
      <c r="U516" s="1"/>
      <c r="V516" s="1" t="s">
        <v>2146</v>
      </c>
      <c r="W516" s="4">
        <v>1</v>
      </c>
      <c r="X516" s="6">
        <v>49986</v>
      </c>
      <c r="Y516" s="1" t="s">
        <v>1516</v>
      </c>
      <c r="Z516" s="1">
        <v>1</v>
      </c>
      <c r="AA516" s="6">
        <v>49986</v>
      </c>
      <c r="AB516" s="1" t="s">
        <v>2167</v>
      </c>
      <c r="AC516" s="1" t="s">
        <v>2162</v>
      </c>
      <c r="AD516" s="1" t="s">
        <v>1100</v>
      </c>
      <c r="AE516" s="1" t="s">
        <v>2094</v>
      </c>
      <c r="AF516" s="1" t="s">
        <v>1186</v>
      </c>
      <c r="AG516" s="1" t="s">
        <v>1522</v>
      </c>
      <c r="AH516" s="6">
        <v>49986</v>
      </c>
      <c r="AI516" s="6">
        <v>49986</v>
      </c>
      <c r="AJ516" s="1" t="s">
        <v>2065</v>
      </c>
      <c r="AK516" s="1"/>
      <c r="AL516" s="1"/>
      <c r="AM516" s="1" t="s">
        <v>2065</v>
      </c>
      <c r="AN516" s="1" t="s">
        <v>902</v>
      </c>
      <c r="AO516" s="1"/>
      <c r="AP516" s="1" t="s">
        <v>119</v>
      </c>
      <c r="AQ516" s="1"/>
      <c r="AR516" s="1"/>
      <c r="AS516" s="2"/>
      <c r="AT516" s="1"/>
      <c r="AU516" s="1"/>
      <c r="AV516" s="1"/>
      <c r="AW516" s="1" t="s">
        <v>2152</v>
      </c>
      <c r="AX516" s="7">
        <v>44551.770126211515</v>
      </c>
      <c r="AY516" s="1" t="s">
        <v>176</v>
      </c>
      <c r="AZ516" s="6">
        <v>49986</v>
      </c>
      <c r="BA516" s="1"/>
      <c r="BB516" s="5">
        <v>44561</v>
      </c>
      <c r="BC516" s="5">
        <v>44551</v>
      </c>
      <c r="BD516" s="5">
        <v>44551</v>
      </c>
      <c r="BE516" s="7">
        <v>44561</v>
      </c>
      <c r="BF516" s="1" t="s">
        <v>2170</v>
      </c>
      <c r="BG516" s="1"/>
      <c r="BH516" s="1"/>
      <c r="BI516" s="1" t="s">
        <v>108</v>
      </c>
    </row>
    <row r="517" spans="1:61" hidden="1" x14ac:dyDescent="0.25">
      <c r="A517" s="4">
        <v>512</v>
      </c>
      <c r="B517" s="2" t="str">
        <f>HYPERLINK("https://my.zakupivli.pro/remote/dispatcher/state_purchase_view/33509509", "UA-2021-12-21-021363-c")</f>
        <v>UA-2021-12-21-021363-c</v>
      </c>
      <c r="C517" s="2" t="s">
        <v>1516</v>
      </c>
      <c r="D517" s="1" t="s">
        <v>1912</v>
      </c>
      <c r="E517" s="1" t="s">
        <v>1912</v>
      </c>
      <c r="F517" s="1" t="s">
        <v>298</v>
      </c>
      <c r="G517" s="1" t="s">
        <v>964</v>
      </c>
      <c r="H517" s="1" t="s">
        <v>1218</v>
      </c>
      <c r="I517" s="1" t="s">
        <v>2094</v>
      </c>
      <c r="J517" s="1" t="s">
        <v>1145</v>
      </c>
      <c r="K517" s="1" t="s">
        <v>947</v>
      </c>
      <c r="L517" s="1" t="s">
        <v>1533</v>
      </c>
      <c r="M517" s="1" t="s">
        <v>1534</v>
      </c>
      <c r="N517" s="1" t="s">
        <v>110</v>
      </c>
      <c r="O517" s="1" t="s">
        <v>110</v>
      </c>
      <c r="P517" s="1" t="s">
        <v>110</v>
      </c>
      <c r="Q517" s="5">
        <v>44551</v>
      </c>
      <c r="R517" s="1"/>
      <c r="S517" s="1"/>
      <c r="T517" s="1"/>
      <c r="U517" s="1"/>
      <c r="V517" s="1" t="s">
        <v>2146</v>
      </c>
      <c r="W517" s="4">
        <v>1</v>
      </c>
      <c r="X517" s="6">
        <v>49989</v>
      </c>
      <c r="Y517" s="1" t="s">
        <v>1516</v>
      </c>
      <c r="Z517" s="1">
        <v>1</v>
      </c>
      <c r="AA517" s="6">
        <v>49989</v>
      </c>
      <c r="AB517" s="1" t="s">
        <v>2167</v>
      </c>
      <c r="AC517" s="1" t="s">
        <v>2162</v>
      </c>
      <c r="AD517" s="1" t="s">
        <v>1100</v>
      </c>
      <c r="AE517" s="1" t="s">
        <v>2094</v>
      </c>
      <c r="AF517" s="1" t="s">
        <v>1186</v>
      </c>
      <c r="AG517" s="1" t="s">
        <v>1522</v>
      </c>
      <c r="AH517" s="6">
        <v>49989</v>
      </c>
      <c r="AI517" s="6">
        <v>49989</v>
      </c>
      <c r="AJ517" s="1" t="s">
        <v>2065</v>
      </c>
      <c r="AK517" s="1"/>
      <c r="AL517" s="1"/>
      <c r="AM517" s="1" t="s">
        <v>2065</v>
      </c>
      <c r="AN517" s="1" t="s">
        <v>902</v>
      </c>
      <c r="AO517" s="1"/>
      <c r="AP517" s="1" t="s">
        <v>119</v>
      </c>
      <c r="AQ517" s="1"/>
      <c r="AR517" s="1"/>
      <c r="AS517" s="2"/>
      <c r="AT517" s="1"/>
      <c r="AU517" s="1"/>
      <c r="AV517" s="1"/>
      <c r="AW517" s="1" t="s">
        <v>2152</v>
      </c>
      <c r="AX517" s="7">
        <v>44551.79802789582</v>
      </c>
      <c r="AY517" s="1" t="s">
        <v>179</v>
      </c>
      <c r="AZ517" s="6">
        <v>49989</v>
      </c>
      <c r="BA517" s="1"/>
      <c r="BB517" s="5">
        <v>44561</v>
      </c>
      <c r="BC517" s="5">
        <v>44551</v>
      </c>
      <c r="BD517" s="5">
        <v>44551</v>
      </c>
      <c r="BE517" s="7">
        <v>44561</v>
      </c>
      <c r="BF517" s="1" t="s">
        <v>2170</v>
      </c>
      <c r="BG517" s="1"/>
      <c r="BH517" s="1"/>
      <c r="BI517" s="1" t="s">
        <v>108</v>
      </c>
    </row>
    <row r="518" spans="1:61" hidden="1" x14ac:dyDescent="0.25">
      <c r="A518" s="4">
        <v>513</v>
      </c>
      <c r="B518" s="2" t="str">
        <f>HYPERLINK("https://my.zakupivli.pro/remote/dispatcher/state_purchase_view/33509077", "UA-2021-12-21-021277-c")</f>
        <v>UA-2021-12-21-021277-c</v>
      </c>
      <c r="C518" s="2" t="s">
        <v>1516</v>
      </c>
      <c r="D518" s="1" t="s">
        <v>1913</v>
      </c>
      <c r="E518" s="1" t="s">
        <v>1913</v>
      </c>
      <c r="F518" s="1" t="s">
        <v>298</v>
      </c>
      <c r="G518" s="1" t="s">
        <v>964</v>
      </c>
      <c r="H518" s="1" t="s">
        <v>1218</v>
      </c>
      <c r="I518" s="1" t="s">
        <v>2094</v>
      </c>
      <c r="J518" s="1" t="s">
        <v>1145</v>
      </c>
      <c r="K518" s="1" t="s">
        <v>947</v>
      </c>
      <c r="L518" s="1" t="s">
        <v>1533</v>
      </c>
      <c r="M518" s="1" t="s">
        <v>1534</v>
      </c>
      <c r="N518" s="1" t="s">
        <v>110</v>
      </c>
      <c r="O518" s="1" t="s">
        <v>110</v>
      </c>
      <c r="P518" s="1" t="s">
        <v>110</v>
      </c>
      <c r="Q518" s="5">
        <v>44551</v>
      </c>
      <c r="R518" s="1"/>
      <c r="S518" s="1"/>
      <c r="T518" s="1"/>
      <c r="U518" s="1"/>
      <c r="V518" s="1" t="s">
        <v>2146</v>
      </c>
      <c r="W518" s="4">
        <v>1</v>
      </c>
      <c r="X518" s="6">
        <v>24994</v>
      </c>
      <c r="Y518" s="1" t="s">
        <v>1516</v>
      </c>
      <c r="Z518" s="1">
        <v>1</v>
      </c>
      <c r="AA518" s="6">
        <v>24994</v>
      </c>
      <c r="AB518" s="1" t="s">
        <v>2167</v>
      </c>
      <c r="AC518" s="1" t="s">
        <v>2162</v>
      </c>
      <c r="AD518" s="1" t="s">
        <v>1100</v>
      </c>
      <c r="AE518" s="1" t="s">
        <v>2094</v>
      </c>
      <c r="AF518" s="1" t="s">
        <v>1186</v>
      </c>
      <c r="AG518" s="1" t="s">
        <v>1522</v>
      </c>
      <c r="AH518" s="6">
        <v>24994</v>
      </c>
      <c r="AI518" s="6">
        <v>24994</v>
      </c>
      <c r="AJ518" s="1" t="s">
        <v>2065</v>
      </c>
      <c r="AK518" s="1"/>
      <c r="AL518" s="1"/>
      <c r="AM518" s="1" t="s">
        <v>2065</v>
      </c>
      <c r="AN518" s="1" t="s">
        <v>902</v>
      </c>
      <c r="AO518" s="1"/>
      <c r="AP518" s="1" t="s">
        <v>119</v>
      </c>
      <c r="AQ518" s="1"/>
      <c r="AR518" s="1"/>
      <c r="AS518" s="2"/>
      <c r="AT518" s="1"/>
      <c r="AU518" s="1"/>
      <c r="AV518" s="1"/>
      <c r="AW518" s="1" t="s">
        <v>2152</v>
      </c>
      <c r="AX518" s="7">
        <v>44551.798404944944</v>
      </c>
      <c r="AY518" s="1" t="s">
        <v>178</v>
      </c>
      <c r="AZ518" s="6">
        <v>24994</v>
      </c>
      <c r="BA518" s="1"/>
      <c r="BB518" s="5">
        <v>44561</v>
      </c>
      <c r="BC518" s="5">
        <v>44551</v>
      </c>
      <c r="BD518" s="5">
        <v>44551</v>
      </c>
      <c r="BE518" s="7">
        <v>44561</v>
      </c>
      <c r="BF518" s="1" t="s">
        <v>2170</v>
      </c>
      <c r="BG518" s="1"/>
      <c r="BH518" s="1"/>
      <c r="BI518" s="1" t="s">
        <v>108</v>
      </c>
    </row>
    <row r="519" spans="1:61" hidden="1" x14ac:dyDescent="0.25">
      <c r="A519" s="4">
        <v>514</v>
      </c>
      <c r="B519" s="2" t="str">
        <f>HYPERLINK("https://my.zakupivli.pro/remote/dispatcher/state_purchase_view/33508569", "UA-2021-12-21-021129-c")</f>
        <v>UA-2021-12-21-021129-c</v>
      </c>
      <c r="C519" s="2" t="s">
        <v>1516</v>
      </c>
      <c r="D519" s="1" t="s">
        <v>1914</v>
      </c>
      <c r="E519" s="1" t="s">
        <v>1914</v>
      </c>
      <c r="F519" s="1" t="s">
        <v>298</v>
      </c>
      <c r="G519" s="1" t="s">
        <v>964</v>
      </c>
      <c r="H519" s="1" t="s">
        <v>1218</v>
      </c>
      <c r="I519" s="1" t="s">
        <v>2094</v>
      </c>
      <c r="J519" s="1" t="s">
        <v>1145</v>
      </c>
      <c r="K519" s="1" t="s">
        <v>947</v>
      </c>
      <c r="L519" s="1" t="s">
        <v>1533</v>
      </c>
      <c r="M519" s="1" t="s">
        <v>1534</v>
      </c>
      <c r="N519" s="1" t="s">
        <v>110</v>
      </c>
      <c r="O519" s="1" t="s">
        <v>110</v>
      </c>
      <c r="P519" s="1" t="s">
        <v>110</v>
      </c>
      <c r="Q519" s="5">
        <v>44551</v>
      </c>
      <c r="R519" s="1"/>
      <c r="S519" s="1"/>
      <c r="T519" s="1"/>
      <c r="U519" s="1"/>
      <c r="V519" s="1" t="s">
        <v>2146</v>
      </c>
      <c r="W519" s="4">
        <v>1</v>
      </c>
      <c r="X519" s="6">
        <v>49989</v>
      </c>
      <c r="Y519" s="1" t="s">
        <v>1516</v>
      </c>
      <c r="Z519" s="1">
        <v>1</v>
      </c>
      <c r="AA519" s="6">
        <v>49989</v>
      </c>
      <c r="AB519" s="1" t="s">
        <v>2167</v>
      </c>
      <c r="AC519" s="1" t="s">
        <v>2162</v>
      </c>
      <c r="AD519" s="1" t="s">
        <v>1100</v>
      </c>
      <c r="AE519" s="1" t="s">
        <v>2094</v>
      </c>
      <c r="AF519" s="1" t="s">
        <v>1186</v>
      </c>
      <c r="AG519" s="1" t="s">
        <v>1522</v>
      </c>
      <c r="AH519" s="6">
        <v>49989</v>
      </c>
      <c r="AI519" s="6">
        <v>49989</v>
      </c>
      <c r="AJ519" s="1" t="s">
        <v>2065</v>
      </c>
      <c r="AK519" s="1"/>
      <c r="AL519" s="1"/>
      <c r="AM519" s="1" t="s">
        <v>2065</v>
      </c>
      <c r="AN519" s="1" t="s">
        <v>902</v>
      </c>
      <c r="AO519" s="1"/>
      <c r="AP519" s="1" t="s">
        <v>119</v>
      </c>
      <c r="AQ519" s="1"/>
      <c r="AR519" s="1"/>
      <c r="AS519" s="2"/>
      <c r="AT519" s="1"/>
      <c r="AU519" s="1"/>
      <c r="AV519" s="1"/>
      <c r="AW519" s="1" t="s">
        <v>2152</v>
      </c>
      <c r="AX519" s="7">
        <v>44551.782138107839</v>
      </c>
      <c r="AY519" s="1" t="s">
        <v>177</v>
      </c>
      <c r="AZ519" s="6">
        <v>49989</v>
      </c>
      <c r="BA519" s="1"/>
      <c r="BB519" s="5">
        <v>44561</v>
      </c>
      <c r="BC519" s="5">
        <v>44551</v>
      </c>
      <c r="BD519" s="5">
        <v>44551</v>
      </c>
      <c r="BE519" s="7">
        <v>44561</v>
      </c>
      <c r="BF519" s="1" t="s">
        <v>2170</v>
      </c>
      <c r="BG519" s="1"/>
      <c r="BH519" s="1"/>
      <c r="BI519" s="1" t="s">
        <v>108</v>
      </c>
    </row>
    <row r="520" spans="1:61" hidden="1" x14ac:dyDescent="0.25">
      <c r="A520" s="4">
        <v>515</v>
      </c>
      <c r="B520" s="2" t="str">
        <f>HYPERLINK("https://my.zakupivli.pro/remote/dispatcher/state_purchase_view/33410132", "UA-2021-12-20-015554-c")</f>
        <v>UA-2021-12-20-015554-c</v>
      </c>
      <c r="C520" s="2" t="s">
        <v>1516</v>
      </c>
      <c r="D520" s="1" t="s">
        <v>1477</v>
      </c>
      <c r="E520" s="1" t="s">
        <v>1477</v>
      </c>
      <c r="F520" s="1" t="s">
        <v>298</v>
      </c>
      <c r="G520" s="1" t="s">
        <v>876</v>
      </c>
      <c r="H520" s="1" t="s">
        <v>1218</v>
      </c>
      <c r="I520" s="1" t="s">
        <v>2094</v>
      </c>
      <c r="J520" s="1" t="s">
        <v>1145</v>
      </c>
      <c r="K520" s="1" t="s">
        <v>947</v>
      </c>
      <c r="L520" s="1" t="s">
        <v>1533</v>
      </c>
      <c r="M520" s="1" t="s">
        <v>1534</v>
      </c>
      <c r="N520" s="1" t="s">
        <v>110</v>
      </c>
      <c r="O520" s="1" t="s">
        <v>110</v>
      </c>
      <c r="P520" s="1" t="s">
        <v>110</v>
      </c>
      <c r="Q520" s="5">
        <v>44550</v>
      </c>
      <c r="R520" s="1"/>
      <c r="S520" s="1"/>
      <c r="T520" s="1"/>
      <c r="U520" s="1"/>
      <c r="V520" s="1" t="s">
        <v>2146</v>
      </c>
      <c r="W520" s="4">
        <v>1</v>
      </c>
      <c r="X520" s="6">
        <v>3405</v>
      </c>
      <c r="Y520" s="1" t="s">
        <v>1516</v>
      </c>
      <c r="Z520" s="1">
        <v>5</v>
      </c>
      <c r="AA520" s="6">
        <v>681</v>
      </c>
      <c r="AB520" s="1" t="s">
        <v>2175</v>
      </c>
      <c r="AC520" s="1" t="s">
        <v>2162</v>
      </c>
      <c r="AD520" s="1" t="s">
        <v>1100</v>
      </c>
      <c r="AE520" s="1" t="s">
        <v>2094</v>
      </c>
      <c r="AF520" s="1" t="s">
        <v>1186</v>
      </c>
      <c r="AG520" s="1" t="s">
        <v>1522</v>
      </c>
      <c r="AH520" s="6">
        <v>3405</v>
      </c>
      <c r="AI520" s="6">
        <v>681</v>
      </c>
      <c r="AJ520" s="1" t="s">
        <v>2080</v>
      </c>
      <c r="AK520" s="1"/>
      <c r="AL520" s="1"/>
      <c r="AM520" s="1" t="s">
        <v>2080</v>
      </c>
      <c r="AN520" s="1" t="s">
        <v>886</v>
      </c>
      <c r="AO520" s="1"/>
      <c r="AP520" s="1" t="s">
        <v>151</v>
      </c>
      <c r="AQ520" s="1"/>
      <c r="AR520" s="1"/>
      <c r="AS520" s="2"/>
      <c r="AT520" s="1"/>
      <c r="AU520" s="1"/>
      <c r="AV520" s="1"/>
      <c r="AW520" s="1" t="s">
        <v>2152</v>
      </c>
      <c r="AX520" s="7">
        <v>44550.654699239087</v>
      </c>
      <c r="AY520" s="1" t="s">
        <v>1082</v>
      </c>
      <c r="AZ520" s="6">
        <v>3405</v>
      </c>
      <c r="BA520" s="1"/>
      <c r="BB520" s="5">
        <v>44552</v>
      </c>
      <c r="BC520" s="5">
        <v>44546</v>
      </c>
      <c r="BD520" s="5">
        <v>44546</v>
      </c>
      <c r="BE520" s="7">
        <v>44561</v>
      </c>
      <c r="BF520" s="1" t="s">
        <v>2170</v>
      </c>
      <c r="BG520" s="1"/>
      <c r="BH520" s="1"/>
      <c r="BI520" s="1" t="s">
        <v>108</v>
      </c>
    </row>
    <row r="521" spans="1:61" hidden="1" x14ac:dyDescent="0.25">
      <c r="A521" s="4">
        <v>516</v>
      </c>
      <c r="B521" s="2" t="str">
        <f>HYPERLINK("https://my.zakupivli.pro/remote/dispatcher/state_purchase_view/33289915", "UA-2021-12-17-006249-c")</f>
        <v>UA-2021-12-17-006249-c</v>
      </c>
      <c r="C521" s="2" t="s">
        <v>1516</v>
      </c>
      <c r="D521" s="1" t="s">
        <v>1931</v>
      </c>
      <c r="E521" s="1" t="s">
        <v>1931</v>
      </c>
      <c r="F521" s="1" t="s">
        <v>298</v>
      </c>
      <c r="G521" s="1" t="s">
        <v>974</v>
      </c>
      <c r="H521" s="1" t="s">
        <v>1218</v>
      </c>
      <c r="I521" s="1" t="s">
        <v>2094</v>
      </c>
      <c r="J521" s="1" t="s">
        <v>1145</v>
      </c>
      <c r="K521" s="1" t="s">
        <v>947</v>
      </c>
      <c r="L521" s="1" t="s">
        <v>1533</v>
      </c>
      <c r="M521" s="1" t="s">
        <v>1534</v>
      </c>
      <c r="N521" s="1" t="s">
        <v>110</v>
      </c>
      <c r="O521" s="1" t="s">
        <v>110</v>
      </c>
      <c r="P521" s="1" t="s">
        <v>110</v>
      </c>
      <c r="Q521" s="5">
        <v>44547</v>
      </c>
      <c r="R521" s="1"/>
      <c r="S521" s="1"/>
      <c r="T521" s="1"/>
      <c r="U521" s="1"/>
      <c r="V521" s="1" t="s">
        <v>2146</v>
      </c>
      <c r="W521" s="4">
        <v>1</v>
      </c>
      <c r="X521" s="6">
        <v>34250</v>
      </c>
      <c r="Y521" s="1" t="s">
        <v>1516</v>
      </c>
      <c r="Z521" s="1">
        <v>1</v>
      </c>
      <c r="AA521" s="6">
        <v>34250</v>
      </c>
      <c r="AB521" s="1" t="s">
        <v>2167</v>
      </c>
      <c r="AC521" s="1" t="s">
        <v>2162</v>
      </c>
      <c r="AD521" s="1" t="s">
        <v>1100</v>
      </c>
      <c r="AE521" s="1" t="s">
        <v>1522</v>
      </c>
      <c r="AF521" s="1" t="s">
        <v>1186</v>
      </c>
      <c r="AG521" s="1" t="s">
        <v>1522</v>
      </c>
      <c r="AH521" s="6">
        <v>34250</v>
      </c>
      <c r="AI521" s="6">
        <v>34250</v>
      </c>
      <c r="AJ521" s="1" t="s">
        <v>2058</v>
      </c>
      <c r="AK521" s="1"/>
      <c r="AL521" s="1"/>
      <c r="AM521" s="1" t="s">
        <v>2058</v>
      </c>
      <c r="AN521" s="1" t="s">
        <v>931</v>
      </c>
      <c r="AO521" s="1"/>
      <c r="AP521" s="1" t="s">
        <v>146</v>
      </c>
      <c r="AQ521" s="1"/>
      <c r="AR521" s="1"/>
      <c r="AS521" s="2"/>
      <c r="AT521" s="1"/>
      <c r="AU521" s="1"/>
      <c r="AV521" s="1"/>
      <c r="AW521" s="1" t="s">
        <v>2152</v>
      </c>
      <c r="AX521" s="7">
        <v>44547.471873217452</v>
      </c>
      <c r="AY521" s="1" t="s">
        <v>161</v>
      </c>
      <c r="AZ521" s="6">
        <v>34250</v>
      </c>
      <c r="BA521" s="1"/>
      <c r="BB521" s="5">
        <v>44561</v>
      </c>
      <c r="BC521" s="5">
        <v>44546</v>
      </c>
      <c r="BD521" s="5">
        <v>44546</v>
      </c>
      <c r="BE521" s="7">
        <v>44561</v>
      </c>
      <c r="BF521" s="1" t="s">
        <v>2170</v>
      </c>
      <c r="BG521" s="1"/>
      <c r="BH521" s="1"/>
      <c r="BI521" s="1" t="s">
        <v>108</v>
      </c>
    </row>
    <row r="522" spans="1:61" hidden="1" x14ac:dyDescent="0.25">
      <c r="A522" s="4">
        <v>517</v>
      </c>
      <c r="B522" s="2" t="str">
        <f>HYPERLINK("https://my.zakupivli.pro/remote/dispatcher/state_purchase_view/33293514", "UA-2021-12-17-007396-c")</f>
        <v>UA-2021-12-17-007396-c</v>
      </c>
      <c r="C522" s="2" t="s">
        <v>1516</v>
      </c>
      <c r="D522" s="1" t="s">
        <v>1926</v>
      </c>
      <c r="E522" s="1" t="s">
        <v>1926</v>
      </c>
      <c r="F522" s="1" t="s">
        <v>298</v>
      </c>
      <c r="G522" s="1" t="s">
        <v>967</v>
      </c>
      <c r="H522" s="1" t="s">
        <v>1218</v>
      </c>
      <c r="I522" s="1" t="s">
        <v>2094</v>
      </c>
      <c r="J522" s="1" t="s">
        <v>1145</v>
      </c>
      <c r="K522" s="1" t="s">
        <v>947</v>
      </c>
      <c r="L522" s="1" t="s">
        <v>1533</v>
      </c>
      <c r="M522" s="1" t="s">
        <v>1534</v>
      </c>
      <c r="N522" s="1" t="s">
        <v>110</v>
      </c>
      <c r="O522" s="1" t="s">
        <v>110</v>
      </c>
      <c r="P522" s="1" t="s">
        <v>110</v>
      </c>
      <c r="Q522" s="5">
        <v>44547</v>
      </c>
      <c r="R522" s="1"/>
      <c r="S522" s="1"/>
      <c r="T522" s="1"/>
      <c r="U522" s="1"/>
      <c r="V522" s="1" t="s">
        <v>2146</v>
      </c>
      <c r="W522" s="4">
        <v>1</v>
      </c>
      <c r="X522" s="6">
        <v>49900</v>
      </c>
      <c r="Y522" s="1" t="s">
        <v>1516</v>
      </c>
      <c r="Z522" s="1">
        <v>1</v>
      </c>
      <c r="AA522" s="6">
        <v>49900</v>
      </c>
      <c r="AB522" s="1" t="s">
        <v>2167</v>
      </c>
      <c r="AC522" s="1" t="s">
        <v>2162</v>
      </c>
      <c r="AD522" s="1" t="s">
        <v>1100</v>
      </c>
      <c r="AE522" s="1" t="s">
        <v>1522</v>
      </c>
      <c r="AF522" s="1" t="s">
        <v>1186</v>
      </c>
      <c r="AG522" s="1" t="s">
        <v>1522</v>
      </c>
      <c r="AH522" s="6">
        <v>49900</v>
      </c>
      <c r="AI522" s="6">
        <v>49900</v>
      </c>
      <c r="AJ522" s="1" t="s">
        <v>2058</v>
      </c>
      <c r="AK522" s="1"/>
      <c r="AL522" s="1"/>
      <c r="AM522" s="1" t="s">
        <v>2058</v>
      </c>
      <c r="AN522" s="1" t="s">
        <v>931</v>
      </c>
      <c r="AO522" s="1"/>
      <c r="AP522" s="1" t="s">
        <v>146</v>
      </c>
      <c r="AQ522" s="1"/>
      <c r="AR522" s="1"/>
      <c r="AS522" s="2"/>
      <c r="AT522" s="1"/>
      <c r="AU522" s="1"/>
      <c r="AV522" s="1"/>
      <c r="AW522" s="1" t="s">
        <v>2152</v>
      </c>
      <c r="AX522" s="7">
        <v>44547.4880828311</v>
      </c>
      <c r="AY522" s="1" t="s">
        <v>162</v>
      </c>
      <c r="AZ522" s="6">
        <v>49900</v>
      </c>
      <c r="BA522" s="1"/>
      <c r="BB522" s="5">
        <v>44561</v>
      </c>
      <c r="BC522" s="5">
        <v>44546</v>
      </c>
      <c r="BD522" s="5">
        <v>44546</v>
      </c>
      <c r="BE522" s="7">
        <v>44561</v>
      </c>
      <c r="BF522" s="1" t="s">
        <v>2170</v>
      </c>
      <c r="BG522" s="1"/>
      <c r="BH522" s="1"/>
      <c r="BI522" s="1" t="s">
        <v>108</v>
      </c>
    </row>
    <row r="523" spans="1:61" hidden="1" x14ac:dyDescent="0.25">
      <c r="A523" s="4">
        <v>518</v>
      </c>
      <c r="B523" s="2" t="str">
        <f>HYPERLINK("https://my.zakupivli.pro/remote/dispatcher/state_purchase_view/33258175", "UA-2021-12-16-020995-c")</f>
        <v>UA-2021-12-16-020995-c</v>
      </c>
      <c r="C523" s="2" t="s">
        <v>1516</v>
      </c>
      <c r="D523" s="1" t="s">
        <v>1929</v>
      </c>
      <c r="E523" s="1" t="s">
        <v>1929</v>
      </c>
      <c r="F523" s="1" t="s">
        <v>298</v>
      </c>
      <c r="G523" s="1" t="s">
        <v>974</v>
      </c>
      <c r="H523" s="1" t="s">
        <v>1218</v>
      </c>
      <c r="I523" s="1" t="s">
        <v>2094</v>
      </c>
      <c r="J523" s="1" t="s">
        <v>1145</v>
      </c>
      <c r="K523" s="1" t="s">
        <v>947</v>
      </c>
      <c r="L523" s="1" t="s">
        <v>1533</v>
      </c>
      <c r="M523" s="1" t="s">
        <v>1534</v>
      </c>
      <c r="N523" s="1" t="s">
        <v>110</v>
      </c>
      <c r="O523" s="1" t="s">
        <v>110</v>
      </c>
      <c r="P523" s="1" t="s">
        <v>110</v>
      </c>
      <c r="Q523" s="5">
        <v>44546</v>
      </c>
      <c r="R523" s="1"/>
      <c r="S523" s="1"/>
      <c r="T523" s="1"/>
      <c r="U523" s="1"/>
      <c r="V523" s="1" t="s">
        <v>2146</v>
      </c>
      <c r="W523" s="4">
        <v>1</v>
      </c>
      <c r="X523" s="6">
        <v>27420</v>
      </c>
      <c r="Y523" s="1" t="s">
        <v>1516</v>
      </c>
      <c r="Z523" s="1">
        <v>1</v>
      </c>
      <c r="AA523" s="6">
        <v>27420</v>
      </c>
      <c r="AB523" s="1" t="s">
        <v>2167</v>
      </c>
      <c r="AC523" s="1" t="s">
        <v>2162</v>
      </c>
      <c r="AD523" s="1" t="s">
        <v>1100</v>
      </c>
      <c r="AE523" s="1" t="s">
        <v>1522</v>
      </c>
      <c r="AF523" s="1" t="s">
        <v>1186</v>
      </c>
      <c r="AG523" s="1" t="s">
        <v>1522</v>
      </c>
      <c r="AH523" s="6">
        <v>27420</v>
      </c>
      <c r="AI523" s="6">
        <v>27420</v>
      </c>
      <c r="AJ523" s="1" t="s">
        <v>2058</v>
      </c>
      <c r="AK523" s="1"/>
      <c r="AL523" s="1"/>
      <c r="AM523" s="1" t="s">
        <v>2058</v>
      </c>
      <c r="AN523" s="1" t="s">
        <v>931</v>
      </c>
      <c r="AO523" s="1"/>
      <c r="AP523" s="1" t="s">
        <v>146</v>
      </c>
      <c r="AQ523" s="1"/>
      <c r="AR523" s="1"/>
      <c r="AS523" s="2"/>
      <c r="AT523" s="1"/>
      <c r="AU523" s="1"/>
      <c r="AV523" s="1"/>
      <c r="AW523" s="1" t="s">
        <v>2152</v>
      </c>
      <c r="AX523" s="7">
        <v>44546.730103001362</v>
      </c>
      <c r="AY523" s="1" t="s">
        <v>160</v>
      </c>
      <c r="AZ523" s="6">
        <v>27420</v>
      </c>
      <c r="BA523" s="1"/>
      <c r="BB523" s="5">
        <v>44561</v>
      </c>
      <c r="BC523" s="5">
        <v>44546</v>
      </c>
      <c r="BD523" s="5">
        <v>44546</v>
      </c>
      <c r="BE523" s="7">
        <v>44561</v>
      </c>
      <c r="BF523" s="1" t="s">
        <v>2170</v>
      </c>
      <c r="BG523" s="1"/>
      <c r="BH523" s="1"/>
      <c r="BI523" s="1" t="s">
        <v>108</v>
      </c>
    </row>
    <row r="524" spans="1:61" hidden="1" x14ac:dyDescent="0.25">
      <c r="A524" s="4">
        <v>519</v>
      </c>
      <c r="B524" s="2" t="str">
        <f>HYPERLINK("https://my.zakupivli.pro/remote/dispatcher/state_purchase_view/33019306", "UA-2021-12-13-018609-c")</f>
        <v>UA-2021-12-13-018609-c</v>
      </c>
      <c r="C524" s="2" t="s">
        <v>1516</v>
      </c>
      <c r="D524" s="1" t="s">
        <v>1658</v>
      </c>
      <c r="E524" s="1" t="s">
        <v>1658</v>
      </c>
      <c r="F524" s="1" t="s">
        <v>298</v>
      </c>
      <c r="G524" s="1" t="s">
        <v>1076</v>
      </c>
      <c r="H524" s="1" t="s">
        <v>1218</v>
      </c>
      <c r="I524" s="1" t="s">
        <v>2094</v>
      </c>
      <c r="J524" s="1" t="s">
        <v>1145</v>
      </c>
      <c r="K524" s="1" t="s">
        <v>947</v>
      </c>
      <c r="L524" s="1" t="s">
        <v>1533</v>
      </c>
      <c r="M524" s="1" t="s">
        <v>1534</v>
      </c>
      <c r="N524" s="1" t="s">
        <v>110</v>
      </c>
      <c r="O524" s="1" t="s">
        <v>110</v>
      </c>
      <c r="P524" s="1" t="s">
        <v>110</v>
      </c>
      <c r="Q524" s="5">
        <v>44543</v>
      </c>
      <c r="R524" s="1"/>
      <c r="S524" s="1"/>
      <c r="T524" s="1"/>
      <c r="U524" s="1"/>
      <c r="V524" s="1" t="s">
        <v>2146</v>
      </c>
      <c r="W524" s="4">
        <v>1</v>
      </c>
      <c r="X524" s="6">
        <v>150100</v>
      </c>
      <c r="Y524" s="1" t="s">
        <v>1516</v>
      </c>
      <c r="Z524" s="1">
        <v>1</v>
      </c>
      <c r="AA524" s="6">
        <v>150100</v>
      </c>
      <c r="AB524" s="1" t="s">
        <v>2167</v>
      </c>
      <c r="AC524" s="1" t="s">
        <v>2162</v>
      </c>
      <c r="AD524" s="1" t="s">
        <v>1100</v>
      </c>
      <c r="AE524" s="1" t="s">
        <v>1522</v>
      </c>
      <c r="AF524" s="1" t="s">
        <v>1186</v>
      </c>
      <c r="AG524" s="1" t="s">
        <v>1522</v>
      </c>
      <c r="AH524" s="6">
        <v>150100</v>
      </c>
      <c r="AI524" s="6">
        <v>150100</v>
      </c>
      <c r="AJ524" s="1" t="s">
        <v>2010</v>
      </c>
      <c r="AK524" s="1"/>
      <c r="AL524" s="1"/>
      <c r="AM524" s="1" t="s">
        <v>2010</v>
      </c>
      <c r="AN524" s="1" t="s">
        <v>796</v>
      </c>
      <c r="AO524" s="1"/>
      <c r="AP524" s="1" t="s">
        <v>142</v>
      </c>
      <c r="AQ524" s="1"/>
      <c r="AR524" s="1"/>
      <c r="AS524" s="2"/>
      <c r="AT524" s="1"/>
      <c r="AU524" s="1"/>
      <c r="AV524" s="1"/>
      <c r="AW524" s="1" t="s">
        <v>2152</v>
      </c>
      <c r="AX524" s="7">
        <v>44543.733879165993</v>
      </c>
      <c r="AY524" s="1" t="s">
        <v>155</v>
      </c>
      <c r="AZ524" s="6">
        <v>150100</v>
      </c>
      <c r="BA524" s="1"/>
      <c r="BB524" s="5">
        <v>44561</v>
      </c>
      <c r="BC524" s="5">
        <v>44543</v>
      </c>
      <c r="BD524" s="5">
        <v>44543</v>
      </c>
      <c r="BE524" s="7">
        <v>44561</v>
      </c>
      <c r="BF524" s="1" t="s">
        <v>2170</v>
      </c>
      <c r="BG524" s="1"/>
      <c r="BH524" s="1"/>
      <c r="BI524" s="1" t="s">
        <v>108</v>
      </c>
    </row>
    <row r="525" spans="1:61" hidden="1" x14ac:dyDescent="0.25">
      <c r="A525" s="4">
        <v>520</v>
      </c>
      <c r="B525" s="2" t="str">
        <f>HYPERLINK("https://my.zakupivli.pro/remote/dispatcher/state_purchase_view/33020982", "UA-2021-12-13-019111-c")</f>
        <v>UA-2021-12-13-019111-c</v>
      </c>
      <c r="C525" s="2" t="s">
        <v>1516</v>
      </c>
      <c r="D525" s="1" t="s">
        <v>1983</v>
      </c>
      <c r="E525" s="1" t="s">
        <v>1983</v>
      </c>
      <c r="F525" s="1" t="s">
        <v>298</v>
      </c>
      <c r="G525" s="1" t="s">
        <v>994</v>
      </c>
      <c r="H525" s="1" t="s">
        <v>1218</v>
      </c>
      <c r="I525" s="1" t="s">
        <v>2094</v>
      </c>
      <c r="J525" s="1" t="s">
        <v>1145</v>
      </c>
      <c r="K525" s="1" t="s">
        <v>947</v>
      </c>
      <c r="L525" s="1" t="s">
        <v>1533</v>
      </c>
      <c r="M525" s="1" t="s">
        <v>1534</v>
      </c>
      <c r="N525" s="1" t="s">
        <v>110</v>
      </c>
      <c r="O525" s="1" t="s">
        <v>110</v>
      </c>
      <c r="P525" s="1" t="s">
        <v>110</v>
      </c>
      <c r="Q525" s="5">
        <v>44543</v>
      </c>
      <c r="R525" s="1"/>
      <c r="S525" s="1"/>
      <c r="T525" s="1"/>
      <c r="U525" s="1"/>
      <c r="V525" s="1" t="s">
        <v>2146</v>
      </c>
      <c r="W525" s="4">
        <v>1</v>
      </c>
      <c r="X525" s="6">
        <v>9520</v>
      </c>
      <c r="Y525" s="1" t="s">
        <v>1516</v>
      </c>
      <c r="Z525" s="1">
        <v>1</v>
      </c>
      <c r="AA525" s="6">
        <v>9520</v>
      </c>
      <c r="AB525" s="1" t="s">
        <v>2167</v>
      </c>
      <c r="AC525" s="1" t="s">
        <v>2162</v>
      </c>
      <c r="AD525" s="1" t="s">
        <v>1100</v>
      </c>
      <c r="AE525" s="1" t="s">
        <v>1522</v>
      </c>
      <c r="AF525" s="1" t="s">
        <v>1186</v>
      </c>
      <c r="AG525" s="1" t="s">
        <v>1522</v>
      </c>
      <c r="AH525" s="6">
        <v>9520</v>
      </c>
      <c r="AI525" s="6">
        <v>9520</v>
      </c>
      <c r="AJ525" s="1" t="s">
        <v>1499</v>
      </c>
      <c r="AK525" s="1"/>
      <c r="AL525" s="1"/>
      <c r="AM525" s="1" t="s">
        <v>1499</v>
      </c>
      <c r="AN525" s="1" t="s">
        <v>755</v>
      </c>
      <c r="AO525" s="1"/>
      <c r="AP525" s="1" t="s">
        <v>122</v>
      </c>
      <c r="AQ525" s="1"/>
      <c r="AR525" s="1"/>
      <c r="AS525" s="2"/>
      <c r="AT525" s="1"/>
      <c r="AU525" s="1"/>
      <c r="AV525" s="1"/>
      <c r="AW525" s="1" t="s">
        <v>2152</v>
      </c>
      <c r="AX525" s="7">
        <v>44543.750778732538</v>
      </c>
      <c r="AY525" s="1" t="s">
        <v>1086</v>
      </c>
      <c r="AZ525" s="6">
        <v>9520</v>
      </c>
      <c r="BA525" s="1"/>
      <c r="BB525" s="5">
        <v>44561</v>
      </c>
      <c r="BC525" s="5">
        <v>44539</v>
      </c>
      <c r="BD525" s="5">
        <v>44539</v>
      </c>
      <c r="BE525" s="7">
        <v>44561</v>
      </c>
      <c r="BF525" s="1" t="s">
        <v>2170</v>
      </c>
      <c r="BG525" s="1"/>
      <c r="BH525" s="1"/>
      <c r="BI525" s="1" t="s">
        <v>108</v>
      </c>
    </row>
    <row r="526" spans="1:61" hidden="1" x14ac:dyDescent="0.25">
      <c r="A526" s="4">
        <v>521</v>
      </c>
      <c r="B526" s="2" t="str">
        <f>HYPERLINK("https://my.zakupivli.pro/remote/dispatcher/state_purchase_view/32984431", "UA-2021-12-13-008257-c")</f>
        <v>UA-2021-12-13-008257-c</v>
      </c>
      <c r="C526" s="2" t="s">
        <v>1516</v>
      </c>
      <c r="D526" s="1" t="s">
        <v>1924</v>
      </c>
      <c r="E526" s="1" t="s">
        <v>1924</v>
      </c>
      <c r="F526" s="1" t="s">
        <v>298</v>
      </c>
      <c r="G526" s="1" t="s">
        <v>974</v>
      </c>
      <c r="H526" s="1" t="s">
        <v>1218</v>
      </c>
      <c r="I526" s="1" t="s">
        <v>2094</v>
      </c>
      <c r="J526" s="1" t="s">
        <v>1145</v>
      </c>
      <c r="K526" s="1" t="s">
        <v>947</v>
      </c>
      <c r="L526" s="1" t="s">
        <v>1533</v>
      </c>
      <c r="M526" s="1" t="s">
        <v>1534</v>
      </c>
      <c r="N526" s="1" t="s">
        <v>110</v>
      </c>
      <c r="O526" s="1" t="s">
        <v>110</v>
      </c>
      <c r="P526" s="1" t="s">
        <v>110</v>
      </c>
      <c r="Q526" s="5">
        <v>44543</v>
      </c>
      <c r="R526" s="1"/>
      <c r="S526" s="1"/>
      <c r="T526" s="1"/>
      <c r="U526" s="1"/>
      <c r="V526" s="1" t="s">
        <v>2146</v>
      </c>
      <c r="W526" s="4">
        <v>1</v>
      </c>
      <c r="X526" s="6">
        <v>49999</v>
      </c>
      <c r="Y526" s="1" t="s">
        <v>1516</v>
      </c>
      <c r="Z526" s="1">
        <v>1</v>
      </c>
      <c r="AA526" s="6">
        <v>49999</v>
      </c>
      <c r="AB526" s="1" t="s">
        <v>2167</v>
      </c>
      <c r="AC526" s="1" t="s">
        <v>2162</v>
      </c>
      <c r="AD526" s="1" t="s">
        <v>1100</v>
      </c>
      <c r="AE526" s="1" t="s">
        <v>1522</v>
      </c>
      <c r="AF526" s="1" t="s">
        <v>1186</v>
      </c>
      <c r="AG526" s="1" t="s">
        <v>1522</v>
      </c>
      <c r="AH526" s="6">
        <v>49999</v>
      </c>
      <c r="AI526" s="6">
        <v>49999</v>
      </c>
      <c r="AJ526" s="1" t="s">
        <v>1512</v>
      </c>
      <c r="AK526" s="1"/>
      <c r="AL526" s="1"/>
      <c r="AM526" s="1" t="s">
        <v>1512</v>
      </c>
      <c r="AN526" s="1" t="s">
        <v>198</v>
      </c>
      <c r="AO526" s="1"/>
      <c r="AP526" s="1" t="s">
        <v>118</v>
      </c>
      <c r="AQ526" s="1"/>
      <c r="AR526" s="1"/>
      <c r="AS526" s="2"/>
      <c r="AT526" s="1"/>
      <c r="AU526" s="1"/>
      <c r="AV526" s="1"/>
      <c r="AW526" s="1" t="s">
        <v>2152</v>
      </c>
      <c r="AX526" s="7">
        <v>44543.532739176553</v>
      </c>
      <c r="AY526" s="1" t="s">
        <v>1087</v>
      </c>
      <c r="AZ526" s="6">
        <v>49999</v>
      </c>
      <c r="BA526" s="1"/>
      <c r="BB526" s="5">
        <v>44561</v>
      </c>
      <c r="BC526" s="5">
        <v>44540</v>
      </c>
      <c r="BD526" s="5">
        <v>44540</v>
      </c>
      <c r="BE526" s="7">
        <v>44561</v>
      </c>
      <c r="BF526" s="1" t="s">
        <v>2170</v>
      </c>
      <c r="BG526" s="1"/>
      <c r="BH526" s="1"/>
      <c r="BI526" s="1" t="s">
        <v>108</v>
      </c>
    </row>
    <row r="527" spans="1:61" hidden="1" x14ac:dyDescent="0.25">
      <c r="A527" s="4">
        <v>522</v>
      </c>
      <c r="B527" s="2" t="str">
        <f>HYPERLINK("https://my.zakupivli.pro/remote/dispatcher/state_purchase_view/32868861", "UA-2021-12-09-018621-c")</f>
        <v>UA-2021-12-09-018621-c</v>
      </c>
      <c r="C527" s="2" t="s">
        <v>1516</v>
      </c>
      <c r="D527" s="1" t="s">
        <v>1705</v>
      </c>
      <c r="E527" s="1" t="s">
        <v>1705</v>
      </c>
      <c r="F527" s="1" t="s">
        <v>298</v>
      </c>
      <c r="G527" s="1" t="s">
        <v>1073</v>
      </c>
      <c r="H527" s="1" t="s">
        <v>1218</v>
      </c>
      <c r="I527" s="1" t="s">
        <v>2094</v>
      </c>
      <c r="J527" s="1" t="s">
        <v>1145</v>
      </c>
      <c r="K527" s="1" t="s">
        <v>947</v>
      </c>
      <c r="L527" s="1" t="s">
        <v>1533</v>
      </c>
      <c r="M527" s="1" t="s">
        <v>1534</v>
      </c>
      <c r="N527" s="1" t="s">
        <v>110</v>
      </c>
      <c r="O527" s="1" t="s">
        <v>110</v>
      </c>
      <c r="P527" s="1" t="s">
        <v>110</v>
      </c>
      <c r="Q527" s="5">
        <v>44539</v>
      </c>
      <c r="R527" s="1"/>
      <c r="S527" s="1"/>
      <c r="T527" s="1"/>
      <c r="U527" s="1"/>
      <c r="V527" s="1" t="s">
        <v>2146</v>
      </c>
      <c r="W527" s="4">
        <v>1</v>
      </c>
      <c r="X527" s="6">
        <v>1148.49</v>
      </c>
      <c r="Y527" s="1" t="s">
        <v>1516</v>
      </c>
      <c r="Z527" s="1">
        <v>110.9</v>
      </c>
      <c r="AA527" s="6">
        <v>10.36</v>
      </c>
      <c r="AB527" s="1" t="s">
        <v>2161</v>
      </c>
      <c r="AC527" s="1" t="s">
        <v>2162</v>
      </c>
      <c r="AD527" s="1" t="s">
        <v>1100</v>
      </c>
      <c r="AE527" s="1" t="s">
        <v>2094</v>
      </c>
      <c r="AF527" s="1" t="s">
        <v>1186</v>
      </c>
      <c r="AG527" s="1" t="s">
        <v>1522</v>
      </c>
      <c r="AH527" s="6">
        <v>1148.49</v>
      </c>
      <c r="AI527" s="6">
        <v>10.440818181818182</v>
      </c>
      <c r="AJ527" s="1" t="s">
        <v>1472</v>
      </c>
      <c r="AK527" s="1"/>
      <c r="AL527" s="1"/>
      <c r="AM527" s="1" t="s">
        <v>1472</v>
      </c>
      <c r="AN527" s="1" t="s">
        <v>113</v>
      </c>
      <c r="AO527" s="1"/>
      <c r="AP527" s="1" t="s">
        <v>125</v>
      </c>
      <c r="AQ527" s="1"/>
      <c r="AR527" s="1"/>
      <c r="AS527" s="2"/>
      <c r="AT527" s="1"/>
      <c r="AU527" s="1"/>
      <c r="AV527" s="1"/>
      <c r="AW527" s="1" t="s">
        <v>2152</v>
      </c>
      <c r="AX527" s="7">
        <v>44539.723638211006</v>
      </c>
      <c r="AY527" s="1" t="s">
        <v>900</v>
      </c>
      <c r="AZ527" s="6">
        <v>1148.49</v>
      </c>
      <c r="BA527" s="5">
        <v>44484</v>
      </c>
      <c r="BB527" s="5">
        <v>44561</v>
      </c>
      <c r="BC527" s="5">
        <v>44536</v>
      </c>
      <c r="BD527" s="5">
        <v>44484</v>
      </c>
      <c r="BE527" s="7">
        <v>44561</v>
      </c>
      <c r="BF527" s="1" t="s">
        <v>2170</v>
      </c>
      <c r="BG527" s="1"/>
      <c r="BH527" s="1"/>
      <c r="BI527" s="1" t="s">
        <v>108</v>
      </c>
    </row>
    <row r="528" spans="1:61" hidden="1" x14ac:dyDescent="0.25">
      <c r="A528" s="4">
        <v>523</v>
      </c>
      <c r="B528" s="2" t="str">
        <f>HYPERLINK("https://my.zakupivli.pro/remote/dispatcher/state_purchase_view/32870665", "UA-2021-12-09-020817-c")</f>
        <v>UA-2021-12-09-020817-c</v>
      </c>
      <c r="C528" s="2" t="s">
        <v>1516</v>
      </c>
      <c r="D528" s="1" t="s">
        <v>1707</v>
      </c>
      <c r="E528" s="1" t="s">
        <v>1707</v>
      </c>
      <c r="F528" s="1" t="s">
        <v>298</v>
      </c>
      <c r="G528" s="1" t="s">
        <v>1023</v>
      </c>
      <c r="H528" s="1" t="s">
        <v>1218</v>
      </c>
      <c r="I528" s="1" t="s">
        <v>2094</v>
      </c>
      <c r="J528" s="1" t="s">
        <v>1145</v>
      </c>
      <c r="K528" s="1" t="s">
        <v>947</v>
      </c>
      <c r="L528" s="1" t="s">
        <v>1533</v>
      </c>
      <c r="M528" s="1" t="s">
        <v>1534</v>
      </c>
      <c r="N528" s="1" t="s">
        <v>110</v>
      </c>
      <c r="O528" s="1" t="s">
        <v>110</v>
      </c>
      <c r="P528" s="1" t="s">
        <v>110</v>
      </c>
      <c r="Q528" s="5">
        <v>44539</v>
      </c>
      <c r="R528" s="1"/>
      <c r="S528" s="1"/>
      <c r="T528" s="1"/>
      <c r="U528" s="1"/>
      <c r="V528" s="1" t="s">
        <v>2146</v>
      </c>
      <c r="W528" s="4">
        <v>1</v>
      </c>
      <c r="X528" s="6">
        <v>1655.52</v>
      </c>
      <c r="Y528" s="1" t="s">
        <v>1516</v>
      </c>
      <c r="Z528" s="1">
        <v>110.9</v>
      </c>
      <c r="AA528" s="6">
        <v>14.93</v>
      </c>
      <c r="AB528" s="1" t="s">
        <v>2161</v>
      </c>
      <c r="AC528" s="1" t="s">
        <v>2162</v>
      </c>
      <c r="AD528" s="1" t="s">
        <v>1100</v>
      </c>
      <c r="AE528" s="1" t="s">
        <v>2094</v>
      </c>
      <c r="AF528" s="1" t="s">
        <v>1186</v>
      </c>
      <c r="AG528" s="1" t="s">
        <v>1522</v>
      </c>
      <c r="AH528" s="6">
        <v>1655.52</v>
      </c>
      <c r="AI528" s="6">
        <v>15.050181818181818</v>
      </c>
      <c r="AJ528" s="1" t="s">
        <v>1472</v>
      </c>
      <c r="AK528" s="1"/>
      <c r="AL528" s="1"/>
      <c r="AM528" s="1" t="s">
        <v>1472</v>
      </c>
      <c r="AN528" s="1" t="s">
        <v>113</v>
      </c>
      <c r="AO528" s="1"/>
      <c r="AP528" s="1" t="s">
        <v>125</v>
      </c>
      <c r="AQ528" s="1"/>
      <c r="AR528" s="1"/>
      <c r="AS528" s="2"/>
      <c r="AT528" s="1"/>
      <c r="AU528" s="1"/>
      <c r="AV528" s="1"/>
      <c r="AW528" s="1" t="s">
        <v>2152</v>
      </c>
      <c r="AX528" s="7">
        <v>44539.881624164016</v>
      </c>
      <c r="AY528" s="1" t="s">
        <v>899</v>
      </c>
      <c r="AZ528" s="6">
        <v>1655.52</v>
      </c>
      <c r="BA528" s="5">
        <v>44484</v>
      </c>
      <c r="BB528" s="5">
        <v>44561</v>
      </c>
      <c r="BC528" s="5">
        <v>44536</v>
      </c>
      <c r="BD528" s="5">
        <v>44484</v>
      </c>
      <c r="BE528" s="7">
        <v>44561</v>
      </c>
      <c r="BF528" s="1" t="s">
        <v>2170</v>
      </c>
      <c r="BG528" s="1"/>
      <c r="BH528" s="1"/>
      <c r="BI528" s="1" t="s">
        <v>108</v>
      </c>
    </row>
    <row r="529" spans="1:61" hidden="1" x14ac:dyDescent="0.25">
      <c r="A529" s="4">
        <v>524</v>
      </c>
      <c r="B529" s="2" t="str">
        <f>HYPERLINK("https://my.zakupivli.pro/remote/dispatcher/state_purchase_view/32861864", "UA-2021-12-09-016751-c")</f>
        <v>UA-2021-12-09-016751-c</v>
      </c>
      <c r="C529" s="2" t="s">
        <v>1516</v>
      </c>
      <c r="D529" s="1" t="s">
        <v>1475</v>
      </c>
      <c r="E529" s="1" t="s">
        <v>1475</v>
      </c>
      <c r="F529" s="1" t="s">
        <v>298</v>
      </c>
      <c r="G529" s="1" t="s">
        <v>804</v>
      </c>
      <c r="H529" s="1" t="s">
        <v>2015</v>
      </c>
      <c r="I529" s="1" t="s">
        <v>2094</v>
      </c>
      <c r="J529" s="1" t="s">
        <v>1145</v>
      </c>
      <c r="K529" s="1" t="s">
        <v>947</v>
      </c>
      <c r="L529" s="1" t="s">
        <v>1533</v>
      </c>
      <c r="M529" s="1" t="s">
        <v>1534</v>
      </c>
      <c r="N529" s="1" t="s">
        <v>110</v>
      </c>
      <c r="O529" s="1" t="s">
        <v>110</v>
      </c>
      <c r="P529" s="1" t="s">
        <v>110</v>
      </c>
      <c r="Q529" s="5">
        <v>44539</v>
      </c>
      <c r="R529" s="1" t="s">
        <v>399</v>
      </c>
      <c r="S529" s="1" t="s">
        <v>403</v>
      </c>
      <c r="T529" s="5">
        <v>44545</v>
      </c>
      <c r="U529" s="5">
        <v>44550</v>
      </c>
      <c r="V529" s="7">
        <v>44550.548946759256</v>
      </c>
      <c r="W529" s="4">
        <v>2</v>
      </c>
      <c r="X529" s="6">
        <v>17460</v>
      </c>
      <c r="Y529" s="1" t="s">
        <v>1516</v>
      </c>
      <c r="Z529" s="1">
        <v>733</v>
      </c>
      <c r="AA529" s="6">
        <v>23.82</v>
      </c>
      <c r="AB529" s="1" t="s">
        <v>2175</v>
      </c>
      <c r="AC529" s="6">
        <v>88</v>
      </c>
      <c r="AD529" s="1" t="s">
        <v>1100</v>
      </c>
      <c r="AE529" s="1" t="s">
        <v>2094</v>
      </c>
      <c r="AF529" s="1" t="s">
        <v>1186</v>
      </c>
      <c r="AG529" s="1" t="s">
        <v>1522</v>
      </c>
      <c r="AH529" s="6">
        <v>17400</v>
      </c>
      <c r="AI529" s="6">
        <v>23.73806275579809</v>
      </c>
      <c r="AJ529" s="1" t="s">
        <v>2126</v>
      </c>
      <c r="AK529" s="6">
        <v>60</v>
      </c>
      <c r="AL529" s="6">
        <v>3.4364261168384879E-3</v>
      </c>
      <c r="AM529" s="1" t="s">
        <v>2030</v>
      </c>
      <c r="AN529" s="1" t="s">
        <v>881</v>
      </c>
      <c r="AO529" s="1" t="s">
        <v>1109</v>
      </c>
      <c r="AP529" s="1" t="s">
        <v>50</v>
      </c>
      <c r="AQ529" s="6">
        <v>30.299999999999272</v>
      </c>
      <c r="AR529" s="6">
        <v>1.7353951890033948E-3</v>
      </c>
      <c r="AS529" s="2" t="str">
        <f>HYPERLINK("https://auctions.prozorro.gov.ua/tenders/c02b54f1f2b84a448fe36737c11c8979")</f>
        <v>https://auctions.prozorro.gov.ua/tenders/c02b54f1f2b84a448fe36737c11c8979</v>
      </c>
      <c r="AT529" s="7">
        <v>44550.734959697445</v>
      </c>
      <c r="AU529" s="1" t="s">
        <v>407</v>
      </c>
      <c r="AV529" s="1" t="s">
        <v>416</v>
      </c>
      <c r="AW529" s="1" t="s">
        <v>2152</v>
      </c>
      <c r="AX529" s="7">
        <v>44553.465045828088</v>
      </c>
      <c r="AY529" s="1" t="s">
        <v>191</v>
      </c>
      <c r="AZ529" s="6">
        <v>17429.7</v>
      </c>
      <c r="BA529" s="1"/>
      <c r="BB529" s="5">
        <v>44552</v>
      </c>
      <c r="BC529" s="5">
        <v>44553</v>
      </c>
      <c r="BD529" s="5">
        <v>44553</v>
      </c>
      <c r="BE529" s="7">
        <v>44561</v>
      </c>
      <c r="BF529" s="1" t="s">
        <v>2170</v>
      </c>
      <c r="BG529" s="1"/>
      <c r="BH529" s="1"/>
      <c r="BI529" s="1" t="s">
        <v>795</v>
      </c>
    </row>
    <row r="530" spans="1:61" hidden="1" x14ac:dyDescent="0.25">
      <c r="A530" s="4">
        <v>525</v>
      </c>
      <c r="B530" s="2" t="str">
        <f>HYPERLINK("https://my.zakupivli.pro/remote/dispatcher/state_purchase_view/32763613", "UA-2021-12-08-009671-c")</f>
        <v>UA-2021-12-08-009671-c</v>
      </c>
      <c r="C530" s="2" t="s">
        <v>1516</v>
      </c>
      <c r="D530" s="1" t="s">
        <v>2000</v>
      </c>
      <c r="E530" s="1" t="s">
        <v>2000</v>
      </c>
      <c r="F530" s="1" t="s">
        <v>298</v>
      </c>
      <c r="G530" s="1" t="s">
        <v>974</v>
      </c>
      <c r="H530" s="1" t="s">
        <v>1218</v>
      </c>
      <c r="I530" s="1" t="s">
        <v>2094</v>
      </c>
      <c r="J530" s="1" t="s">
        <v>1145</v>
      </c>
      <c r="K530" s="1" t="s">
        <v>947</v>
      </c>
      <c r="L530" s="1" t="s">
        <v>1533</v>
      </c>
      <c r="M530" s="1" t="s">
        <v>1534</v>
      </c>
      <c r="N530" s="1" t="s">
        <v>110</v>
      </c>
      <c r="O530" s="1" t="s">
        <v>110</v>
      </c>
      <c r="P530" s="1" t="s">
        <v>110</v>
      </c>
      <c r="Q530" s="5">
        <v>44538</v>
      </c>
      <c r="R530" s="1"/>
      <c r="S530" s="1"/>
      <c r="T530" s="1"/>
      <c r="U530" s="1"/>
      <c r="V530" s="1" t="s">
        <v>2146</v>
      </c>
      <c r="W530" s="4">
        <v>1</v>
      </c>
      <c r="X530" s="6">
        <v>49998</v>
      </c>
      <c r="Y530" s="1" t="s">
        <v>1516</v>
      </c>
      <c r="Z530" s="1">
        <v>1</v>
      </c>
      <c r="AA530" s="6">
        <v>49998</v>
      </c>
      <c r="AB530" s="1" t="s">
        <v>2167</v>
      </c>
      <c r="AC530" s="1" t="s">
        <v>2162</v>
      </c>
      <c r="AD530" s="1" t="s">
        <v>1100</v>
      </c>
      <c r="AE530" s="1" t="s">
        <v>2094</v>
      </c>
      <c r="AF530" s="1" t="s">
        <v>1186</v>
      </c>
      <c r="AG530" s="1" t="s">
        <v>1522</v>
      </c>
      <c r="AH530" s="6">
        <v>49998</v>
      </c>
      <c r="AI530" s="6">
        <v>49998</v>
      </c>
      <c r="AJ530" s="1" t="s">
        <v>2060</v>
      </c>
      <c r="AK530" s="1"/>
      <c r="AL530" s="1"/>
      <c r="AM530" s="1" t="s">
        <v>2060</v>
      </c>
      <c r="AN530" s="1" t="s">
        <v>201</v>
      </c>
      <c r="AO530" s="1"/>
      <c r="AP530" s="1" t="s">
        <v>133</v>
      </c>
      <c r="AQ530" s="1"/>
      <c r="AR530" s="1"/>
      <c r="AS530" s="2"/>
      <c r="AT530" s="1"/>
      <c r="AU530" s="1"/>
      <c r="AV530" s="1"/>
      <c r="AW530" s="1" t="s">
        <v>2152</v>
      </c>
      <c r="AX530" s="7">
        <v>44538.593562923401</v>
      </c>
      <c r="AY530" s="1" t="s">
        <v>1070</v>
      </c>
      <c r="AZ530" s="6">
        <v>49998</v>
      </c>
      <c r="BA530" s="1"/>
      <c r="BB530" s="5">
        <v>44561</v>
      </c>
      <c r="BC530" s="5">
        <v>44537</v>
      </c>
      <c r="BD530" s="5">
        <v>44537</v>
      </c>
      <c r="BE530" s="7">
        <v>44561</v>
      </c>
      <c r="BF530" s="1" t="s">
        <v>2170</v>
      </c>
      <c r="BG530" s="1"/>
      <c r="BH530" s="1"/>
      <c r="BI530" s="1" t="s">
        <v>108</v>
      </c>
    </row>
    <row r="531" spans="1:61" hidden="1" x14ac:dyDescent="0.25">
      <c r="A531" s="4">
        <v>526</v>
      </c>
      <c r="B531" s="2" t="str">
        <f>HYPERLINK("https://my.zakupivli.pro/remote/dispatcher/state_purchase_view/32712043", "UA-2021-12-07-014057-c")</f>
        <v>UA-2021-12-07-014057-c</v>
      </c>
      <c r="C531" s="2" t="s">
        <v>1516</v>
      </c>
      <c r="D531" s="1" t="s">
        <v>1972</v>
      </c>
      <c r="E531" s="1" t="s">
        <v>1492</v>
      </c>
      <c r="F531" s="1" t="s">
        <v>298</v>
      </c>
      <c r="G531" s="1" t="s">
        <v>959</v>
      </c>
      <c r="H531" s="1" t="s">
        <v>2015</v>
      </c>
      <c r="I531" s="1" t="s">
        <v>2094</v>
      </c>
      <c r="J531" s="1" t="s">
        <v>1145</v>
      </c>
      <c r="K531" s="1" t="s">
        <v>947</v>
      </c>
      <c r="L531" s="1" t="s">
        <v>1533</v>
      </c>
      <c r="M531" s="1" t="s">
        <v>1534</v>
      </c>
      <c r="N531" s="1" t="s">
        <v>110</v>
      </c>
      <c r="O531" s="1" t="s">
        <v>110</v>
      </c>
      <c r="P531" s="1" t="s">
        <v>110</v>
      </c>
      <c r="Q531" s="5">
        <v>44537</v>
      </c>
      <c r="R531" s="1" t="s">
        <v>397</v>
      </c>
      <c r="S531" s="1" t="s">
        <v>401</v>
      </c>
      <c r="T531" s="5">
        <v>44543</v>
      </c>
      <c r="U531" s="5">
        <v>44546</v>
      </c>
      <c r="V531" s="1" t="s">
        <v>2147</v>
      </c>
      <c r="W531" s="4">
        <v>0</v>
      </c>
      <c r="X531" s="6">
        <v>17150</v>
      </c>
      <c r="Y531" s="1" t="s">
        <v>1516</v>
      </c>
      <c r="Z531" s="1">
        <v>516</v>
      </c>
      <c r="AA531" s="6">
        <v>33.24</v>
      </c>
      <c r="AB531" s="1" t="s">
        <v>2157</v>
      </c>
      <c r="AC531" s="6">
        <v>86</v>
      </c>
      <c r="AD531" s="1" t="s">
        <v>1100</v>
      </c>
      <c r="AE531" s="1" t="s">
        <v>2094</v>
      </c>
      <c r="AF531" s="1" t="s">
        <v>1186</v>
      </c>
      <c r="AG531" s="1" t="s">
        <v>1522</v>
      </c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2"/>
      <c r="AT531" s="1"/>
      <c r="AU531" s="1"/>
      <c r="AV531" s="1"/>
      <c r="AW531" s="1" t="s">
        <v>2153</v>
      </c>
      <c r="AX531" s="7">
        <v>44546.003347525577</v>
      </c>
      <c r="AY531" s="1"/>
      <c r="AZ531" s="1"/>
      <c r="BA531" s="1"/>
      <c r="BB531" s="5">
        <v>44552</v>
      </c>
      <c r="BC531" s="1" t="s">
        <v>109</v>
      </c>
      <c r="BD531" s="1" t="s">
        <v>109</v>
      </c>
      <c r="BE531" s="1"/>
      <c r="BF531" s="1"/>
      <c r="BG531" s="1"/>
      <c r="BH531" s="1"/>
      <c r="BI531" s="1"/>
    </row>
    <row r="532" spans="1:61" hidden="1" x14ac:dyDescent="0.25">
      <c r="A532" s="4">
        <v>527</v>
      </c>
      <c r="B532" s="2" t="str">
        <f>HYPERLINK("https://my.zakupivli.pro/remote/dispatcher/state_purchase_view/32708214", "UA-2021-12-07-012695-c")</f>
        <v>UA-2021-12-07-012695-c</v>
      </c>
      <c r="C532" s="2" t="s">
        <v>1516</v>
      </c>
      <c r="D532" s="1" t="s">
        <v>1652</v>
      </c>
      <c r="E532" s="1" t="s">
        <v>1652</v>
      </c>
      <c r="F532" s="1" t="s">
        <v>298</v>
      </c>
      <c r="G532" s="1" t="s">
        <v>1074</v>
      </c>
      <c r="H532" s="1" t="s">
        <v>2015</v>
      </c>
      <c r="I532" s="1" t="s">
        <v>2094</v>
      </c>
      <c r="J532" s="1" t="s">
        <v>1145</v>
      </c>
      <c r="K532" s="1" t="s">
        <v>947</v>
      </c>
      <c r="L532" s="1" t="s">
        <v>1533</v>
      </c>
      <c r="M532" s="1" t="s">
        <v>1534</v>
      </c>
      <c r="N532" s="1" t="s">
        <v>110</v>
      </c>
      <c r="O532" s="1" t="s">
        <v>110</v>
      </c>
      <c r="P532" s="1" t="s">
        <v>110</v>
      </c>
      <c r="Q532" s="5">
        <v>44537</v>
      </c>
      <c r="R532" s="1" t="s">
        <v>397</v>
      </c>
      <c r="S532" s="1" t="s">
        <v>401</v>
      </c>
      <c r="T532" s="5">
        <v>44543</v>
      </c>
      <c r="U532" s="5">
        <v>44546</v>
      </c>
      <c r="V532" s="1" t="s">
        <v>2147</v>
      </c>
      <c r="W532" s="4">
        <v>1</v>
      </c>
      <c r="X532" s="6">
        <v>60000</v>
      </c>
      <c r="Y532" s="1" t="s">
        <v>1516</v>
      </c>
      <c r="Z532" s="1">
        <v>1</v>
      </c>
      <c r="AA532" s="6">
        <v>60000</v>
      </c>
      <c r="AB532" s="1" t="s">
        <v>2167</v>
      </c>
      <c r="AC532" s="6">
        <v>300</v>
      </c>
      <c r="AD532" s="1" t="s">
        <v>1100</v>
      </c>
      <c r="AE532" s="1" t="s">
        <v>2094</v>
      </c>
      <c r="AF532" s="1" t="s">
        <v>1186</v>
      </c>
      <c r="AG532" s="1" t="s">
        <v>1522</v>
      </c>
      <c r="AH532" s="6">
        <v>59900</v>
      </c>
      <c r="AI532" s="6">
        <v>59900</v>
      </c>
      <c r="AJ532" s="1" t="s">
        <v>2122</v>
      </c>
      <c r="AK532" s="6">
        <v>100</v>
      </c>
      <c r="AL532" s="6">
        <v>1.6666666666666668E-3</v>
      </c>
      <c r="AM532" s="1" t="s">
        <v>2122</v>
      </c>
      <c r="AN532" s="1" t="s">
        <v>225</v>
      </c>
      <c r="AO532" s="1" t="s">
        <v>1107</v>
      </c>
      <c r="AP532" s="1" t="s">
        <v>55</v>
      </c>
      <c r="AQ532" s="6">
        <v>100</v>
      </c>
      <c r="AR532" s="6">
        <v>1.6666666666666668E-3</v>
      </c>
      <c r="AS532" s="2"/>
      <c r="AT532" s="7">
        <v>44546.535864621757</v>
      </c>
      <c r="AU532" s="1" t="s">
        <v>405</v>
      </c>
      <c r="AV532" s="1" t="s">
        <v>415</v>
      </c>
      <c r="AW532" s="1" t="s">
        <v>2152</v>
      </c>
      <c r="AX532" s="7">
        <v>44547.6846007489</v>
      </c>
      <c r="AY532" s="1" t="s">
        <v>163</v>
      </c>
      <c r="AZ532" s="6">
        <v>59900</v>
      </c>
      <c r="BA532" s="1"/>
      <c r="BB532" s="5">
        <v>44561</v>
      </c>
      <c r="BC532" s="5">
        <v>44546</v>
      </c>
      <c r="BD532" s="5">
        <v>44546</v>
      </c>
      <c r="BE532" s="7">
        <v>44561</v>
      </c>
      <c r="BF532" s="1" t="s">
        <v>2170</v>
      </c>
      <c r="BG532" s="1"/>
      <c r="BH532" s="1"/>
      <c r="BI532" s="1" t="s">
        <v>226</v>
      </c>
    </row>
    <row r="533" spans="1:61" hidden="1" x14ac:dyDescent="0.25">
      <c r="A533" s="4">
        <v>528</v>
      </c>
      <c r="B533" s="2" t="str">
        <f>HYPERLINK("https://my.zakupivli.pro/remote/dispatcher/state_purchase_view/32704997", "UA-2021-12-07-011720-c")</f>
        <v>UA-2021-12-07-011720-c</v>
      </c>
      <c r="C533" s="2" t="s">
        <v>1516</v>
      </c>
      <c r="D533" s="1" t="s">
        <v>1642</v>
      </c>
      <c r="E533" s="1" t="s">
        <v>1642</v>
      </c>
      <c r="F533" s="1" t="s">
        <v>298</v>
      </c>
      <c r="G533" s="1" t="s">
        <v>966</v>
      </c>
      <c r="H533" s="1" t="s">
        <v>2015</v>
      </c>
      <c r="I533" s="1" t="s">
        <v>2094</v>
      </c>
      <c r="J533" s="1" t="s">
        <v>1145</v>
      </c>
      <c r="K533" s="1" t="s">
        <v>947</v>
      </c>
      <c r="L533" s="1" t="s">
        <v>1533</v>
      </c>
      <c r="M533" s="1" t="s">
        <v>1534</v>
      </c>
      <c r="N533" s="1" t="s">
        <v>110</v>
      </c>
      <c r="O533" s="1" t="s">
        <v>110</v>
      </c>
      <c r="P533" s="1" t="s">
        <v>110</v>
      </c>
      <c r="Q533" s="5">
        <v>44537</v>
      </c>
      <c r="R533" s="1" t="s">
        <v>397</v>
      </c>
      <c r="S533" s="1" t="s">
        <v>401</v>
      </c>
      <c r="T533" s="5">
        <v>44543</v>
      </c>
      <c r="U533" s="5">
        <v>44546</v>
      </c>
      <c r="V533" s="1" t="s">
        <v>2147</v>
      </c>
      <c r="W533" s="4">
        <v>1</v>
      </c>
      <c r="X533" s="6">
        <v>69000</v>
      </c>
      <c r="Y533" s="1" t="s">
        <v>1516</v>
      </c>
      <c r="Z533" s="1">
        <v>1</v>
      </c>
      <c r="AA533" s="6">
        <v>69000</v>
      </c>
      <c r="AB533" s="1" t="s">
        <v>2167</v>
      </c>
      <c r="AC533" s="6">
        <v>345</v>
      </c>
      <c r="AD533" s="1" t="s">
        <v>1100</v>
      </c>
      <c r="AE533" s="1" t="s">
        <v>2094</v>
      </c>
      <c r="AF533" s="1" t="s">
        <v>1186</v>
      </c>
      <c r="AG533" s="1" t="s">
        <v>1522</v>
      </c>
      <c r="AH533" s="6">
        <v>63144.53</v>
      </c>
      <c r="AI533" s="6">
        <v>63144.53</v>
      </c>
      <c r="AJ533" s="1" t="s">
        <v>2035</v>
      </c>
      <c r="AK533" s="6">
        <v>5855.4700000000012</v>
      </c>
      <c r="AL533" s="6">
        <v>8.4861884057971029E-2</v>
      </c>
      <c r="AM533" s="1" t="s">
        <v>2035</v>
      </c>
      <c r="AN533" s="1" t="s">
        <v>916</v>
      </c>
      <c r="AO533" s="1" t="s">
        <v>1108</v>
      </c>
      <c r="AP533" s="1" t="s">
        <v>90</v>
      </c>
      <c r="AQ533" s="6">
        <v>5855.4700000000012</v>
      </c>
      <c r="AR533" s="6">
        <v>8.4861884057971029E-2</v>
      </c>
      <c r="AS533" s="2"/>
      <c r="AT533" s="7">
        <v>44546.466270281293</v>
      </c>
      <c r="AU533" s="1" t="s">
        <v>405</v>
      </c>
      <c r="AV533" s="1" t="s">
        <v>415</v>
      </c>
      <c r="AW533" s="1" t="s">
        <v>2152</v>
      </c>
      <c r="AX533" s="7">
        <v>44550.788364131229</v>
      </c>
      <c r="AY533" s="1" t="s">
        <v>182</v>
      </c>
      <c r="AZ533" s="6">
        <v>63144.53</v>
      </c>
      <c r="BA533" s="1"/>
      <c r="BB533" s="5">
        <v>44561</v>
      </c>
      <c r="BC533" s="5">
        <v>44547</v>
      </c>
      <c r="BD533" s="5">
        <v>44547</v>
      </c>
      <c r="BE533" s="7">
        <v>44561</v>
      </c>
      <c r="BF533" s="1" t="s">
        <v>2170</v>
      </c>
      <c r="BG533" s="1"/>
      <c r="BH533" s="1"/>
      <c r="BI533" s="1" t="s">
        <v>917</v>
      </c>
    </row>
    <row r="534" spans="1:61" hidden="1" x14ac:dyDescent="0.25">
      <c r="A534" s="4">
        <v>529</v>
      </c>
      <c r="B534" s="2" t="str">
        <f>HYPERLINK("https://my.zakupivli.pro/remote/dispatcher/state_purchase_view/32722662", "UA-2021-12-07-016995-c")</f>
        <v>UA-2021-12-07-016995-c</v>
      </c>
      <c r="C534" s="2" t="s">
        <v>1516</v>
      </c>
      <c r="D534" s="1" t="s">
        <v>1210</v>
      </c>
      <c r="E534" s="1" t="s">
        <v>1210</v>
      </c>
      <c r="F534" s="1" t="s">
        <v>298</v>
      </c>
      <c r="G534" s="1" t="s">
        <v>144</v>
      </c>
      <c r="H534" s="1" t="s">
        <v>1218</v>
      </c>
      <c r="I534" s="1" t="s">
        <v>2094</v>
      </c>
      <c r="J534" s="1" t="s">
        <v>1145</v>
      </c>
      <c r="K534" s="1" t="s">
        <v>947</v>
      </c>
      <c r="L534" s="1" t="s">
        <v>1533</v>
      </c>
      <c r="M534" s="1" t="s">
        <v>1534</v>
      </c>
      <c r="N534" s="1" t="s">
        <v>110</v>
      </c>
      <c r="O534" s="1" t="s">
        <v>110</v>
      </c>
      <c r="P534" s="1" t="s">
        <v>110</v>
      </c>
      <c r="Q534" s="5">
        <v>44537</v>
      </c>
      <c r="R534" s="1"/>
      <c r="S534" s="1"/>
      <c r="T534" s="1"/>
      <c r="U534" s="1"/>
      <c r="V534" s="1" t="s">
        <v>2146</v>
      </c>
      <c r="W534" s="4">
        <v>1</v>
      </c>
      <c r="X534" s="6">
        <v>37557</v>
      </c>
      <c r="Y534" s="1" t="s">
        <v>1516</v>
      </c>
      <c r="Z534" s="1">
        <v>8346</v>
      </c>
      <c r="AA534" s="6">
        <v>4.5</v>
      </c>
      <c r="AB534" s="1" t="s">
        <v>2156</v>
      </c>
      <c r="AC534" s="1" t="s">
        <v>2162</v>
      </c>
      <c r="AD534" s="1" t="s">
        <v>1100</v>
      </c>
      <c r="AE534" s="1" t="s">
        <v>2094</v>
      </c>
      <c r="AF534" s="1" t="s">
        <v>1186</v>
      </c>
      <c r="AG534" s="1" t="s">
        <v>1522</v>
      </c>
      <c r="AH534" s="6">
        <v>37557</v>
      </c>
      <c r="AI534" s="6">
        <v>4.5</v>
      </c>
      <c r="AJ534" s="1" t="s">
        <v>2069</v>
      </c>
      <c r="AK534" s="1"/>
      <c r="AL534" s="1"/>
      <c r="AM534" s="1" t="s">
        <v>2069</v>
      </c>
      <c r="AN534" s="1" t="s">
        <v>884</v>
      </c>
      <c r="AO534" s="1"/>
      <c r="AP534" s="1" t="s">
        <v>131</v>
      </c>
      <c r="AQ534" s="1"/>
      <c r="AR534" s="1"/>
      <c r="AS534" s="2"/>
      <c r="AT534" s="1"/>
      <c r="AU534" s="1"/>
      <c r="AV534" s="1"/>
      <c r="AW534" s="1" t="s">
        <v>2152</v>
      </c>
      <c r="AX534" s="7">
        <v>44537.740125671007</v>
      </c>
      <c r="AY534" s="1" t="s">
        <v>1010</v>
      </c>
      <c r="AZ534" s="6">
        <v>37557</v>
      </c>
      <c r="BA534" s="5">
        <v>44533</v>
      </c>
      <c r="BB534" s="5">
        <v>44561</v>
      </c>
      <c r="BC534" s="5">
        <v>44533</v>
      </c>
      <c r="BD534" s="5">
        <v>44533</v>
      </c>
      <c r="BE534" s="7">
        <v>44561</v>
      </c>
      <c r="BF534" s="1" t="s">
        <v>2170</v>
      </c>
      <c r="BG534" s="1"/>
      <c r="BH534" s="1"/>
      <c r="BI534" s="1" t="s">
        <v>108</v>
      </c>
    </row>
    <row r="535" spans="1:61" hidden="1" x14ac:dyDescent="0.25">
      <c r="A535" s="4">
        <v>530</v>
      </c>
      <c r="B535" s="2" t="str">
        <f>HYPERLINK("https://my.zakupivli.pro/remote/dispatcher/state_purchase_view/32648160", "UA-2021-12-06-014819-c")</f>
        <v>UA-2021-12-06-014819-c</v>
      </c>
      <c r="C535" s="2" t="s">
        <v>1516</v>
      </c>
      <c r="D535" s="1" t="s">
        <v>1997</v>
      </c>
      <c r="E535" s="1" t="s">
        <v>1996</v>
      </c>
      <c r="F535" s="1" t="s">
        <v>298</v>
      </c>
      <c r="G535" s="1" t="s">
        <v>974</v>
      </c>
      <c r="H535" s="1" t="s">
        <v>2015</v>
      </c>
      <c r="I535" s="1" t="s">
        <v>2094</v>
      </c>
      <c r="J535" s="1" t="s">
        <v>1145</v>
      </c>
      <c r="K535" s="1" t="s">
        <v>947</v>
      </c>
      <c r="L535" s="1" t="s">
        <v>1533</v>
      </c>
      <c r="M535" s="1" t="s">
        <v>1534</v>
      </c>
      <c r="N535" s="1" t="s">
        <v>153</v>
      </c>
      <c r="O535" s="1" t="s">
        <v>110</v>
      </c>
      <c r="P535" s="1" t="s">
        <v>110</v>
      </c>
      <c r="Q535" s="5">
        <v>44536</v>
      </c>
      <c r="R535" s="1" t="s">
        <v>396</v>
      </c>
      <c r="S535" s="1" t="s">
        <v>400</v>
      </c>
      <c r="T535" s="5">
        <v>44540</v>
      </c>
      <c r="U535" s="5">
        <v>44545</v>
      </c>
      <c r="V535" s="1" t="s">
        <v>2147</v>
      </c>
      <c r="W535" s="4">
        <v>1</v>
      </c>
      <c r="X535" s="6">
        <v>199999</v>
      </c>
      <c r="Y535" s="1" t="s">
        <v>1516</v>
      </c>
      <c r="Z535" s="1">
        <v>1</v>
      </c>
      <c r="AA535" s="6">
        <v>199999</v>
      </c>
      <c r="AB535" s="1" t="s">
        <v>2167</v>
      </c>
      <c r="AC535" s="6">
        <v>1000</v>
      </c>
      <c r="AD535" s="1" t="s">
        <v>1100</v>
      </c>
      <c r="AE535" s="1" t="s">
        <v>2094</v>
      </c>
      <c r="AF535" s="1" t="s">
        <v>1186</v>
      </c>
      <c r="AG535" s="1" t="s">
        <v>1522</v>
      </c>
      <c r="AH535" s="6">
        <v>199999</v>
      </c>
      <c r="AI535" s="6">
        <v>199999</v>
      </c>
      <c r="AJ535" s="1" t="s">
        <v>2027</v>
      </c>
      <c r="AK535" s="1"/>
      <c r="AL535" s="1"/>
      <c r="AM535" s="1" t="s">
        <v>2027</v>
      </c>
      <c r="AN535" s="1" t="s">
        <v>951</v>
      </c>
      <c r="AO535" s="1" t="s">
        <v>1117</v>
      </c>
      <c r="AP535" s="1" t="s">
        <v>79</v>
      </c>
      <c r="AQ535" s="1"/>
      <c r="AR535" s="1"/>
      <c r="AS535" s="2"/>
      <c r="AT535" s="7">
        <v>44545.66574768351</v>
      </c>
      <c r="AU535" s="1" t="s">
        <v>404</v>
      </c>
      <c r="AV535" s="1" t="s">
        <v>414</v>
      </c>
      <c r="AW535" s="1" t="s">
        <v>2152</v>
      </c>
      <c r="AX535" s="7">
        <v>44550.77713043573</v>
      </c>
      <c r="AY535" s="1" t="s">
        <v>173</v>
      </c>
      <c r="AZ535" s="6">
        <v>199999</v>
      </c>
      <c r="BA535" s="1"/>
      <c r="BB535" s="5">
        <v>44561</v>
      </c>
      <c r="BC535" s="5">
        <v>44546</v>
      </c>
      <c r="BD535" s="5">
        <v>44546</v>
      </c>
      <c r="BE535" s="7">
        <v>44561</v>
      </c>
      <c r="BF535" s="1" t="s">
        <v>2170</v>
      </c>
      <c r="BG535" s="1"/>
      <c r="BH535" s="1"/>
      <c r="BI535" s="1" t="s">
        <v>952</v>
      </c>
    </row>
    <row r="536" spans="1:61" hidden="1" x14ac:dyDescent="0.25">
      <c r="A536" s="4">
        <v>531</v>
      </c>
      <c r="B536" s="2" t="str">
        <f>HYPERLINK("https://my.zakupivli.pro/remote/dispatcher/state_purchase_view/32616407", "UA-2021-12-06-006154-c")</f>
        <v>UA-2021-12-06-006154-c</v>
      </c>
      <c r="C536" s="2" t="s">
        <v>1516</v>
      </c>
      <c r="D536" s="1" t="s">
        <v>1932</v>
      </c>
      <c r="E536" s="1" t="s">
        <v>1932</v>
      </c>
      <c r="F536" s="1" t="s">
        <v>298</v>
      </c>
      <c r="G536" s="1" t="s">
        <v>974</v>
      </c>
      <c r="H536" s="1" t="s">
        <v>2015</v>
      </c>
      <c r="I536" s="1" t="s">
        <v>2094</v>
      </c>
      <c r="J536" s="1" t="s">
        <v>1145</v>
      </c>
      <c r="K536" s="1" t="s">
        <v>947</v>
      </c>
      <c r="L536" s="1" t="s">
        <v>1533</v>
      </c>
      <c r="M536" s="1" t="s">
        <v>1534</v>
      </c>
      <c r="N536" s="1" t="s">
        <v>153</v>
      </c>
      <c r="O536" s="1" t="s">
        <v>110</v>
      </c>
      <c r="P536" s="1" t="s">
        <v>110</v>
      </c>
      <c r="Q536" s="5">
        <v>44536</v>
      </c>
      <c r="R536" s="1" t="s">
        <v>396</v>
      </c>
      <c r="S536" s="1" t="s">
        <v>400</v>
      </c>
      <c r="T536" s="5">
        <v>44540</v>
      </c>
      <c r="U536" s="5">
        <v>44545</v>
      </c>
      <c r="V536" s="7">
        <v>44545.644756944443</v>
      </c>
      <c r="W536" s="4">
        <v>2</v>
      </c>
      <c r="X536" s="6">
        <v>189970</v>
      </c>
      <c r="Y536" s="1" t="s">
        <v>1516</v>
      </c>
      <c r="Z536" s="1">
        <v>1</v>
      </c>
      <c r="AA536" s="6">
        <v>189970</v>
      </c>
      <c r="AB536" s="1" t="s">
        <v>2167</v>
      </c>
      <c r="AC536" s="6">
        <v>950</v>
      </c>
      <c r="AD536" s="1" t="s">
        <v>1100</v>
      </c>
      <c r="AE536" s="1" t="s">
        <v>2094</v>
      </c>
      <c r="AF536" s="1" t="s">
        <v>1186</v>
      </c>
      <c r="AG536" s="1" t="s">
        <v>1522</v>
      </c>
      <c r="AH536" s="6">
        <v>157877.6</v>
      </c>
      <c r="AI536" s="6">
        <v>157877.6</v>
      </c>
      <c r="AJ536" s="1" t="s">
        <v>2123</v>
      </c>
      <c r="AK536" s="6">
        <v>32092.399999999994</v>
      </c>
      <c r="AL536" s="6">
        <v>0.16893404221719216</v>
      </c>
      <c r="AM536" s="1" t="s">
        <v>1512</v>
      </c>
      <c r="AN536" s="1" t="s">
        <v>198</v>
      </c>
      <c r="AO536" s="1" t="s">
        <v>1121</v>
      </c>
      <c r="AP536" s="1" t="s">
        <v>870</v>
      </c>
      <c r="AQ536" s="1"/>
      <c r="AR536" s="1"/>
      <c r="AS536" s="2" t="str">
        <f>HYPERLINK("https://auctions.prozorro.gov.ua/tenders/e640c33394244180b74be75a4389044d")</f>
        <v>https://auctions.prozorro.gov.ua/tenders/e640c33394244180b74be75a4389044d</v>
      </c>
      <c r="AT536" s="7">
        <v>44546.395538590579</v>
      </c>
      <c r="AU536" s="1" t="s">
        <v>405</v>
      </c>
      <c r="AV536" s="1" t="s">
        <v>415</v>
      </c>
      <c r="AW536" s="1" t="s">
        <v>2152</v>
      </c>
      <c r="AX536" s="7">
        <v>44551.734963550916</v>
      </c>
      <c r="AY536" s="1" t="s">
        <v>183</v>
      </c>
      <c r="AZ536" s="6">
        <v>189970</v>
      </c>
      <c r="BA536" s="1"/>
      <c r="BB536" s="5">
        <v>44561</v>
      </c>
      <c r="BC536" s="5">
        <v>44550</v>
      </c>
      <c r="BD536" s="5">
        <v>44550</v>
      </c>
      <c r="BE536" s="7">
        <v>44561</v>
      </c>
      <c r="BF536" s="1" t="s">
        <v>2170</v>
      </c>
      <c r="BG536" s="1"/>
      <c r="BH536" s="1"/>
      <c r="BI536" s="1" t="s">
        <v>717</v>
      </c>
    </row>
    <row r="537" spans="1:61" hidden="1" x14ac:dyDescent="0.25">
      <c r="A537" s="4">
        <v>532</v>
      </c>
      <c r="B537" s="2" t="str">
        <f>HYPERLINK("https://my.zakupivli.pro/remote/dispatcher/state_purchase_view/32601356", "UA-2021-12-06-001657-c")</f>
        <v>UA-2021-12-06-001657-c</v>
      </c>
      <c r="C537" s="2" t="s">
        <v>1516</v>
      </c>
      <c r="D537" s="1" t="s">
        <v>1593</v>
      </c>
      <c r="E537" s="1" t="s">
        <v>1593</v>
      </c>
      <c r="F537" s="1" t="s">
        <v>298</v>
      </c>
      <c r="G537" s="1" t="s">
        <v>966</v>
      </c>
      <c r="H537" s="1" t="s">
        <v>1218</v>
      </c>
      <c r="I537" s="1" t="s">
        <v>2094</v>
      </c>
      <c r="J537" s="1" t="s">
        <v>1145</v>
      </c>
      <c r="K537" s="1" t="s">
        <v>947</v>
      </c>
      <c r="L537" s="1" t="s">
        <v>1533</v>
      </c>
      <c r="M537" s="1" t="s">
        <v>1534</v>
      </c>
      <c r="N537" s="1" t="s">
        <v>110</v>
      </c>
      <c r="O537" s="1" t="s">
        <v>110</v>
      </c>
      <c r="P537" s="1" t="s">
        <v>110</v>
      </c>
      <c r="Q537" s="5">
        <v>44536</v>
      </c>
      <c r="R537" s="1"/>
      <c r="S537" s="1"/>
      <c r="T537" s="1"/>
      <c r="U537" s="1"/>
      <c r="V537" s="1" t="s">
        <v>2146</v>
      </c>
      <c r="W537" s="4">
        <v>1</v>
      </c>
      <c r="X537" s="6">
        <v>42483</v>
      </c>
      <c r="Y537" s="1" t="s">
        <v>1516</v>
      </c>
      <c r="Z537" s="1">
        <v>1</v>
      </c>
      <c r="AA537" s="6">
        <v>42483</v>
      </c>
      <c r="AB537" s="1" t="s">
        <v>2167</v>
      </c>
      <c r="AC537" s="1" t="s">
        <v>2162</v>
      </c>
      <c r="AD537" s="1" t="s">
        <v>1100</v>
      </c>
      <c r="AE537" s="1" t="s">
        <v>2094</v>
      </c>
      <c r="AF537" s="1" t="s">
        <v>1186</v>
      </c>
      <c r="AG537" s="1" t="s">
        <v>1522</v>
      </c>
      <c r="AH537" s="6">
        <v>42483</v>
      </c>
      <c r="AI537" s="6">
        <v>42483</v>
      </c>
      <c r="AJ537" s="1" t="s">
        <v>2065</v>
      </c>
      <c r="AK537" s="1"/>
      <c r="AL537" s="1"/>
      <c r="AM537" s="1" t="s">
        <v>2065</v>
      </c>
      <c r="AN537" s="1" t="s">
        <v>902</v>
      </c>
      <c r="AO537" s="1"/>
      <c r="AP537" s="1" t="s">
        <v>119</v>
      </c>
      <c r="AQ537" s="1"/>
      <c r="AR537" s="1"/>
      <c r="AS537" s="2"/>
      <c r="AT537" s="1"/>
      <c r="AU537" s="1"/>
      <c r="AV537" s="1"/>
      <c r="AW537" s="1" t="s">
        <v>2152</v>
      </c>
      <c r="AX537" s="7">
        <v>44536.409359720172</v>
      </c>
      <c r="AY537" s="1" t="s">
        <v>1048</v>
      </c>
      <c r="AZ537" s="6">
        <v>42483</v>
      </c>
      <c r="BA537" s="1"/>
      <c r="BB537" s="5">
        <v>44561</v>
      </c>
      <c r="BC537" s="5">
        <v>44532</v>
      </c>
      <c r="BD537" s="5">
        <v>44532</v>
      </c>
      <c r="BE537" s="7">
        <v>44561</v>
      </c>
      <c r="BF537" s="1" t="s">
        <v>2170</v>
      </c>
      <c r="BG537" s="1"/>
      <c r="BH537" s="1"/>
      <c r="BI537" s="1" t="s">
        <v>108</v>
      </c>
    </row>
    <row r="538" spans="1:61" hidden="1" x14ac:dyDescent="0.25">
      <c r="A538" s="4">
        <v>533</v>
      </c>
      <c r="B538" s="2" t="str">
        <f>HYPERLINK("https://my.zakupivli.pro/remote/dispatcher/state_purchase_view/32647416", "UA-2021-12-06-014459-c")</f>
        <v>UA-2021-12-06-014459-c</v>
      </c>
      <c r="C538" s="2" t="s">
        <v>1516</v>
      </c>
      <c r="D538" s="1" t="s">
        <v>1640</v>
      </c>
      <c r="E538" s="1" t="s">
        <v>1640</v>
      </c>
      <c r="F538" s="1" t="s">
        <v>298</v>
      </c>
      <c r="G538" s="1" t="s">
        <v>964</v>
      </c>
      <c r="H538" s="1" t="s">
        <v>2015</v>
      </c>
      <c r="I538" s="1" t="s">
        <v>2094</v>
      </c>
      <c r="J538" s="1" t="s">
        <v>1145</v>
      </c>
      <c r="K538" s="1" t="s">
        <v>947</v>
      </c>
      <c r="L538" s="1" t="s">
        <v>1533</v>
      </c>
      <c r="M538" s="1" t="s">
        <v>1534</v>
      </c>
      <c r="N538" s="1" t="s">
        <v>110</v>
      </c>
      <c r="O538" s="1" t="s">
        <v>110</v>
      </c>
      <c r="P538" s="1" t="s">
        <v>110</v>
      </c>
      <c r="Q538" s="5">
        <v>44536</v>
      </c>
      <c r="R538" s="1" t="s">
        <v>396</v>
      </c>
      <c r="S538" s="1" t="s">
        <v>400</v>
      </c>
      <c r="T538" s="5">
        <v>44540</v>
      </c>
      <c r="U538" s="5">
        <v>44545</v>
      </c>
      <c r="V538" s="1" t="s">
        <v>2147</v>
      </c>
      <c r="W538" s="4">
        <v>1</v>
      </c>
      <c r="X538" s="6">
        <v>70000</v>
      </c>
      <c r="Y538" s="1" t="s">
        <v>1516</v>
      </c>
      <c r="Z538" s="1">
        <v>1</v>
      </c>
      <c r="AA538" s="6">
        <v>70000</v>
      </c>
      <c r="AB538" s="1" t="s">
        <v>2167</v>
      </c>
      <c r="AC538" s="6">
        <v>350</v>
      </c>
      <c r="AD538" s="1" t="s">
        <v>1100</v>
      </c>
      <c r="AE538" s="1" t="s">
        <v>2094</v>
      </c>
      <c r="AF538" s="1" t="s">
        <v>1186</v>
      </c>
      <c r="AG538" s="1" t="s">
        <v>1522</v>
      </c>
      <c r="AH538" s="6">
        <v>69998.7</v>
      </c>
      <c r="AI538" s="6">
        <v>69998.7</v>
      </c>
      <c r="AJ538" s="1" t="s">
        <v>2042</v>
      </c>
      <c r="AK538" s="6">
        <v>1.3000000000029104</v>
      </c>
      <c r="AL538" s="6">
        <v>1.8571428571470148E-5</v>
      </c>
      <c r="AM538" s="1" t="s">
        <v>2042</v>
      </c>
      <c r="AN538" s="1" t="s">
        <v>939</v>
      </c>
      <c r="AO538" s="1" t="s">
        <v>1120</v>
      </c>
      <c r="AP538" s="1" t="s">
        <v>52</v>
      </c>
      <c r="AQ538" s="6">
        <v>1.3000000000029104</v>
      </c>
      <c r="AR538" s="6">
        <v>1.8571428571470148E-5</v>
      </c>
      <c r="AS538" s="2"/>
      <c r="AT538" s="7">
        <v>44545.654253788969</v>
      </c>
      <c r="AU538" s="1" t="s">
        <v>404</v>
      </c>
      <c r="AV538" s="1" t="s">
        <v>414</v>
      </c>
      <c r="AW538" s="1" t="s">
        <v>2152</v>
      </c>
      <c r="AX538" s="7">
        <v>44550.770668132733</v>
      </c>
      <c r="AY538" s="1" t="s">
        <v>181</v>
      </c>
      <c r="AZ538" s="6">
        <v>69998.7</v>
      </c>
      <c r="BA538" s="1"/>
      <c r="BB538" s="5">
        <v>44561</v>
      </c>
      <c r="BC538" s="5">
        <v>44546</v>
      </c>
      <c r="BD538" s="5">
        <v>44546</v>
      </c>
      <c r="BE538" s="7">
        <v>44561</v>
      </c>
      <c r="BF538" s="1" t="s">
        <v>2170</v>
      </c>
      <c r="BG538" s="1"/>
      <c r="BH538" s="1"/>
      <c r="BI538" s="1" t="s">
        <v>940</v>
      </c>
    </row>
    <row r="539" spans="1:61" hidden="1" x14ac:dyDescent="0.25">
      <c r="A539" s="4">
        <v>534</v>
      </c>
      <c r="B539" s="2" t="str">
        <f>HYPERLINK("https://my.zakupivli.pro/remote/dispatcher/state_purchase_view/32583352", "UA-2021-12-03-016214-c")</f>
        <v>UA-2021-12-03-016214-c</v>
      </c>
      <c r="C539" s="2" t="s">
        <v>1516</v>
      </c>
      <c r="D539" s="1" t="s">
        <v>1959</v>
      </c>
      <c r="E539" s="1" t="s">
        <v>1959</v>
      </c>
      <c r="F539" s="1" t="s">
        <v>298</v>
      </c>
      <c r="G539" s="1" t="s">
        <v>974</v>
      </c>
      <c r="H539" s="1" t="s">
        <v>2015</v>
      </c>
      <c r="I539" s="1" t="s">
        <v>2094</v>
      </c>
      <c r="J539" s="1" t="s">
        <v>1145</v>
      </c>
      <c r="K539" s="1" t="s">
        <v>947</v>
      </c>
      <c r="L539" s="1" t="s">
        <v>1533</v>
      </c>
      <c r="M539" s="1" t="s">
        <v>1534</v>
      </c>
      <c r="N539" s="1" t="s">
        <v>110</v>
      </c>
      <c r="O539" s="1" t="s">
        <v>110</v>
      </c>
      <c r="P539" s="1" t="s">
        <v>153</v>
      </c>
      <c r="Q539" s="5">
        <v>44533</v>
      </c>
      <c r="R539" s="1" t="s">
        <v>395</v>
      </c>
      <c r="S539" s="1" t="s">
        <v>399</v>
      </c>
      <c r="T539" s="5">
        <v>44539</v>
      </c>
      <c r="U539" s="5">
        <v>44544</v>
      </c>
      <c r="V539" s="7">
        <v>44551.544733796298</v>
      </c>
      <c r="W539" s="4">
        <v>2</v>
      </c>
      <c r="X539" s="6">
        <v>71200</v>
      </c>
      <c r="Y539" s="1" t="s">
        <v>1516</v>
      </c>
      <c r="Z539" s="1">
        <v>1</v>
      </c>
      <c r="AA539" s="6">
        <v>71200</v>
      </c>
      <c r="AB539" s="1" t="s">
        <v>2167</v>
      </c>
      <c r="AC539" s="6">
        <v>356</v>
      </c>
      <c r="AD539" s="1" t="s">
        <v>1100</v>
      </c>
      <c r="AE539" s="1" t="s">
        <v>2094</v>
      </c>
      <c r="AF539" s="1" t="s">
        <v>1186</v>
      </c>
      <c r="AG539" s="1" t="s">
        <v>1522</v>
      </c>
      <c r="AH539" s="6">
        <v>43830</v>
      </c>
      <c r="AI539" s="6">
        <v>43830</v>
      </c>
      <c r="AJ539" s="1" t="s">
        <v>2039</v>
      </c>
      <c r="AK539" s="6">
        <v>27370</v>
      </c>
      <c r="AL539" s="6">
        <v>0.38441011235955058</v>
      </c>
      <c r="AM539" s="1" t="s">
        <v>2029</v>
      </c>
      <c r="AN539" s="1" t="s">
        <v>931</v>
      </c>
      <c r="AO539" s="1" t="s">
        <v>1112</v>
      </c>
      <c r="AP539" s="1" t="s">
        <v>78</v>
      </c>
      <c r="AQ539" s="1"/>
      <c r="AR539" s="1"/>
      <c r="AS539" s="2" t="str">
        <f>HYPERLINK("https://auctions.prozorro.gov.ua/tenders/2cc88e29d40c4ca48ad8ad9a5fbddfd6")</f>
        <v>https://auctions.prozorro.gov.ua/tenders/2cc88e29d40c4ca48ad8ad9a5fbddfd6</v>
      </c>
      <c r="AT539" s="7">
        <v>44551.673768937144</v>
      </c>
      <c r="AU539" s="1" t="s">
        <v>408</v>
      </c>
      <c r="AV539" s="1" t="s">
        <v>417</v>
      </c>
      <c r="AW539" s="1" t="s">
        <v>2152</v>
      </c>
      <c r="AX539" s="7">
        <v>44556.490966359386</v>
      </c>
      <c r="AY539" s="1" t="s">
        <v>188</v>
      </c>
      <c r="AZ539" s="6">
        <v>71200</v>
      </c>
      <c r="BA539" s="1"/>
      <c r="BB539" s="5">
        <v>44561</v>
      </c>
      <c r="BC539" s="5">
        <v>44554</v>
      </c>
      <c r="BD539" s="5">
        <v>44554</v>
      </c>
      <c r="BE539" s="7">
        <v>44561</v>
      </c>
      <c r="BF539" s="1" t="s">
        <v>2170</v>
      </c>
      <c r="BG539" s="1"/>
      <c r="BH539" s="1"/>
      <c r="BI539" s="1" t="s">
        <v>848</v>
      </c>
    </row>
    <row r="540" spans="1:61" hidden="1" x14ac:dyDescent="0.25">
      <c r="A540" s="4">
        <v>535</v>
      </c>
      <c r="B540" s="2" t="str">
        <f>HYPERLINK("https://my.zakupivli.pro/remote/dispatcher/state_purchase_view/32583169", "UA-2021-12-03-016172-c")</f>
        <v>UA-2021-12-03-016172-c</v>
      </c>
      <c r="C540" s="2" t="s">
        <v>1516</v>
      </c>
      <c r="D540" s="1" t="s">
        <v>1955</v>
      </c>
      <c r="E540" s="1" t="s">
        <v>1955</v>
      </c>
      <c r="F540" s="1" t="s">
        <v>298</v>
      </c>
      <c r="G540" s="1" t="s">
        <v>974</v>
      </c>
      <c r="H540" s="1" t="s">
        <v>2015</v>
      </c>
      <c r="I540" s="1" t="s">
        <v>2094</v>
      </c>
      <c r="J540" s="1" t="s">
        <v>1145</v>
      </c>
      <c r="K540" s="1" t="s">
        <v>947</v>
      </c>
      <c r="L540" s="1" t="s">
        <v>1533</v>
      </c>
      <c r="M540" s="1" t="s">
        <v>1534</v>
      </c>
      <c r="N540" s="1" t="s">
        <v>800</v>
      </c>
      <c r="O540" s="1" t="s">
        <v>110</v>
      </c>
      <c r="P540" s="1" t="s">
        <v>153</v>
      </c>
      <c r="Q540" s="5">
        <v>44533</v>
      </c>
      <c r="R540" s="1" t="s">
        <v>395</v>
      </c>
      <c r="S540" s="1" t="s">
        <v>399</v>
      </c>
      <c r="T540" s="5">
        <v>44539</v>
      </c>
      <c r="U540" s="5">
        <v>44544</v>
      </c>
      <c r="V540" s="7">
        <v>44551.486759259256</v>
      </c>
      <c r="W540" s="4">
        <v>2</v>
      </c>
      <c r="X540" s="6">
        <v>199985</v>
      </c>
      <c r="Y540" s="1" t="s">
        <v>1516</v>
      </c>
      <c r="Z540" s="1">
        <v>1</v>
      </c>
      <c r="AA540" s="6">
        <v>199985</v>
      </c>
      <c r="AB540" s="1" t="s">
        <v>2167</v>
      </c>
      <c r="AC540" s="6">
        <v>1000</v>
      </c>
      <c r="AD540" s="1" t="s">
        <v>1100</v>
      </c>
      <c r="AE540" s="1" t="s">
        <v>2094</v>
      </c>
      <c r="AF540" s="1" t="s">
        <v>1186</v>
      </c>
      <c r="AG540" s="1" t="s">
        <v>1522</v>
      </c>
      <c r="AH540" s="6">
        <v>178800</v>
      </c>
      <c r="AI540" s="6">
        <v>178800</v>
      </c>
      <c r="AJ540" s="1" t="s">
        <v>2039</v>
      </c>
      <c r="AK540" s="6">
        <v>21185</v>
      </c>
      <c r="AL540" s="6">
        <v>0.10593294497087281</v>
      </c>
      <c r="AM540" s="1" t="s">
        <v>2029</v>
      </c>
      <c r="AN540" s="1" t="s">
        <v>931</v>
      </c>
      <c r="AO540" s="1" t="s">
        <v>1112</v>
      </c>
      <c r="AP540" s="1" t="s">
        <v>78</v>
      </c>
      <c r="AQ540" s="1"/>
      <c r="AR540" s="1"/>
      <c r="AS540" s="2" t="str">
        <f>HYPERLINK("https://auctions.prozorro.gov.ua/tenders/c468fa1b5c074e8ebd0ef75e97171f1d")</f>
        <v>https://auctions.prozorro.gov.ua/tenders/c468fa1b5c074e8ebd0ef75e97171f1d</v>
      </c>
      <c r="AT540" s="7">
        <v>44551.67664217233</v>
      </c>
      <c r="AU540" s="1" t="s">
        <v>408</v>
      </c>
      <c r="AV540" s="1" t="s">
        <v>417</v>
      </c>
      <c r="AW540" s="1" t="s">
        <v>2152</v>
      </c>
      <c r="AX540" s="7">
        <v>44558.38584991567</v>
      </c>
      <c r="AY540" s="1" t="s">
        <v>187</v>
      </c>
      <c r="AZ540" s="6">
        <v>199985</v>
      </c>
      <c r="BA540" s="1"/>
      <c r="BB540" s="5">
        <v>44561</v>
      </c>
      <c r="BC540" s="5">
        <v>44552</v>
      </c>
      <c r="BD540" s="5">
        <v>44552</v>
      </c>
      <c r="BE540" s="7">
        <v>44561</v>
      </c>
      <c r="BF540" s="1" t="s">
        <v>2170</v>
      </c>
      <c r="BG540" s="1"/>
      <c r="BH540" s="1"/>
      <c r="BI540" s="1" t="s">
        <v>848</v>
      </c>
    </row>
    <row r="541" spans="1:61" hidden="1" x14ac:dyDescent="0.25">
      <c r="A541" s="4">
        <v>536</v>
      </c>
      <c r="B541" s="2" t="str">
        <f>HYPERLINK("https://my.zakupivli.pro/remote/dispatcher/state_purchase_view/32583067", "UA-2021-12-03-016139-c")</f>
        <v>UA-2021-12-03-016139-c</v>
      </c>
      <c r="C541" s="2" t="s">
        <v>1516</v>
      </c>
      <c r="D541" s="1" t="s">
        <v>1964</v>
      </c>
      <c r="E541" s="1" t="s">
        <v>1964</v>
      </c>
      <c r="F541" s="1" t="s">
        <v>298</v>
      </c>
      <c r="G541" s="1" t="s">
        <v>974</v>
      </c>
      <c r="H541" s="1" t="s">
        <v>2015</v>
      </c>
      <c r="I541" s="1" t="s">
        <v>2094</v>
      </c>
      <c r="J541" s="1" t="s">
        <v>1145</v>
      </c>
      <c r="K541" s="1" t="s">
        <v>947</v>
      </c>
      <c r="L541" s="1" t="s">
        <v>1533</v>
      </c>
      <c r="M541" s="1" t="s">
        <v>1534</v>
      </c>
      <c r="N541" s="1" t="s">
        <v>988</v>
      </c>
      <c r="O541" s="1" t="s">
        <v>110</v>
      </c>
      <c r="P541" s="1" t="s">
        <v>153</v>
      </c>
      <c r="Q541" s="5">
        <v>44533</v>
      </c>
      <c r="R541" s="1" t="s">
        <v>395</v>
      </c>
      <c r="S541" s="1" t="s">
        <v>399</v>
      </c>
      <c r="T541" s="5">
        <v>44539</v>
      </c>
      <c r="U541" s="5">
        <v>44544</v>
      </c>
      <c r="V541" s="7">
        <v>44551.476898148147</v>
      </c>
      <c r="W541" s="4">
        <v>2</v>
      </c>
      <c r="X541" s="6">
        <v>195000</v>
      </c>
      <c r="Y541" s="1" t="s">
        <v>1516</v>
      </c>
      <c r="Z541" s="1">
        <v>1</v>
      </c>
      <c r="AA541" s="6">
        <v>195000</v>
      </c>
      <c r="AB541" s="1" t="s">
        <v>2167</v>
      </c>
      <c r="AC541" s="6">
        <v>975</v>
      </c>
      <c r="AD541" s="1" t="s">
        <v>1100</v>
      </c>
      <c r="AE541" s="1" t="s">
        <v>2094</v>
      </c>
      <c r="AF541" s="1" t="s">
        <v>1186</v>
      </c>
      <c r="AG541" s="1" t="s">
        <v>1522</v>
      </c>
      <c r="AH541" s="6">
        <v>167325</v>
      </c>
      <c r="AI541" s="6">
        <v>167325</v>
      </c>
      <c r="AJ541" s="1" t="s">
        <v>2039</v>
      </c>
      <c r="AK541" s="6">
        <v>27675</v>
      </c>
      <c r="AL541" s="6">
        <v>0.14192307692307693</v>
      </c>
      <c r="AM541" s="1" t="s">
        <v>2029</v>
      </c>
      <c r="AN541" s="1" t="s">
        <v>931</v>
      </c>
      <c r="AO541" s="1" t="s">
        <v>1112</v>
      </c>
      <c r="AP541" s="1" t="s">
        <v>78</v>
      </c>
      <c r="AQ541" s="1"/>
      <c r="AR541" s="1"/>
      <c r="AS541" s="2" t="str">
        <f>HYPERLINK("https://auctions.prozorro.gov.ua/tenders/7099782e4b394623a6e912401634f036")</f>
        <v>https://auctions.prozorro.gov.ua/tenders/7099782e4b394623a6e912401634f036</v>
      </c>
      <c r="AT541" s="7">
        <v>44551.680646500223</v>
      </c>
      <c r="AU541" s="1" t="s">
        <v>408</v>
      </c>
      <c r="AV541" s="1" t="s">
        <v>417</v>
      </c>
      <c r="AW541" s="1" t="s">
        <v>2152</v>
      </c>
      <c r="AX541" s="7">
        <v>44556.492207975774</v>
      </c>
      <c r="AY541" s="1" t="s">
        <v>186</v>
      </c>
      <c r="AZ541" s="6">
        <v>195000</v>
      </c>
      <c r="BA541" s="1"/>
      <c r="BB541" s="5">
        <v>44561</v>
      </c>
      <c r="BC541" s="5">
        <v>44552</v>
      </c>
      <c r="BD541" s="5">
        <v>44552</v>
      </c>
      <c r="BE541" s="7">
        <v>44561</v>
      </c>
      <c r="BF541" s="1" t="s">
        <v>2170</v>
      </c>
      <c r="BG541" s="1"/>
      <c r="BH541" s="1"/>
      <c r="BI541" s="1" t="s">
        <v>848</v>
      </c>
    </row>
    <row r="542" spans="1:61" hidden="1" x14ac:dyDescent="0.25">
      <c r="A542" s="4">
        <v>537</v>
      </c>
      <c r="B542" s="2" t="str">
        <f>HYPERLINK("https://my.zakupivli.pro/remote/dispatcher/state_purchase_view/32582893", "UA-2021-12-03-016102-c")</f>
        <v>UA-2021-12-03-016102-c</v>
      </c>
      <c r="C542" s="2" t="s">
        <v>1516</v>
      </c>
      <c r="D542" s="1" t="s">
        <v>1918</v>
      </c>
      <c r="E542" s="1" t="s">
        <v>1918</v>
      </c>
      <c r="F542" s="1" t="s">
        <v>298</v>
      </c>
      <c r="G542" s="1" t="s">
        <v>963</v>
      </c>
      <c r="H542" s="1" t="s">
        <v>2015</v>
      </c>
      <c r="I542" s="1" t="s">
        <v>2094</v>
      </c>
      <c r="J542" s="1" t="s">
        <v>1145</v>
      </c>
      <c r="K542" s="1" t="s">
        <v>947</v>
      </c>
      <c r="L542" s="1" t="s">
        <v>1533</v>
      </c>
      <c r="M542" s="1" t="s">
        <v>1534</v>
      </c>
      <c r="N542" s="1" t="s">
        <v>110</v>
      </c>
      <c r="O542" s="1" t="s">
        <v>110</v>
      </c>
      <c r="P542" s="1" t="s">
        <v>110</v>
      </c>
      <c r="Q542" s="5">
        <v>44533</v>
      </c>
      <c r="R542" s="1" t="s">
        <v>395</v>
      </c>
      <c r="S542" s="1" t="s">
        <v>399</v>
      </c>
      <c r="T542" s="5">
        <v>44539</v>
      </c>
      <c r="U542" s="5">
        <v>44544</v>
      </c>
      <c r="V542" s="7">
        <v>44544.556805555556</v>
      </c>
      <c r="W542" s="4">
        <v>2</v>
      </c>
      <c r="X542" s="6">
        <v>199900</v>
      </c>
      <c r="Y542" s="1" t="s">
        <v>1516</v>
      </c>
      <c r="Z542" s="1">
        <v>1</v>
      </c>
      <c r="AA542" s="6">
        <v>199900</v>
      </c>
      <c r="AB542" s="1" t="s">
        <v>2167</v>
      </c>
      <c r="AC542" s="6">
        <v>1000</v>
      </c>
      <c r="AD542" s="1" t="s">
        <v>1100</v>
      </c>
      <c r="AE542" s="1" t="s">
        <v>2094</v>
      </c>
      <c r="AF542" s="1" t="s">
        <v>1186</v>
      </c>
      <c r="AG542" s="1" t="s">
        <v>1522</v>
      </c>
      <c r="AH542" s="6">
        <v>182300.94</v>
      </c>
      <c r="AI542" s="6">
        <v>182300.94</v>
      </c>
      <c r="AJ542" s="1" t="s">
        <v>2123</v>
      </c>
      <c r="AK542" s="6">
        <v>17599.059999999998</v>
      </c>
      <c r="AL542" s="6">
        <v>8.8039319659829904E-2</v>
      </c>
      <c r="AM542" s="1" t="s">
        <v>2029</v>
      </c>
      <c r="AN542" s="1" t="s">
        <v>931</v>
      </c>
      <c r="AO542" s="1" t="s">
        <v>1112</v>
      </c>
      <c r="AP542" s="1" t="s">
        <v>78</v>
      </c>
      <c r="AQ542" s="1"/>
      <c r="AR542" s="1"/>
      <c r="AS542" s="2" t="str">
        <f>HYPERLINK("https://auctions.prozorro.gov.ua/tenders/007f3632fe4947a3b2ae9a4ff6d3166b")</f>
        <v>https://auctions.prozorro.gov.ua/tenders/007f3632fe4947a3b2ae9a4ff6d3166b</v>
      </c>
      <c r="AT542" s="7">
        <v>44545.546128642789</v>
      </c>
      <c r="AU542" s="1" t="s">
        <v>404</v>
      </c>
      <c r="AV542" s="1" t="s">
        <v>414</v>
      </c>
      <c r="AW542" s="1" t="s">
        <v>2152</v>
      </c>
      <c r="AX542" s="7">
        <v>44547.72519149023</v>
      </c>
      <c r="AY542" s="1" t="s">
        <v>167</v>
      </c>
      <c r="AZ542" s="6">
        <v>199900</v>
      </c>
      <c r="BA542" s="1"/>
      <c r="BB542" s="5">
        <v>44561</v>
      </c>
      <c r="BC542" s="5">
        <v>44546</v>
      </c>
      <c r="BD542" s="5">
        <v>44546</v>
      </c>
      <c r="BE542" s="7">
        <v>44561</v>
      </c>
      <c r="BF542" s="1" t="s">
        <v>2170</v>
      </c>
      <c r="BG542" s="1"/>
      <c r="BH542" s="1"/>
      <c r="BI542" s="1" t="s">
        <v>718</v>
      </c>
    </row>
    <row r="543" spans="1:61" hidden="1" x14ac:dyDescent="0.25">
      <c r="A543" s="4">
        <v>538</v>
      </c>
      <c r="B543" s="2" t="str">
        <f>HYPERLINK("https://my.zakupivli.pro/remote/dispatcher/state_purchase_view/32582659", "UA-2021-12-03-016050-c")</f>
        <v>UA-2021-12-03-016050-c</v>
      </c>
      <c r="C543" s="2" t="s">
        <v>1516</v>
      </c>
      <c r="D543" s="1" t="s">
        <v>1911</v>
      </c>
      <c r="E543" s="1" t="s">
        <v>1911</v>
      </c>
      <c r="F543" s="1" t="s">
        <v>298</v>
      </c>
      <c r="G543" s="1" t="s">
        <v>966</v>
      </c>
      <c r="H543" s="1" t="s">
        <v>2015</v>
      </c>
      <c r="I543" s="1" t="s">
        <v>2094</v>
      </c>
      <c r="J543" s="1" t="s">
        <v>1145</v>
      </c>
      <c r="K543" s="1" t="s">
        <v>947</v>
      </c>
      <c r="L543" s="1" t="s">
        <v>1533</v>
      </c>
      <c r="M543" s="1" t="s">
        <v>1534</v>
      </c>
      <c r="N543" s="1" t="s">
        <v>110</v>
      </c>
      <c r="O543" s="1" t="s">
        <v>110</v>
      </c>
      <c r="P543" s="1" t="s">
        <v>110</v>
      </c>
      <c r="Q543" s="5">
        <v>44533</v>
      </c>
      <c r="R543" s="1" t="s">
        <v>395</v>
      </c>
      <c r="S543" s="1" t="s">
        <v>399</v>
      </c>
      <c r="T543" s="5">
        <v>44539</v>
      </c>
      <c r="U543" s="5">
        <v>44544</v>
      </c>
      <c r="V543" s="1" t="s">
        <v>2147</v>
      </c>
      <c r="W543" s="4">
        <v>1</v>
      </c>
      <c r="X543" s="6">
        <v>79500</v>
      </c>
      <c r="Y543" s="1" t="s">
        <v>1516</v>
      </c>
      <c r="Z543" s="1">
        <v>1</v>
      </c>
      <c r="AA543" s="6">
        <v>79500</v>
      </c>
      <c r="AB543" s="1" t="s">
        <v>2167</v>
      </c>
      <c r="AC543" s="6">
        <v>398</v>
      </c>
      <c r="AD543" s="1" t="s">
        <v>1100</v>
      </c>
      <c r="AE543" s="1" t="s">
        <v>2094</v>
      </c>
      <c r="AF543" s="1" t="s">
        <v>1186</v>
      </c>
      <c r="AG543" s="1" t="s">
        <v>1522</v>
      </c>
      <c r="AH543" s="6">
        <v>79500</v>
      </c>
      <c r="AI543" s="6">
        <v>79500</v>
      </c>
      <c r="AJ543" s="1" t="s">
        <v>2029</v>
      </c>
      <c r="AK543" s="1"/>
      <c r="AL543" s="1"/>
      <c r="AM543" s="1" t="s">
        <v>2029</v>
      </c>
      <c r="AN543" s="1" t="s">
        <v>931</v>
      </c>
      <c r="AO543" s="1" t="s">
        <v>1112</v>
      </c>
      <c r="AP543" s="1" t="s">
        <v>78</v>
      </c>
      <c r="AQ543" s="1"/>
      <c r="AR543" s="1"/>
      <c r="AS543" s="2"/>
      <c r="AT543" s="7">
        <v>44544.713857442919</v>
      </c>
      <c r="AU543" s="1" t="s">
        <v>403</v>
      </c>
      <c r="AV543" s="1" t="s">
        <v>413</v>
      </c>
      <c r="AW543" s="1" t="s">
        <v>2152</v>
      </c>
      <c r="AX543" s="7">
        <v>44547.73762623861</v>
      </c>
      <c r="AY543" s="1" t="s">
        <v>172</v>
      </c>
      <c r="AZ543" s="6">
        <v>79500</v>
      </c>
      <c r="BA543" s="1"/>
      <c r="BB543" s="5">
        <v>44561</v>
      </c>
      <c r="BC543" s="5">
        <v>44545</v>
      </c>
      <c r="BD543" s="5">
        <v>44545</v>
      </c>
      <c r="BE543" s="7">
        <v>44561</v>
      </c>
      <c r="BF543" s="1" t="s">
        <v>2170</v>
      </c>
      <c r="BG543" s="1"/>
      <c r="BH543" s="1"/>
      <c r="BI543" s="1" t="s">
        <v>932</v>
      </c>
    </row>
    <row r="544" spans="1:61" hidden="1" x14ac:dyDescent="0.25">
      <c r="A544" s="4">
        <v>539</v>
      </c>
      <c r="B544" s="2" t="str">
        <f>HYPERLINK("https://my.zakupivli.pro/remote/dispatcher/state_purchase_view/32560867", "UA-2021-12-03-009419-c")</f>
        <v>UA-2021-12-03-009419-c</v>
      </c>
      <c r="C544" s="2" t="s">
        <v>1516</v>
      </c>
      <c r="D544" s="1" t="s">
        <v>2013</v>
      </c>
      <c r="E544" s="1" t="s">
        <v>1502</v>
      </c>
      <c r="F544" s="1" t="s">
        <v>298</v>
      </c>
      <c r="G544" s="1" t="s">
        <v>756</v>
      </c>
      <c r="H544" s="1" t="s">
        <v>1218</v>
      </c>
      <c r="I544" s="1" t="s">
        <v>2094</v>
      </c>
      <c r="J544" s="1" t="s">
        <v>1145</v>
      </c>
      <c r="K544" s="1" t="s">
        <v>947</v>
      </c>
      <c r="L544" s="1" t="s">
        <v>1533</v>
      </c>
      <c r="M544" s="1" t="s">
        <v>1534</v>
      </c>
      <c r="N544" s="1" t="s">
        <v>110</v>
      </c>
      <c r="O544" s="1" t="s">
        <v>110</v>
      </c>
      <c r="P544" s="1" t="s">
        <v>110</v>
      </c>
      <c r="Q544" s="5">
        <v>44533</v>
      </c>
      <c r="R544" s="1"/>
      <c r="S544" s="1"/>
      <c r="T544" s="1"/>
      <c r="U544" s="1"/>
      <c r="V544" s="1" t="s">
        <v>2146</v>
      </c>
      <c r="W544" s="4">
        <v>1</v>
      </c>
      <c r="X544" s="6">
        <v>2120</v>
      </c>
      <c r="Y544" s="1" t="s">
        <v>1516</v>
      </c>
      <c r="Z544" s="1">
        <v>7</v>
      </c>
      <c r="AA544" s="6">
        <v>302.86</v>
      </c>
      <c r="AB544" s="1" t="s">
        <v>2157</v>
      </c>
      <c r="AC544" s="1" t="s">
        <v>2162</v>
      </c>
      <c r="AD544" s="1" t="s">
        <v>1100</v>
      </c>
      <c r="AE544" s="1" t="s">
        <v>1522</v>
      </c>
      <c r="AF544" s="1" t="s">
        <v>1186</v>
      </c>
      <c r="AG544" s="1" t="s">
        <v>1522</v>
      </c>
      <c r="AH544" s="6">
        <v>2120</v>
      </c>
      <c r="AI544" s="6">
        <v>302.85714285714283</v>
      </c>
      <c r="AJ544" s="1" t="s">
        <v>2140</v>
      </c>
      <c r="AK544" s="1"/>
      <c r="AL544" s="1"/>
      <c r="AM544" s="1" t="s">
        <v>2140</v>
      </c>
      <c r="AN544" s="1" t="s">
        <v>764</v>
      </c>
      <c r="AO544" s="1"/>
      <c r="AP544" s="1" t="s">
        <v>121</v>
      </c>
      <c r="AQ544" s="1"/>
      <c r="AR544" s="1"/>
      <c r="AS544" s="2"/>
      <c r="AT544" s="1"/>
      <c r="AU544" s="1"/>
      <c r="AV544" s="1"/>
      <c r="AW544" s="1" t="s">
        <v>2152</v>
      </c>
      <c r="AX544" s="7">
        <v>44533.586397203413</v>
      </c>
      <c r="AY544" s="1" t="s">
        <v>1044</v>
      </c>
      <c r="AZ544" s="6">
        <v>2120</v>
      </c>
      <c r="BA544" s="1"/>
      <c r="BB544" s="5">
        <v>44561</v>
      </c>
      <c r="BC544" s="5">
        <v>44533</v>
      </c>
      <c r="BD544" s="5">
        <v>44533</v>
      </c>
      <c r="BE544" s="7">
        <v>44561</v>
      </c>
      <c r="BF544" s="1" t="s">
        <v>2170</v>
      </c>
      <c r="BG544" s="1"/>
      <c r="BH544" s="1"/>
      <c r="BI544" s="1" t="s">
        <v>108</v>
      </c>
    </row>
    <row r="545" spans="1:61" hidden="1" x14ac:dyDescent="0.25">
      <c r="A545" s="4">
        <v>540</v>
      </c>
      <c r="B545" s="2" t="str">
        <f>HYPERLINK("https://my.zakupivli.pro/remote/dispatcher/state_purchase_view/32558844", "UA-2021-12-03-008865-c")</f>
        <v>UA-2021-12-03-008865-c</v>
      </c>
      <c r="C545" s="2" t="s">
        <v>1516</v>
      </c>
      <c r="D545" s="1" t="s">
        <v>1153</v>
      </c>
      <c r="E545" s="1" t="s">
        <v>2137</v>
      </c>
      <c r="F545" s="1" t="s">
        <v>298</v>
      </c>
      <c r="G545" s="1" t="s">
        <v>841</v>
      </c>
      <c r="H545" s="1" t="s">
        <v>1218</v>
      </c>
      <c r="I545" s="1" t="s">
        <v>2094</v>
      </c>
      <c r="J545" s="1" t="s">
        <v>1145</v>
      </c>
      <c r="K545" s="1" t="s">
        <v>947</v>
      </c>
      <c r="L545" s="1" t="s">
        <v>1533</v>
      </c>
      <c r="M545" s="1" t="s">
        <v>1534</v>
      </c>
      <c r="N545" s="1" t="s">
        <v>110</v>
      </c>
      <c r="O545" s="1" t="s">
        <v>110</v>
      </c>
      <c r="P545" s="1" t="s">
        <v>110</v>
      </c>
      <c r="Q545" s="5">
        <v>44533</v>
      </c>
      <c r="R545" s="1"/>
      <c r="S545" s="1"/>
      <c r="T545" s="1"/>
      <c r="U545" s="1"/>
      <c r="V545" s="1" t="s">
        <v>2146</v>
      </c>
      <c r="W545" s="4">
        <v>1</v>
      </c>
      <c r="X545" s="6">
        <v>800</v>
      </c>
      <c r="Y545" s="1" t="s">
        <v>1516</v>
      </c>
      <c r="Z545" s="1">
        <v>6</v>
      </c>
      <c r="AA545" s="6">
        <v>133.33000000000001</v>
      </c>
      <c r="AB545" s="1" t="s">
        <v>2157</v>
      </c>
      <c r="AC545" s="1" t="s">
        <v>2162</v>
      </c>
      <c r="AD545" s="1" t="s">
        <v>1100</v>
      </c>
      <c r="AE545" s="1" t="s">
        <v>1522</v>
      </c>
      <c r="AF545" s="1" t="s">
        <v>1186</v>
      </c>
      <c r="AG545" s="1" t="s">
        <v>1522</v>
      </c>
      <c r="AH545" s="6">
        <v>800</v>
      </c>
      <c r="AI545" s="6">
        <v>133.33333333333334</v>
      </c>
      <c r="AJ545" s="1" t="s">
        <v>2140</v>
      </c>
      <c r="AK545" s="1"/>
      <c r="AL545" s="1"/>
      <c r="AM545" s="1" t="s">
        <v>2140</v>
      </c>
      <c r="AN545" s="1" t="s">
        <v>764</v>
      </c>
      <c r="AO545" s="1"/>
      <c r="AP545" s="1" t="s">
        <v>121</v>
      </c>
      <c r="AQ545" s="1"/>
      <c r="AR545" s="1"/>
      <c r="AS545" s="2"/>
      <c r="AT545" s="1"/>
      <c r="AU545" s="1"/>
      <c r="AV545" s="1"/>
      <c r="AW545" s="1" t="s">
        <v>2152</v>
      </c>
      <c r="AX545" s="7">
        <v>44533.559497577466</v>
      </c>
      <c r="AY545" s="1" t="s">
        <v>1042</v>
      </c>
      <c r="AZ545" s="6">
        <v>800</v>
      </c>
      <c r="BA545" s="1"/>
      <c r="BB545" s="5">
        <v>44561</v>
      </c>
      <c r="BC545" s="5">
        <v>44533</v>
      </c>
      <c r="BD545" s="5">
        <v>44533</v>
      </c>
      <c r="BE545" s="7">
        <v>44561</v>
      </c>
      <c r="BF545" s="1" t="s">
        <v>2170</v>
      </c>
      <c r="BG545" s="1"/>
      <c r="BH545" s="1"/>
      <c r="BI545" s="1" t="s">
        <v>108</v>
      </c>
    </row>
    <row r="546" spans="1:61" hidden="1" x14ac:dyDescent="0.25">
      <c r="A546" s="4">
        <v>541</v>
      </c>
      <c r="B546" s="2" t="str">
        <f>HYPERLINK("https://my.zakupivli.pro/remote/dispatcher/state_purchase_view/32584557", "UA-2021-12-03-016548-c")</f>
        <v>UA-2021-12-03-016548-c</v>
      </c>
      <c r="C546" s="2" t="s">
        <v>1516</v>
      </c>
      <c r="D546" s="1" t="s">
        <v>1510</v>
      </c>
      <c r="E546" s="1" t="s">
        <v>1510</v>
      </c>
      <c r="F546" s="1" t="s">
        <v>298</v>
      </c>
      <c r="G546" s="1" t="s">
        <v>241</v>
      </c>
      <c r="H546" s="1" t="s">
        <v>2015</v>
      </c>
      <c r="I546" s="1" t="s">
        <v>2094</v>
      </c>
      <c r="J546" s="1" t="s">
        <v>1145</v>
      </c>
      <c r="K546" s="1" t="s">
        <v>947</v>
      </c>
      <c r="L546" s="1" t="s">
        <v>1533</v>
      </c>
      <c r="M546" s="1" t="s">
        <v>1534</v>
      </c>
      <c r="N546" s="1" t="s">
        <v>110</v>
      </c>
      <c r="O546" s="1" t="s">
        <v>110</v>
      </c>
      <c r="P546" s="1" t="s">
        <v>110</v>
      </c>
      <c r="Q546" s="5">
        <v>44533</v>
      </c>
      <c r="R546" s="1" t="s">
        <v>395</v>
      </c>
      <c r="S546" s="1" t="s">
        <v>399</v>
      </c>
      <c r="T546" s="5">
        <v>44539</v>
      </c>
      <c r="U546" s="5">
        <v>44544</v>
      </c>
      <c r="V546" s="1" t="s">
        <v>2147</v>
      </c>
      <c r="W546" s="4">
        <v>0</v>
      </c>
      <c r="X546" s="6">
        <v>6000</v>
      </c>
      <c r="Y546" s="1" t="s">
        <v>1516</v>
      </c>
      <c r="Z546" s="1">
        <v>1</v>
      </c>
      <c r="AA546" s="6">
        <v>6000</v>
      </c>
      <c r="AB546" s="1" t="s">
        <v>2175</v>
      </c>
      <c r="AC546" s="6">
        <v>30</v>
      </c>
      <c r="AD546" s="1" t="s">
        <v>1100</v>
      </c>
      <c r="AE546" s="1" t="s">
        <v>2094</v>
      </c>
      <c r="AF546" s="1" t="s">
        <v>1186</v>
      </c>
      <c r="AG546" s="1" t="s">
        <v>1522</v>
      </c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2"/>
      <c r="AT546" s="1"/>
      <c r="AU546" s="1"/>
      <c r="AV546" s="1"/>
      <c r="AW546" s="1" t="s">
        <v>2153</v>
      </c>
      <c r="AX546" s="7">
        <v>44544.000672348207</v>
      </c>
      <c r="AY546" s="1"/>
      <c r="AZ546" s="1"/>
      <c r="BA546" s="1"/>
      <c r="BB546" s="5">
        <v>44550</v>
      </c>
      <c r="BC546" s="1" t="s">
        <v>109</v>
      </c>
      <c r="BD546" s="1" t="s">
        <v>109</v>
      </c>
      <c r="BE546" s="1"/>
      <c r="BF546" s="1"/>
      <c r="BG546" s="1"/>
      <c r="BH546" s="1"/>
      <c r="BI546" s="1"/>
    </row>
    <row r="547" spans="1:61" hidden="1" x14ac:dyDescent="0.25">
      <c r="A547" s="4">
        <v>542</v>
      </c>
      <c r="B547" s="2" t="str">
        <f>HYPERLINK("https://my.zakupivli.pro/remote/dispatcher/state_purchase_view/32584006", "UA-2021-12-03-016409-c")</f>
        <v>UA-2021-12-03-016409-c</v>
      </c>
      <c r="C547" s="2" t="s">
        <v>1516</v>
      </c>
      <c r="D547" s="1" t="s">
        <v>1176</v>
      </c>
      <c r="E547" s="1" t="s">
        <v>1176</v>
      </c>
      <c r="F547" s="1" t="s">
        <v>298</v>
      </c>
      <c r="G547" s="1" t="s">
        <v>966</v>
      </c>
      <c r="H547" s="1" t="s">
        <v>2015</v>
      </c>
      <c r="I547" s="1" t="s">
        <v>2094</v>
      </c>
      <c r="J547" s="1" t="s">
        <v>1145</v>
      </c>
      <c r="K547" s="1" t="s">
        <v>947</v>
      </c>
      <c r="L547" s="1" t="s">
        <v>1533</v>
      </c>
      <c r="M547" s="1" t="s">
        <v>1534</v>
      </c>
      <c r="N547" s="1" t="s">
        <v>110</v>
      </c>
      <c r="O547" s="1" t="s">
        <v>110</v>
      </c>
      <c r="P547" s="1" t="s">
        <v>110</v>
      </c>
      <c r="Q547" s="5">
        <v>44533</v>
      </c>
      <c r="R547" s="1" t="s">
        <v>395</v>
      </c>
      <c r="S547" s="1" t="s">
        <v>399</v>
      </c>
      <c r="T547" s="5">
        <v>44539</v>
      </c>
      <c r="U547" s="5">
        <v>44544</v>
      </c>
      <c r="V547" s="1" t="s">
        <v>2147</v>
      </c>
      <c r="W547" s="4">
        <v>1</v>
      </c>
      <c r="X547" s="6">
        <v>110000</v>
      </c>
      <c r="Y547" s="1" t="s">
        <v>1516</v>
      </c>
      <c r="Z547" s="1">
        <v>1</v>
      </c>
      <c r="AA547" s="6">
        <v>110000</v>
      </c>
      <c r="AB547" s="1" t="s">
        <v>2167</v>
      </c>
      <c r="AC547" s="6">
        <v>550</v>
      </c>
      <c r="AD547" s="1" t="s">
        <v>1100</v>
      </c>
      <c r="AE547" s="1" t="s">
        <v>2094</v>
      </c>
      <c r="AF547" s="1" t="s">
        <v>1186</v>
      </c>
      <c r="AG547" s="1" t="s">
        <v>1522</v>
      </c>
      <c r="AH547" s="6">
        <v>109744.27</v>
      </c>
      <c r="AI547" s="6">
        <v>109744.27</v>
      </c>
      <c r="AJ547" s="1" t="s">
        <v>2035</v>
      </c>
      <c r="AK547" s="6">
        <v>255.72999999999593</v>
      </c>
      <c r="AL547" s="6">
        <v>2.3248181818181449E-3</v>
      </c>
      <c r="AM547" s="1" t="s">
        <v>2035</v>
      </c>
      <c r="AN547" s="1" t="s">
        <v>916</v>
      </c>
      <c r="AO547" s="1" t="s">
        <v>1108</v>
      </c>
      <c r="AP547" s="1" t="s">
        <v>90</v>
      </c>
      <c r="AQ547" s="6">
        <v>255.72999999999593</v>
      </c>
      <c r="AR547" s="6">
        <v>2.3248181818181449E-3</v>
      </c>
      <c r="AS547" s="2"/>
      <c r="AT547" s="7">
        <v>44544.442048162637</v>
      </c>
      <c r="AU547" s="1" t="s">
        <v>403</v>
      </c>
      <c r="AV547" s="1" t="s">
        <v>413</v>
      </c>
      <c r="AW547" s="1" t="s">
        <v>2152</v>
      </c>
      <c r="AX547" s="7">
        <v>44545.463759752536</v>
      </c>
      <c r="AY547" s="1" t="s">
        <v>158</v>
      </c>
      <c r="AZ547" s="6">
        <v>109744.27</v>
      </c>
      <c r="BA547" s="1"/>
      <c r="BB547" s="5">
        <v>44561</v>
      </c>
      <c r="BC547" s="5">
        <v>44545</v>
      </c>
      <c r="BD547" s="5">
        <v>44545</v>
      </c>
      <c r="BE547" s="7">
        <v>44561</v>
      </c>
      <c r="BF547" s="1" t="s">
        <v>2170</v>
      </c>
      <c r="BG547" s="1"/>
      <c r="BH547" s="1"/>
      <c r="BI547" s="1" t="s">
        <v>917</v>
      </c>
    </row>
    <row r="548" spans="1:61" hidden="1" x14ac:dyDescent="0.25">
      <c r="A548" s="4">
        <v>543</v>
      </c>
      <c r="B548" s="2" t="str">
        <f>HYPERLINK("https://my.zakupivli.pro/remote/dispatcher/state_purchase_view/32583922", "UA-2021-12-03-016382-c")</f>
        <v>UA-2021-12-03-016382-c</v>
      </c>
      <c r="C548" s="2" t="s">
        <v>1516</v>
      </c>
      <c r="D548" s="1" t="s">
        <v>1958</v>
      </c>
      <c r="E548" s="1" t="s">
        <v>1958</v>
      </c>
      <c r="F548" s="1" t="s">
        <v>298</v>
      </c>
      <c r="G548" s="1" t="s">
        <v>963</v>
      </c>
      <c r="H548" s="1" t="s">
        <v>2015</v>
      </c>
      <c r="I548" s="1" t="s">
        <v>2094</v>
      </c>
      <c r="J548" s="1" t="s">
        <v>1145</v>
      </c>
      <c r="K548" s="1" t="s">
        <v>947</v>
      </c>
      <c r="L548" s="1" t="s">
        <v>1533</v>
      </c>
      <c r="M548" s="1" t="s">
        <v>1534</v>
      </c>
      <c r="N548" s="1" t="s">
        <v>110</v>
      </c>
      <c r="O548" s="1" t="s">
        <v>110</v>
      </c>
      <c r="P548" s="1" t="s">
        <v>110</v>
      </c>
      <c r="Q548" s="5">
        <v>44533</v>
      </c>
      <c r="R548" s="1" t="s">
        <v>395</v>
      </c>
      <c r="S548" s="1" t="s">
        <v>399</v>
      </c>
      <c r="T548" s="5">
        <v>44539</v>
      </c>
      <c r="U548" s="5">
        <v>44544</v>
      </c>
      <c r="V548" s="1" t="s">
        <v>2147</v>
      </c>
      <c r="W548" s="4">
        <v>1</v>
      </c>
      <c r="X548" s="6">
        <v>77500</v>
      </c>
      <c r="Y548" s="1" t="s">
        <v>1516</v>
      </c>
      <c r="Z548" s="1">
        <v>1</v>
      </c>
      <c r="AA548" s="6">
        <v>77500</v>
      </c>
      <c r="AB548" s="1" t="s">
        <v>2167</v>
      </c>
      <c r="AC548" s="6">
        <v>388</v>
      </c>
      <c r="AD548" s="1" t="s">
        <v>1100</v>
      </c>
      <c r="AE548" s="1" t="s">
        <v>2094</v>
      </c>
      <c r="AF548" s="1" t="s">
        <v>1186</v>
      </c>
      <c r="AG548" s="1" t="s">
        <v>1522</v>
      </c>
      <c r="AH548" s="6">
        <v>77500</v>
      </c>
      <c r="AI548" s="6">
        <v>77500</v>
      </c>
      <c r="AJ548" s="1" t="s">
        <v>2029</v>
      </c>
      <c r="AK548" s="1"/>
      <c r="AL548" s="1"/>
      <c r="AM548" s="1" t="s">
        <v>2029</v>
      </c>
      <c r="AN548" s="1" t="s">
        <v>931</v>
      </c>
      <c r="AO548" s="1" t="s">
        <v>1112</v>
      </c>
      <c r="AP548" s="1" t="s">
        <v>78</v>
      </c>
      <c r="AQ548" s="1"/>
      <c r="AR548" s="1"/>
      <c r="AS548" s="2"/>
      <c r="AT548" s="7">
        <v>44544.69265991568</v>
      </c>
      <c r="AU548" s="1" t="s">
        <v>403</v>
      </c>
      <c r="AV548" s="1" t="s">
        <v>413</v>
      </c>
      <c r="AW548" s="1" t="s">
        <v>2152</v>
      </c>
      <c r="AX548" s="7">
        <v>44547.727693521781</v>
      </c>
      <c r="AY548" s="1" t="s">
        <v>165</v>
      </c>
      <c r="AZ548" s="6">
        <v>77500</v>
      </c>
      <c r="BA548" s="1"/>
      <c r="BB548" s="5">
        <v>44561</v>
      </c>
      <c r="BC548" s="5">
        <v>44545</v>
      </c>
      <c r="BD548" s="5">
        <v>44545</v>
      </c>
      <c r="BE548" s="7">
        <v>44561</v>
      </c>
      <c r="BF548" s="1" t="s">
        <v>2170</v>
      </c>
      <c r="BG548" s="1"/>
      <c r="BH548" s="1"/>
      <c r="BI548" s="1" t="s">
        <v>932</v>
      </c>
    </row>
    <row r="549" spans="1:61" hidden="1" x14ac:dyDescent="0.25">
      <c r="A549" s="4">
        <v>544</v>
      </c>
      <c r="B549" s="2" t="str">
        <f>HYPERLINK("https://my.zakupivli.pro/remote/dispatcher/state_purchase_view/32583838", "UA-2021-12-03-016357-c")</f>
        <v>UA-2021-12-03-016357-c</v>
      </c>
      <c r="C549" s="2" t="s">
        <v>1516</v>
      </c>
      <c r="D549" s="1" t="s">
        <v>1921</v>
      </c>
      <c r="E549" s="1" t="s">
        <v>1921</v>
      </c>
      <c r="F549" s="1" t="s">
        <v>298</v>
      </c>
      <c r="G549" s="1" t="s">
        <v>963</v>
      </c>
      <c r="H549" s="1" t="s">
        <v>2015</v>
      </c>
      <c r="I549" s="1" t="s">
        <v>2094</v>
      </c>
      <c r="J549" s="1" t="s">
        <v>1145</v>
      </c>
      <c r="K549" s="1" t="s">
        <v>947</v>
      </c>
      <c r="L549" s="1" t="s">
        <v>1533</v>
      </c>
      <c r="M549" s="1" t="s">
        <v>1534</v>
      </c>
      <c r="N549" s="1" t="s">
        <v>110</v>
      </c>
      <c r="O549" s="1" t="s">
        <v>110</v>
      </c>
      <c r="P549" s="1" t="s">
        <v>110</v>
      </c>
      <c r="Q549" s="5">
        <v>44533</v>
      </c>
      <c r="R549" s="1" t="s">
        <v>395</v>
      </c>
      <c r="S549" s="1" t="s">
        <v>399</v>
      </c>
      <c r="T549" s="5">
        <v>44539</v>
      </c>
      <c r="U549" s="5">
        <v>44544</v>
      </c>
      <c r="V549" s="1" t="s">
        <v>2147</v>
      </c>
      <c r="W549" s="4">
        <v>1</v>
      </c>
      <c r="X549" s="6">
        <v>199950</v>
      </c>
      <c r="Y549" s="1" t="s">
        <v>1516</v>
      </c>
      <c r="Z549" s="1">
        <v>1</v>
      </c>
      <c r="AA549" s="6">
        <v>199950</v>
      </c>
      <c r="AB549" s="1" t="s">
        <v>2167</v>
      </c>
      <c r="AC549" s="6">
        <v>1000</v>
      </c>
      <c r="AD549" s="1" t="s">
        <v>1100</v>
      </c>
      <c r="AE549" s="1" t="s">
        <v>2094</v>
      </c>
      <c r="AF549" s="1" t="s">
        <v>1186</v>
      </c>
      <c r="AG549" s="1" t="s">
        <v>1522</v>
      </c>
      <c r="AH549" s="6">
        <v>199950</v>
      </c>
      <c r="AI549" s="6">
        <v>199950</v>
      </c>
      <c r="AJ549" s="1" t="s">
        <v>2029</v>
      </c>
      <c r="AK549" s="1"/>
      <c r="AL549" s="1"/>
      <c r="AM549" s="1" t="s">
        <v>2029</v>
      </c>
      <c r="AN549" s="1" t="s">
        <v>931</v>
      </c>
      <c r="AO549" s="1" t="s">
        <v>1112</v>
      </c>
      <c r="AP549" s="1" t="s">
        <v>78</v>
      </c>
      <c r="AQ549" s="1"/>
      <c r="AR549" s="1"/>
      <c r="AS549" s="2"/>
      <c r="AT549" s="7">
        <v>44544.702477487648</v>
      </c>
      <c r="AU549" s="1" t="s">
        <v>403</v>
      </c>
      <c r="AV549" s="1" t="s">
        <v>413</v>
      </c>
      <c r="AW549" s="1" t="s">
        <v>2152</v>
      </c>
      <c r="AX549" s="7">
        <v>44547.72259484708</v>
      </c>
      <c r="AY549" s="1" t="s">
        <v>164</v>
      </c>
      <c r="AZ549" s="6">
        <v>199950</v>
      </c>
      <c r="BA549" s="1"/>
      <c r="BB549" s="5">
        <v>44561</v>
      </c>
      <c r="BC549" s="5">
        <v>44545</v>
      </c>
      <c r="BD549" s="5">
        <v>44545</v>
      </c>
      <c r="BE549" s="7">
        <v>44561</v>
      </c>
      <c r="BF549" s="1" t="s">
        <v>2170</v>
      </c>
      <c r="BG549" s="1"/>
      <c r="BH549" s="1"/>
      <c r="BI549" s="1" t="s">
        <v>932</v>
      </c>
    </row>
    <row r="550" spans="1:61" hidden="1" x14ac:dyDescent="0.25">
      <c r="A550" s="4">
        <v>545</v>
      </c>
      <c r="B550" s="2" t="str">
        <f>HYPERLINK("https://my.zakupivli.pro/remote/dispatcher/state_purchase_view/32583759", "UA-2021-12-03-016329-c")</f>
        <v>UA-2021-12-03-016329-c</v>
      </c>
      <c r="C550" s="2" t="s">
        <v>1516</v>
      </c>
      <c r="D550" s="1" t="s">
        <v>1957</v>
      </c>
      <c r="E550" s="1" t="s">
        <v>1957</v>
      </c>
      <c r="F550" s="1" t="s">
        <v>298</v>
      </c>
      <c r="G550" s="1" t="s">
        <v>974</v>
      </c>
      <c r="H550" s="1" t="s">
        <v>2015</v>
      </c>
      <c r="I550" s="1" t="s">
        <v>2094</v>
      </c>
      <c r="J550" s="1" t="s">
        <v>1145</v>
      </c>
      <c r="K550" s="1" t="s">
        <v>947</v>
      </c>
      <c r="L550" s="1" t="s">
        <v>1533</v>
      </c>
      <c r="M550" s="1" t="s">
        <v>1534</v>
      </c>
      <c r="N550" s="1" t="s">
        <v>110</v>
      </c>
      <c r="O550" s="1" t="s">
        <v>110</v>
      </c>
      <c r="P550" s="1" t="s">
        <v>110</v>
      </c>
      <c r="Q550" s="5">
        <v>44533</v>
      </c>
      <c r="R550" s="1" t="s">
        <v>395</v>
      </c>
      <c r="S550" s="1" t="s">
        <v>399</v>
      </c>
      <c r="T550" s="5">
        <v>44539</v>
      </c>
      <c r="U550" s="5">
        <v>44544</v>
      </c>
      <c r="V550" s="1" t="s">
        <v>2147</v>
      </c>
      <c r="W550" s="4">
        <v>1</v>
      </c>
      <c r="X550" s="6">
        <v>101500</v>
      </c>
      <c r="Y550" s="1" t="s">
        <v>1516</v>
      </c>
      <c r="Z550" s="1">
        <v>1</v>
      </c>
      <c r="AA550" s="6">
        <v>101500</v>
      </c>
      <c r="AB550" s="1" t="s">
        <v>2167</v>
      </c>
      <c r="AC550" s="6">
        <v>508</v>
      </c>
      <c r="AD550" s="1" t="s">
        <v>1100</v>
      </c>
      <c r="AE550" s="1" t="s">
        <v>2094</v>
      </c>
      <c r="AF550" s="1" t="s">
        <v>1186</v>
      </c>
      <c r="AG550" s="1" t="s">
        <v>1522</v>
      </c>
      <c r="AH550" s="6">
        <v>101500</v>
      </c>
      <c r="AI550" s="6">
        <v>101500</v>
      </c>
      <c r="AJ550" s="1" t="s">
        <v>2029</v>
      </c>
      <c r="AK550" s="1"/>
      <c r="AL550" s="1"/>
      <c r="AM550" s="1" t="s">
        <v>2029</v>
      </c>
      <c r="AN550" s="1" t="s">
        <v>931</v>
      </c>
      <c r="AO550" s="1" t="s">
        <v>1112</v>
      </c>
      <c r="AP550" s="1" t="s">
        <v>78</v>
      </c>
      <c r="AQ550" s="1"/>
      <c r="AR550" s="1"/>
      <c r="AS550" s="2"/>
      <c r="AT550" s="7">
        <v>44544.701059928579</v>
      </c>
      <c r="AU550" s="1" t="s">
        <v>403</v>
      </c>
      <c r="AV550" s="1" t="s">
        <v>413</v>
      </c>
      <c r="AW550" s="1" t="s">
        <v>2152</v>
      </c>
      <c r="AX550" s="7">
        <v>44547.732675366839</v>
      </c>
      <c r="AY550" s="1" t="s">
        <v>169</v>
      </c>
      <c r="AZ550" s="6">
        <v>101500</v>
      </c>
      <c r="BA550" s="1"/>
      <c r="BB550" s="5">
        <v>44561</v>
      </c>
      <c r="BC550" s="5">
        <v>44545</v>
      </c>
      <c r="BD550" s="5">
        <v>44545</v>
      </c>
      <c r="BE550" s="7">
        <v>44561</v>
      </c>
      <c r="BF550" s="1" t="s">
        <v>2170</v>
      </c>
      <c r="BG550" s="1"/>
      <c r="BH550" s="1"/>
      <c r="BI550" s="1" t="s">
        <v>932</v>
      </c>
    </row>
    <row r="551" spans="1:61" hidden="1" x14ac:dyDescent="0.25">
      <c r="A551" s="4">
        <v>546</v>
      </c>
      <c r="B551" s="2" t="str">
        <f>HYPERLINK("https://my.zakupivli.pro/remote/dispatcher/state_purchase_view/32583618", "UA-2021-12-03-016298-c")</f>
        <v>UA-2021-12-03-016298-c</v>
      </c>
      <c r="C551" s="2" t="s">
        <v>1516</v>
      </c>
      <c r="D551" s="1" t="s">
        <v>1920</v>
      </c>
      <c r="E551" s="1" t="s">
        <v>1920</v>
      </c>
      <c r="F551" s="1" t="s">
        <v>298</v>
      </c>
      <c r="G551" s="1" t="s">
        <v>963</v>
      </c>
      <c r="H551" s="1" t="s">
        <v>2015</v>
      </c>
      <c r="I551" s="1" t="s">
        <v>2094</v>
      </c>
      <c r="J551" s="1" t="s">
        <v>1145</v>
      </c>
      <c r="K551" s="1" t="s">
        <v>947</v>
      </c>
      <c r="L551" s="1" t="s">
        <v>1533</v>
      </c>
      <c r="M551" s="1" t="s">
        <v>1534</v>
      </c>
      <c r="N551" s="1" t="s">
        <v>110</v>
      </c>
      <c r="O551" s="1" t="s">
        <v>110</v>
      </c>
      <c r="P551" s="1" t="s">
        <v>110</v>
      </c>
      <c r="Q551" s="5">
        <v>44533</v>
      </c>
      <c r="R551" s="1" t="s">
        <v>395</v>
      </c>
      <c r="S551" s="1" t="s">
        <v>399</v>
      </c>
      <c r="T551" s="5">
        <v>44539</v>
      </c>
      <c r="U551" s="5">
        <v>44544</v>
      </c>
      <c r="V551" s="1" t="s">
        <v>2147</v>
      </c>
      <c r="W551" s="4">
        <v>1</v>
      </c>
      <c r="X551" s="6">
        <v>199990</v>
      </c>
      <c r="Y551" s="1" t="s">
        <v>1516</v>
      </c>
      <c r="Z551" s="1">
        <v>1</v>
      </c>
      <c r="AA551" s="6">
        <v>199990</v>
      </c>
      <c r="AB551" s="1" t="s">
        <v>2167</v>
      </c>
      <c r="AC551" s="6">
        <v>1000</v>
      </c>
      <c r="AD551" s="1" t="s">
        <v>1100</v>
      </c>
      <c r="AE551" s="1" t="s">
        <v>2094</v>
      </c>
      <c r="AF551" s="1" t="s">
        <v>1186</v>
      </c>
      <c r="AG551" s="1" t="s">
        <v>1522</v>
      </c>
      <c r="AH551" s="6">
        <v>199990</v>
      </c>
      <c r="AI551" s="6">
        <v>199990</v>
      </c>
      <c r="AJ551" s="1" t="s">
        <v>2029</v>
      </c>
      <c r="AK551" s="1"/>
      <c r="AL551" s="1"/>
      <c r="AM551" s="1" t="s">
        <v>2029</v>
      </c>
      <c r="AN551" s="1" t="s">
        <v>931</v>
      </c>
      <c r="AO551" s="1" t="s">
        <v>1112</v>
      </c>
      <c r="AP551" s="1" t="s">
        <v>78</v>
      </c>
      <c r="AQ551" s="1"/>
      <c r="AR551" s="1"/>
      <c r="AS551" s="2"/>
      <c r="AT551" s="7">
        <v>44544.705828643637</v>
      </c>
      <c r="AU551" s="1" t="s">
        <v>403</v>
      </c>
      <c r="AV551" s="1" t="s">
        <v>413</v>
      </c>
      <c r="AW551" s="1" t="s">
        <v>2152</v>
      </c>
      <c r="AX551" s="7">
        <v>44547.745413754004</v>
      </c>
      <c r="AY551" s="1" t="s">
        <v>170</v>
      </c>
      <c r="AZ551" s="6">
        <v>199990</v>
      </c>
      <c r="BA551" s="1"/>
      <c r="BB551" s="5">
        <v>44561</v>
      </c>
      <c r="BC551" s="5">
        <v>44545</v>
      </c>
      <c r="BD551" s="5">
        <v>44545</v>
      </c>
      <c r="BE551" s="7">
        <v>44561</v>
      </c>
      <c r="BF551" s="1" t="s">
        <v>2170</v>
      </c>
      <c r="BG551" s="1"/>
      <c r="BH551" s="1"/>
      <c r="BI551" s="1" t="s">
        <v>932</v>
      </c>
    </row>
    <row r="552" spans="1:61" hidden="1" x14ac:dyDescent="0.25">
      <c r="A552" s="4">
        <v>547</v>
      </c>
      <c r="B552" s="2" t="str">
        <f>HYPERLINK("https://my.zakupivli.pro/remote/dispatcher/state_purchase_view/32583514", "UA-2021-12-03-016259-c")</f>
        <v>UA-2021-12-03-016259-c</v>
      </c>
      <c r="C552" s="2" t="s">
        <v>1516</v>
      </c>
      <c r="D552" s="1" t="s">
        <v>1947</v>
      </c>
      <c r="E552" s="1" t="s">
        <v>1947</v>
      </c>
      <c r="F552" s="1" t="s">
        <v>298</v>
      </c>
      <c r="G552" s="1" t="s">
        <v>974</v>
      </c>
      <c r="H552" s="1" t="s">
        <v>2015</v>
      </c>
      <c r="I552" s="1" t="s">
        <v>2094</v>
      </c>
      <c r="J552" s="1" t="s">
        <v>1145</v>
      </c>
      <c r="K552" s="1" t="s">
        <v>947</v>
      </c>
      <c r="L552" s="1" t="s">
        <v>1533</v>
      </c>
      <c r="M552" s="1" t="s">
        <v>1534</v>
      </c>
      <c r="N552" s="1" t="s">
        <v>110</v>
      </c>
      <c r="O552" s="1" t="s">
        <v>110</v>
      </c>
      <c r="P552" s="1" t="s">
        <v>110</v>
      </c>
      <c r="Q552" s="5">
        <v>44533</v>
      </c>
      <c r="R552" s="1" t="s">
        <v>395</v>
      </c>
      <c r="S552" s="1" t="s">
        <v>399</v>
      </c>
      <c r="T552" s="5">
        <v>44539</v>
      </c>
      <c r="U552" s="5">
        <v>44544</v>
      </c>
      <c r="V552" s="1" t="s">
        <v>2147</v>
      </c>
      <c r="W552" s="4">
        <v>1</v>
      </c>
      <c r="X552" s="6">
        <v>65200</v>
      </c>
      <c r="Y552" s="1" t="s">
        <v>1516</v>
      </c>
      <c r="Z552" s="1">
        <v>1</v>
      </c>
      <c r="AA552" s="6">
        <v>65200</v>
      </c>
      <c r="AB552" s="1" t="s">
        <v>2167</v>
      </c>
      <c r="AC552" s="6">
        <v>326</v>
      </c>
      <c r="AD552" s="1" t="s">
        <v>1100</v>
      </c>
      <c r="AE552" s="1" t="s">
        <v>2094</v>
      </c>
      <c r="AF552" s="1" t="s">
        <v>1186</v>
      </c>
      <c r="AG552" s="1" t="s">
        <v>1522</v>
      </c>
      <c r="AH552" s="6">
        <v>65200</v>
      </c>
      <c r="AI552" s="6">
        <v>65200</v>
      </c>
      <c r="AJ552" s="1" t="s">
        <v>2029</v>
      </c>
      <c r="AK552" s="1"/>
      <c r="AL552" s="1"/>
      <c r="AM552" s="1" t="s">
        <v>2029</v>
      </c>
      <c r="AN552" s="1" t="s">
        <v>931</v>
      </c>
      <c r="AO552" s="1" t="s">
        <v>1112</v>
      </c>
      <c r="AP552" s="1" t="s">
        <v>78</v>
      </c>
      <c r="AQ552" s="1"/>
      <c r="AR552" s="1"/>
      <c r="AS552" s="2"/>
      <c r="AT552" s="7">
        <v>44544.709281648182</v>
      </c>
      <c r="AU552" s="1" t="s">
        <v>403</v>
      </c>
      <c r="AV552" s="1" t="s">
        <v>413</v>
      </c>
      <c r="AW552" s="1" t="s">
        <v>2152</v>
      </c>
      <c r="AX552" s="7">
        <v>44547.735092717456</v>
      </c>
      <c r="AY552" s="1" t="s">
        <v>171</v>
      </c>
      <c r="AZ552" s="6">
        <v>65200</v>
      </c>
      <c r="BA552" s="1"/>
      <c r="BB552" s="5">
        <v>44561</v>
      </c>
      <c r="BC552" s="5">
        <v>44545</v>
      </c>
      <c r="BD552" s="5">
        <v>44545</v>
      </c>
      <c r="BE552" s="7">
        <v>44561</v>
      </c>
      <c r="BF552" s="1" t="s">
        <v>2170</v>
      </c>
      <c r="BG552" s="1"/>
      <c r="BH552" s="1"/>
      <c r="BI552" s="1" t="s">
        <v>932</v>
      </c>
    </row>
    <row r="553" spans="1:61" hidden="1" x14ac:dyDescent="0.25">
      <c r="A553" s="4">
        <v>548</v>
      </c>
      <c r="B553" s="2" t="str">
        <f>HYPERLINK("https://my.zakupivli.pro/remote/dispatcher/state_purchase_view/32453209", "UA-2021-12-01-012279-c")</f>
        <v>UA-2021-12-01-012279-c</v>
      </c>
      <c r="C553" s="2" t="s">
        <v>1516</v>
      </c>
      <c r="D553" s="1" t="s">
        <v>1660</v>
      </c>
      <c r="E553" s="1" t="s">
        <v>1660</v>
      </c>
      <c r="F553" s="1" t="s">
        <v>298</v>
      </c>
      <c r="G553" s="1" t="s">
        <v>1021</v>
      </c>
      <c r="H553" s="1" t="s">
        <v>1218</v>
      </c>
      <c r="I553" s="1" t="s">
        <v>2094</v>
      </c>
      <c r="J553" s="1" t="s">
        <v>1145</v>
      </c>
      <c r="K553" s="1" t="s">
        <v>947</v>
      </c>
      <c r="L553" s="1" t="s">
        <v>1533</v>
      </c>
      <c r="M553" s="1" t="s">
        <v>1534</v>
      </c>
      <c r="N553" s="1" t="s">
        <v>110</v>
      </c>
      <c r="O553" s="1" t="s">
        <v>110</v>
      </c>
      <c r="P553" s="1" t="s">
        <v>110</v>
      </c>
      <c r="Q553" s="5">
        <v>44531</v>
      </c>
      <c r="R553" s="1"/>
      <c r="S553" s="1"/>
      <c r="T553" s="1"/>
      <c r="U553" s="1"/>
      <c r="V553" s="1" t="s">
        <v>2146</v>
      </c>
      <c r="W553" s="4">
        <v>1</v>
      </c>
      <c r="X553" s="6">
        <v>2966</v>
      </c>
      <c r="Y553" s="1" t="s">
        <v>1516</v>
      </c>
      <c r="Z553" s="1">
        <v>2</v>
      </c>
      <c r="AA553" s="6">
        <v>1483</v>
      </c>
      <c r="AB553" s="1" t="s">
        <v>2167</v>
      </c>
      <c r="AC553" s="1" t="s">
        <v>2162</v>
      </c>
      <c r="AD553" s="1" t="s">
        <v>1100</v>
      </c>
      <c r="AE553" s="1" t="s">
        <v>2094</v>
      </c>
      <c r="AF553" s="1" t="s">
        <v>1186</v>
      </c>
      <c r="AG553" s="1" t="s">
        <v>1522</v>
      </c>
      <c r="AH553" s="6">
        <v>2966</v>
      </c>
      <c r="AI553" s="6">
        <v>1483</v>
      </c>
      <c r="AJ553" s="1" t="s">
        <v>1147</v>
      </c>
      <c r="AK553" s="1"/>
      <c r="AL553" s="1"/>
      <c r="AM553" s="1" t="s">
        <v>1147</v>
      </c>
      <c r="AN553" s="1" t="s">
        <v>706</v>
      </c>
      <c r="AO553" s="1"/>
      <c r="AP553" s="1" t="s">
        <v>123</v>
      </c>
      <c r="AQ553" s="1"/>
      <c r="AR553" s="1"/>
      <c r="AS553" s="2"/>
      <c r="AT553" s="1"/>
      <c r="AU553" s="1"/>
      <c r="AV553" s="1"/>
      <c r="AW553" s="1" t="s">
        <v>2152</v>
      </c>
      <c r="AX553" s="7">
        <v>44531.673465647684</v>
      </c>
      <c r="AY553" s="1" t="s">
        <v>1067</v>
      </c>
      <c r="AZ553" s="6">
        <v>2966</v>
      </c>
      <c r="BA553" s="1"/>
      <c r="BB553" s="5">
        <v>44561</v>
      </c>
      <c r="BC553" s="5">
        <v>44530</v>
      </c>
      <c r="BD553" s="5">
        <v>44530</v>
      </c>
      <c r="BE553" s="7">
        <v>44561</v>
      </c>
      <c r="BF553" s="1" t="s">
        <v>2170</v>
      </c>
      <c r="BG553" s="1"/>
      <c r="BH553" s="1"/>
      <c r="BI553" s="1" t="s">
        <v>108</v>
      </c>
    </row>
    <row r="554" spans="1:61" hidden="1" x14ac:dyDescent="0.25">
      <c r="A554" s="4">
        <v>549</v>
      </c>
      <c r="B554" s="2" t="str">
        <f>HYPERLINK("https://my.zakupivli.pro/remote/dispatcher/state_purchase_view/32341872", "UA-2021-11-29-008644-c")</f>
        <v>UA-2021-11-29-008644-c</v>
      </c>
      <c r="C554" s="2" t="s">
        <v>1516</v>
      </c>
      <c r="D554" s="1" t="s">
        <v>1997</v>
      </c>
      <c r="E554" s="1" t="s">
        <v>1997</v>
      </c>
      <c r="F554" s="1" t="s">
        <v>298</v>
      </c>
      <c r="G554" s="1" t="s">
        <v>974</v>
      </c>
      <c r="H554" s="1" t="s">
        <v>2015</v>
      </c>
      <c r="I554" s="1" t="s">
        <v>2094</v>
      </c>
      <c r="J554" s="1" t="s">
        <v>1145</v>
      </c>
      <c r="K554" s="1" t="s">
        <v>947</v>
      </c>
      <c r="L554" s="1" t="s">
        <v>1533</v>
      </c>
      <c r="M554" s="1" t="s">
        <v>1534</v>
      </c>
      <c r="N554" s="1" t="s">
        <v>893</v>
      </c>
      <c r="O554" s="1" t="s">
        <v>110</v>
      </c>
      <c r="P554" s="1" t="s">
        <v>110</v>
      </c>
      <c r="Q554" s="5">
        <v>44529</v>
      </c>
      <c r="R554" s="1" t="s">
        <v>391</v>
      </c>
      <c r="S554" s="1" t="s">
        <v>395</v>
      </c>
      <c r="T554" s="5">
        <v>44533</v>
      </c>
      <c r="U554" s="5">
        <v>44538</v>
      </c>
      <c r="V554" s="1" t="s">
        <v>2147</v>
      </c>
      <c r="W554" s="4">
        <v>0</v>
      </c>
      <c r="X554" s="6">
        <v>199999</v>
      </c>
      <c r="Y554" s="1" t="s">
        <v>1516</v>
      </c>
      <c r="Z554" s="1">
        <v>1</v>
      </c>
      <c r="AA554" s="6">
        <v>199999</v>
      </c>
      <c r="AB554" s="1" t="s">
        <v>2167</v>
      </c>
      <c r="AC554" s="6">
        <v>1000</v>
      </c>
      <c r="AD554" s="1" t="s">
        <v>1100</v>
      </c>
      <c r="AE554" s="1" t="s">
        <v>2094</v>
      </c>
      <c r="AF554" s="1" t="s">
        <v>1186</v>
      </c>
      <c r="AG554" s="1" t="s">
        <v>1522</v>
      </c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2"/>
      <c r="AT554" s="1"/>
      <c r="AU554" s="1"/>
      <c r="AV554" s="1"/>
      <c r="AW554" s="1" t="s">
        <v>2171</v>
      </c>
      <c r="AX554" s="7">
        <v>44533.837421503915</v>
      </c>
      <c r="AY554" s="1"/>
      <c r="AZ554" s="1"/>
      <c r="BA554" s="1"/>
      <c r="BB554" s="5">
        <v>44561</v>
      </c>
      <c r="BC554" s="1" t="s">
        <v>109</v>
      </c>
      <c r="BD554" s="1" t="s">
        <v>109</v>
      </c>
      <c r="BE554" s="1"/>
      <c r="BF554" s="1"/>
      <c r="BG554" s="1" t="s">
        <v>1168</v>
      </c>
      <c r="BH554" s="1"/>
      <c r="BI554" s="1"/>
    </row>
    <row r="555" spans="1:61" hidden="1" x14ac:dyDescent="0.25">
      <c r="A555" s="4">
        <v>550</v>
      </c>
      <c r="B555" s="2" t="str">
        <f>HYPERLINK("https://my.zakupivli.pro/remote/dispatcher/state_purchase_view/32302995", "UA-2021-11-26-013971-a")</f>
        <v>UA-2021-11-26-013971-a</v>
      </c>
      <c r="C555" s="2" t="s">
        <v>1516</v>
      </c>
      <c r="D555" s="1" t="s">
        <v>1919</v>
      </c>
      <c r="E555" s="1" t="s">
        <v>1919</v>
      </c>
      <c r="F555" s="1" t="s">
        <v>298</v>
      </c>
      <c r="G555" s="1" t="s">
        <v>963</v>
      </c>
      <c r="H555" s="1" t="s">
        <v>1218</v>
      </c>
      <c r="I555" s="1" t="s">
        <v>2094</v>
      </c>
      <c r="J555" s="1" t="s">
        <v>1145</v>
      </c>
      <c r="K555" s="1" t="s">
        <v>947</v>
      </c>
      <c r="L555" s="1" t="s">
        <v>1533</v>
      </c>
      <c r="M555" s="1" t="s">
        <v>1534</v>
      </c>
      <c r="N555" s="1" t="s">
        <v>110</v>
      </c>
      <c r="O555" s="1" t="s">
        <v>110</v>
      </c>
      <c r="P555" s="1" t="s">
        <v>110</v>
      </c>
      <c r="Q555" s="5">
        <v>44526</v>
      </c>
      <c r="R555" s="1"/>
      <c r="S555" s="1"/>
      <c r="T555" s="1"/>
      <c r="U555" s="1"/>
      <c r="V555" s="1" t="s">
        <v>2146</v>
      </c>
      <c r="W555" s="4">
        <v>1</v>
      </c>
      <c r="X555" s="6">
        <v>49965.52</v>
      </c>
      <c r="Y555" s="1" t="s">
        <v>1516</v>
      </c>
      <c r="Z555" s="1">
        <v>1</v>
      </c>
      <c r="AA555" s="6">
        <v>49965.52</v>
      </c>
      <c r="AB555" s="1" t="s">
        <v>2167</v>
      </c>
      <c r="AC555" s="1" t="s">
        <v>2162</v>
      </c>
      <c r="AD555" s="1" t="s">
        <v>1100</v>
      </c>
      <c r="AE555" s="1" t="s">
        <v>2094</v>
      </c>
      <c r="AF555" s="1" t="s">
        <v>1186</v>
      </c>
      <c r="AG555" s="1" t="s">
        <v>1522</v>
      </c>
      <c r="AH555" s="6">
        <v>49965.52</v>
      </c>
      <c r="AI555" s="6">
        <v>49965.52</v>
      </c>
      <c r="AJ555" s="1" t="s">
        <v>2064</v>
      </c>
      <c r="AK555" s="1"/>
      <c r="AL555" s="1"/>
      <c r="AM555" s="1" t="s">
        <v>2064</v>
      </c>
      <c r="AN555" s="1" t="s">
        <v>937</v>
      </c>
      <c r="AO555" s="1"/>
      <c r="AP555" s="1" t="s">
        <v>129</v>
      </c>
      <c r="AQ555" s="1"/>
      <c r="AR555" s="1"/>
      <c r="AS555" s="2"/>
      <c r="AT555" s="1"/>
      <c r="AU555" s="1"/>
      <c r="AV555" s="1"/>
      <c r="AW555" s="1" t="s">
        <v>2152</v>
      </c>
      <c r="AX555" s="7">
        <v>44526.729224984141</v>
      </c>
      <c r="AY555" s="1" t="s">
        <v>1045</v>
      </c>
      <c r="AZ555" s="6">
        <v>49965.52</v>
      </c>
      <c r="BA555" s="1"/>
      <c r="BB555" s="5">
        <v>44561</v>
      </c>
      <c r="BC555" s="5">
        <v>44526</v>
      </c>
      <c r="BD555" s="5">
        <v>44526</v>
      </c>
      <c r="BE555" s="7">
        <v>44561</v>
      </c>
      <c r="BF555" s="1" t="s">
        <v>2170</v>
      </c>
      <c r="BG555" s="1"/>
      <c r="BH555" s="1"/>
      <c r="BI555" s="1" t="s">
        <v>108</v>
      </c>
    </row>
    <row r="556" spans="1:61" hidden="1" x14ac:dyDescent="0.25">
      <c r="A556" s="4">
        <v>551</v>
      </c>
      <c r="B556" s="2" t="str">
        <f>HYPERLINK("https://my.zakupivli.pro/remote/dispatcher/state_purchase_view/32291133", "UA-2021-11-26-011025-a")</f>
        <v>UA-2021-11-26-011025-a</v>
      </c>
      <c r="C556" s="2" t="s">
        <v>1516</v>
      </c>
      <c r="D556" s="1" t="s">
        <v>1557</v>
      </c>
      <c r="E556" s="1" t="s">
        <v>1558</v>
      </c>
      <c r="F556" s="1" t="s">
        <v>298</v>
      </c>
      <c r="G556" s="1" t="s">
        <v>145</v>
      </c>
      <c r="H556" s="1" t="s">
        <v>1563</v>
      </c>
      <c r="I556" s="1" t="s">
        <v>2094</v>
      </c>
      <c r="J556" s="1" t="s">
        <v>1145</v>
      </c>
      <c r="K556" s="1" t="s">
        <v>947</v>
      </c>
      <c r="L556" s="1" t="s">
        <v>1533</v>
      </c>
      <c r="M556" s="1" t="s">
        <v>1533</v>
      </c>
      <c r="N556" s="1" t="s">
        <v>110</v>
      </c>
      <c r="O556" s="1" t="s">
        <v>110</v>
      </c>
      <c r="P556" s="1" t="s">
        <v>110</v>
      </c>
      <c r="Q556" s="5">
        <v>44526</v>
      </c>
      <c r="R556" s="1"/>
      <c r="S556" s="1"/>
      <c r="T556" s="1"/>
      <c r="U556" s="1"/>
      <c r="V556" s="1" t="s">
        <v>2146</v>
      </c>
      <c r="W556" s="4">
        <v>1</v>
      </c>
      <c r="X556" s="6">
        <v>285290.88</v>
      </c>
      <c r="Y556" s="1" t="s">
        <v>1516</v>
      </c>
      <c r="Z556" s="1">
        <v>84</v>
      </c>
      <c r="AA556" s="6">
        <v>3396.32</v>
      </c>
      <c r="AB556" s="1" t="s">
        <v>2150</v>
      </c>
      <c r="AC556" s="1" t="s">
        <v>2162</v>
      </c>
      <c r="AD556" s="1" t="s">
        <v>1100</v>
      </c>
      <c r="AE556" s="1" t="s">
        <v>2094</v>
      </c>
      <c r="AF556" s="1" t="s">
        <v>1186</v>
      </c>
      <c r="AG556" s="1" t="s">
        <v>1522</v>
      </c>
      <c r="AH556" s="6">
        <v>285290.88</v>
      </c>
      <c r="AI556" s="6">
        <v>3396.32</v>
      </c>
      <c r="AJ556" s="1" t="s">
        <v>2062</v>
      </c>
      <c r="AK556" s="1"/>
      <c r="AL556" s="1"/>
      <c r="AM556" s="1" t="s">
        <v>2062</v>
      </c>
      <c r="AN556" s="1" t="s">
        <v>897</v>
      </c>
      <c r="AO556" s="1"/>
      <c r="AP556" s="1" t="s">
        <v>61</v>
      </c>
      <c r="AQ556" s="1"/>
      <c r="AR556" s="1"/>
      <c r="AS556" s="2"/>
      <c r="AT556" s="1"/>
      <c r="AU556" s="1" t="s">
        <v>394</v>
      </c>
      <c r="AV556" s="1" t="s">
        <v>405</v>
      </c>
      <c r="AW556" s="1" t="s">
        <v>2152</v>
      </c>
      <c r="AX556" s="7">
        <v>44538.620222879385</v>
      </c>
      <c r="AY556" s="1" t="s">
        <v>1148</v>
      </c>
      <c r="AZ556" s="6">
        <v>285290.88</v>
      </c>
      <c r="BA556" s="1"/>
      <c r="BB556" s="5">
        <v>44561</v>
      </c>
      <c r="BC556" s="5">
        <v>44538</v>
      </c>
      <c r="BD556" s="5">
        <v>44531</v>
      </c>
      <c r="BE556" s="7">
        <v>44561</v>
      </c>
      <c r="BF556" s="1" t="s">
        <v>2170</v>
      </c>
      <c r="BG556" s="1"/>
      <c r="BH556" s="1"/>
      <c r="BI556" s="1" t="s">
        <v>108</v>
      </c>
    </row>
    <row r="557" spans="1:61" hidden="1" x14ac:dyDescent="0.25">
      <c r="A557" s="4">
        <v>552</v>
      </c>
      <c r="B557" s="2" t="str">
        <f>HYPERLINK("https://my.zakupivli.pro/remote/dispatcher/state_purchase_view/32288477", "UA-2021-11-26-009816-a")</f>
        <v>UA-2021-11-26-009816-a</v>
      </c>
      <c r="C557" s="2" t="s">
        <v>1516</v>
      </c>
      <c r="D557" s="1" t="s">
        <v>1980</v>
      </c>
      <c r="E557" s="1" t="s">
        <v>1980</v>
      </c>
      <c r="F557" s="1" t="s">
        <v>298</v>
      </c>
      <c r="G557" s="1" t="s">
        <v>970</v>
      </c>
      <c r="H557" s="1" t="s">
        <v>2015</v>
      </c>
      <c r="I557" s="1" t="s">
        <v>2094</v>
      </c>
      <c r="J557" s="1" t="s">
        <v>1145</v>
      </c>
      <c r="K557" s="1" t="s">
        <v>947</v>
      </c>
      <c r="L557" s="1" t="s">
        <v>1533</v>
      </c>
      <c r="M557" s="1" t="s">
        <v>1534</v>
      </c>
      <c r="N557" s="1" t="s">
        <v>110</v>
      </c>
      <c r="O557" s="1" t="s">
        <v>110</v>
      </c>
      <c r="P557" s="1" t="s">
        <v>110</v>
      </c>
      <c r="Q557" s="5">
        <v>44526</v>
      </c>
      <c r="R557" s="1" t="s">
        <v>389</v>
      </c>
      <c r="S557" s="1" t="s">
        <v>394</v>
      </c>
      <c r="T557" s="5">
        <v>44532</v>
      </c>
      <c r="U557" s="5">
        <v>44537</v>
      </c>
      <c r="V557" s="1" t="s">
        <v>2147</v>
      </c>
      <c r="W557" s="4">
        <v>1</v>
      </c>
      <c r="X557" s="6">
        <v>165000</v>
      </c>
      <c r="Y557" s="1" t="s">
        <v>1516</v>
      </c>
      <c r="Z557" s="1">
        <v>1</v>
      </c>
      <c r="AA557" s="6">
        <v>165000</v>
      </c>
      <c r="AB557" s="1" t="s">
        <v>2167</v>
      </c>
      <c r="AC557" s="6">
        <v>825</v>
      </c>
      <c r="AD557" s="1" t="s">
        <v>1100</v>
      </c>
      <c r="AE557" s="1" t="s">
        <v>2094</v>
      </c>
      <c r="AF557" s="1" t="s">
        <v>1186</v>
      </c>
      <c r="AG557" s="1" t="s">
        <v>1522</v>
      </c>
      <c r="AH557" s="6">
        <v>165000</v>
      </c>
      <c r="AI557" s="6">
        <v>165000</v>
      </c>
      <c r="AJ557" s="1" t="s">
        <v>2031</v>
      </c>
      <c r="AK557" s="1"/>
      <c r="AL557" s="1"/>
      <c r="AM557" s="1" t="s">
        <v>2031</v>
      </c>
      <c r="AN557" s="1" t="s">
        <v>201</v>
      </c>
      <c r="AO557" s="1" t="s">
        <v>1101</v>
      </c>
      <c r="AP557" s="1" t="s">
        <v>59</v>
      </c>
      <c r="AQ557" s="1"/>
      <c r="AR557" s="1"/>
      <c r="AS557" s="2"/>
      <c r="AT557" s="7">
        <v>44537.450120053596</v>
      </c>
      <c r="AU557" s="1" t="s">
        <v>398</v>
      </c>
      <c r="AV557" s="1" t="s">
        <v>411</v>
      </c>
      <c r="AW557" s="1" t="s">
        <v>2152</v>
      </c>
      <c r="AX557" s="7">
        <v>44540.437383367607</v>
      </c>
      <c r="AY557" s="1" t="s">
        <v>1084</v>
      </c>
      <c r="AZ557" s="6">
        <v>165000</v>
      </c>
      <c r="BA557" s="1"/>
      <c r="BB557" s="5">
        <v>44561</v>
      </c>
      <c r="BC557" s="5">
        <v>44539</v>
      </c>
      <c r="BD557" s="5">
        <v>44539</v>
      </c>
      <c r="BE557" s="7">
        <v>44561</v>
      </c>
      <c r="BF557" s="1" t="s">
        <v>2170</v>
      </c>
      <c r="BG557" s="1"/>
      <c r="BH557" s="1"/>
      <c r="BI557" s="1" t="s">
        <v>202</v>
      </c>
    </row>
    <row r="558" spans="1:61" hidden="1" x14ac:dyDescent="0.25">
      <c r="A558" s="4">
        <v>553</v>
      </c>
      <c r="B558" s="2" t="str">
        <f>HYPERLINK("https://my.zakupivli.pro/remote/dispatcher/state_purchase_view/32301453", "UA-2021-11-26-013545-a")</f>
        <v>UA-2021-11-26-013545-a</v>
      </c>
      <c r="C558" s="2" t="s">
        <v>1516</v>
      </c>
      <c r="D558" s="1" t="s">
        <v>1644</v>
      </c>
      <c r="E558" s="1" t="s">
        <v>1644</v>
      </c>
      <c r="F558" s="1" t="s">
        <v>298</v>
      </c>
      <c r="G558" s="1" t="s">
        <v>966</v>
      </c>
      <c r="H558" s="1" t="s">
        <v>2015</v>
      </c>
      <c r="I558" s="1" t="s">
        <v>2094</v>
      </c>
      <c r="J558" s="1" t="s">
        <v>1145</v>
      </c>
      <c r="K558" s="1" t="s">
        <v>947</v>
      </c>
      <c r="L558" s="1" t="s">
        <v>1533</v>
      </c>
      <c r="M558" s="1" t="s">
        <v>1534</v>
      </c>
      <c r="N558" s="1" t="s">
        <v>110</v>
      </c>
      <c r="O558" s="1" t="s">
        <v>110</v>
      </c>
      <c r="P558" s="1" t="s">
        <v>110</v>
      </c>
      <c r="Q558" s="5">
        <v>44526</v>
      </c>
      <c r="R558" s="1" t="s">
        <v>389</v>
      </c>
      <c r="S558" s="1" t="s">
        <v>394</v>
      </c>
      <c r="T558" s="5">
        <v>44532</v>
      </c>
      <c r="U558" s="5">
        <v>44537</v>
      </c>
      <c r="V558" s="1" t="s">
        <v>2147</v>
      </c>
      <c r="W558" s="4">
        <v>1</v>
      </c>
      <c r="X558" s="6">
        <v>69000</v>
      </c>
      <c r="Y558" s="1" t="s">
        <v>1516</v>
      </c>
      <c r="Z558" s="1">
        <v>1</v>
      </c>
      <c r="AA558" s="6">
        <v>69000</v>
      </c>
      <c r="AB558" s="1" t="s">
        <v>2167</v>
      </c>
      <c r="AC558" s="6">
        <v>345</v>
      </c>
      <c r="AD558" s="1" t="s">
        <v>1100</v>
      </c>
      <c r="AE558" s="1" t="s">
        <v>2094</v>
      </c>
      <c r="AF558" s="1" t="s">
        <v>1186</v>
      </c>
      <c r="AG558" s="1" t="s">
        <v>1522</v>
      </c>
      <c r="AH558" s="6">
        <v>63144.53</v>
      </c>
      <c r="AI558" s="6">
        <v>63144.53</v>
      </c>
      <c r="AJ558" s="1" t="s">
        <v>2035</v>
      </c>
      <c r="AK558" s="6">
        <v>5855.4700000000012</v>
      </c>
      <c r="AL558" s="6">
        <v>8.4861884057971029E-2</v>
      </c>
      <c r="AM558" s="1"/>
      <c r="AN558" s="1"/>
      <c r="AO558" s="1"/>
      <c r="AP558" s="1"/>
      <c r="AQ558" s="1"/>
      <c r="AR558" s="1"/>
      <c r="AS558" s="2"/>
      <c r="AT558" s="7">
        <v>44537.6960927619</v>
      </c>
      <c r="AU558" s="1"/>
      <c r="AV558" s="1"/>
      <c r="AW558" s="1" t="s">
        <v>2153</v>
      </c>
      <c r="AX558" s="7">
        <v>44540.002790740102</v>
      </c>
      <c r="AY558" s="1"/>
      <c r="AZ558" s="1"/>
      <c r="BA558" s="1"/>
      <c r="BB558" s="5">
        <v>44561</v>
      </c>
      <c r="BC558" s="1" t="s">
        <v>109</v>
      </c>
      <c r="BD558" s="1" t="s">
        <v>109</v>
      </c>
      <c r="BE558" s="1"/>
      <c r="BF558" s="1"/>
      <c r="BG558" s="1"/>
      <c r="BH558" s="1"/>
      <c r="BI558" s="1" t="s">
        <v>917</v>
      </c>
    </row>
    <row r="559" spans="1:61" hidden="1" x14ac:dyDescent="0.25">
      <c r="A559" s="4">
        <v>554</v>
      </c>
      <c r="B559" s="2" t="str">
        <f>HYPERLINK("https://my.zakupivli.pro/remote/dispatcher/state_purchase_view/32246655", "UA-2021-11-25-014468-a")</f>
        <v>UA-2021-11-25-014468-a</v>
      </c>
      <c r="C559" s="2" t="s">
        <v>1516</v>
      </c>
      <c r="D559" s="1" t="s">
        <v>1956</v>
      </c>
      <c r="E559" s="1" t="s">
        <v>1956</v>
      </c>
      <c r="F559" s="1" t="s">
        <v>298</v>
      </c>
      <c r="G559" s="1" t="s">
        <v>974</v>
      </c>
      <c r="H559" s="1" t="s">
        <v>2015</v>
      </c>
      <c r="I559" s="1" t="s">
        <v>2094</v>
      </c>
      <c r="J559" s="1" t="s">
        <v>1145</v>
      </c>
      <c r="K559" s="1" t="s">
        <v>947</v>
      </c>
      <c r="L559" s="1" t="s">
        <v>1533</v>
      </c>
      <c r="M559" s="1" t="s">
        <v>1534</v>
      </c>
      <c r="N559" s="1" t="s">
        <v>110</v>
      </c>
      <c r="O559" s="1" t="s">
        <v>110</v>
      </c>
      <c r="P559" s="1" t="s">
        <v>110</v>
      </c>
      <c r="Q559" s="5">
        <v>44525</v>
      </c>
      <c r="R559" s="1" t="s">
        <v>388</v>
      </c>
      <c r="S559" s="1" t="s">
        <v>393</v>
      </c>
      <c r="T559" s="5">
        <v>44531</v>
      </c>
      <c r="U559" s="5">
        <v>44536</v>
      </c>
      <c r="V559" s="1" t="s">
        <v>2147</v>
      </c>
      <c r="W559" s="4">
        <v>1</v>
      </c>
      <c r="X559" s="6">
        <v>118568</v>
      </c>
      <c r="Y559" s="1" t="s">
        <v>1516</v>
      </c>
      <c r="Z559" s="1">
        <v>1</v>
      </c>
      <c r="AA559" s="6">
        <v>118568</v>
      </c>
      <c r="AB559" s="1" t="s">
        <v>2167</v>
      </c>
      <c r="AC559" s="6">
        <v>593</v>
      </c>
      <c r="AD559" s="1" t="s">
        <v>1100</v>
      </c>
      <c r="AE559" s="1" t="s">
        <v>1522</v>
      </c>
      <c r="AF559" s="1" t="s">
        <v>1186</v>
      </c>
      <c r="AG559" s="1" t="s">
        <v>1522</v>
      </c>
      <c r="AH559" s="6">
        <v>118568</v>
      </c>
      <c r="AI559" s="6">
        <v>118568</v>
      </c>
      <c r="AJ559" s="1" t="s">
        <v>1512</v>
      </c>
      <c r="AK559" s="1"/>
      <c r="AL559" s="1"/>
      <c r="AM559" s="1" t="s">
        <v>1512</v>
      </c>
      <c r="AN559" s="1" t="s">
        <v>198</v>
      </c>
      <c r="AO559" s="1" t="s">
        <v>1121</v>
      </c>
      <c r="AP559" s="1" t="s">
        <v>870</v>
      </c>
      <c r="AQ559" s="1"/>
      <c r="AR559" s="1"/>
      <c r="AS559" s="2"/>
      <c r="AT559" s="7">
        <v>44536.717630596271</v>
      </c>
      <c r="AU559" s="1" t="s">
        <v>397</v>
      </c>
      <c r="AV559" s="1" t="s">
        <v>410</v>
      </c>
      <c r="AW559" s="1" t="s">
        <v>2152</v>
      </c>
      <c r="AX559" s="7">
        <v>44543.737824893229</v>
      </c>
      <c r="AY559" s="1" t="s">
        <v>1088</v>
      </c>
      <c r="AZ559" s="6">
        <v>118568</v>
      </c>
      <c r="BA559" s="1"/>
      <c r="BB559" s="5">
        <v>44561</v>
      </c>
      <c r="BC559" s="5">
        <v>44543</v>
      </c>
      <c r="BD559" s="5">
        <v>44543</v>
      </c>
      <c r="BE559" s="7">
        <v>44561</v>
      </c>
      <c r="BF559" s="1" t="s">
        <v>2170</v>
      </c>
      <c r="BG559" s="1"/>
      <c r="BH559" s="1"/>
      <c r="BI559" s="1" t="s">
        <v>199</v>
      </c>
    </row>
    <row r="560" spans="1:61" hidden="1" x14ac:dyDescent="0.25">
      <c r="A560" s="4">
        <v>555</v>
      </c>
      <c r="B560" s="2" t="str">
        <f>HYPERLINK("https://my.zakupivli.pro/remote/dispatcher/state_purchase_view/32245489", "UA-2021-11-25-014140-a")</f>
        <v>UA-2021-11-25-014140-a</v>
      </c>
      <c r="C560" s="2" t="s">
        <v>1516</v>
      </c>
      <c r="D560" s="1" t="s">
        <v>1665</v>
      </c>
      <c r="E560" s="1" t="s">
        <v>1665</v>
      </c>
      <c r="F560" s="1" t="s">
        <v>298</v>
      </c>
      <c r="G560" s="1" t="s">
        <v>990</v>
      </c>
      <c r="H560" s="1" t="s">
        <v>1218</v>
      </c>
      <c r="I560" s="1" t="s">
        <v>2094</v>
      </c>
      <c r="J560" s="1" t="s">
        <v>1145</v>
      </c>
      <c r="K560" s="1" t="s">
        <v>947</v>
      </c>
      <c r="L560" s="1" t="s">
        <v>1533</v>
      </c>
      <c r="M560" s="1" t="s">
        <v>1534</v>
      </c>
      <c r="N560" s="1" t="s">
        <v>110</v>
      </c>
      <c r="O560" s="1" t="s">
        <v>110</v>
      </c>
      <c r="P560" s="1" t="s">
        <v>110</v>
      </c>
      <c r="Q560" s="5">
        <v>44525</v>
      </c>
      <c r="R560" s="1"/>
      <c r="S560" s="1"/>
      <c r="T560" s="1"/>
      <c r="U560" s="1"/>
      <c r="V560" s="1" t="s">
        <v>2146</v>
      </c>
      <c r="W560" s="4">
        <v>1</v>
      </c>
      <c r="X560" s="6">
        <v>1400</v>
      </c>
      <c r="Y560" s="1" t="s">
        <v>1516</v>
      </c>
      <c r="Z560" s="1">
        <v>1</v>
      </c>
      <c r="AA560" s="6">
        <v>1400</v>
      </c>
      <c r="AB560" s="1" t="s">
        <v>2167</v>
      </c>
      <c r="AC560" s="1" t="s">
        <v>2162</v>
      </c>
      <c r="AD560" s="1" t="s">
        <v>1100</v>
      </c>
      <c r="AE560" s="1" t="s">
        <v>1522</v>
      </c>
      <c r="AF560" s="1" t="s">
        <v>1186</v>
      </c>
      <c r="AG560" s="1" t="s">
        <v>1522</v>
      </c>
      <c r="AH560" s="6">
        <v>1400</v>
      </c>
      <c r="AI560" s="6">
        <v>1400</v>
      </c>
      <c r="AJ560" s="1" t="s">
        <v>1189</v>
      </c>
      <c r="AK560" s="1"/>
      <c r="AL560" s="1"/>
      <c r="AM560" s="1" t="s">
        <v>1189</v>
      </c>
      <c r="AN560" s="1" t="s">
        <v>716</v>
      </c>
      <c r="AO560" s="1"/>
      <c r="AP560" s="1" t="s">
        <v>130</v>
      </c>
      <c r="AQ560" s="1"/>
      <c r="AR560" s="1"/>
      <c r="AS560" s="2"/>
      <c r="AT560" s="1"/>
      <c r="AU560" s="1"/>
      <c r="AV560" s="1"/>
      <c r="AW560" s="1" t="s">
        <v>2152</v>
      </c>
      <c r="AX560" s="7">
        <v>44525.70992564888</v>
      </c>
      <c r="AY560" s="1" t="s">
        <v>980</v>
      </c>
      <c r="AZ560" s="6">
        <v>1400</v>
      </c>
      <c r="BA560" s="1"/>
      <c r="BB560" s="5">
        <v>44561</v>
      </c>
      <c r="BC560" s="5">
        <v>44524</v>
      </c>
      <c r="BD560" s="5">
        <v>44524</v>
      </c>
      <c r="BE560" s="7">
        <v>44561</v>
      </c>
      <c r="BF560" s="1" t="s">
        <v>2170</v>
      </c>
      <c r="BG560" s="1"/>
      <c r="BH560" s="1"/>
      <c r="BI560" s="1" t="s">
        <v>108</v>
      </c>
    </row>
    <row r="561" spans="1:61" hidden="1" x14ac:dyDescent="0.25">
      <c r="A561" s="4">
        <v>556</v>
      </c>
      <c r="B561" s="2" t="str">
        <f>HYPERLINK("https://my.zakupivli.pro/remote/dispatcher/state_purchase_view/32206544", "UA-2021-11-25-003024-a")</f>
        <v>UA-2021-11-25-003024-a</v>
      </c>
      <c r="C561" s="2" t="s">
        <v>1516</v>
      </c>
      <c r="D561" s="1" t="s">
        <v>1640</v>
      </c>
      <c r="E561" s="1" t="s">
        <v>1640</v>
      </c>
      <c r="F561" s="1" t="s">
        <v>298</v>
      </c>
      <c r="G561" s="1" t="s">
        <v>964</v>
      </c>
      <c r="H561" s="1" t="s">
        <v>2015</v>
      </c>
      <c r="I561" s="1" t="s">
        <v>2094</v>
      </c>
      <c r="J561" s="1" t="s">
        <v>1145</v>
      </c>
      <c r="K561" s="1" t="s">
        <v>947</v>
      </c>
      <c r="L561" s="1" t="s">
        <v>1533</v>
      </c>
      <c r="M561" s="1" t="s">
        <v>1534</v>
      </c>
      <c r="N561" s="1" t="s">
        <v>110</v>
      </c>
      <c r="O561" s="1" t="s">
        <v>110</v>
      </c>
      <c r="P561" s="1" t="s">
        <v>110</v>
      </c>
      <c r="Q561" s="5">
        <v>44525</v>
      </c>
      <c r="R561" s="1" t="s">
        <v>388</v>
      </c>
      <c r="S561" s="1" t="s">
        <v>393</v>
      </c>
      <c r="T561" s="5">
        <v>44531</v>
      </c>
      <c r="U561" s="5">
        <v>44536</v>
      </c>
      <c r="V561" s="1" t="s">
        <v>2147</v>
      </c>
      <c r="W561" s="4">
        <v>1</v>
      </c>
      <c r="X561" s="6">
        <v>70000</v>
      </c>
      <c r="Y561" s="1" t="s">
        <v>1516</v>
      </c>
      <c r="Z561" s="1">
        <v>1</v>
      </c>
      <c r="AA561" s="6">
        <v>70000</v>
      </c>
      <c r="AB561" s="1" t="s">
        <v>2167</v>
      </c>
      <c r="AC561" s="6">
        <v>350</v>
      </c>
      <c r="AD561" s="1" t="s">
        <v>1100</v>
      </c>
      <c r="AE561" s="1" t="s">
        <v>2094</v>
      </c>
      <c r="AF561" s="1" t="s">
        <v>1186</v>
      </c>
      <c r="AG561" s="1" t="s">
        <v>1522</v>
      </c>
      <c r="AH561" s="6">
        <v>69998.7</v>
      </c>
      <c r="AI561" s="6">
        <v>69998.7</v>
      </c>
      <c r="AJ561" s="1" t="s">
        <v>2042</v>
      </c>
      <c r="AK561" s="6">
        <v>1.3000000000029104</v>
      </c>
      <c r="AL561" s="6">
        <v>1.8571428571470148E-5</v>
      </c>
      <c r="AM561" s="1"/>
      <c r="AN561" s="1"/>
      <c r="AO561" s="1"/>
      <c r="AP561" s="1"/>
      <c r="AQ561" s="1"/>
      <c r="AR561" s="1"/>
      <c r="AS561" s="2"/>
      <c r="AT561" s="7">
        <v>44536.663038496597</v>
      </c>
      <c r="AU561" s="1"/>
      <c r="AV561" s="1"/>
      <c r="AW561" s="1" t="s">
        <v>2153</v>
      </c>
      <c r="AX561" s="7">
        <v>44539.002952308438</v>
      </c>
      <c r="AY561" s="1"/>
      <c r="AZ561" s="1"/>
      <c r="BA561" s="1"/>
      <c r="BB561" s="5">
        <v>44561</v>
      </c>
      <c r="BC561" s="1" t="s">
        <v>109</v>
      </c>
      <c r="BD561" s="1" t="s">
        <v>109</v>
      </c>
      <c r="BE561" s="1"/>
      <c r="BF561" s="1"/>
      <c r="BG561" s="1"/>
      <c r="BH561" s="1"/>
      <c r="BI561" s="1" t="s">
        <v>940</v>
      </c>
    </row>
    <row r="562" spans="1:61" hidden="1" x14ac:dyDescent="0.25">
      <c r="A562" s="4">
        <v>557</v>
      </c>
      <c r="B562" s="2" t="str">
        <f>HYPERLINK("https://my.zakupivli.pro/remote/dispatcher/state_purchase_view/32249397", "UA-2021-11-25-015259-a")</f>
        <v>UA-2021-11-25-015259-a</v>
      </c>
      <c r="C562" s="2" t="s">
        <v>1516</v>
      </c>
      <c r="D562" s="1" t="s">
        <v>1972</v>
      </c>
      <c r="E562" s="1" t="s">
        <v>1492</v>
      </c>
      <c r="F562" s="1" t="s">
        <v>298</v>
      </c>
      <c r="G562" s="1" t="s">
        <v>959</v>
      </c>
      <c r="H562" s="1" t="s">
        <v>2015</v>
      </c>
      <c r="I562" s="1" t="s">
        <v>2094</v>
      </c>
      <c r="J562" s="1" t="s">
        <v>1145</v>
      </c>
      <c r="K562" s="1" t="s">
        <v>947</v>
      </c>
      <c r="L562" s="1" t="s">
        <v>1533</v>
      </c>
      <c r="M562" s="1" t="s">
        <v>1534</v>
      </c>
      <c r="N562" s="1" t="s">
        <v>110</v>
      </c>
      <c r="O562" s="1" t="s">
        <v>110</v>
      </c>
      <c r="P562" s="1" t="s">
        <v>110</v>
      </c>
      <c r="Q562" s="5">
        <v>44525</v>
      </c>
      <c r="R562" s="1" t="s">
        <v>388</v>
      </c>
      <c r="S562" s="1" t="s">
        <v>393</v>
      </c>
      <c r="T562" s="5">
        <v>44531</v>
      </c>
      <c r="U562" s="5">
        <v>44536</v>
      </c>
      <c r="V562" s="1" t="s">
        <v>2147</v>
      </c>
      <c r="W562" s="4">
        <v>0</v>
      </c>
      <c r="X562" s="6">
        <v>17150</v>
      </c>
      <c r="Y562" s="1" t="s">
        <v>1516</v>
      </c>
      <c r="Z562" s="1">
        <v>516</v>
      </c>
      <c r="AA562" s="6">
        <v>33.24</v>
      </c>
      <c r="AB562" s="1" t="s">
        <v>2157</v>
      </c>
      <c r="AC562" s="6">
        <v>86</v>
      </c>
      <c r="AD562" s="1" t="s">
        <v>1100</v>
      </c>
      <c r="AE562" s="1" t="s">
        <v>2094</v>
      </c>
      <c r="AF562" s="1" t="s">
        <v>1186</v>
      </c>
      <c r="AG562" s="1" t="s">
        <v>1522</v>
      </c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2"/>
      <c r="AT562" s="1"/>
      <c r="AU562" s="1"/>
      <c r="AV562" s="1"/>
      <c r="AW562" s="1" t="s">
        <v>2153</v>
      </c>
      <c r="AX562" s="7">
        <v>44536.003415431282</v>
      </c>
      <c r="AY562" s="1"/>
      <c r="AZ562" s="1"/>
      <c r="BA562" s="1"/>
      <c r="BB562" s="5">
        <v>44547</v>
      </c>
      <c r="BC562" s="1" t="s">
        <v>109</v>
      </c>
      <c r="BD562" s="1" t="s">
        <v>109</v>
      </c>
      <c r="BE562" s="1"/>
      <c r="BF562" s="1"/>
      <c r="BG562" s="1"/>
      <c r="BH562" s="1"/>
      <c r="BI562" s="1"/>
    </row>
    <row r="563" spans="1:61" hidden="1" x14ac:dyDescent="0.25">
      <c r="A563" s="4">
        <v>558</v>
      </c>
      <c r="B563" s="2" t="str">
        <f>HYPERLINK("https://my.zakupivli.pro/remote/dispatcher/state_purchase_view/32248038", "UA-2021-11-25-014944-a")</f>
        <v>UA-2021-11-25-014944-a</v>
      </c>
      <c r="C563" s="2" t="s">
        <v>1516</v>
      </c>
      <c r="D563" s="1" t="s">
        <v>1652</v>
      </c>
      <c r="E563" s="1" t="s">
        <v>1652</v>
      </c>
      <c r="F563" s="1" t="s">
        <v>298</v>
      </c>
      <c r="G563" s="1" t="s">
        <v>1074</v>
      </c>
      <c r="H563" s="1" t="s">
        <v>2015</v>
      </c>
      <c r="I563" s="1" t="s">
        <v>2094</v>
      </c>
      <c r="J563" s="1" t="s">
        <v>1145</v>
      </c>
      <c r="K563" s="1" t="s">
        <v>947</v>
      </c>
      <c r="L563" s="1" t="s">
        <v>1533</v>
      </c>
      <c r="M563" s="1" t="s">
        <v>1534</v>
      </c>
      <c r="N563" s="1" t="s">
        <v>110</v>
      </c>
      <c r="O563" s="1" t="s">
        <v>110</v>
      </c>
      <c r="P563" s="1" t="s">
        <v>110</v>
      </c>
      <c r="Q563" s="5">
        <v>44525</v>
      </c>
      <c r="R563" s="1" t="s">
        <v>388</v>
      </c>
      <c r="S563" s="1" t="s">
        <v>393</v>
      </c>
      <c r="T563" s="5">
        <v>44531</v>
      </c>
      <c r="U563" s="5">
        <v>44536</v>
      </c>
      <c r="V563" s="1" t="s">
        <v>2147</v>
      </c>
      <c r="W563" s="4">
        <v>0</v>
      </c>
      <c r="X563" s="6">
        <v>60000</v>
      </c>
      <c r="Y563" s="1" t="s">
        <v>1516</v>
      </c>
      <c r="Z563" s="1">
        <v>1</v>
      </c>
      <c r="AA563" s="6">
        <v>60000</v>
      </c>
      <c r="AB563" s="1" t="s">
        <v>2167</v>
      </c>
      <c r="AC563" s="6">
        <v>300</v>
      </c>
      <c r="AD563" s="1" t="s">
        <v>1100</v>
      </c>
      <c r="AE563" s="1" t="s">
        <v>2094</v>
      </c>
      <c r="AF563" s="1" t="s">
        <v>1186</v>
      </c>
      <c r="AG563" s="1" t="s">
        <v>1522</v>
      </c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2"/>
      <c r="AT563" s="1"/>
      <c r="AU563" s="1"/>
      <c r="AV563" s="1"/>
      <c r="AW563" s="1" t="s">
        <v>2153</v>
      </c>
      <c r="AX563" s="7">
        <v>44536.003090841448</v>
      </c>
      <c r="AY563" s="1"/>
      <c r="AZ563" s="1"/>
      <c r="BA563" s="1"/>
      <c r="BB563" s="5">
        <v>44561</v>
      </c>
      <c r="BC563" s="1" t="s">
        <v>109</v>
      </c>
      <c r="BD563" s="1" t="s">
        <v>109</v>
      </c>
      <c r="BE563" s="1"/>
      <c r="BF563" s="1"/>
      <c r="BG563" s="1"/>
      <c r="BH563" s="1"/>
      <c r="BI563" s="1"/>
    </row>
    <row r="564" spans="1:61" hidden="1" x14ac:dyDescent="0.25">
      <c r="A564" s="4">
        <v>559</v>
      </c>
      <c r="B564" s="2" t="str">
        <f>HYPERLINK("https://my.zakupivli.pro/remote/dispatcher/state_purchase_view/32114791", "UA-2021-11-23-011442-a")</f>
        <v>UA-2021-11-23-011442-a</v>
      </c>
      <c r="C564" s="2" t="s">
        <v>1516</v>
      </c>
      <c r="D564" s="1" t="s">
        <v>1482</v>
      </c>
      <c r="E564" s="1" t="s">
        <v>1482</v>
      </c>
      <c r="F564" s="1" t="s">
        <v>298</v>
      </c>
      <c r="G564" s="1" t="s">
        <v>876</v>
      </c>
      <c r="H564" s="1" t="s">
        <v>2015</v>
      </c>
      <c r="I564" s="1" t="s">
        <v>2094</v>
      </c>
      <c r="J564" s="1" t="s">
        <v>1145</v>
      </c>
      <c r="K564" s="1" t="s">
        <v>947</v>
      </c>
      <c r="L564" s="1" t="s">
        <v>1533</v>
      </c>
      <c r="M564" s="1" t="s">
        <v>1534</v>
      </c>
      <c r="N564" s="1" t="s">
        <v>110</v>
      </c>
      <c r="O564" s="1" t="s">
        <v>110</v>
      </c>
      <c r="P564" s="1" t="s">
        <v>110</v>
      </c>
      <c r="Q564" s="5">
        <v>44523</v>
      </c>
      <c r="R564" s="1" t="s">
        <v>386</v>
      </c>
      <c r="S564" s="1" t="s">
        <v>391</v>
      </c>
      <c r="T564" s="5">
        <v>44529</v>
      </c>
      <c r="U564" s="5">
        <v>44532</v>
      </c>
      <c r="V564" s="1" t="s">
        <v>2147</v>
      </c>
      <c r="W564" s="4">
        <v>0</v>
      </c>
      <c r="X564" s="6">
        <v>3405</v>
      </c>
      <c r="Y564" s="1" t="s">
        <v>1516</v>
      </c>
      <c r="Z564" s="1">
        <v>5</v>
      </c>
      <c r="AA564" s="6">
        <v>681</v>
      </c>
      <c r="AB564" s="1" t="s">
        <v>2175</v>
      </c>
      <c r="AC564" s="6">
        <v>18</v>
      </c>
      <c r="AD564" s="1" t="s">
        <v>1100</v>
      </c>
      <c r="AE564" s="1" t="s">
        <v>2094</v>
      </c>
      <c r="AF564" s="1" t="s">
        <v>1186</v>
      </c>
      <c r="AG564" s="1" t="s">
        <v>1522</v>
      </c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2"/>
      <c r="AT564" s="1"/>
      <c r="AU564" s="1"/>
      <c r="AV564" s="1"/>
      <c r="AW564" s="1" t="s">
        <v>2153</v>
      </c>
      <c r="AX564" s="7">
        <v>44532.001933843741</v>
      </c>
      <c r="AY564" s="1"/>
      <c r="AZ564" s="1"/>
      <c r="BA564" s="1"/>
      <c r="BB564" s="5">
        <v>44540</v>
      </c>
      <c r="BC564" s="1" t="s">
        <v>109</v>
      </c>
      <c r="BD564" s="1" t="s">
        <v>109</v>
      </c>
      <c r="BE564" s="1"/>
      <c r="BF564" s="1"/>
      <c r="BG564" s="1"/>
      <c r="BH564" s="1"/>
      <c r="BI564" s="1"/>
    </row>
    <row r="565" spans="1:61" hidden="1" x14ac:dyDescent="0.25">
      <c r="A565" s="4">
        <v>560</v>
      </c>
      <c r="B565" s="2" t="str">
        <f>HYPERLINK("https://my.zakupivli.pro/remote/dispatcher/state_purchase_view/32076733", "UA-2021-11-22-013577-a")</f>
        <v>UA-2021-11-22-013577-a</v>
      </c>
      <c r="C565" s="2" t="s">
        <v>1516</v>
      </c>
      <c r="D565" s="1" t="s">
        <v>1210</v>
      </c>
      <c r="E565" s="1" t="s">
        <v>1210</v>
      </c>
      <c r="F565" s="1" t="s">
        <v>298</v>
      </c>
      <c r="G565" s="1" t="s">
        <v>144</v>
      </c>
      <c r="H565" s="1" t="s">
        <v>2015</v>
      </c>
      <c r="I565" s="1" t="s">
        <v>2094</v>
      </c>
      <c r="J565" s="1" t="s">
        <v>1145</v>
      </c>
      <c r="K565" s="1" t="s">
        <v>947</v>
      </c>
      <c r="L565" s="1" t="s">
        <v>1533</v>
      </c>
      <c r="M565" s="1" t="s">
        <v>1534</v>
      </c>
      <c r="N565" s="1" t="s">
        <v>110</v>
      </c>
      <c r="O565" s="1" t="s">
        <v>110</v>
      </c>
      <c r="P565" s="1" t="s">
        <v>110</v>
      </c>
      <c r="Q565" s="5">
        <v>44522</v>
      </c>
      <c r="R565" s="1" t="s">
        <v>385</v>
      </c>
      <c r="S565" s="1" t="s">
        <v>389</v>
      </c>
      <c r="T565" s="5">
        <v>44526</v>
      </c>
      <c r="U565" s="5">
        <v>44531</v>
      </c>
      <c r="V565" s="1" t="s">
        <v>2147</v>
      </c>
      <c r="W565" s="4">
        <v>1</v>
      </c>
      <c r="X565" s="6">
        <v>37557</v>
      </c>
      <c r="Y565" s="1" t="s">
        <v>1516</v>
      </c>
      <c r="Z565" s="1">
        <v>8346</v>
      </c>
      <c r="AA565" s="6">
        <v>4.5</v>
      </c>
      <c r="AB565" s="1" t="s">
        <v>2156</v>
      </c>
      <c r="AC565" s="6">
        <v>188</v>
      </c>
      <c r="AD565" s="1" t="s">
        <v>1100</v>
      </c>
      <c r="AE565" s="1" t="s">
        <v>2094</v>
      </c>
      <c r="AF565" s="1" t="s">
        <v>1186</v>
      </c>
      <c r="AG565" s="1" t="s">
        <v>1522</v>
      </c>
      <c r="AH565" s="6">
        <v>37557</v>
      </c>
      <c r="AI565" s="6">
        <v>4.5</v>
      </c>
      <c r="AJ565" s="1" t="s">
        <v>2106</v>
      </c>
      <c r="AK565" s="1"/>
      <c r="AL565" s="1"/>
      <c r="AM565" s="1"/>
      <c r="AN565" s="1"/>
      <c r="AO565" s="1"/>
      <c r="AP565" s="1"/>
      <c r="AQ565" s="1"/>
      <c r="AR565" s="1"/>
      <c r="AS565" s="2"/>
      <c r="AT565" s="7">
        <v>44532.586263695186</v>
      </c>
      <c r="AU565" s="1"/>
      <c r="AV565" s="1"/>
      <c r="AW565" s="1" t="s">
        <v>2153</v>
      </c>
      <c r="AX565" s="7">
        <v>44537.002362578831</v>
      </c>
      <c r="AY565" s="1"/>
      <c r="AZ565" s="1"/>
      <c r="BA565" s="1"/>
      <c r="BB565" s="5">
        <v>44561</v>
      </c>
      <c r="BC565" s="1" t="s">
        <v>109</v>
      </c>
      <c r="BD565" s="1" t="s">
        <v>109</v>
      </c>
      <c r="BE565" s="1"/>
      <c r="BF565" s="1"/>
      <c r="BG565" s="1"/>
      <c r="BH565" s="1"/>
      <c r="BI565" s="1" t="s">
        <v>885</v>
      </c>
    </row>
    <row r="566" spans="1:61" hidden="1" x14ac:dyDescent="0.25">
      <c r="A566" s="4">
        <v>561</v>
      </c>
      <c r="B566" s="2" t="str">
        <f>HYPERLINK("https://my.zakupivli.pro/remote/dispatcher/state_purchase_view/32048128", "UA-2021-11-22-005511-a")</f>
        <v>UA-2021-11-22-005511-a</v>
      </c>
      <c r="C566" s="2" t="s">
        <v>1516</v>
      </c>
      <c r="D566" s="1" t="s">
        <v>1510</v>
      </c>
      <c r="E566" s="1" t="s">
        <v>1510</v>
      </c>
      <c r="F566" s="1" t="s">
        <v>298</v>
      </c>
      <c r="G566" s="1" t="s">
        <v>241</v>
      </c>
      <c r="H566" s="1" t="s">
        <v>2015</v>
      </c>
      <c r="I566" s="1" t="s">
        <v>2094</v>
      </c>
      <c r="J566" s="1" t="s">
        <v>1145</v>
      </c>
      <c r="K566" s="1" t="s">
        <v>947</v>
      </c>
      <c r="L566" s="1" t="s">
        <v>1533</v>
      </c>
      <c r="M566" s="1" t="s">
        <v>1534</v>
      </c>
      <c r="N566" s="1" t="s">
        <v>110</v>
      </c>
      <c r="O566" s="1" t="s">
        <v>110</v>
      </c>
      <c r="P566" s="1" t="s">
        <v>110</v>
      </c>
      <c r="Q566" s="5">
        <v>44522</v>
      </c>
      <c r="R566" s="1" t="s">
        <v>385</v>
      </c>
      <c r="S566" s="1" t="s">
        <v>389</v>
      </c>
      <c r="T566" s="5">
        <v>44526</v>
      </c>
      <c r="U566" s="5">
        <v>44531</v>
      </c>
      <c r="V566" s="7">
        <v>44532.54414351852</v>
      </c>
      <c r="W566" s="4">
        <v>2</v>
      </c>
      <c r="X566" s="6">
        <v>6000</v>
      </c>
      <c r="Y566" s="1" t="s">
        <v>1516</v>
      </c>
      <c r="Z566" s="1">
        <v>1</v>
      </c>
      <c r="AA566" s="6">
        <v>6000</v>
      </c>
      <c r="AB566" s="1" t="s">
        <v>2175</v>
      </c>
      <c r="AC566" s="6">
        <v>30</v>
      </c>
      <c r="AD566" s="1" t="s">
        <v>1100</v>
      </c>
      <c r="AE566" s="1" t="s">
        <v>2094</v>
      </c>
      <c r="AF566" s="1" t="s">
        <v>1186</v>
      </c>
      <c r="AG566" s="1" t="s">
        <v>1522</v>
      </c>
      <c r="AH566" s="6">
        <v>2700</v>
      </c>
      <c r="AI566" s="6">
        <v>2700</v>
      </c>
      <c r="AJ566" s="1" t="s">
        <v>2128</v>
      </c>
      <c r="AK566" s="6">
        <v>3300</v>
      </c>
      <c r="AL566" s="6">
        <v>0.55000000000000004</v>
      </c>
      <c r="AM566" s="1"/>
      <c r="AN566" s="1"/>
      <c r="AO566" s="1"/>
      <c r="AP566" s="1"/>
      <c r="AQ566" s="1"/>
      <c r="AR566" s="1"/>
      <c r="AS566" s="2" t="str">
        <f>HYPERLINK("https://auctions.prozorro.gov.ua/tenders/5eb3d66bb8ee4a74afe8e3459299f242")</f>
        <v>https://auctions.prozorro.gov.ua/tenders/5eb3d66bb8ee4a74afe8e3459299f242</v>
      </c>
      <c r="AT566" s="7">
        <v>44533.812979284477</v>
      </c>
      <c r="AU566" s="1"/>
      <c r="AV566" s="1"/>
      <c r="AW566" s="1" t="s">
        <v>2153</v>
      </c>
      <c r="AX566" s="7">
        <v>44538.001391887396</v>
      </c>
      <c r="AY566" s="1"/>
      <c r="AZ566" s="1"/>
      <c r="BA566" s="1"/>
      <c r="BB566" s="5">
        <v>44540</v>
      </c>
      <c r="BC566" s="1" t="s">
        <v>109</v>
      </c>
      <c r="BD566" s="1" t="s">
        <v>109</v>
      </c>
      <c r="BE566" s="1"/>
      <c r="BF566" s="1"/>
      <c r="BG566" s="1"/>
      <c r="BH566" s="1"/>
      <c r="BI566" s="1" t="s">
        <v>277</v>
      </c>
    </row>
    <row r="567" spans="1:61" hidden="1" x14ac:dyDescent="0.25">
      <c r="A567" s="4">
        <v>562</v>
      </c>
      <c r="B567" s="2" t="str">
        <f>HYPERLINK("https://my.zakupivli.pro/remote/dispatcher/state_purchase_view/31966856", "UA-2021-11-18-013771-a")</f>
        <v>UA-2021-11-18-013771-a</v>
      </c>
      <c r="C567" s="2" t="s">
        <v>1516</v>
      </c>
      <c r="D567" s="1" t="s">
        <v>1651</v>
      </c>
      <c r="E567" s="1" t="s">
        <v>1651</v>
      </c>
      <c r="F567" s="1" t="s">
        <v>298</v>
      </c>
      <c r="G567" s="1" t="s">
        <v>1075</v>
      </c>
      <c r="H567" s="1" t="s">
        <v>1218</v>
      </c>
      <c r="I567" s="1" t="s">
        <v>2094</v>
      </c>
      <c r="J567" s="1" t="s">
        <v>1145</v>
      </c>
      <c r="K567" s="1" t="s">
        <v>947</v>
      </c>
      <c r="L567" s="1" t="s">
        <v>1533</v>
      </c>
      <c r="M567" s="1" t="s">
        <v>1534</v>
      </c>
      <c r="N567" s="1" t="s">
        <v>110</v>
      </c>
      <c r="O567" s="1" t="s">
        <v>110</v>
      </c>
      <c r="P567" s="1" t="s">
        <v>110</v>
      </c>
      <c r="Q567" s="5">
        <v>44518</v>
      </c>
      <c r="R567" s="1"/>
      <c r="S567" s="1"/>
      <c r="T567" s="1"/>
      <c r="U567" s="1"/>
      <c r="V567" s="1" t="s">
        <v>2146</v>
      </c>
      <c r="W567" s="4">
        <v>1</v>
      </c>
      <c r="X567" s="6">
        <v>2858.4</v>
      </c>
      <c r="Y567" s="1" t="s">
        <v>1516</v>
      </c>
      <c r="Z567" s="1">
        <v>28584</v>
      </c>
      <c r="AA567" s="6">
        <v>0.1</v>
      </c>
      <c r="AB567" s="1" t="s">
        <v>2160</v>
      </c>
      <c r="AC567" s="1" t="s">
        <v>2162</v>
      </c>
      <c r="AD567" s="1" t="s">
        <v>1100</v>
      </c>
      <c r="AE567" s="1" t="s">
        <v>2094</v>
      </c>
      <c r="AF567" s="1" t="s">
        <v>1186</v>
      </c>
      <c r="AG567" s="1" t="s">
        <v>1522</v>
      </c>
      <c r="AH567" s="6">
        <v>2858.4</v>
      </c>
      <c r="AI567" s="6">
        <v>0.1</v>
      </c>
      <c r="AJ567" s="1" t="s">
        <v>2060</v>
      </c>
      <c r="AK567" s="1"/>
      <c r="AL567" s="1"/>
      <c r="AM567" s="1" t="s">
        <v>2060</v>
      </c>
      <c r="AN567" s="1" t="s">
        <v>201</v>
      </c>
      <c r="AO567" s="1"/>
      <c r="AP567" s="1" t="s">
        <v>133</v>
      </c>
      <c r="AQ567" s="1"/>
      <c r="AR567" s="1"/>
      <c r="AS567" s="2"/>
      <c r="AT567" s="1"/>
      <c r="AU567" s="1"/>
      <c r="AV567" s="1"/>
      <c r="AW567" s="1" t="s">
        <v>2152</v>
      </c>
      <c r="AX567" s="7">
        <v>44518.716090497983</v>
      </c>
      <c r="AY567" s="1" t="s">
        <v>1027</v>
      </c>
      <c r="AZ567" s="6">
        <v>2858.4</v>
      </c>
      <c r="BA567" s="1"/>
      <c r="BB567" s="5">
        <v>44561</v>
      </c>
      <c r="BC567" s="5">
        <v>44518</v>
      </c>
      <c r="BD567" s="5">
        <v>44518</v>
      </c>
      <c r="BE567" s="7">
        <v>44561</v>
      </c>
      <c r="BF567" s="1" t="s">
        <v>2170</v>
      </c>
      <c r="BG567" s="1"/>
      <c r="BH567" s="1"/>
      <c r="BI567" s="1" t="s">
        <v>108</v>
      </c>
    </row>
    <row r="568" spans="1:61" hidden="1" x14ac:dyDescent="0.25">
      <c r="A568" s="4">
        <v>563</v>
      </c>
      <c r="B568" s="2" t="str">
        <f>HYPERLINK("https://my.zakupivli.pro/remote/dispatcher/state_purchase_view/31821634", "UA-2021-11-16-003274-a")</f>
        <v>UA-2021-11-16-003274-a</v>
      </c>
      <c r="C568" s="2" t="s">
        <v>1516</v>
      </c>
      <c r="D568" s="1" t="s">
        <v>1962</v>
      </c>
      <c r="E568" s="1" t="s">
        <v>1962</v>
      </c>
      <c r="F568" s="1" t="s">
        <v>298</v>
      </c>
      <c r="G568" s="1" t="s">
        <v>974</v>
      </c>
      <c r="H568" s="1" t="s">
        <v>2015</v>
      </c>
      <c r="I568" s="1" t="s">
        <v>2094</v>
      </c>
      <c r="J568" s="1" t="s">
        <v>1145</v>
      </c>
      <c r="K568" s="1" t="s">
        <v>947</v>
      </c>
      <c r="L568" s="1" t="s">
        <v>1533</v>
      </c>
      <c r="M568" s="1" t="s">
        <v>1534</v>
      </c>
      <c r="N568" s="1" t="s">
        <v>110</v>
      </c>
      <c r="O568" s="1" t="s">
        <v>110</v>
      </c>
      <c r="P568" s="1" t="s">
        <v>110</v>
      </c>
      <c r="Q568" s="5">
        <v>44516</v>
      </c>
      <c r="R568" s="1" t="s">
        <v>379</v>
      </c>
      <c r="S568" s="1" t="s">
        <v>385</v>
      </c>
      <c r="T568" s="5">
        <v>44522</v>
      </c>
      <c r="U568" s="5">
        <v>44525</v>
      </c>
      <c r="V568" s="1" t="s">
        <v>2147</v>
      </c>
      <c r="W568" s="4">
        <v>1</v>
      </c>
      <c r="X568" s="6">
        <v>199900</v>
      </c>
      <c r="Y568" s="1" t="s">
        <v>1516</v>
      </c>
      <c r="Z568" s="1">
        <v>1</v>
      </c>
      <c r="AA568" s="6">
        <v>199900</v>
      </c>
      <c r="AB568" s="1" t="s">
        <v>2167</v>
      </c>
      <c r="AC568" s="6">
        <v>1000</v>
      </c>
      <c r="AD568" s="1" t="s">
        <v>1100</v>
      </c>
      <c r="AE568" s="1" t="s">
        <v>2094</v>
      </c>
      <c r="AF568" s="1" t="s">
        <v>1186</v>
      </c>
      <c r="AG568" s="1" t="s">
        <v>1522</v>
      </c>
      <c r="AH568" s="6">
        <v>199900</v>
      </c>
      <c r="AI568" s="6">
        <v>199900</v>
      </c>
      <c r="AJ568" s="1" t="s">
        <v>2083</v>
      </c>
      <c r="AK568" s="1"/>
      <c r="AL568" s="1"/>
      <c r="AM568" s="1" t="s">
        <v>2083</v>
      </c>
      <c r="AN568" s="1" t="s">
        <v>909</v>
      </c>
      <c r="AO568" s="1" t="s">
        <v>1095</v>
      </c>
      <c r="AP568" s="1" t="s">
        <v>874</v>
      </c>
      <c r="AQ568" s="1"/>
      <c r="AR568" s="1"/>
      <c r="AS568" s="2"/>
      <c r="AT568" s="7">
        <v>44526.432133040857</v>
      </c>
      <c r="AU568" s="1" t="s">
        <v>390</v>
      </c>
      <c r="AV568" s="1" t="s">
        <v>404</v>
      </c>
      <c r="AW568" s="1" t="s">
        <v>2152</v>
      </c>
      <c r="AX568" s="7">
        <v>44536.762040830174</v>
      </c>
      <c r="AY568" s="1" t="s">
        <v>1065</v>
      </c>
      <c r="AZ568" s="6">
        <v>199900</v>
      </c>
      <c r="BA568" s="1"/>
      <c r="BB568" s="5">
        <v>44561</v>
      </c>
      <c r="BC568" s="5">
        <v>44531</v>
      </c>
      <c r="BD568" s="5">
        <v>44531</v>
      </c>
      <c r="BE568" s="7">
        <v>44561</v>
      </c>
      <c r="BF568" s="1" t="s">
        <v>2170</v>
      </c>
      <c r="BG568" s="1"/>
      <c r="BH568" s="1"/>
      <c r="BI568" s="1" t="s">
        <v>910</v>
      </c>
    </row>
    <row r="569" spans="1:61" hidden="1" x14ac:dyDescent="0.25">
      <c r="A569" s="4">
        <v>564</v>
      </c>
      <c r="B569" s="2" t="str">
        <f>HYPERLINK("https://my.zakupivli.pro/remote/dispatcher/state_purchase_view/31858345", "UA-2021-11-16-013950-a")</f>
        <v>UA-2021-11-16-013950-a</v>
      </c>
      <c r="C569" s="2" t="s">
        <v>1516</v>
      </c>
      <c r="D569" s="1" t="s">
        <v>1640</v>
      </c>
      <c r="E569" s="1" t="s">
        <v>1640</v>
      </c>
      <c r="F569" s="1" t="s">
        <v>298</v>
      </c>
      <c r="G569" s="1" t="s">
        <v>964</v>
      </c>
      <c r="H569" s="1" t="s">
        <v>2015</v>
      </c>
      <c r="I569" s="1" t="s">
        <v>2094</v>
      </c>
      <c r="J569" s="1" t="s">
        <v>1145</v>
      </c>
      <c r="K569" s="1" t="s">
        <v>947</v>
      </c>
      <c r="L569" s="1" t="s">
        <v>1533</v>
      </c>
      <c r="M569" s="1" t="s">
        <v>1534</v>
      </c>
      <c r="N569" s="1" t="s">
        <v>110</v>
      </c>
      <c r="O569" s="1" t="s">
        <v>110</v>
      </c>
      <c r="P569" s="1" t="s">
        <v>110</v>
      </c>
      <c r="Q569" s="5">
        <v>44516</v>
      </c>
      <c r="R569" s="1" t="s">
        <v>379</v>
      </c>
      <c r="S569" s="1" t="s">
        <v>385</v>
      </c>
      <c r="T569" s="5">
        <v>44522</v>
      </c>
      <c r="U569" s="5">
        <v>44525</v>
      </c>
      <c r="V569" s="1" t="s">
        <v>2147</v>
      </c>
      <c r="W569" s="4">
        <v>0</v>
      </c>
      <c r="X569" s="6">
        <v>70000</v>
      </c>
      <c r="Y569" s="1" t="s">
        <v>1516</v>
      </c>
      <c r="Z569" s="1">
        <v>1</v>
      </c>
      <c r="AA569" s="6">
        <v>70000</v>
      </c>
      <c r="AB569" s="1" t="s">
        <v>2167</v>
      </c>
      <c r="AC569" s="6">
        <v>350</v>
      </c>
      <c r="AD569" s="1" t="s">
        <v>1100</v>
      </c>
      <c r="AE569" s="1" t="s">
        <v>2094</v>
      </c>
      <c r="AF569" s="1" t="s">
        <v>1186</v>
      </c>
      <c r="AG569" s="1" t="s">
        <v>1522</v>
      </c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2"/>
      <c r="AT569" s="1"/>
      <c r="AU569" s="1"/>
      <c r="AV569" s="1"/>
      <c r="AW569" s="1" t="s">
        <v>2153</v>
      </c>
      <c r="AX569" s="7">
        <v>44525.003438791653</v>
      </c>
      <c r="AY569" s="1"/>
      <c r="AZ569" s="1"/>
      <c r="BA569" s="1"/>
      <c r="BB569" s="5">
        <v>44561</v>
      </c>
      <c r="BC569" s="1" t="s">
        <v>109</v>
      </c>
      <c r="BD569" s="1" t="s">
        <v>109</v>
      </c>
      <c r="BE569" s="1"/>
      <c r="BF569" s="1"/>
      <c r="BG569" s="1"/>
      <c r="BH569" s="1"/>
      <c r="BI569" s="1"/>
    </row>
    <row r="570" spans="1:61" hidden="1" x14ac:dyDescent="0.25">
      <c r="A570" s="4">
        <v>565</v>
      </c>
      <c r="B570" s="2" t="str">
        <f>HYPERLINK("https://my.zakupivli.pro/remote/dispatcher/state_purchase_view/31841674", "UA-2021-11-16-009211-a")</f>
        <v>UA-2021-11-16-009211-a</v>
      </c>
      <c r="C570" s="2" t="s">
        <v>1516</v>
      </c>
      <c r="D570" s="1" t="s">
        <v>1989</v>
      </c>
      <c r="E570" s="1" t="s">
        <v>1989</v>
      </c>
      <c r="F570" s="1" t="s">
        <v>298</v>
      </c>
      <c r="G570" s="1" t="s">
        <v>963</v>
      </c>
      <c r="H570" s="1" t="s">
        <v>2015</v>
      </c>
      <c r="I570" s="1" t="s">
        <v>2094</v>
      </c>
      <c r="J570" s="1" t="s">
        <v>1145</v>
      </c>
      <c r="K570" s="1" t="s">
        <v>947</v>
      </c>
      <c r="L570" s="1" t="s">
        <v>1533</v>
      </c>
      <c r="M570" s="1" t="s">
        <v>1534</v>
      </c>
      <c r="N570" s="1" t="s">
        <v>110</v>
      </c>
      <c r="O570" s="1" t="s">
        <v>110</v>
      </c>
      <c r="P570" s="1" t="s">
        <v>110</v>
      </c>
      <c r="Q570" s="5">
        <v>44516</v>
      </c>
      <c r="R570" s="1" t="s">
        <v>379</v>
      </c>
      <c r="S570" s="1" t="s">
        <v>385</v>
      </c>
      <c r="T570" s="5">
        <v>44522</v>
      </c>
      <c r="U570" s="5">
        <v>44525</v>
      </c>
      <c r="V570" s="1" t="s">
        <v>2147</v>
      </c>
      <c r="W570" s="4">
        <v>1</v>
      </c>
      <c r="X570" s="6">
        <v>199994</v>
      </c>
      <c r="Y570" s="1" t="s">
        <v>1516</v>
      </c>
      <c r="Z570" s="1">
        <v>1</v>
      </c>
      <c r="AA570" s="6">
        <v>199994</v>
      </c>
      <c r="AB570" s="1" t="s">
        <v>2167</v>
      </c>
      <c r="AC570" s="6">
        <v>1000</v>
      </c>
      <c r="AD570" s="1" t="s">
        <v>1100</v>
      </c>
      <c r="AE570" s="1" t="s">
        <v>2094</v>
      </c>
      <c r="AF570" s="1" t="s">
        <v>1186</v>
      </c>
      <c r="AG570" s="1" t="s">
        <v>1522</v>
      </c>
      <c r="AH570" s="6">
        <v>199994</v>
      </c>
      <c r="AI570" s="6">
        <v>199994</v>
      </c>
      <c r="AJ570" s="1" t="s">
        <v>1512</v>
      </c>
      <c r="AK570" s="1"/>
      <c r="AL570" s="1"/>
      <c r="AM570" s="1" t="s">
        <v>1512</v>
      </c>
      <c r="AN570" s="1" t="s">
        <v>198</v>
      </c>
      <c r="AO570" s="1" t="s">
        <v>1121</v>
      </c>
      <c r="AP570" s="1" t="s">
        <v>870</v>
      </c>
      <c r="AQ570" s="1"/>
      <c r="AR570" s="1"/>
      <c r="AS570" s="2"/>
      <c r="AT570" s="7">
        <v>44529.372079347821</v>
      </c>
      <c r="AU570" s="1" t="s">
        <v>392</v>
      </c>
      <c r="AV570" s="1" t="s">
        <v>406</v>
      </c>
      <c r="AW570" s="1" t="s">
        <v>2152</v>
      </c>
      <c r="AX570" s="7">
        <v>44546.708006629458</v>
      </c>
      <c r="AY570" s="1" t="s">
        <v>159</v>
      </c>
      <c r="AZ570" s="6">
        <v>199994</v>
      </c>
      <c r="BA570" s="1"/>
      <c r="BB570" s="5">
        <v>44561</v>
      </c>
      <c r="BC570" s="5">
        <v>44545</v>
      </c>
      <c r="BD570" s="5">
        <v>44545</v>
      </c>
      <c r="BE570" s="7">
        <v>44561</v>
      </c>
      <c r="BF570" s="1" t="s">
        <v>2170</v>
      </c>
      <c r="BG570" s="1"/>
      <c r="BH570" s="1"/>
      <c r="BI570" s="1" t="s">
        <v>199</v>
      </c>
    </row>
    <row r="571" spans="1:61" hidden="1" x14ac:dyDescent="0.25">
      <c r="A571" s="4">
        <v>566</v>
      </c>
      <c r="B571" s="2" t="str">
        <f>HYPERLINK("https://my.zakupivli.pro/remote/dispatcher/state_purchase_view/31839163", "UA-2021-11-16-008406-a")</f>
        <v>UA-2021-11-16-008406-a</v>
      </c>
      <c r="C571" s="2" t="s">
        <v>1516</v>
      </c>
      <c r="D571" s="1" t="s">
        <v>1993</v>
      </c>
      <c r="E571" s="1" t="s">
        <v>1993</v>
      </c>
      <c r="F571" s="1" t="s">
        <v>298</v>
      </c>
      <c r="G571" s="1" t="s">
        <v>963</v>
      </c>
      <c r="H571" s="1" t="s">
        <v>2015</v>
      </c>
      <c r="I571" s="1" t="s">
        <v>2094</v>
      </c>
      <c r="J571" s="1" t="s">
        <v>1145</v>
      </c>
      <c r="K571" s="1" t="s">
        <v>947</v>
      </c>
      <c r="L571" s="1" t="s">
        <v>1533</v>
      </c>
      <c r="M571" s="1" t="s">
        <v>1534</v>
      </c>
      <c r="N571" s="1" t="s">
        <v>110</v>
      </c>
      <c r="O571" s="1" t="s">
        <v>110</v>
      </c>
      <c r="P571" s="1" t="s">
        <v>110</v>
      </c>
      <c r="Q571" s="5">
        <v>44516</v>
      </c>
      <c r="R571" s="1" t="s">
        <v>379</v>
      </c>
      <c r="S571" s="1" t="s">
        <v>385</v>
      </c>
      <c r="T571" s="5">
        <v>44522</v>
      </c>
      <c r="U571" s="5">
        <v>44525</v>
      </c>
      <c r="V571" s="1" t="s">
        <v>2147</v>
      </c>
      <c r="W571" s="4">
        <v>1</v>
      </c>
      <c r="X571" s="6">
        <v>184348</v>
      </c>
      <c r="Y571" s="1" t="s">
        <v>1516</v>
      </c>
      <c r="Z571" s="1">
        <v>1</v>
      </c>
      <c r="AA571" s="6">
        <v>184348</v>
      </c>
      <c r="AB571" s="1" t="s">
        <v>2167</v>
      </c>
      <c r="AC571" s="6">
        <v>922</v>
      </c>
      <c r="AD571" s="1" t="s">
        <v>1100</v>
      </c>
      <c r="AE571" s="1" t="s">
        <v>2094</v>
      </c>
      <c r="AF571" s="1" t="s">
        <v>1186</v>
      </c>
      <c r="AG571" s="1" t="s">
        <v>1522</v>
      </c>
      <c r="AH571" s="6">
        <v>184348</v>
      </c>
      <c r="AI571" s="6">
        <v>184348</v>
      </c>
      <c r="AJ571" s="1" t="s">
        <v>1512</v>
      </c>
      <c r="AK571" s="1"/>
      <c r="AL571" s="1"/>
      <c r="AM571" s="1" t="s">
        <v>1512</v>
      </c>
      <c r="AN571" s="1" t="s">
        <v>198</v>
      </c>
      <c r="AO571" s="1" t="s">
        <v>1121</v>
      </c>
      <c r="AP571" s="1" t="s">
        <v>870</v>
      </c>
      <c r="AQ571" s="1"/>
      <c r="AR571" s="1"/>
      <c r="AS571" s="2"/>
      <c r="AT571" s="7">
        <v>44526.498005958703</v>
      </c>
      <c r="AU571" s="1" t="s">
        <v>390</v>
      </c>
      <c r="AV571" s="1" t="s">
        <v>404</v>
      </c>
      <c r="AW571" s="1" t="s">
        <v>2152</v>
      </c>
      <c r="AX571" s="7">
        <v>44543.709977283608</v>
      </c>
      <c r="AY571" s="1" t="s">
        <v>1090</v>
      </c>
      <c r="AZ571" s="6">
        <v>184348</v>
      </c>
      <c r="BA571" s="1"/>
      <c r="BB571" s="5">
        <v>44561</v>
      </c>
      <c r="BC571" s="5">
        <v>44543</v>
      </c>
      <c r="BD571" s="5">
        <v>44543</v>
      </c>
      <c r="BE571" s="7">
        <v>44561</v>
      </c>
      <c r="BF571" s="1" t="s">
        <v>2170</v>
      </c>
      <c r="BG571" s="1"/>
      <c r="BH571" s="1"/>
      <c r="BI571" s="1" t="s">
        <v>199</v>
      </c>
    </row>
    <row r="572" spans="1:61" hidden="1" x14ac:dyDescent="0.25">
      <c r="A572" s="4">
        <v>567</v>
      </c>
      <c r="B572" s="2" t="str">
        <f>HYPERLINK("https://my.zakupivli.pro/remote/dispatcher/state_purchase_view/31836209", "UA-2021-11-16-007569-a")</f>
        <v>UA-2021-11-16-007569-a</v>
      </c>
      <c r="C572" s="2" t="s">
        <v>1516</v>
      </c>
      <c r="D572" s="1" t="s">
        <v>1973</v>
      </c>
      <c r="E572" s="1" t="s">
        <v>1973</v>
      </c>
      <c r="F572" s="1" t="s">
        <v>298</v>
      </c>
      <c r="G572" s="1" t="s">
        <v>114</v>
      </c>
      <c r="H572" s="1" t="s">
        <v>1184</v>
      </c>
      <c r="I572" s="1" t="s">
        <v>2094</v>
      </c>
      <c r="J572" s="1" t="s">
        <v>1145</v>
      </c>
      <c r="K572" s="1" t="s">
        <v>947</v>
      </c>
      <c r="L572" s="1" t="s">
        <v>1533</v>
      </c>
      <c r="M572" s="1" t="s">
        <v>1533</v>
      </c>
      <c r="N572" s="1" t="s">
        <v>110</v>
      </c>
      <c r="O572" s="1" t="s">
        <v>110</v>
      </c>
      <c r="P572" s="1" t="s">
        <v>110</v>
      </c>
      <c r="Q572" s="5">
        <v>44516</v>
      </c>
      <c r="R572" s="1" t="s">
        <v>379</v>
      </c>
      <c r="S572" s="1" t="s">
        <v>385</v>
      </c>
      <c r="T572" s="5">
        <v>44516</v>
      </c>
      <c r="U572" s="5">
        <v>44532</v>
      </c>
      <c r="V572" s="7">
        <v>44532.661851851852</v>
      </c>
      <c r="W572" s="4">
        <v>2</v>
      </c>
      <c r="X572" s="6">
        <v>200000</v>
      </c>
      <c r="Y572" s="1" t="s">
        <v>1516</v>
      </c>
      <c r="Z572" s="1">
        <v>209</v>
      </c>
      <c r="AA572" s="6">
        <v>956.94</v>
      </c>
      <c r="AB572" s="1" t="s">
        <v>2163</v>
      </c>
      <c r="AC572" s="6">
        <v>2000</v>
      </c>
      <c r="AD572" s="1" t="s">
        <v>1100</v>
      </c>
      <c r="AE572" s="1" t="s">
        <v>2094</v>
      </c>
      <c r="AF572" s="1" t="s">
        <v>1186</v>
      </c>
      <c r="AG572" s="1" t="s">
        <v>1522</v>
      </c>
      <c r="AH572" s="6">
        <v>199680</v>
      </c>
      <c r="AI572" s="6">
        <v>955.40669856459328</v>
      </c>
      <c r="AJ572" s="1" t="s">
        <v>2079</v>
      </c>
      <c r="AK572" s="6">
        <v>320</v>
      </c>
      <c r="AL572" s="6">
        <v>1.6000000000000001E-3</v>
      </c>
      <c r="AM572" s="1" t="s">
        <v>2079</v>
      </c>
      <c r="AN572" s="1" t="s">
        <v>844</v>
      </c>
      <c r="AO572" s="1" t="s">
        <v>1098</v>
      </c>
      <c r="AP572" s="1" t="s">
        <v>866</v>
      </c>
      <c r="AQ572" s="6">
        <v>320</v>
      </c>
      <c r="AR572" s="6">
        <v>1.6000000000000001E-3</v>
      </c>
      <c r="AS572" s="2" t="str">
        <f>HYPERLINK("https://auctions.prozorro.gov.ua/tenders/6ab26371154947c09b380c973871c588")</f>
        <v>https://auctions.prozorro.gov.ua/tenders/6ab26371154947c09b380c973871c588</v>
      </c>
      <c r="AT572" s="7">
        <v>44533.706487015719</v>
      </c>
      <c r="AU572" s="1" t="s">
        <v>402</v>
      </c>
      <c r="AV572" s="1" t="s">
        <v>409</v>
      </c>
      <c r="AW572" s="1" t="s">
        <v>2152</v>
      </c>
      <c r="AX572" s="7">
        <v>44544.575628848092</v>
      </c>
      <c r="AY572" s="1" t="s">
        <v>156</v>
      </c>
      <c r="AZ572" s="6">
        <v>199680</v>
      </c>
      <c r="BA572" s="1"/>
      <c r="BB572" s="5">
        <v>44547</v>
      </c>
      <c r="BC572" s="5">
        <v>44544</v>
      </c>
      <c r="BD572" s="5">
        <v>44544</v>
      </c>
      <c r="BE572" s="7">
        <v>44561</v>
      </c>
      <c r="BF572" s="1" t="s">
        <v>2170</v>
      </c>
      <c r="BG572" s="1"/>
      <c r="BH572" s="1"/>
      <c r="BI572" s="1" t="s">
        <v>846</v>
      </c>
    </row>
    <row r="573" spans="1:61" hidden="1" x14ac:dyDescent="0.25">
      <c r="A573" s="4">
        <v>568</v>
      </c>
      <c r="B573" s="2" t="str">
        <f>HYPERLINK("https://my.zakupivli.pro/remote/dispatcher/state_purchase_view/31828298", "UA-2021-11-16-005310-a")</f>
        <v>UA-2021-11-16-005310-a</v>
      </c>
      <c r="C573" s="2" t="s">
        <v>1516</v>
      </c>
      <c r="D573" s="1" t="s">
        <v>1963</v>
      </c>
      <c r="E573" s="1" t="s">
        <v>1963</v>
      </c>
      <c r="F573" s="1" t="s">
        <v>298</v>
      </c>
      <c r="G573" s="1" t="s">
        <v>974</v>
      </c>
      <c r="H573" s="1" t="s">
        <v>2015</v>
      </c>
      <c r="I573" s="1" t="s">
        <v>2094</v>
      </c>
      <c r="J573" s="1" t="s">
        <v>1145</v>
      </c>
      <c r="K573" s="1" t="s">
        <v>947</v>
      </c>
      <c r="L573" s="1" t="s">
        <v>1533</v>
      </c>
      <c r="M573" s="1" t="s">
        <v>1534</v>
      </c>
      <c r="N573" s="1" t="s">
        <v>110</v>
      </c>
      <c r="O573" s="1" t="s">
        <v>110</v>
      </c>
      <c r="P573" s="1" t="s">
        <v>110</v>
      </c>
      <c r="Q573" s="5">
        <v>44516</v>
      </c>
      <c r="R573" s="1" t="s">
        <v>379</v>
      </c>
      <c r="S573" s="1" t="s">
        <v>385</v>
      </c>
      <c r="T573" s="5">
        <v>44522</v>
      </c>
      <c r="U573" s="5">
        <v>44525</v>
      </c>
      <c r="V573" s="1" t="s">
        <v>2147</v>
      </c>
      <c r="W573" s="4">
        <v>1</v>
      </c>
      <c r="X573" s="6">
        <v>197900</v>
      </c>
      <c r="Y573" s="1" t="s">
        <v>1516</v>
      </c>
      <c r="Z573" s="1">
        <v>1</v>
      </c>
      <c r="AA573" s="6">
        <v>197900</v>
      </c>
      <c r="AB573" s="1" t="s">
        <v>2167</v>
      </c>
      <c r="AC573" s="6">
        <v>1000</v>
      </c>
      <c r="AD573" s="1" t="s">
        <v>1100</v>
      </c>
      <c r="AE573" s="1" t="s">
        <v>2094</v>
      </c>
      <c r="AF573" s="1" t="s">
        <v>1186</v>
      </c>
      <c r="AG573" s="1" t="s">
        <v>1522</v>
      </c>
      <c r="AH573" s="6">
        <v>197900</v>
      </c>
      <c r="AI573" s="6">
        <v>197900</v>
      </c>
      <c r="AJ573" s="1" t="s">
        <v>2083</v>
      </c>
      <c r="AK573" s="1"/>
      <c r="AL573" s="1"/>
      <c r="AM573" s="1" t="s">
        <v>2083</v>
      </c>
      <c r="AN573" s="1" t="s">
        <v>909</v>
      </c>
      <c r="AO573" s="1" t="s">
        <v>1095</v>
      </c>
      <c r="AP573" s="1" t="s">
        <v>874</v>
      </c>
      <c r="AQ573" s="1"/>
      <c r="AR573" s="1"/>
      <c r="AS573" s="2"/>
      <c r="AT573" s="7">
        <v>44526.433867834581</v>
      </c>
      <c r="AU573" s="1" t="s">
        <v>390</v>
      </c>
      <c r="AV573" s="1" t="s">
        <v>404</v>
      </c>
      <c r="AW573" s="1" t="s">
        <v>2152</v>
      </c>
      <c r="AX573" s="7">
        <v>44536.772309744505</v>
      </c>
      <c r="AY573" s="1" t="s">
        <v>1064</v>
      </c>
      <c r="AZ573" s="6">
        <v>197900</v>
      </c>
      <c r="BA573" s="1"/>
      <c r="BB573" s="5">
        <v>44561</v>
      </c>
      <c r="BC573" s="5">
        <v>44531</v>
      </c>
      <c r="BD573" s="5">
        <v>44531</v>
      </c>
      <c r="BE573" s="7">
        <v>44561</v>
      </c>
      <c r="BF573" s="1" t="s">
        <v>2170</v>
      </c>
      <c r="BG573" s="1"/>
      <c r="BH573" s="1"/>
      <c r="BI573" s="1" t="s">
        <v>910</v>
      </c>
    </row>
    <row r="574" spans="1:61" hidden="1" x14ac:dyDescent="0.25">
      <c r="A574" s="4">
        <v>569</v>
      </c>
      <c r="B574" s="2" t="str">
        <f>HYPERLINK("https://my.zakupivli.pro/remote/dispatcher/state_purchase_view/31805465", "UA-2021-11-15-016161-a")</f>
        <v>UA-2021-11-15-016161-a</v>
      </c>
      <c r="C574" s="2" t="s">
        <v>1516</v>
      </c>
      <c r="D574" s="1" t="s">
        <v>1981</v>
      </c>
      <c r="E574" s="1" t="s">
        <v>1981</v>
      </c>
      <c r="F574" s="1" t="s">
        <v>298</v>
      </c>
      <c r="G574" s="1" t="s">
        <v>970</v>
      </c>
      <c r="H574" s="1" t="s">
        <v>2015</v>
      </c>
      <c r="I574" s="1" t="s">
        <v>2094</v>
      </c>
      <c r="J574" s="1" t="s">
        <v>1145</v>
      </c>
      <c r="K574" s="1" t="s">
        <v>947</v>
      </c>
      <c r="L574" s="1" t="s">
        <v>1533</v>
      </c>
      <c r="M574" s="1" t="s">
        <v>1534</v>
      </c>
      <c r="N574" s="1" t="s">
        <v>110</v>
      </c>
      <c r="O574" s="1" t="s">
        <v>110</v>
      </c>
      <c r="P574" s="1" t="s">
        <v>110</v>
      </c>
      <c r="Q574" s="5">
        <v>44515</v>
      </c>
      <c r="R574" s="1" t="s">
        <v>378</v>
      </c>
      <c r="S574" s="1" t="s">
        <v>382</v>
      </c>
      <c r="T574" s="5">
        <v>44519</v>
      </c>
      <c r="U574" s="5">
        <v>44524</v>
      </c>
      <c r="V574" s="1" t="s">
        <v>2147</v>
      </c>
      <c r="W574" s="4">
        <v>1</v>
      </c>
      <c r="X574" s="6">
        <v>199900</v>
      </c>
      <c r="Y574" s="1" t="s">
        <v>1516</v>
      </c>
      <c r="Z574" s="1">
        <v>1</v>
      </c>
      <c r="AA574" s="6">
        <v>199900</v>
      </c>
      <c r="AB574" s="1" t="s">
        <v>2167</v>
      </c>
      <c r="AC574" s="6">
        <v>1000</v>
      </c>
      <c r="AD574" s="1" t="s">
        <v>1100</v>
      </c>
      <c r="AE574" s="1" t="s">
        <v>2094</v>
      </c>
      <c r="AF574" s="1" t="s">
        <v>1186</v>
      </c>
      <c r="AG574" s="1" t="s">
        <v>1522</v>
      </c>
      <c r="AH574" s="6">
        <v>199900</v>
      </c>
      <c r="AI574" s="6">
        <v>199900</v>
      </c>
      <c r="AJ574" s="1" t="s">
        <v>2083</v>
      </c>
      <c r="AK574" s="1"/>
      <c r="AL574" s="1"/>
      <c r="AM574" s="1" t="s">
        <v>2083</v>
      </c>
      <c r="AN574" s="1" t="s">
        <v>909</v>
      </c>
      <c r="AO574" s="1" t="s">
        <v>1095</v>
      </c>
      <c r="AP574" s="1" t="s">
        <v>874</v>
      </c>
      <c r="AQ574" s="1"/>
      <c r="AR574" s="1"/>
      <c r="AS574" s="2"/>
      <c r="AT574" s="7">
        <v>44524.727069335015</v>
      </c>
      <c r="AU574" s="1" t="s">
        <v>388</v>
      </c>
      <c r="AV574" s="1" t="s">
        <v>402</v>
      </c>
      <c r="AW574" s="1" t="s">
        <v>2152</v>
      </c>
      <c r="AX574" s="7">
        <v>44536.75298242706</v>
      </c>
      <c r="AY574" s="1" t="s">
        <v>1066</v>
      </c>
      <c r="AZ574" s="6">
        <v>199900</v>
      </c>
      <c r="BA574" s="1"/>
      <c r="BB574" s="5">
        <v>44561</v>
      </c>
      <c r="BC574" s="5">
        <v>44531</v>
      </c>
      <c r="BD574" s="5">
        <v>44531</v>
      </c>
      <c r="BE574" s="7">
        <v>44561</v>
      </c>
      <c r="BF574" s="1" t="s">
        <v>2170</v>
      </c>
      <c r="BG574" s="1"/>
      <c r="BH574" s="1"/>
      <c r="BI574" s="1" t="s">
        <v>910</v>
      </c>
    </row>
    <row r="575" spans="1:61" hidden="1" x14ac:dyDescent="0.25">
      <c r="A575" s="4">
        <v>570</v>
      </c>
      <c r="B575" s="2" t="str">
        <f>HYPERLINK("https://my.zakupivli.pro/remote/dispatcher/state_purchase_view/31806497", "UA-2021-11-15-016554-a")</f>
        <v>UA-2021-11-15-016554-a</v>
      </c>
      <c r="C575" s="2" t="s">
        <v>1516</v>
      </c>
      <c r="D575" s="1" t="s">
        <v>1910</v>
      </c>
      <c r="E575" s="1" t="s">
        <v>1910</v>
      </c>
      <c r="F575" s="1" t="s">
        <v>298</v>
      </c>
      <c r="G575" s="1" t="s">
        <v>963</v>
      </c>
      <c r="H575" s="1" t="s">
        <v>2015</v>
      </c>
      <c r="I575" s="1" t="s">
        <v>2094</v>
      </c>
      <c r="J575" s="1" t="s">
        <v>1145</v>
      </c>
      <c r="K575" s="1" t="s">
        <v>947</v>
      </c>
      <c r="L575" s="1" t="s">
        <v>1533</v>
      </c>
      <c r="M575" s="1" t="s">
        <v>1534</v>
      </c>
      <c r="N575" s="1" t="s">
        <v>110</v>
      </c>
      <c r="O575" s="1" t="s">
        <v>110</v>
      </c>
      <c r="P575" s="1" t="s">
        <v>110</v>
      </c>
      <c r="Q575" s="5">
        <v>44515</v>
      </c>
      <c r="R575" s="1" t="s">
        <v>378</v>
      </c>
      <c r="S575" s="1" t="s">
        <v>382</v>
      </c>
      <c r="T575" s="5">
        <v>44519</v>
      </c>
      <c r="U575" s="5">
        <v>44524</v>
      </c>
      <c r="V575" s="1" t="s">
        <v>2147</v>
      </c>
      <c r="W575" s="4">
        <v>1</v>
      </c>
      <c r="X575" s="6">
        <v>199900</v>
      </c>
      <c r="Y575" s="1" t="s">
        <v>1516</v>
      </c>
      <c r="Z575" s="1">
        <v>1</v>
      </c>
      <c r="AA575" s="6">
        <v>199900</v>
      </c>
      <c r="AB575" s="1" t="s">
        <v>2167</v>
      </c>
      <c r="AC575" s="6">
        <v>1000</v>
      </c>
      <c r="AD575" s="1" t="s">
        <v>1100</v>
      </c>
      <c r="AE575" s="1" t="s">
        <v>1522</v>
      </c>
      <c r="AF575" s="1" t="s">
        <v>1186</v>
      </c>
      <c r="AG575" s="1" t="s">
        <v>1522</v>
      </c>
      <c r="AH575" s="6">
        <v>199900</v>
      </c>
      <c r="AI575" s="6">
        <v>199900</v>
      </c>
      <c r="AJ575" s="1" t="s">
        <v>2083</v>
      </c>
      <c r="AK575" s="1"/>
      <c r="AL575" s="1"/>
      <c r="AM575" s="1" t="s">
        <v>2083</v>
      </c>
      <c r="AN575" s="1" t="s">
        <v>909</v>
      </c>
      <c r="AO575" s="1" t="s">
        <v>1095</v>
      </c>
      <c r="AP575" s="1" t="s">
        <v>874</v>
      </c>
      <c r="AQ575" s="1"/>
      <c r="AR575" s="1"/>
      <c r="AS575" s="2"/>
      <c r="AT575" s="7">
        <v>44524.728515123497</v>
      </c>
      <c r="AU575" s="1" t="s">
        <v>388</v>
      </c>
      <c r="AV575" s="1" t="s">
        <v>402</v>
      </c>
      <c r="AW575" s="1" t="s">
        <v>2152</v>
      </c>
      <c r="AX575" s="7">
        <v>44536.746024944587</v>
      </c>
      <c r="AY575" s="1" t="s">
        <v>1068</v>
      </c>
      <c r="AZ575" s="6">
        <v>199900</v>
      </c>
      <c r="BA575" s="1"/>
      <c r="BB575" s="5">
        <v>44561</v>
      </c>
      <c r="BC575" s="5">
        <v>44531</v>
      </c>
      <c r="BD575" s="5">
        <v>44531</v>
      </c>
      <c r="BE575" s="7">
        <v>44561</v>
      </c>
      <c r="BF575" s="1" t="s">
        <v>2170</v>
      </c>
      <c r="BG575" s="1"/>
      <c r="BH575" s="1"/>
      <c r="BI575" s="1" t="s">
        <v>910</v>
      </c>
    </row>
    <row r="576" spans="1:61" hidden="1" x14ac:dyDescent="0.25">
      <c r="A576" s="4">
        <v>571</v>
      </c>
      <c r="B576" s="2" t="str">
        <f>HYPERLINK("https://my.zakupivli.pro/remote/dispatcher/state_purchase_view/31801922", "UA-2021-11-15-014812-a")</f>
        <v>UA-2021-11-15-014812-a</v>
      </c>
      <c r="C576" s="2" t="s">
        <v>1516</v>
      </c>
      <c r="D576" s="1" t="s">
        <v>1915</v>
      </c>
      <c r="E576" s="1" t="s">
        <v>1915</v>
      </c>
      <c r="F576" s="1" t="s">
        <v>298</v>
      </c>
      <c r="G576" s="1" t="s">
        <v>963</v>
      </c>
      <c r="H576" s="1" t="s">
        <v>2015</v>
      </c>
      <c r="I576" s="1" t="s">
        <v>2094</v>
      </c>
      <c r="J576" s="1" t="s">
        <v>1145</v>
      </c>
      <c r="K576" s="1" t="s">
        <v>947</v>
      </c>
      <c r="L576" s="1" t="s">
        <v>1533</v>
      </c>
      <c r="M576" s="1" t="s">
        <v>1534</v>
      </c>
      <c r="N576" s="1" t="s">
        <v>110</v>
      </c>
      <c r="O576" s="1" t="s">
        <v>110</v>
      </c>
      <c r="P576" s="1" t="s">
        <v>110</v>
      </c>
      <c r="Q576" s="5">
        <v>44515</v>
      </c>
      <c r="R576" s="1" t="s">
        <v>378</v>
      </c>
      <c r="S576" s="1" t="s">
        <v>382</v>
      </c>
      <c r="T576" s="5">
        <v>44519</v>
      </c>
      <c r="U576" s="5">
        <v>44524</v>
      </c>
      <c r="V576" s="1" t="s">
        <v>2147</v>
      </c>
      <c r="W576" s="4">
        <v>1</v>
      </c>
      <c r="X576" s="6">
        <v>199900</v>
      </c>
      <c r="Y576" s="1" t="s">
        <v>1516</v>
      </c>
      <c r="Z576" s="1">
        <v>1</v>
      </c>
      <c r="AA576" s="6">
        <v>199900</v>
      </c>
      <c r="AB576" s="1" t="s">
        <v>2167</v>
      </c>
      <c r="AC576" s="6">
        <v>1000</v>
      </c>
      <c r="AD576" s="1" t="s">
        <v>1100</v>
      </c>
      <c r="AE576" s="1" t="s">
        <v>2094</v>
      </c>
      <c r="AF576" s="1" t="s">
        <v>1186</v>
      </c>
      <c r="AG576" s="1" t="s">
        <v>1522</v>
      </c>
      <c r="AH576" s="6">
        <v>199900</v>
      </c>
      <c r="AI576" s="6">
        <v>199900</v>
      </c>
      <c r="AJ576" s="1" t="s">
        <v>2083</v>
      </c>
      <c r="AK576" s="1"/>
      <c r="AL576" s="1"/>
      <c r="AM576" s="1" t="s">
        <v>2083</v>
      </c>
      <c r="AN576" s="1" t="s">
        <v>909</v>
      </c>
      <c r="AO576" s="1" t="s">
        <v>1095</v>
      </c>
      <c r="AP576" s="1" t="s">
        <v>874</v>
      </c>
      <c r="AQ576" s="1"/>
      <c r="AR576" s="1"/>
      <c r="AS576" s="2"/>
      <c r="AT576" s="7">
        <v>44524.739270825034</v>
      </c>
      <c r="AU576" s="1" t="s">
        <v>388</v>
      </c>
      <c r="AV576" s="1" t="s">
        <v>402</v>
      </c>
      <c r="AW576" s="1" t="s">
        <v>2152</v>
      </c>
      <c r="AX576" s="7">
        <v>44536.747023710937</v>
      </c>
      <c r="AY576" s="1" t="s">
        <v>1069</v>
      </c>
      <c r="AZ576" s="6">
        <v>199900</v>
      </c>
      <c r="BA576" s="1"/>
      <c r="BB576" s="5">
        <v>44561</v>
      </c>
      <c r="BC576" s="5">
        <v>44531</v>
      </c>
      <c r="BD576" s="5">
        <v>44531</v>
      </c>
      <c r="BE576" s="7">
        <v>44561</v>
      </c>
      <c r="BF576" s="1" t="s">
        <v>2170</v>
      </c>
      <c r="BG576" s="1"/>
      <c r="BH576" s="1"/>
      <c r="BI576" s="1" t="s">
        <v>910</v>
      </c>
    </row>
    <row r="577" spans="1:61" hidden="1" x14ac:dyDescent="0.25">
      <c r="A577" s="4">
        <v>572</v>
      </c>
      <c r="B577" s="2" t="str">
        <f>HYPERLINK("https://my.zakupivli.pro/remote/dispatcher/state_purchase_view/31726652", "UA-2021-11-12-007316-a")</f>
        <v>UA-2021-11-12-007316-a</v>
      </c>
      <c r="C577" s="2" t="s">
        <v>1516</v>
      </c>
      <c r="D577" s="1" t="s">
        <v>1482</v>
      </c>
      <c r="E577" s="1" t="s">
        <v>1483</v>
      </c>
      <c r="F577" s="1" t="s">
        <v>298</v>
      </c>
      <c r="G577" s="1" t="s">
        <v>876</v>
      </c>
      <c r="H577" s="1" t="s">
        <v>2015</v>
      </c>
      <c r="I577" s="1" t="s">
        <v>2094</v>
      </c>
      <c r="J577" s="1" t="s">
        <v>1145</v>
      </c>
      <c r="K577" s="1" t="s">
        <v>947</v>
      </c>
      <c r="L577" s="1" t="s">
        <v>1533</v>
      </c>
      <c r="M577" s="1" t="s">
        <v>1534</v>
      </c>
      <c r="N577" s="1" t="s">
        <v>110</v>
      </c>
      <c r="O577" s="1" t="s">
        <v>110</v>
      </c>
      <c r="P577" s="1" t="s">
        <v>110</v>
      </c>
      <c r="Q577" s="5">
        <v>44512</v>
      </c>
      <c r="R577" s="1" t="s">
        <v>377</v>
      </c>
      <c r="S577" s="1" t="s">
        <v>381</v>
      </c>
      <c r="T577" s="5">
        <v>44518</v>
      </c>
      <c r="U577" s="5">
        <v>44523</v>
      </c>
      <c r="V577" s="1" t="s">
        <v>2147</v>
      </c>
      <c r="W577" s="4">
        <v>0</v>
      </c>
      <c r="X577" s="6">
        <v>3405</v>
      </c>
      <c r="Y577" s="1" t="s">
        <v>1516</v>
      </c>
      <c r="Z577" s="1">
        <v>5</v>
      </c>
      <c r="AA577" s="6">
        <v>681</v>
      </c>
      <c r="AB577" s="1" t="s">
        <v>2157</v>
      </c>
      <c r="AC577" s="6">
        <v>18</v>
      </c>
      <c r="AD577" s="1" t="s">
        <v>1100</v>
      </c>
      <c r="AE577" s="1" t="s">
        <v>2094</v>
      </c>
      <c r="AF577" s="1" t="s">
        <v>1186</v>
      </c>
      <c r="AG577" s="1" t="s">
        <v>1522</v>
      </c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2"/>
      <c r="AT577" s="1"/>
      <c r="AU577" s="1"/>
      <c r="AV577" s="1"/>
      <c r="AW577" s="1" t="s">
        <v>2153</v>
      </c>
      <c r="AX577" s="7">
        <v>44523.003183411172</v>
      </c>
      <c r="AY577" s="1"/>
      <c r="AZ577" s="1"/>
      <c r="BA577" s="1"/>
      <c r="BB577" s="5">
        <v>44540</v>
      </c>
      <c r="BC577" s="1" t="s">
        <v>109</v>
      </c>
      <c r="BD577" s="1" t="s">
        <v>109</v>
      </c>
      <c r="BE577" s="1"/>
      <c r="BF577" s="1"/>
      <c r="BG577" s="1"/>
      <c r="BH577" s="1"/>
      <c r="BI577" s="1"/>
    </row>
    <row r="578" spans="1:61" hidden="1" x14ac:dyDescent="0.25">
      <c r="A578" s="4">
        <v>573</v>
      </c>
      <c r="B578" s="2" t="str">
        <f>HYPERLINK("https://my.zakupivli.pro/remote/dispatcher/state_purchase_view/31734205", "UA-2021-11-12-009994-a")</f>
        <v>UA-2021-11-12-009994-a</v>
      </c>
      <c r="C578" s="2" t="s">
        <v>1516</v>
      </c>
      <c r="D578" s="1" t="s">
        <v>1562</v>
      </c>
      <c r="E578" s="1" t="s">
        <v>1562</v>
      </c>
      <c r="F578" s="1" t="s">
        <v>298</v>
      </c>
      <c r="G578" s="1" t="s">
        <v>879</v>
      </c>
      <c r="H578" s="1" t="s">
        <v>1218</v>
      </c>
      <c r="I578" s="1" t="s">
        <v>2094</v>
      </c>
      <c r="J578" s="1" t="s">
        <v>1145</v>
      </c>
      <c r="K578" s="1" t="s">
        <v>947</v>
      </c>
      <c r="L578" s="1" t="s">
        <v>1533</v>
      </c>
      <c r="M578" s="1" t="s">
        <v>1534</v>
      </c>
      <c r="N578" s="1" t="s">
        <v>110</v>
      </c>
      <c r="O578" s="1" t="s">
        <v>110</v>
      </c>
      <c r="P578" s="1" t="s">
        <v>110</v>
      </c>
      <c r="Q578" s="5">
        <v>44512</v>
      </c>
      <c r="R578" s="1"/>
      <c r="S578" s="1"/>
      <c r="T578" s="1"/>
      <c r="U578" s="1"/>
      <c r="V578" s="1" t="s">
        <v>2146</v>
      </c>
      <c r="W578" s="4">
        <v>1</v>
      </c>
      <c r="X578" s="6">
        <v>42000</v>
      </c>
      <c r="Y578" s="1" t="s">
        <v>1516</v>
      </c>
      <c r="Z578" s="1">
        <v>10</v>
      </c>
      <c r="AA578" s="6">
        <v>4200</v>
      </c>
      <c r="AB578" s="1" t="s">
        <v>2175</v>
      </c>
      <c r="AC578" s="1" t="s">
        <v>2162</v>
      </c>
      <c r="AD578" s="1" t="s">
        <v>1100</v>
      </c>
      <c r="AE578" s="1" t="s">
        <v>1522</v>
      </c>
      <c r="AF578" s="1" t="s">
        <v>1186</v>
      </c>
      <c r="AG578" s="1" t="s">
        <v>1522</v>
      </c>
      <c r="AH578" s="6">
        <v>42000</v>
      </c>
      <c r="AI578" s="6">
        <v>4200</v>
      </c>
      <c r="AJ578" s="1" t="s">
        <v>2010</v>
      </c>
      <c r="AK578" s="1"/>
      <c r="AL578" s="1"/>
      <c r="AM578" s="1" t="s">
        <v>2010</v>
      </c>
      <c r="AN578" s="1" t="s">
        <v>796</v>
      </c>
      <c r="AO578" s="1"/>
      <c r="AP578" s="1" t="s">
        <v>142</v>
      </c>
      <c r="AQ578" s="1"/>
      <c r="AR578" s="1"/>
      <c r="AS578" s="2"/>
      <c r="AT578" s="1"/>
      <c r="AU578" s="1"/>
      <c r="AV578" s="1"/>
      <c r="AW578" s="1" t="s">
        <v>2152</v>
      </c>
      <c r="AX578" s="7">
        <v>44512.579641313474</v>
      </c>
      <c r="AY578" s="1" t="s">
        <v>1020</v>
      </c>
      <c r="AZ578" s="6">
        <v>42000</v>
      </c>
      <c r="BA578" s="1"/>
      <c r="BB578" s="5">
        <v>44555</v>
      </c>
      <c r="BC578" s="5">
        <v>44511</v>
      </c>
      <c r="BD578" s="5">
        <v>44511</v>
      </c>
      <c r="BE578" s="7">
        <v>44555</v>
      </c>
      <c r="BF578" s="1" t="s">
        <v>2170</v>
      </c>
      <c r="BG578" s="1"/>
      <c r="BH578" s="1"/>
      <c r="BI578" s="1" t="s">
        <v>108</v>
      </c>
    </row>
    <row r="579" spans="1:61" hidden="1" x14ac:dyDescent="0.25">
      <c r="A579" s="4">
        <v>574</v>
      </c>
      <c r="B579" s="2" t="str">
        <f>HYPERLINK("https://my.zakupivli.pro/remote/dispatcher/state_purchase_view/31719390", "UA-2021-11-12-004755-a")</f>
        <v>UA-2021-11-12-004755-a</v>
      </c>
      <c r="C579" s="2" t="s">
        <v>1516</v>
      </c>
      <c r="D579" s="1" t="s">
        <v>1652</v>
      </c>
      <c r="E579" s="1" t="s">
        <v>1652</v>
      </c>
      <c r="F579" s="1" t="s">
        <v>298</v>
      </c>
      <c r="G579" s="1" t="s">
        <v>1074</v>
      </c>
      <c r="H579" s="1" t="s">
        <v>2015</v>
      </c>
      <c r="I579" s="1" t="s">
        <v>2094</v>
      </c>
      <c r="J579" s="1" t="s">
        <v>1145</v>
      </c>
      <c r="K579" s="1" t="s">
        <v>947</v>
      </c>
      <c r="L579" s="1" t="s">
        <v>1533</v>
      </c>
      <c r="M579" s="1" t="s">
        <v>1534</v>
      </c>
      <c r="N579" s="1" t="s">
        <v>110</v>
      </c>
      <c r="O579" s="1" t="s">
        <v>110</v>
      </c>
      <c r="P579" s="1" t="s">
        <v>110</v>
      </c>
      <c r="Q579" s="5">
        <v>44512</v>
      </c>
      <c r="R579" s="1" t="s">
        <v>377</v>
      </c>
      <c r="S579" s="1" t="s">
        <v>381</v>
      </c>
      <c r="T579" s="5">
        <v>44518</v>
      </c>
      <c r="U579" s="5">
        <v>44523</v>
      </c>
      <c r="V579" s="1" t="s">
        <v>2147</v>
      </c>
      <c r="W579" s="4">
        <v>1</v>
      </c>
      <c r="X579" s="6">
        <v>60000</v>
      </c>
      <c r="Y579" s="1" t="s">
        <v>1516</v>
      </c>
      <c r="Z579" s="1">
        <v>1</v>
      </c>
      <c r="AA579" s="6">
        <v>60000</v>
      </c>
      <c r="AB579" s="1" t="s">
        <v>2167</v>
      </c>
      <c r="AC579" s="6">
        <v>300</v>
      </c>
      <c r="AD579" s="1" t="s">
        <v>1100</v>
      </c>
      <c r="AE579" s="1" t="s">
        <v>2094</v>
      </c>
      <c r="AF579" s="1" t="s">
        <v>1186</v>
      </c>
      <c r="AG579" s="1" t="s">
        <v>1522</v>
      </c>
      <c r="AH579" s="6">
        <v>59900</v>
      </c>
      <c r="AI579" s="6">
        <v>59900</v>
      </c>
      <c r="AJ579" s="1" t="s">
        <v>2122</v>
      </c>
      <c r="AK579" s="6">
        <v>100</v>
      </c>
      <c r="AL579" s="6">
        <v>1.6666666666666668E-3</v>
      </c>
      <c r="AM579" s="1"/>
      <c r="AN579" s="1"/>
      <c r="AO579" s="1"/>
      <c r="AP579" s="1"/>
      <c r="AQ579" s="1"/>
      <c r="AR579" s="1"/>
      <c r="AS579" s="2"/>
      <c r="AT579" s="7">
        <v>44524.502378841622</v>
      </c>
      <c r="AU579" s="1"/>
      <c r="AV579" s="1"/>
      <c r="AW579" s="1" t="s">
        <v>2153</v>
      </c>
      <c r="AX579" s="7">
        <v>44527.002500494251</v>
      </c>
      <c r="AY579" s="1"/>
      <c r="AZ579" s="1"/>
      <c r="BA579" s="1"/>
      <c r="BB579" s="5">
        <v>44561</v>
      </c>
      <c r="BC579" s="1" t="s">
        <v>109</v>
      </c>
      <c r="BD579" s="1" t="s">
        <v>109</v>
      </c>
      <c r="BE579" s="1"/>
      <c r="BF579" s="1"/>
      <c r="BG579" s="1"/>
      <c r="BH579" s="1"/>
      <c r="BI579" s="1" t="s">
        <v>226</v>
      </c>
    </row>
    <row r="580" spans="1:61" hidden="1" x14ac:dyDescent="0.25">
      <c r="A580" s="4">
        <v>575</v>
      </c>
      <c r="B580" s="2" t="str">
        <f>HYPERLINK("https://my.zakupivli.pro/remote/dispatcher/state_purchase_view/31701150", "UA-2021-11-11-016397-a")</f>
        <v>UA-2021-11-11-016397-a</v>
      </c>
      <c r="C580" s="2" t="s">
        <v>1516</v>
      </c>
      <c r="D580" s="1" t="s">
        <v>1510</v>
      </c>
      <c r="E580" s="1" t="s">
        <v>1510</v>
      </c>
      <c r="F580" s="1" t="s">
        <v>298</v>
      </c>
      <c r="G580" s="1" t="s">
        <v>241</v>
      </c>
      <c r="H580" s="1" t="s">
        <v>2015</v>
      </c>
      <c r="I580" s="1" t="s">
        <v>2094</v>
      </c>
      <c r="J580" s="1" t="s">
        <v>1145</v>
      </c>
      <c r="K580" s="1" t="s">
        <v>947</v>
      </c>
      <c r="L580" s="1" t="s">
        <v>1533</v>
      </c>
      <c r="M580" s="1" t="s">
        <v>1534</v>
      </c>
      <c r="N580" s="1" t="s">
        <v>110</v>
      </c>
      <c r="O580" s="1" t="s">
        <v>110</v>
      </c>
      <c r="P580" s="1" t="s">
        <v>110</v>
      </c>
      <c r="Q580" s="5">
        <v>44511</v>
      </c>
      <c r="R580" s="1" t="s">
        <v>376</v>
      </c>
      <c r="S580" s="1" t="s">
        <v>380</v>
      </c>
      <c r="T580" s="5">
        <v>44517</v>
      </c>
      <c r="U580" s="5">
        <v>44522</v>
      </c>
      <c r="V580" s="1" t="s">
        <v>2147</v>
      </c>
      <c r="W580" s="4">
        <v>0</v>
      </c>
      <c r="X580" s="6">
        <v>6000</v>
      </c>
      <c r="Y580" s="1" t="s">
        <v>1516</v>
      </c>
      <c r="Z580" s="1">
        <v>1</v>
      </c>
      <c r="AA580" s="6">
        <v>6000</v>
      </c>
      <c r="AB580" s="1" t="s">
        <v>2175</v>
      </c>
      <c r="AC580" s="6">
        <v>30</v>
      </c>
      <c r="AD580" s="1" t="s">
        <v>1100</v>
      </c>
      <c r="AE580" s="1" t="s">
        <v>2094</v>
      </c>
      <c r="AF580" s="1" t="s">
        <v>1186</v>
      </c>
      <c r="AG580" s="1" t="s">
        <v>1522</v>
      </c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2"/>
      <c r="AT580" s="1"/>
      <c r="AU580" s="1"/>
      <c r="AV580" s="1"/>
      <c r="AW580" s="1" t="s">
        <v>2153</v>
      </c>
      <c r="AX580" s="7">
        <v>44522.001135056322</v>
      </c>
      <c r="AY580" s="1"/>
      <c r="AZ580" s="1"/>
      <c r="BA580" s="1"/>
      <c r="BB580" s="5">
        <v>44540</v>
      </c>
      <c r="BC580" s="1" t="s">
        <v>109</v>
      </c>
      <c r="BD580" s="1" t="s">
        <v>109</v>
      </c>
      <c r="BE580" s="1"/>
      <c r="BF580" s="1"/>
      <c r="BG580" s="1"/>
      <c r="BH580" s="1"/>
      <c r="BI580" s="1"/>
    </row>
    <row r="581" spans="1:61" hidden="1" x14ac:dyDescent="0.25">
      <c r="A581" s="4">
        <v>576</v>
      </c>
      <c r="B581" s="2" t="str">
        <f>HYPERLINK("https://my.zakupivli.pro/remote/dispatcher/state_purchase_view/31689400", "UA-2021-11-11-016088-a")</f>
        <v>UA-2021-11-11-016088-a</v>
      </c>
      <c r="C581" s="2" t="s">
        <v>1516</v>
      </c>
      <c r="D581" s="1" t="s">
        <v>1482</v>
      </c>
      <c r="E581" s="1" t="s">
        <v>1484</v>
      </c>
      <c r="F581" s="1" t="s">
        <v>298</v>
      </c>
      <c r="G581" s="1" t="s">
        <v>876</v>
      </c>
      <c r="H581" s="1" t="s">
        <v>2015</v>
      </c>
      <c r="I581" s="1" t="s">
        <v>2094</v>
      </c>
      <c r="J581" s="1" t="s">
        <v>1145</v>
      </c>
      <c r="K581" s="1" t="s">
        <v>947</v>
      </c>
      <c r="L581" s="1" t="s">
        <v>1533</v>
      </c>
      <c r="M581" s="1" t="s">
        <v>1534</v>
      </c>
      <c r="N581" s="1" t="s">
        <v>110</v>
      </c>
      <c r="O581" s="1" t="s">
        <v>110</v>
      </c>
      <c r="P581" s="1" t="s">
        <v>110</v>
      </c>
      <c r="Q581" s="5">
        <v>44511</v>
      </c>
      <c r="R581" s="1" t="s">
        <v>376</v>
      </c>
      <c r="S581" s="1" t="s">
        <v>380</v>
      </c>
      <c r="T581" s="5">
        <v>44517</v>
      </c>
      <c r="U581" s="5">
        <v>44522</v>
      </c>
      <c r="V581" s="1" t="s">
        <v>2147</v>
      </c>
      <c r="W581" s="4">
        <v>0</v>
      </c>
      <c r="X581" s="6">
        <v>3405</v>
      </c>
      <c r="Y581" s="1" t="s">
        <v>1516</v>
      </c>
      <c r="Z581" s="1">
        <v>5</v>
      </c>
      <c r="AA581" s="6">
        <v>681</v>
      </c>
      <c r="AB581" s="1" t="s">
        <v>2157</v>
      </c>
      <c r="AC581" s="6">
        <v>18</v>
      </c>
      <c r="AD581" s="1" t="s">
        <v>1100</v>
      </c>
      <c r="AE581" s="1" t="s">
        <v>2094</v>
      </c>
      <c r="AF581" s="1" t="s">
        <v>1186</v>
      </c>
      <c r="AG581" s="1" t="s">
        <v>1522</v>
      </c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2"/>
      <c r="AT581" s="1"/>
      <c r="AU581" s="1"/>
      <c r="AV581" s="1"/>
      <c r="AW581" s="1" t="s">
        <v>2171</v>
      </c>
      <c r="AX581" s="7">
        <v>44512.491605728588</v>
      </c>
      <c r="AY581" s="1"/>
      <c r="AZ581" s="1"/>
      <c r="BA581" s="1"/>
      <c r="BB581" s="5">
        <v>44540</v>
      </c>
      <c r="BC581" s="1" t="s">
        <v>109</v>
      </c>
      <c r="BD581" s="1" t="s">
        <v>109</v>
      </c>
      <c r="BE581" s="1"/>
      <c r="BF581" s="1"/>
      <c r="BG581" s="1" t="s">
        <v>2004</v>
      </c>
      <c r="BH581" s="1"/>
      <c r="BI581" s="1"/>
    </row>
    <row r="582" spans="1:61" hidden="1" x14ac:dyDescent="0.25">
      <c r="A582" s="4">
        <v>577</v>
      </c>
      <c r="B582" s="2" t="str">
        <f>HYPERLINK("https://my.zakupivli.pro/remote/dispatcher/state_purchase_view/31702252", "UA-2021-11-11-016967-a")</f>
        <v>UA-2021-11-11-016967-a</v>
      </c>
      <c r="C582" s="2" t="s">
        <v>1516</v>
      </c>
      <c r="D582" s="1" t="s">
        <v>1972</v>
      </c>
      <c r="E582" s="1" t="s">
        <v>1492</v>
      </c>
      <c r="F582" s="1" t="s">
        <v>298</v>
      </c>
      <c r="G582" s="1" t="s">
        <v>959</v>
      </c>
      <c r="H582" s="1" t="s">
        <v>2015</v>
      </c>
      <c r="I582" s="1" t="s">
        <v>2094</v>
      </c>
      <c r="J582" s="1" t="s">
        <v>1145</v>
      </c>
      <c r="K582" s="1" t="s">
        <v>947</v>
      </c>
      <c r="L582" s="1" t="s">
        <v>1533</v>
      </c>
      <c r="M582" s="1" t="s">
        <v>1534</v>
      </c>
      <c r="N582" s="1" t="s">
        <v>110</v>
      </c>
      <c r="O582" s="1" t="s">
        <v>110</v>
      </c>
      <c r="P582" s="1" t="s">
        <v>290</v>
      </c>
      <c r="Q582" s="5">
        <v>44511</v>
      </c>
      <c r="R582" s="1" t="s">
        <v>376</v>
      </c>
      <c r="S582" s="1" t="s">
        <v>380</v>
      </c>
      <c r="T582" s="5">
        <v>44517</v>
      </c>
      <c r="U582" s="5">
        <v>44522</v>
      </c>
      <c r="V582" s="1" t="s">
        <v>2147</v>
      </c>
      <c r="W582" s="4">
        <v>1</v>
      </c>
      <c r="X582" s="6">
        <v>17150</v>
      </c>
      <c r="Y582" s="1" t="s">
        <v>1516</v>
      </c>
      <c r="Z582" s="1">
        <v>516</v>
      </c>
      <c r="AA582" s="6">
        <v>33.24</v>
      </c>
      <c r="AB582" s="1" t="s">
        <v>2157</v>
      </c>
      <c r="AC582" s="6">
        <v>86</v>
      </c>
      <c r="AD582" s="1" t="s">
        <v>1100</v>
      </c>
      <c r="AE582" s="1" t="s">
        <v>2094</v>
      </c>
      <c r="AF582" s="1" t="s">
        <v>1186</v>
      </c>
      <c r="AG582" s="1" t="s">
        <v>1522</v>
      </c>
      <c r="AH582" s="6">
        <v>16780</v>
      </c>
      <c r="AI582" s="6">
        <v>32.519379844961243</v>
      </c>
      <c r="AJ582" s="1" t="s">
        <v>2129</v>
      </c>
      <c r="AK582" s="6">
        <v>370</v>
      </c>
      <c r="AL582" s="6">
        <v>2.1574344023323616E-2</v>
      </c>
      <c r="AM582" s="1"/>
      <c r="AN582" s="1"/>
      <c r="AO582" s="1"/>
      <c r="AP582" s="1"/>
      <c r="AQ582" s="1"/>
      <c r="AR582" s="1"/>
      <c r="AS582" s="2"/>
      <c r="AT582" s="7">
        <v>44522.69803700081</v>
      </c>
      <c r="AU582" s="1"/>
      <c r="AV582" s="1"/>
      <c r="AW582" s="1" t="s">
        <v>2153</v>
      </c>
      <c r="AX582" s="7">
        <v>44525.001505362859</v>
      </c>
      <c r="AY582" s="1"/>
      <c r="AZ582" s="1"/>
      <c r="BA582" s="1"/>
      <c r="BB582" s="5">
        <v>44540</v>
      </c>
      <c r="BC582" s="1" t="s">
        <v>109</v>
      </c>
      <c r="BD582" s="1" t="s">
        <v>109</v>
      </c>
      <c r="BE582" s="1"/>
      <c r="BF582" s="1"/>
      <c r="BG582" s="1"/>
      <c r="BH582" s="1"/>
      <c r="BI582" s="1" t="s">
        <v>790</v>
      </c>
    </row>
    <row r="583" spans="1:61" hidden="1" x14ac:dyDescent="0.25">
      <c r="A583" s="4">
        <v>578</v>
      </c>
      <c r="B583" s="2" t="str">
        <f>HYPERLINK("https://my.zakupivli.pro/remote/dispatcher/state_purchase_view/31605047", "UA-2021-11-10-000612-a")</f>
        <v>UA-2021-11-10-000612-a</v>
      </c>
      <c r="C583" s="2" t="s">
        <v>1516</v>
      </c>
      <c r="D583" s="1" t="s">
        <v>1999</v>
      </c>
      <c r="E583" s="1" t="s">
        <v>1999</v>
      </c>
      <c r="F583" s="1" t="s">
        <v>298</v>
      </c>
      <c r="G583" s="1" t="s">
        <v>974</v>
      </c>
      <c r="H583" s="1" t="s">
        <v>1218</v>
      </c>
      <c r="I583" s="1" t="s">
        <v>2094</v>
      </c>
      <c r="J583" s="1" t="s">
        <v>1145</v>
      </c>
      <c r="K583" s="1" t="s">
        <v>947</v>
      </c>
      <c r="L583" s="1" t="s">
        <v>1533</v>
      </c>
      <c r="M583" s="1" t="s">
        <v>1534</v>
      </c>
      <c r="N583" s="1" t="s">
        <v>110</v>
      </c>
      <c r="O583" s="1" t="s">
        <v>110</v>
      </c>
      <c r="P583" s="1" t="s">
        <v>110</v>
      </c>
      <c r="Q583" s="5">
        <v>44510</v>
      </c>
      <c r="R583" s="1"/>
      <c r="S583" s="1"/>
      <c r="T583" s="1"/>
      <c r="U583" s="1"/>
      <c r="V583" s="1" t="s">
        <v>2146</v>
      </c>
      <c r="W583" s="4">
        <v>1</v>
      </c>
      <c r="X583" s="6">
        <v>49000</v>
      </c>
      <c r="Y583" s="1" t="s">
        <v>1516</v>
      </c>
      <c r="Z583" s="1">
        <v>1</v>
      </c>
      <c r="AA583" s="6">
        <v>49000</v>
      </c>
      <c r="AB583" s="1" t="s">
        <v>2167</v>
      </c>
      <c r="AC583" s="1" t="s">
        <v>2162</v>
      </c>
      <c r="AD583" s="1" t="s">
        <v>1100</v>
      </c>
      <c r="AE583" s="1" t="s">
        <v>1522</v>
      </c>
      <c r="AF583" s="1" t="s">
        <v>1186</v>
      </c>
      <c r="AG583" s="1" t="s">
        <v>1522</v>
      </c>
      <c r="AH583" s="6">
        <v>49000</v>
      </c>
      <c r="AI583" s="6">
        <v>49000</v>
      </c>
      <c r="AJ583" s="1" t="s">
        <v>2010</v>
      </c>
      <c r="AK583" s="1"/>
      <c r="AL583" s="1"/>
      <c r="AM583" s="1" t="s">
        <v>2010</v>
      </c>
      <c r="AN583" s="1" t="s">
        <v>796</v>
      </c>
      <c r="AO583" s="1"/>
      <c r="AP583" s="1" t="s">
        <v>142</v>
      </c>
      <c r="AQ583" s="1"/>
      <c r="AR583" s="1"/>
      <c r="AS583" s="2"/>
      <c r="AT583" s="1"/>
      <c r="AU583" s="1"/>
      <c r="AV583" s="1"/>
      <c r="AW583" s="1" t="s">
        <v>2152</v>
      </c>
      <c r="AX583" s="7">
        <v>44510.382436770866</v>
      </c>
      <c r="AY583" s="1" t="s">
        <v>1012</v>
      </c>
      <c r="AZ583" s="6">
        <v>49000</v>
      </c>
      <c r="BA583" s="1"/>
      <c r="BB583" s="5">
        <v>44561</v>
      </c>
      <c r="BC583" s="5">
        <v>44509</v>
      </c>
      <c r="BD583" s="5">
        <v>44509</v>
      </c>
      <c r="BE583" s="7">
        <v>44561</v>
      </c>
      <c r="BF583" s="1" t="s">
        <v>2170</v>
      </c>
      <c r="BG583" s="1"/>
      <c r="BH583" s="1"/>
      <c r="BI583" s="1" t="s">
        <v>108</v>
      </c>
    </row>
    <row r="584" spans="1:61" hidden="1" x14ac:dyDescent="0.25">
      <c r="A584" s="4">
        <v>579</v>
      </c>
      <c r="B584" s="2" t="str">
        <f>HYPERLINK("https://my.zakupivli.pro/remote/dispatcher/state_purchase_view/31647892", "UA-2021-11-10-015073-a")</f>
        <v>UA-2021-11-10-015073-a</v>
      </c>
      <c r="C584" s="2" t="s">
        <v>1516</v>
      </c>
      <c r="D584" s="1" t="s">
        <v>1645</v>
      </c>
      <c r="E584" s="1" t="s">
        <v>1645</v>
      </c>
      <c r="F584" s="1" t="s">
        <v>298</v>
      </c>
      <c r="G584" s="1" t="s">
        <v>966</v>
      </c>
      <c r="H584" s="1" t="s">
        <v>2015</v>
      </c>
      <c r="I584" s="1" t="s">
        <v>2094</v>
      </c>
      <c r="J584" s="1" t="s">
        <v>1145</v>
      </c>
      <c r="K584" s="1" t="s">
        <v>947</v>
      </c>
      <c r="L584" s="1" t="s">
        <v>1533</v>
      </c>
      <c r="M584" s="1" t="s">
        <v>1534</v>
      </c>
      <c r="N584" s="1" t="s">
        <v>110</v>
      </c>
      <c r="O584" s="1" t="s">
        <v>110</v>
      </c>
      <c r="P584" s="1" t="s">
        <v>110</v>
      </c>
      <c r="Q584" s="5">
        <v>44510</v>
      </c>
      <c r="R584" s="1" t="s">
        <v>375</v>
      </c>
      <c r="S584" s="1" t="s">
        <v>379</v>
      </c>
      <c r="T584" s="5">
        <v>44516</v>
      </c>
      <c r="U584" s="5">
        <v>44519</v>
      </c>
      <c r="V584" s="1" t="s">
        <v>2147</v>
      </c>
      <c r="W584" s="4">
        <v>1</v>
      </c>
      <c r="X584" s="6">
        <v>106000</v>
      </c>
      <c r="Y584" s="1" t="s">
        <v>1516</v>
      </c>
      <c r="Z584" s="1">
        <v>1</v>
      </c>
      <c r="AA584" s="6">
        <v>106000</v>
      </c>
      <c r="AB584" s="1" t="s">
        <v>2167</v>
      </c>
      <c r="AC584" s="6">
        <v>530</v>
      </c>
      <c r="AD584" s="1" t="s">
        <v>1100</v>
      </c>
      <c r="AE584" s="1" t="s">
        <v>2094</v>
      </c>
      <c r="AF584" s="1" t="s">
        <v>1186</v>
      </c>
      <c r="AG584" s="1" t="s">
        <v>1522</v>
      </c>
      <c r="AH584" s="6">
        <v>106000</v>
      </c>
      <c r="AI584" s="6">
        <v>106000</v>
      </c>
      <c r="AJ584" s="1" t="s">
        <v>2031</v>
      </c>
      <c r="AK584" s="1"/>
      <c r="AL584" s="1"/>
      <c r="AM584" s="1" t="s">
        <v>2031</v>
      </c>
      <c r="AN584" s="1" t="s">
        <v>201</v>
      </c>
      <c r="AO584" s="1" t="s">
        <v>1101</v>
      </c>
      <c r="AP584" s="1" t="s">
        <v>59</v>
      </c>
      <c r="AQ584" s="1"/>
      <c r="AR584" s="1"/>
      <c r="AS584" s="2"/>
      <c r="AT584" s="7">
        <v>44519.531704731759</v>
      </c>
      <c r="AU584" s="1" t="s">
        <v>383</v>
      </c>
      <c r="AV584" s="1" t="s">
        <v>399</v>
      </c>
      <c r="AW584" s="1" t="s">
        <v>2152</v>
      </c>
      <c r="AX584" s="7">
        <v>44524.677236277203</v>
      </c>
      <c r="AY584" s="1" t="s">
        <v>1037</v>
      </c>
      <c r="AZ584" s="6">
        <v>106000</v>
      </c>
      <c r="BA584" s="1"/>
      <c r="BB584" s="5">
        <v>44561</v>
      </c>
      <c r="BC584" s="5">
        <v>44523</v>
      </c>
      <c r="BD584" s="5">
        <v>44523</v>
      </c>
      <c r="BE584" s="7">
        <v>44561</v>
      </c>
      <c r="BF584" s="1" t="s">
        <v>2170</v>
      </c>
      <c r="BG584" s="1"/>
      <c r="BH584" s="1"/>
      <c r="BI584" s="1" t="s">
        <v>202</v>
      </c>
    </row>
    <row r="585" spans="1:61" hidden="1" x14ac:dyDescent="0.25">
      <c r="A585" s="4">
        <v>580</v>
      </c>
      <c r="B585" s="2" t="str">
        <f>HYPERLINK("https://my.zakupivli.pro/remote/dispatcher/state_purchase_view/31598755", "UA-2021-11-09-005764-a")</f>
        <v>UA-2021-11-09-005764-a</v>
      </c>
      <c r="C585" s="2" t="s">
        <v>1516</v>
      </c>
      <c r="D585" s="1" t="s">
        <v>1647</v>
      </c>
      <c r="E585" s="1" t="s">
        <v>1647</v>
      </c>
      <c r="F585" s="1" t="s">
        <v>298</v>
      </c>
      <c r="G585" s="1" t="s">
        <v>964</v>
      </c>
      <c r="H585" s="1" t="s">
        <v>1218</v>
      </c>
      <c r="I585" s="1" t="s">
        <v>2094</v>
      </c>
      <c r="J585" s="1" t="s">
        <v>1145</v>
      </c>
      <c r="K585" s="1" t="s">
        <v>947</v>
      </c>
      <c r="L585" s="1" t="s">
        <v>1533</v>
      </c>
      <c r="M585" s="1" t="s">
        <v>1534</v>
      </c>
      <c r="N585" s="1" t="s">
        <v>110</v>
      </c>
      <c r="O585" s="1" t="s">
        <v>110</v>
      </c>
      <c r="P585" s="1" t="s">
        <v>110</v>
      </c>
      <c r="Q585" s="5">
        <v>44509</v>
      </c>
      <c r="R585" s="1"/>
      <c r="S585" s="1"/>
      <c r="T585" s="1"/>
      <c r="U585" s="1"/>
      <c r="V585" s="1" t="s">
        <v>2146</v>
      </c>
      <c r="W585" s="4">
        <v>1</v>
      </c>
      <c r="X585" s="6">
        <v>47131</v>
      </c>
      <c r="Y585" s="1" t="s">
        <v>1516</v>
      </c>
      <c r="Z585" s="1">
        <v>1</v>
      </c>
      <c r="AA585" s="6">
        <v>47131</v>
      </c>
      <c r="AB585" s="1" t="s">
        <v>2167</v>
      </c>
      <c r="AC585" s="1" t="s">
        <v>2162</v>
      </c>
      <c r="AD585" s="1" t="s">
        <v>1100</v>
      </c>
      <c r="AE585" s="1" t="s">
        <v>1522</v>
      </c>
      <c r="AF585" s="1" t="s">
        <v>1186</v>
      </c>
      <c r="AG585" s="1" t="s">
        <v>1522</v>
      </c>
      <c r="AH585" s="6">
        <v>47131</v>
      </c>
      <c r="AI585" s="6">
        <v>47131</v>
      </c>
      <c r="AJ585" s="1" t="s">
        <v>2010</v>
      </c>
      <c r="AK585" s="1"/>
      <c r="AL585" s="1"/>
      <c r="AM585" s="1" t="s">
        <v>2010</v>
      </c>
      <c r="AN585" s="1" t="s">
        <v>796</v>
      </c>
      <c r="AO585" s="1"/>
      <c r="AP585" s="1" t="s">
        <v>142</v>
      </c>
      <c r="AQ585" s="1"/>
      <c r="AR585" s="1"/>
      <c r="AS585" s="2"/>
      <c r="AT585" s="1"/>
      <c r="AU585" s="1"/>
      <c r="AV585" s="1"/>
      <c r="AW585" s="1" t="s">
        <v>2152</v>
      </c>
      <c r="AX585" s="7">
        <v>44510.483498774847</v>
      </c>
      <c r="AY585" s="1" t="s">
        <v>1018</v>
      </c>
      <c r="AZ585" s="6">
        <v>47131</v>
      </c>
      <c r="BA585" s="1"/>
      <c r="BB585" s="5">
        <v>44561</v>
      </c>
      <c r="BC585" s="5">
        <v>44509</v>
      </c>
      <c r="BD585" s="5">
        <v>44509</v>
      </c>
      <c r="BE585" s="7">
        <v>44561</v>
      </c>
      <c r="BF585" s="1" t="s">
        <v>2170</v>
      </c>
      <c r="BG585" s="1"/>
      <c r="BH585" s="1"/>
      <c r="BI585" s="1" t="s">
        <v>108</v>
      </c>
    </row>
    <row r="586" spans="1:61" hidden="1" x14ac:dyDescent="0.25">
      <c r="A586" s="4">
        <v>581</v>
      </c>
      <c r="B586" s="2" t="str">
        <f>HYPERLINK("https://my.zakupivli.pro/remote/dispatcher/state_purchase_view/31597874", "UA-2021-11-09-005471-a")</f>
        <v>UA-2021-11-09-005471-a</v>
      </c>
      <c r="C586" s="2" t="s">
        <v>1516</v>
      </c>
      <c r="D586" s="1" t="s">
        <v>1646</v>
      </c>
      <c r="E586" s="1" t="s">
        <v>1646</v>
      </c>
      <c r="F586" s="1" t="s">
        <v>298</v>
      </c>
      <c r="G586" s="1" t="s">
        <v>1051</v>
      </c>
      <c r="H586" s="1" t="s">
        <v>1218</v>
      </c>
      <c r="I586" s="1" t="s">
        <v>2094</v>
      </c>
      <c r="J586" s="1" t="s">
        <v>1145</v>
      </c>
      <c r="K586" s="1" t="s">
        <v>947</v>
      </c>
      <c r="L586" s="1" t="s">
        <v>1533</v>
      </c>
      <c r="M586" s="1" t="s">
        <v>1534</v>
      </c>
      <c r="N586" s="1" t="s">
        <v>110</v>
      </c>
      <c r="O586" s="1" t="s">
        <v>110</v>
      </c>
      <c r="P586" s="1" t="s">
        <v>110</v>
      </c>
      <c r="Q586" s="5">
        <v>44509</v>
      </c>
      <c r="R586" s="1"/>
      <c r="S586" s="1"/>
      <c r="T586" s="1"/>
      <c r="U586" s="1"/>
      <c r="V586" s="1" t="s">
        <v>2146</v>
      </c>
      <c r="W586" s="4">
        <v>1</v>
      </c>
      <c r="X586" s="6">
        <v>49000</v>
      </c>
      <c r="Y586" s="1" t="s">
        <v>1516</v>
      </c>
      <c r="Z586" s="1">
        <v>1</v>
      </c>
      <c r="AA586" s="6">
        <v>49000</v>
      </c>
      <c r="AB586" s="1" t="s">
        <v>2167</v>
      </c>
      <c r="AC586" s="1" t="s">
        <v>2162</v>
      </c>
      <c r="AD586" s="1" t="s">
        <v>1100</v>
      </c>
      <c r="AE586" s="1" t="s">
        <v>1522</v>
      </c>
      <c r="AF586" s="1" t="s">
        <v>1186</v>
      </c>
      <c r="AG586" s="1" t="s">
        <v>1522</v>
      </c>
      <c r="AH586" s="6">
        <v>49000</v>
      </c>
      <c r="AI586" s="6">
        <v>49000</v>
      </c>
      <c r="AJ586" s="1" t="s">
        <v>2010</v>
      </c>
      <c r="AK586" s="1"/>
      <c r="AL586" s="1"/>
      <c r="AM586" s="1" t="s">
        <v>2010</v>
      </c>
      <c r="AN586" s="1" t="s">
        <v>796</v>
      </c>
      <c r="AO586" s="1"/>
      <c r="AP586" s="1" t="s">
        <v>142</v>
      </c>
      <c r="AQ586" s="1"/>
      <c r="AR586" s="1"/>
      <c r="AS586" s="2"/>
      <c r="AT586" s="1"/>
      <c r="AU586" s="1"/>
      <c r="AV586" s="1"/>
      <c r="AW586" s="1" t="s">
        <v>2152</v>
      </c>
      <c r="AX586" s="7">
        <v>44509.713012705186</v>
      </c>
      <c r="AY586" s="1" t="s">
        <v>1019</v>
      </c>
      <c r="AZ586" s="6">
        <v>49000</v>
      </c>
      <c r="BA586" s="1"/>
      <c r="BB586" s="5">
        <v>44561</v>
      </c>
      <c r="BC586" s="5">
        <v>44509</v>
      </c>
      <c r="BD586" s="5">
        <v>44509</v>
      </c>
      <c r="BE586" s="7">
        <v>44561</v>
      </c>
      <c r="BF586" s="1" t="s">
        <v>2170</v>
      </c>
      <c r="BG586" s="1"/>
      <c r="BH586" s="1"/>
      <c r="BI586" s="1" t="s">
        <v>108</v>
      </c>
    </row>
    <row r="587" spans="1:61" hidden="1" x14ac:dyDescent="0.25">
      <c r="A587" s="4">
        <v>582</v>
      </c>
      <c r="B587" s="2" t="str">
        <f>HYPERLINK("https://my.zakupivli.pro/remote/dispatcher/state_purchase_view/31507768", "UA-2021-11-08-000976-b")</f>
        <v>UA-2021-11-08-000976-b</v>
      </c>
      <c r="C587" s="2" t="s">
        <v>1516</v>
      </c>
      <c r="D587" s="1" t="s">
        <v>1714</v>
      </c>
      <c r="E587" s="1" t="s">
        <v>1714</v>
      </c>
      <c r="F587" s="1" t="s">
        <v>298</v>
      </c>
      <c r="G587" s="1" t="s">
        <v>1050</v>
      </c>
      <c r="H587" s="1" t="s">
        <v>1218</v>
      </c>
      <c r="I587" s="1" t="s">
        <v>2094</v>
      </c>
      <c r="J587" s="1" t="s">
        <v>1145</v>
      </c>
      <c r="K587" s="1" t="s">
        <v>947</v>
      </c>
      <c r="L587" s="1" t="s">
        <v>1533</v>
      </c>
      <c r="M587" s="1" t="s">
        <v>1534</v>
      </c>
      <c r="N587" s="1" t="s">
        <v>110</v>
      </c>
      <c r="O587" s="1" t="s">
        <v>110</v>
      </c>
      <c r="P587" s="1" t="s">
        <v>110</v>
      </c>
      <c r="Q587" s="5">
        <v>44508</v>
      </c>
      <c r="R587" s="1"/>
      <c r="S587" s="1"/>
      <c r="T587" s="1"/>
      <c r="U587" s="1"/>
      <c r="V587" s="1" t="s">
        <v>2146</v>
      </c>
      <c r="W587" s="4">
        <v>1</v>
      </c>
      <c r="X587" s="6">
        <v>47975</v>
      </c>
      <c r="Y587" s="1" t="s">
        <v>1516</v>
      </c>
      <c r="Z587" s="1">
        <v>1</v>
      </c>
      <c r="AA587" s="6">
        <v>47975</v>
      </c>
      <c r="AB587" s="1" t="s">
        <v>2167</v>
      </c>
      <c r="AC587" s="1" t="s">
        <v>2162</v>
      </c>
      <c r="AD587" s="1" t="s">
        <v>1100</v>
      </c>
      <c r="AE587" s="1" t="s">
        <v>1522</v>
      </c>
      <c r="AF587" s="1" t="s">
        <v>1186</v>
      </c>
      <c r="AG587" s="1" t="s">
        <v>1522</v>
      </c>
      <c r="AH587" s="6">
        <v>47975</v>
      </c>
      <c r="AI587" s="6">
        <v>47975</v>
      </c>
      <c r="AJ587" s="1" t="s">
        <v>2010</v>
      </c>
      <c r="AK587" s="1"/>
      <c r="AL587" s="1"/>
      <c r="AM587" s="1" t="s">
        <v>2010</v>
      </c>
      <c r="AN587" s="1" t="s">
        <v>796</v>
      </c>
      <c r="AO587" s="1"/>
      <c r="AP587" s="1" t="s">
        <v>142</v>
      </c>
      <c r="AQ587" s="1"/>
      <c r="AR587" s="1"/>
      <c r="AS587" s="2"/>
      <c r="AT587" s="1"/>
      <c r="AU587" s="1"/>
      <c r="AV587" s="1"/>
      <c r="AW587" s="1" t="s">
        <v>2152</v>
      </c>
      <c r="AX587" s="7">
        <v>44508.400555433633</v>
      </c>
      <c r="AY587" s="1" t="s">
        <v>998</v>
      </c>
      <c r="AZ587" s="6">
        <v>47975</v>
      </c>
      <c r="BA587" s="1"/>
      <c r="BB587" s="5">
        <v>44561</v>
      </c>
      <c r="BC587" s="5">
        <v>44505</v>
      </c>
      <c r="BD587" s="5">
        <v>44505</v>
      </c>
      <c r="BE587" s="7">
        <v>44561</v>
      </c>
      <c r="BF587" s="1" t="s">
        <v>2170</v>
      </c>
      <c r="BG587" s="1"/>
      <c r="BH587" s="1"/>
      <c r="BI587" s="1" t="s">
        <v>108</v>
      </c>
    </row>
    <row r="588" spans="1:61" hidden="1" x14ac:dyDescent="0.25">
      <c r="A588" s="4">
        <v>583</v>
      </c>
      <c r="B588" s="2" t="str">
        <f>HYPERLINK("https://my.zakupivli.pro/remote/dispatcher/state_purchase_view/31495159", "UA-2021-11-05-016154-b")</f>
        <v>UA-2021-11-05-016154-b</v>
      </c>
      <c r="C588" s="2" t="s">
        <v>1516</v>
      </c>
      <c r="D588" s="1" t="s">
        <v>1703</v>
      </c>
      <c r="E588" s="1" t="s">
        <v>1703</v>
      </c>
      <c r="F588" s="1" t="s">
        <v>298</v>
      </c>
      <c r="G588" s="1" t="s">
        <v>966</v>
      </c>
      <c r="H588" s="1" t="s">
        <v>1218</v>
      </c>
      <c r="I588" s="1" t="s">
        <v>2094</v>
      </c>
      <c r="J588" s="1" t="s">
        <v>1145</v>
      </c>
      <c r="K588" s="1" t="s">
        <v>947</v>
      </c>
      <c r="L588" s="1" t="s">
        <v>1533</v>
      </c>
      <c r="M588" s="1" t="s">
        <v>1534</v>
      </c>
      <c r="N588" s="1" t="s">
        <v>110</v>
      </c>
      <c r="O588" s="1" t="s">
        <v>110</v>
      </c>
      <c r="P588" s="1" t="s">
        <v>110</v>
      </c>
      <c r="Q588" s="5">
        <v>44505</v>
      </c>
      <c r="R588" s="1"/>
      <c r="S588" s="1"/>
      <c r="T588" s="1"/>
      <c r="U588" s="1"/>
      <c r="V588" s="1" t="s">
        <v>2146</v>
      </c>
      <c r="W588" s="4">
        <v>1</v>
      </c>
      <c r="X588" s="6">
        <v>49000</v>
      </c>
      <c r="Y588" s="1" t="s">
        <v>1516</v>
      </c>
      <c r="Z588" s="1">
        <v>1</v>
      </c>
      <c r="AA588" s="6">
        <v>49000</v>
      </c>
      <c r="AB588" s="1" t="s">
        <v>2167</v>
      </c>
      <c r="AC588" s="1" t="s">
        <v>2162</v>
      </c>
      <c r="AD588" s="1" t="s">
        <v>1100</v>
      </c>
      <c r="AE588" s="1" t="s">
        <v>1522</v>
      </c>
      <c r="AF588" s="1" t="s">
        <v>1186</v>
      </c>
      <c r="AG588" s="1" t="s">
        <v>1522</v>
      </c>
      <c r="AH588" s="6">
        <v>49000</v>
      </c>
      <c r="AI588" s="6">
        <v>49000</v>
      </c>
      <c r="AJ588" s="1" t="s">
        <v>2010</v>
      </c>
      <c r="AK588" s="1"/>
      <c r="AL588" s="1"/>
      <c r="AM588" s="1" t="s">
        <v>2010</v>
      </c>
      <c r="AN588" s="1" t="s">
        <v>796</v>
      </c>
      <c r="AO588" s="1"/>
      <c r="AP588" s="1" t="s">
        <v>142</v>
      </c>
      <c r="AQ588" s="1"/>
      <c r="AR588" s="1"/>
      <c r="AS588" s="2"/>
      <c r="AT588" s="1"/>
      <c r="AU588" s="1"/>
      <c r="AV588" s="1"/>
      <c r="AW588" s="1" t="s">
        <v>2152</v>
      </c>
      <c r="AX588" s="7">
        <v>44508.40977896245</v>
      </c>
      <c r="AY588" s="1" t="s">
        <v>999</v>
      </c>
      <c r="AZ588" s="6">
        <v>49000</v>
      </c>
      <c r="BA588" s="1"/>
      <c r="BB588" s="5">
        <v>44561</v>
      </c>
      <c r="BC588" s="5">
        <v>44505</v>
      </c>
      <c r="BD588" s="5">
        <v>44505</v>
      </c>
      <c r="BE588" s="7">
        <v>44561</v>
      </c>
      <c r="BF588" s="1" t="s">
        <v>2170</v>
      </c>
      <c r="BG588" s="1"/>
      <c r="BH588" s="1"/>
      <c r="BI588" s="1" t="s">
        <v>108</v>
      </c>
    </row>
    <row r="589" spans="1:61" hidden="1" x14ac:dyDescent="0.25">
      <c r="A589" s="4">
        <v>584</v>
      </c>
      <c r="B589" s="2" t="str">
        <f>HYPERLINK("https://my.zakupivli.pro/remote/dispatcher/state_purchase_view/31488720", "UA-2021-11-05-011845-b")</f>
        <v>UA-2021-11-05-011845-b</v>
      </c>
      <c r="C589" s="2" t="s">
        <v>1516</v>
      </c>
      <c r="D589" s="1" t="s">
        <v>1658</v>
      </c>
      <c r="E589" s="1" t="s">
        <v>1658</v>
      </c>
      <c r="F589" s="1" t="s">
        <v>298</v>
      </c>
      <c r="G589" s="1" t="s">
        <v>1076</v>
      </c>
      <c r="H589" s="1" t="s">
        <v>2015</v>
      </c>
      <c r="I589" s="1" t="s">
        <v>2094</v>
      </c>
      <c r="J589" s="1" t="s">
        <v>1145</v>
      </c>
      <c r="K589" s="1" t="s">
        <v>947</v>
      </c>
      <c r="L589" s="1" t="s">
        <v>1533</v>
      </c>
      <c r="M589" s="1" t="s">
        <v>1534</v>
      </c>
      <c r="N589" s="1" t="s">
        <v>110</v>
      </c>
      <c r="O589" s="1" t="s">
        <v>110</v>
      </c>
      <c r="P589" s="1" t="s">
        <v>110</v>
      </c>
      <c r="Q589" s="5">
        <v>44505</v>
      </c>
      <c r="R589" s="1" t="s">
        <v>370</v>
      </c>
      <c r="S589" s="1" t="s">
        <v>376</v>
      </c>
      <c r="T589" s="5">
        <v>44511</v>
      </c>
      <c r="U589" s="5">
        <v>44516</v>
      </c>
      <c r="V589" s="1" t="s">
        <v>2147</v>
      </c>
      <c r="W589" s="4">
        <v>0</v>
      </c>
      <c r="X589" s="6">
        <v>150100</v>
      </c>
      <c r="Y589" s="1" t="s">
        <v>1516</v>
      </c>
      <c r="Z589" s="1">
        <v>1</v>
      </c>
      <c r="AA589" s="6">
        <v>150100</v>
      </c>
      <c r="AB589" s="1" t="s">
        <v>2167</v>
      </c>
      <c r="AC589" s="6">
        <v>751</v>
      </c>
      <c r="AD589" s="1" t="s">
        <v>1100</v>
      </c>
      <c r="AE589" s="1" t="s">
        <v>2094</v>
      </c>
      <c r="AF589" s="1" t="s">
        <v>1186</v>
      </c>
      <c r="AG589" s="1" t="s">
        <v>1522</v>
      </c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2"/>
      <c r="AT589" s="1"/>
      <c r="AU589" s="1"/>
      <c r="AV589" s="1"/>
      <c r="AW589" s="1" t="s">
        <v>2153</v>
      </c>
      <c r="AX589" s="7">
        <v>44516.000394543553</v>
      </c>
      <c r="AY589" s="1"/>
      <c r="AZ589" s="1"/>
      <c r="BA589" s="1"/>
      <c r="BB589" s="5">
        <v>44561</v>
      </c>
      <c r="BC589" s="1" t="s">
        <v>109</v>
      </c>
      <c r="BD589" s="1" t="s">
        <v>109</v>
      </c>
      <c r="BE589" s="1"/>
      <c r="BF589" s="1"/>
      <c r="BG589" s="1"/>
      <c r="BH589" s="1"/>
      <c r="BI589" s="1"/>
    </row>
    <row r="590" spans="1:61" hidden="1" x14ac:dyDescent="0.25">
      <c r="A590" s="4">
        <v>585</v>
      </c>
      <c r="B590" s="2" t="str">
        <f>HYPERLINK("https://my.zakupivli.pro/remote/dispatcher/state_purchase_view/31437325", "UA-2021-11-04-010854-a")</f>
        <v>UA-2021-11-04-010854-a</v>
      </c>
      <c r="C590" s="2" t="s">
        <v>1516</v>
      </c>
      <c r="D590" s="1" t="s">
        <v>1915</v>
      </c>
      <c r="E590" s="1" t="s">
        <v>1915</v>
      </c>
      <c r="F590" s="1" t="s">
        <v>298</v>
      </c>
      <c r="G590" s="1" t="s">
        <v>963</v>
      </c>
      <c r="H590" s="1" t="s">
        <v>2015</v>
      </c>
      <c r="I590" s="1" t="s">
        <v>2094</v>
      </c>
      <c r="J590" s="1" t="s">
        <v>1145</v>
      </c>
      <c r="K590" s="1" t="s">
        <v>947</v>
      </c>
      <c r="L590" s="1" t="s">
        <v>1533</v>
      </c>
      <c r="M590" s="1" t="s">
        <v>1534</v>
      </c>
      <c r="N590" s="1" t="s">
        <v>110</v>
      </c>
      <c r="O590" s="1" t="s">
        <v>110</v>
      </c>
      <c r="P590" s="1" t="s">
        <v>110</v>
      </c>
      <c r="Q590" s="5">
        <v>44504</v>
      </c>
      <c r="R590" s="1" t="s">
        <v>369</v>
      </c>
      <c r="S590" s="1" t="s">
        <v>375</v>
      </c>
      <c r="T590" s="5">
        <v>44510</v>
      </c>
      <c r="U590" s="5">
        <v>44515</v>
      </c>
      <c r="V590" s="1" t="s">
        <v>2147</v>
      </c>
      <c r="W590" s="4">
        <v>1</v>
      </c>
      <c r="X590" s="6">
        <v>199900</v>
      </c>
      <c r="Y590" s="1" t="s">
        <v>1516</v>
      </c>
      <c r="Z590" s="1">
        <v>1</v>
      </c>
      <c r="AA590" s="6">
        <v>199900</v>
      </c>
      <c r="AB590" s="1" t="s">
        <v>2167</v>
      </c>
      <c r="AC590" s="6">
        <v>1000</v>
      </c>
      <c r="AD590" s="1" t="s">
        <v>1100</v>
      </c>
      <c r="AE590" s="1" t="s">
        <v>2094</v>
      </c>
      <c r="AF590" s="1" t="s">
        <v>1186</v>
      </c>
      <c r="AG590" s="1" t="s">
        <v>1522</v>
      </c>
      <c r="AH590" s="6">
        <v>199900</v>
      </c>
      <c r="AI590" s="6">
        <v>199900</v>
      </c>
      <c r="AJ590" s="1" t="s">
        <v>2083</v>
      </c>
      <c r="AK590" s="1"/>
      <c r="AL590" s="1"/>
      <c r="AM590" s="1"/>
      <c r="AN590" s="1"/>
      <c r="AO590" s="1"/>
      <c r="AP590" s="1"/>
      <c r="AQ590" s="1"/>
      <c r="AR590" s="1"/>
      <c r="AS590" s="2"/>
      <c r="AT590" s="7">
        <v>44515.681912918459</v>
      </c>
      <c r="AU590" s="1"/>
      <c r="AV590" s="1"/>
      <c r="AW590" s="1" t="s">
        <v>2153</v>
      </c>
      <c r="AX590" s="7">
        <v>44518.000696487405</v>
      </c>
      <c r="AY590" s="1"/>
      <c r="AZ590" s="1"/>
      <c r="BA590" s="1"/>
      <c r="BB590" s="5">
        <v>44561</v>
      </c>
      <c r="BC590" s="1" t="s">
        <v>109</v>
      </c>
      <c r="BD590" s="1" t="s">
        <v>109</v>
      </c>
      <c r="BE590" s="1"/>
      <c r="BF590" s="1"/>
      <c r="BG590" s="1"/>
      <c r="BH590" s="1"/>
      <c r="BI590" s="1" t="s">
        <v>910</v>
      </c>
    </row>
    <row r="591" spans="1:61" hidden="1" x14ac:dyDescent="0.25">
      <c r="A591" s="4">
        <v>586</v>
      </c>
      <c r="B591" s="2" t="str">
        <f>HYPERLINK("https://my.zakupivli.pro/remote/dispatcher/state_purchase_view/31405604", "UA-2021-11-03-016748-a")</f>
        <v>UA-2021-11-03-016748-a</v>
      </c>
      <c r="C591" s="2" t="s">
        <v>1516</v>
      </c>
      <c r="D591" s="1" t="s">
        <v>1652</v>
      </c>
      <c r="E591" s="1" t="s">
        <v>1652</v>
      </c>
      <c r="F591" s="1" t="s">
        <v>298</v>
      </c>
      <c r="G591" s="1" t="s">
        <v>1074</v>
      </c>
      <c r="H591" s="1" t="s">
        <v>2015</v>
      </c>
      <c r="I591" s="1" t="s">
        <v>2094</v>
      </c>
      <c r="J591" s="1" t="s">
        <v>1145</v>
      </c>
      <c r="K591" s="1" t="s">
        <v>947</v>
      </c>
      <c r="L591" s="1" t="s">
        <v>1533</v>
      </c>
      <c r="M591" s="1" t="s">
        <v>1534</v>
      </c>
      <c r="N591" s="1" t="s">
        <v>110</v>
      </c>
      <c r="O591" s="1" t="s">
        <v>110</v>
      </c>
      <c r="P591" s="1" t="s">
        <v>110</v>
      </c>
      <c r="Q591" s="5">
        <v>44503</v>
      </c>
      <c r="R591" s="1" t="s">
        <v>368</v>
      </c>
      <c r="S591" s="1" t="s">
        <v>374</v>
      </c>
      <c r="T591" s="5">
        <v>44509</v>
      </c>
      <c r="U591" s="5">
        <v>44512</v>
      </c>
      <c r="V591" s="1" t="s">
        <v>2147</v>
      </c>
      <c r="W591" s="4">
        <v>0</v>
      </c>
      <c r="X591" s="6">
        <v>60000</v>
      </c>
      <c r="Y591" s="1" t="s">
        <v>1516</v>
      </c>
      <c r="Z591" s="1">
        <v>1</v>
      </c>
      <c r="AA591" s="6">
        <v>60000</v>
      </c>
      <c r="AB591" s="1" t="s">
        <v>2167</v>
      </c>
      <c r="AC591" s="6">
        <v>300</v>
      </c>
      <c r="AD591" s="1" t="s">
        <v>1100</v>
      </c>
      <c r="AE591" s="1" t="s">
        <v>2094</v>
      </c>
      <c r="AF591" s="1" t="s">
        <v>1186</v>
      </c>
      <c r="AG591" s="1" t="s">
        <v>1522</v>
      </c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2"/>
      <c r="AT591" s="1"/>
      <c r="AU591" s="1"/>
      <c r="AV591" s="1"/>
      <c r="AW591" s="1" t="s">
        <v>2153</v>
      </c>
      <c r="AX591" s="7">
        <v>44512.002917484286</v>
      </c>
      <c r="AY591" s="1"/>
      <c r="AZ591" s="1"/>
      <c r="BA591" s="1"/>
      <c r="BB591" s="5">
        <v>44561</v>
      </c>
      <c r="BC591" s="1" t="s">
        <v>109</v>
      </c>
      <c r="BD591" s="1" t="s">
        <v>109</v>
      </c>
      <c r="BE591" s="1"/>
      <c r="BF591" s="1"/>
      <c r="BG591" s="1"/>
      <c r="BH591" s="1"/>
      <c r="BI591" s="1"/>
    </row>
    <row r="592" spans="1:61" hidden="1" x14ac:dyDescent="0.25">
      <c r="A592" s="4">
        <v>587</v>
      </c>
      <c r="B592" s="2" t="str">
        <f>HYPERLINK("https://my.zakupivli.pro/remote/dispatcher/state_purchase_view/31356484", "UA-2021-11-02-015815-a")</f>
        <v>UA-2021-11-02-015815-a</v>
      </c>
      <c r="C592" s="2" t="str">
        <f>HYPERLINK("https://my.zakupivli.pro/remote/dispatcher/state_purchase_lot_view/702637", "UA-2021-11-02-015815-a-L2")</f>
        <v>UA-2021-11-02-015815-a-L2</v>
      </c>
      <c r="D592" s="1" t="s">
        <v>1937</v>
      </c>
      <c r="E592" s="1" t="s">
        <v>1941</v>
      </c>
      <c r="F592" s="1" t="s">
        <v>298</v>
      </c>
      <c r="G592" s="1" t="s">
        <v>963</v>
      </c>
      <c r="H592" s="1" t="s">
        <v>1184</v>
      </c>
      <c r="I592" s="1" t="s">
        <v>2094</v>
      </c>
      <c r="J592" s="1" t="s">
        <v>1145</v>
      </c>
      <c r="K592" s="1" t="s">
        <v>947</v>
      </c>
      <c r="L592" s="1" t="s">
        <v>1533</v>
      </c>
      <c r="M592" s="1" t="s">
        <v>1533</v>
      </c>
      <c r="N592" s="1" t="s">
        <v>110</v>
      </c>
      <c r="O592" s="1" t="s">
        <v>110</v>
      </c>
      <c r="P592" s="1" t="s">
        <v>110</v>
      </c>
      <c r="Q592" s="5">
        <v>44502</v>
      </c>
      <c r="R592" s="1" t="s">
        <v>367</v>
      </c>
      <c r="S592" s="1" t="s">
        <v>373</v>
      </c>
      <c r="T592" s="5">
        <v>44502</v>
      </c>
      <c r="U592" s="5">
        <v>44518</v>
      </c>
      <c r="V592" s="7">
        <v>44518.575567129628</v>
      </c>
      <c r="W592" s="4">
        <v>2</v>
      </c>
      <c r="X592" s="6">
        <v>208491</v>
      </c>
      <c r="Y592" s="6">
        <v>131314</v>
      </c>
      <c r="Z592" s="1">
        <v>1</v>
      </c>
      <c r="AA592" s="6">
        <v>131314</v>
      </c>
      <c r="AB592" s="1" t="s">
        <v>2167</v>
      </c>
      <c r="AC592" s="6">
        <v>1313.14</v>
      </c>
      <c r="AD592" s="1" t="s">
        <v>1100</v>
      </c>
      <c r="AE592" s="1" t="s">
        <v>2094</v>
      </c>
      <c r="AF592" s="1" t="s">
        <v>1186</v>
      </c>
      <c r="AG592" s="1" t="s">
        <v>1522</v>
      </c>
      <c r="AH592" s="6">
        <v>131313.19</v>
      </c>
      <c r="AI592" s="6">
        <v>131313.19</v>
      </c>
      <c r="AJ592" s="1" t="s">
        <v>1512</v>
      </c>
      <c r="AK592" s="6">
        <v>0.80999999999767169</v>
      </c>
      <c r="AL592" s="6">
        <v>6.1684207319681959E-6</v>
      </c>
      <c r="AM592" s="1" t="s">
        <v>1512</v>
      </c>
      <c r="AN592" s="1" t="s">
        <v>198</v>
      </c>
      <c r="AO592" s="1" t="s">
        <v>1121</v>
      </c>
      <c r="AP592" s="1" t="s">
        <v>870</v>
      </c>
      <c r="AQ592" s="6">
        <v>0.80999999999767169</v>
      </c>
      <c r="AR592" s="6">
        <v>6.1684207319681959E-6</v>
      </c>
      <c r="AS592" s="2" t="str">
        <f>HYPERLINK("https://auctions.prozorro.gov.ua/tenders/5420252f3d4248fa8e0af41814ceb84a_537cedff6f1148be95054c346f78be0a")</f>
        <v>https://auctions.prozorro.gov.ua/tenders/5420252f3d4248fa8e0af41814ceb84a_537cedff6f1148be95054c346f78be0a</v>
      </c>
      <c r="AT592" s="7">
        <v>44519.692121922395</v>
      </c>
      <c r="AU592" s="1" t="s">
        <v>391</v>
      </c>
      <c r="AV592" s="1" t="s">
        <v>399</v>
      </c>
      <c r="AW592" s="1" t="s">
        <v>2151</v>
      </c>
      <c r="AX592" s="7">
        <v>44537.733840480083</v>
      </c>
      <c r="AY592" s="1" t="s">
        <v>1072</v>
      </c>
      <c r="AZ592" s="6">
        <v>131313.19</v>
      </c>
      <c r="BA592" s="1"/>
      <c r="BB592" s="5">
        <v>44561</v>
      </c>
      <c r="BC592" s="5">
        <v>44537</v>
      </c>
      <c r="BD592" s="5">
        <v>44537</v>
      </c>
      <c r="BE592" s="7">
        <v>44561</v>
      </c>
      <c r="BF592" s="1" t="s">
        <v>2170</v>
      </c>
      <c r="BG592" s="1"/>
      <c r="BH592" s="1"/>
      <c r="BI592" s="1" t="s">
        <v>200</v>
      </c>
    </row>
    <row r="593" spans="1:61" hidden="1" x14ac:dyDescent="0.25">
      <c r="A593" s="4">
        <v>588</v>
      </c>
      <c r="B593" s="2" t="str">
        <f>HYPERLINK("https://my.zakupivli.pro/remote/dispatcher/state_purchase_view/31356746", "UA-2021-11-02-015898-a")</f>
        <v>UA-2021-11-02-015898-a</v>
      </c>
      <c r="C593" s="2" t="s">
        <v>1516</v>
      </c>
      <c r="D593" s="1" t="s">
        <v>1949</v>
      </c>
      <c r="E593" s="1" t="s">
        <v>1949</v>
      </c>
      <c r="F593" s="1" t="s">
        <v>298</v>
      </c>
      <c r="G593" s="1" t="s">
        <v>963</v>
      </c>
      <c r="H593" s="1" t="s">
        <v>1184</v>
      </c>
      <c r="I593" s="1" t="s">
        <v>2094</v>
      </c>
      <c r="J593" s="1" t="s">
        <v>1145</v>
      </c>
      <c r="K593" s="1" t="s">
        <v>947</v>
      </c>
      <c r="L593" s="1" t="s">
        <v>1533</v>
      </c>
      <c r="M593" s="1" t="s">
        <v>1533</v>
      </c>
      <c r="N593" s="1" t="s">
        <v>110</v>
      </c>
      <c r="O593" s="1" t="s">
        <v>110</v>
      </c>
      <c r="P593" s="1" t="s">
        <v>110</v>
      </c>
      <c r="Q593" s="5">
        <v>44502</v>
      </c>
      <c r="R593" s="1" t="s">
        <v>367</v>
      </c>
      <c r="S593" s="1" t="s">
        <v>373</v>
      </c>
      <c r="T593" s="5">
        <v>44502</v>
      </c>
      <c r="U593" s="5">
        <v>44518</v>
      </c>
      <c r="V593" s="7">
        <v>44518.496296296296</v>
      </c>
      <c r="W593" s="4">
        <v>2</v>
      </c>
      <c r="X593" s="6">
        <v>400000</v>
      </c>
      <c r="Y593" s="1" t="s">
        <v>1516</v>
      </c>
      <c r="Z593" s="1">
        <v>1</v>
      </c>
      <c r="AA593" s="6">
        <v>400000</v>
      </c>
      <c r="AB593" s="1" t="s">
        <v>2167</v>
      </c>
      <c r="AC593" s="6">
        <v>4000</v>
      </c>
      <c r="AD593" s="1" t="s">
        <v>1100</v>
      </c>
      <c r="AE593" s="1" t="s">
        <v>2094</v>
      </c>
      <c r="AF593" s="1" t="s">
        <v>1186</v>
      </c>
      <c r="AG593" s="1" t="s">
        <v>1522</v>
      </c>
      <c r="AH593" s="6">
        <v>398600</v>
      </c>
      <c r="AI593" s="6">
        <v>398600</v>
      </c>
      <c r="AJ593" s="1" t="s">
        <v>2049</v>
      </c>
      <c r="AK593" s="6">
        <v>1400</v>
      </c>
      <c r="AL593" s="6">
        <v>3.5000000000000001E-3</v>
      </c>
      <c r="AM593" s="1" t="s">
        <v>1512</v>
      </c>
      <c r="AN593" s="1" t="s">
        <v>198</v>
      </c>
      <c r="AO593" s="1" t="s">
        <v>1121</v>
      </c>
      <c r="AP593" s="1" t="s">
        <v>870</v>
      </c>
      <c r="AQ593" s="6">
        <v>2</v>
      </c>
      <c r="AR593" s="6">
        <v>5.0000000000000004E-6</v>
      </c>
      <c r="AS593" s="2" t="str">
        <f>HYPERLINK("https://auctions.prozorro.gov.ua/tenders/3b310839c2c34b2a8e060bd81d8e829b")</f>
        <v>https://auctions.prozorro.gov.ua/tenders/3b310839c2c34b2a8e060bd81d8e829b</v>
      </c>
      <c r="AT593" s="7">
        <v>44518.683795359422</v>
      </c>
      <c r="AU593" s="1" t="s">
        <v>391</v>
      </c>
      <c r="AV593" s="1" t="s">
        <v>399</v>
      </c>
      <c r="AW593" s="1" t="s">
        <v>2152</v>
      </c>
      <c r="AX593" s="7">
        <v>44538.709730931158</v>
      </c>
      <c r="AY593" s="1" t="s">
        <v>1081</v>
      </c>
      <c r="AZ593" s="6">
        <v>399998</v>
      </c>
      <c r="BA593" s="1"/>
      <c r="BB593" s="5">
        <v>44561</v>
      </c>
      <c r="BC593" s="5">
        <v>44537</v>
      </c>
      <c r="BD593" s="5">
        <v>44537</v>
      </c>
      <c r="BE593" s="7">
        <v>44561</v>
      </c>
      <c r="BF593" s="1" t="s">
        <v>2170</v>
      </c>
      <c r="BG593" s="1"/>
      <c r="BH593" s="1"/>
      <c r="BI593" s="1" t="s">
        <v>930</v>
      </c>
    </row>
    <row r="594" spans="1:61" hidden="1" x14ac:dyDescent="0.25">
      <c r="A594" s="4">
        <v>589</v>
      </c>
      <c r="B594" s="2" t="str">
        <f>HYPERLINK("https://my.zakupivli.pro/remote/dispatcher/state_purchase_view/31356484", "UA-2021-11-02-015815-a")</f>
        <v>UA-2021-11-02-015815-a</v>
      </c>
      <c r="C594" s="2" t="str">
        <f>HYPERLINK("https://my.zakupivli.pro/remote/dispatcher/state_purchase_lot_view/702636", "UA-2021-11-02-015815-a-L1")</f>
        <v>UA-2021-11-02-015815-a-L1</v>
      </c>
      <c r="D594" s="1" t="s">
        <v>1938</v>
      </c>
      <c r="E594" s="1" t="s">
        <v>1942</v>
      </c>
      <c r="F594" s="1" t="s">
        <v>298</v>
      </c>
      <c r="G594" s="1" t="s">
        <v>963</v>
      </c>
      <c r="H594" s="1" t="s">
        <v>1184</v>
      </c>
      <c r="I594" s="1" t="s">
        <v>2094</v>
      </c>
      <c r="J594" s="1" t="s">
        <v>1145</v>
      </c>
      <c r="K594" s="1" t="s">
        <v>947</v>
      </c>
      <c r="L594" s="1" t="s">
        <v>1533</v>
      </c>
      <c r="M594" s="1" t="s">
        <v>1533</v>
      </c>
      <c r="N594" s="1" t="s">
        <v>110</v>
      </c>
      <c r="O594" s="1" t="s">
        <v>110</v>
      </c>
      <c r="P594" s="1" t="s">
        <v>110</v>
      </c>
      <c r="Q594" s="5">
        <v>44502</v>
      </c>
      <c r="R594" s="1" t="s">
        <v>367</v>
      </c>
      <c r="S594" s="1" t="s">
        <v>373</v>
      </c>
      <c r="T594" s="5">
        <v>44502</v>
      </c>
      <c r="U594" s="5">
        <v>44518</v>
      </c>
      <c r="V594" s="7">
        <v>44518.543703703705</v>
      </c>
      <c r="W594" s="4">
        <v>2</v>
      </c>
      <c r="X594" s="6">
        <v>208491</v>
      </c>
      <c r="Y594" s="6">
        <v>77177</v>
      </c>
      <c r="Z594" s="1">
        <v>1</v>
      </c>
      <c r="AA594" s="6">
        <v>77177</v>
      </c>
      <c r="AB594" s="1" t="s">
        <v>2167</v>
      </c>
      <c r="AC594" s="6">
        <v>771.77</v>
      </c>
      <c r="AD594" s="1" t="s">
        <v>1100</v>
      </c>
      <c r="AE594" s="1" t="s">
        <v>2094</v>
      </c>
      <c r="AF594" s="1" t="s">
        <v>1186</v>
      </c>
      <c r="AG594" s="1" t="s">
        <v>1522</v>
      </c>
      <c r="AH594" s="6">
        <v>77116.12</v>
      </c>
      <c r="AI594" s="6">
        <v>77116.12</v>
      </c>
      <c r="AJ594" s="1" t="s">
        <v>1512</v>
      </c>
      <c r="AK594" s="6">
        <v>60.880000000004657</v>
      </c>
      <c r="AL594" s="6">
        <v>7.8883605219177543E-4</v>
      </c>
      <c r="AM594" s="1" t="s">
        <v>1512</v>
      </c>
      <c r="AN594" s="1" t="s">
        <v>198</v>
      </c>
      <c r="AO594" s="1" t="s">
        <v>1121</v>
      </c>
      <c r="AP594" s="1" t="s">
        <v>870</v>
      </c>
      <c r="AQ594" s="6">
        <v>60.880000000004657</v>
      </c>
      <c r="AR594" s="6">
        <v>7.8883605219177543E-4</v>
      </c>
      <c r="AS594" s="2" t="str">
        <f>HYPERLINK("https://auctions.prozorro.gov.ua/tenders/5420252f3d4248fa8e0af41814ceb84a_b88eb72154ad46a4a171095b4c670b0e")</f>
        <v>https://auctions.prozorro.gov.ua/tenders/5420252f3d4248fa8e0af41814ceb84a_b88eb72154ad46a4a171095b4c670b0e</v>
      </c>
      <c r="AT594" s="7">
        <v>44519.692121922395</v>
      </c>
      <c r="AU594" s="1" t="s">
        <v>392</v>
      </c>
      <c r="AV594" s="1" t="s">
        <v>400</v>
      </c>
      <c r="AW594" s="1" t="s">
        <v>2151</v>
      </c>
      <c r="AX594" s="7">
        <v>44537.725607132998</v>
      </c>
      <c r="AY594" s="1" t="s">
        <v>1078</v>
      </c>
      <c r="AZ594" s="6">
        <v>77116.12</v>
      </c>
      <c r="BA594" s="1"/>
      <c r="BB594" s="5">
        <v>44561</v>
      </c>
      <c r="BC594" s="5">
        <v>44537</v>
      </c>
      <c r="BD594" s="5">
        <v>44537</v>
      </c>
      <c r="BE594" s="7">
        <v>44561</v>
      </c>
      <c r="BF594" s="1" t="s">
        <v>2170</v>
      </c>
      <c r="BG594" s="1"/>
      <c r="BH594" s="1"/>
      <c r="BI594" s="1" t="s">
        <v>200</v>
      </c>
    </row>
    <row r="595" spans="1:61" hidden="1" x14ac:dyDescent="0.25">
      <c r="A595" s="4">
        <v>590</v>
      </c>
      <c r="B595" s="2" t="str">
        <f>HYPERLINK("https://my.zakupivli.pro/remote/dispatcher/state_purchase_view/31356038", "UA-2021-11-02-015667-a")</f>
        <v>UA-2021-11-02-015667-a</v>
      </c>
      <c r="C595" s="2" t="s">
        <v>1516</v>
      </c>
      <c r="D595" s="1" t="s">
        <v>1936</v>
      </c>
      <c r="E595" s="1" t="s">
        <v>1934</v>
      </c>
      <c r="F595" s="1" t="s">
        <v>298</v>
      </c>
      <c r="G595" s="1" t="s">
        <v>963</v>
      </c>
      <c r="H595" s="1" t="s">
        <v>1184</v>
      </c>
      <c r="I595" s="1" t="s">
        <v>2094</v>
      </c>
      <c r="J595" s="1" t="s">
        <v>1145</v>
      </c>
      <c r="K595" s="1" t="s">
        <v>947</v>
      </c>
      <c r="L595" s="1" t="s">
        <v>1533</v>
      </c>
      <c r="M595" s="1" t="s">
        <v>1533</v>
      </c>
      <c r="N595" s="1" t="s">
        <v>110</v>
      </c>
      <c r="O595" s="1" t="s">
        <v>110</v>
      </c>
      <c r="P595" s="1" t="s">
        <v>110</v>
      </c>
      <c r="Q595" s="5">
        <v>44502</v>
      </c>
      <c r="R595" s="1" t="s">
        <v>367</v>
      </c>
      <c r="S595" s="1" t="s">
        <v>373</v>
      </c>
      <c r="T595" s="5">
        <v>44502</v>
      </c>
      <c r="U595" s="5">
        <v>44518</v>
      </c>
      <c r="V595" s="7">
        <v>44518.575613425928</v>
      </c>
      <c r="W595" s="4">
        <v>2</v>
      </c>
      <c r="X595" s="6">
        <v>244467</v>
      </c>
      <c r="Y595" s="1" t="s">
        <v>1516</v>
      </c>
      <c r="Z595" s="1">
        <v>1</v>
      </c>
      <c r="AA595" s="6">
        <v>244467</v>
      </c>
      <c r="AB595" s="1" t="s">
        <v>2167</v>
      </c>
      <c r="AC595" s="6">
        <v>2444.67</v>
      </c>
      <c r="AD595" s="1" t="s">
        <v>1100</v>
      </c>
      <c r="AE595" s="1" t="s">
        <v>2094</v>
      </c>
      <c r="AF595" s="1" t="s">
        <v>1186</v>
      </c>
      <c r="AG595" s="1" t="s">
        <v>1522</v>
      </c>
      <c r="AH595" s="6">
        <v>239283</v>
      </c>
      <c r="AI595" s="6">
        <v>239283</v>
      </c>
      <c r="AJ595" s="1" t="s">
        <v>2049</v>
      </c>
      <c r="AK595" s="6">
        <v>5184</v>
      </c>
      <c r="AL595" s="6">
        <v>2.1205316054927658E-2</v>
      </c>
      <c r="AM595" s="1" t="s">
        <v>1512</v>
      </c>
      <c r="AN595" s="1" t="s">
        <v>198</v>
      </c>
      <c r="AO595" s="1" t="s">
        <v>1121</v>
      </c>
      <c r="AP595" s="1" t="s">
        <v>870</v>
      </c>
      <c r="AQ595" s="6">
        <v>4675</v>
      </c>
      <c r="AR595" s="6">
        <v>1.9123235446911035E-2</v>
      </c>
      <c r="AS595" s="2" t="str">
        <f>HYPERLINK("https://auctions.prozorro.gov.ua/tenders/8c181f5efb40438aa1cb7fe00a00851d")</f>
        <v>https://auctions.prozorro.gov.ua/tenders/8c181f5efb40438aa1cb7fe00a00851d</v>
      </c>
      <c r="AT595" s="7">
        <v>44518.676493211387</v>
      </c>
      <c r="AU595" s="1" t="s">
        <v>391</v>
      </c>
      <c r="AV595" s="1" t="s">
        <v>399</v>
      </c>
      <c r="AW595" s="1" t="s">
        <v>2152</v>
      </c>
      <c r="AX595" s="7">
        <v>44538.71100813611</v>
      </c>
      <c r="AY595" s="1" t="s">
        <v>1079</v>
      </c>
      <c r="AZ595" s="6">
        <v>239792</v>
      </c>
      <c r="BA595" s="1"/>
      <c r="BB595" s="5">
        <v>44561</v>
      </c>
      <c r="BC595" s="5">
        <v>44537</v>
      </c>
      <c r="BD595" s="5">
        <v>44537</v>
      </c>
      <c r="BE595" s="7">
        <v>44561</v>
      </c>
      <c r="BF595" s="1" t="s">
        <v>2170</v>
      </c>
      <c r="BG595" s="1"/>
      <c r="BH595" s="1"/>
      <c r="BI595" s="1" t="s">
        <v>930</v>
      </c>
    </row>
    <row r="596" spans="1:61" hidden="1" x14ac:dyDescent="0.25">
      <c r="A596" s="4">
        <v>591</v>
      </c>
      <c r="B596" s="2" t="str">
        <f>HYPERLINK("https://my.zakupivli.pro/remote/dispatcher/state_purchase_view/31254683", "UA-2021-10-29-006898-a")</f>
        <v>UA-2021-10-29-006898-a</v>
      </c>
      <c r="C596" s="2" t="s">
        <v>1516</v>
      </c>
      <c r="D596" s="1" t="s">
        <v>1561</v>
      </c>
      <c r="E596" s="1" t="s">
        <v>1561</v>
      </c>
      <c r="F596" s="1" t="s">
        <v>298</v>
      </c>
      <c r="G596" s="1" t="s">
        <v>879</v>
      </c>
      <c r="H596" s="1" t="s">
        <v>1218</v>
      </c>
      <c r="I596" s="1" t="s">
        <v>2094</v>
      </c>
      <c r="J596" s="1" t="s">
        <v>1145</v>
      </c>
      <c r="K596" s="1" t="s">
        <v>947</v>
      </c>
      <c r="L596" s="1" t="s">
        <v>1533</v>
      </c>
      <c r="M596" s="1" t="s">
        <v>1534</v>
      </c>
      <c r="N596" s="1" t="s">
        <v>110</v>
      </c>
      <c r="O596" s="1" t="s">
        <v>110</v>
      </c>
      <c r="P596" s="1" t="s">
        <v>110</v>
      </c>
      <c r="Q596" s="5">
        <v>44498</v>
      </c>
      <c r="R596" s="1"/>
      <c r="S596" s="1"/>
      <c r="T596" s="1"/>
      <c r="U596" s="1"/>
      <c r="V596" s="1" t="s">
        <v>2146</v>
      </c>
      <c r="W596" s="4">
        <v>1</v>
      </c>
      <c r="X596" s="6">
        <v>42000</v>
      </c>
      <c r="Y596" s="1" t="s">
        <v>1516</v>
      </c>
      <c r="Z596" s="1">
        <v>10</v>
      </c>
      <c r="AA596" s="6">
        <v>4200</v>
      </c>
      <c r="AB596" s="1" t="s">
        <v>2175</v>
      </c>
      <c r="AC596" s="1" t="s">
        <v>2162</v>
      </c>
      <c r="AD596" s="1" t="s">
        <v>1100</v>
      </c>
      <c r="AE596" s="1" t="s">
        <v>1522</v>
      </c>
      <c r="AF596" s="1" t="s">
        <v>1186</v>
      </c>
      <c r="AG596" s="1" t="s">
        <v>1522</v>
      </c>
      <c r="AH596" s="6">
        <v>42000</v>
      </c>
      <c r="AI596" s="6">
        <v>4200</v>
      </c>
      <c r="AJ596" s="1" t="s">
        <v>2010</v>
      </c>
      <c r="AK596" s="1"/>
      <c r="AL596" s="1"/>
      <c r="AM596" s="1" t="s">
        <v>2010</v>
      </c>
      <c r="AN596" s="1" t="s">
        <v>796</v>
      </c>
      <c r="AO596" s="1"/>
      <c r="AP596" s="1" t="s">
        <v>142</v>
      </c>
      <c r="AQ596" s="1"/>
      <c r="AR596" s="1"/>
      <c r="AS596" s="2"/>
      <c r="AT596" s="1"/>
      <c r="AU596" s="1"/>
      <c r="AV596" s="1"/>
      <c r="AW596" s="1" t="s">
        <v>2152</v>
      </c>
      <c r="AX596" s="7">
        <v>44498.599881882583</v>
      </c>
      <c r="AY596" s="1" t="s">
        <v>979</v>
      </c>
      <c r="AZ596" s="6">
        <v>42000</v>
      </c>
      <c r="BA596" s="1"/>
      <c r="BB596" s="5">
        <v>44545</v>
      </c>
      <c r="BC596" s="5">
        <v>44497</v>
      </c>
      <c r="BD596" s="5">
        <v>44497</v>
      </c>
      <c r="BE596" s="7">
        <v>44561</v>
      </c>
      <c r="BF596" s="1" t="s">
        <v>2170</v>
      </c>
      <c r="BG596" s="1"/>
      <c r="BH596" s="1"/>
      <c r="BI596" s="1" t="s">
        <v>108</v>
      </c>
    </row>
    <row r="597" spans="1:61" hidden="1" x14ac:dyDescent="0.25">
      <c r="A597" s="4">
        <v>592</v>
      </c>
      <c r="B597" s="2" t="str">
        <f>HYPERLINK("https://my.zakupivli.pro/remote/dispatcher/state_purchase_view/31220418", "UA-2021-10-28-008095-a")</f>
        <v>UA-2021-10-28-008095-a</v>
      </c>
      <c r="C597" s="2" t="s">
        <v>1516</v>
      </c>
      <c r="D597" s="1" t="s">
        <v>1973</v>
      </c>
      <c r="E597" s="1" t="s">
        <v>1973</v>
      </c>
      <c r="F597" s="1" t="s">
        <v>298</v>
      </c>
      <c r="G597" s="1" t="s">
        <v>114</v>
      </c>
      <c r="H597" s="1" t="s">
        <v>1184</v>
      </c>
      <c r="I597" s="1" t="s">
        <v>2094</v>
      </c>
      <c r="J597" s="1" t="s">
        <v>1145</v>
      </c>
      <c r="K597" s="1" t="s">
        <v>947</v>
      </c>
      <c r="L597" s="1" t="s">
        <v>1533</v>
      </c>
      <c r="M597" s="1" t="s">
        <v>1533</v>
      </c>
      <c r="N597" s="1" t="s">
        <v>110</v>
      </c>
      <c r="O597" s="1" t="s">
        <v>110</v>
      </c>
      <c r="P597" s="1" t="s">
        <v>110</v>
      </c>
      <c r="Q597" s="5">
        <v>44497</v>
      </c>
      <c r="R597" s="1" t="s">
        <v>364</v>
      </c>
      <c r="S597" s="1" t="s">
        <v>368</v>
      </c>
      <c r="T597" s="5">
        <v>44497</v>
      </c>
      <c r="U597" s="5">
        <v>44513</v>
      </c>
      <c r="V597" s="7">
        <v>44515.622789351852</v>
      </c>
      <c r="W597" s="4">
        <v>2</v>
      </c>
      <c r="X597" s="6">
        <v>200000</v>
      </c>
      <c r="Y597" s="1" t="s">
        <v>1516</v>
      </c>
      <c r="Z597" s="1">
        <v>209</v>
      </c>
      <c r="AA597" s="6">
        <v>956.94</v>
      </c>
      <c r="AB597" s="1" t="s">
        <v>2163</v>
      </c>
      <c r="AC597" s="6">
        <v>2000</v>
      </c>
      <c r="AD597" s="1" t="s">
        <v>1100</v>
      </c>
      <c r="AE597" s="1" t="s">
        <v>2094</v>
      </c>
      <c r="AF597" s="1" t="s">
        <v>1186</v>
      </c>
      <c r="AG597" s="1" t="s">
        <v>1522</v>
      </c>
      <c r="AH597" s="6">
        <v>199680</v>
      </c>
      <c r="AI597" s="6">
        <v>955.40669856459328</v>
      </c>
      <c r="AJ597" s="1" t="s">
        <v>2079</v>
      </c>
      <c r="AK597" s="6">
        <v>320</v>
      </c>
      <c r="AL597" s="6">
        <v>1.6000000000000001E-3</v>
      </c>
      <c r="AM597" s="1"/>
      <c r="AN597" s="1"/>
      <c r="AO597" s="1"/>
      <c r="AP597" s="1"/>
      <c r="AQ597" s="1"/>
      <c r="AR597" s="1"/>
      <c r="AS597" s="2" t="str">
        <f>HYPERLINK("https://auctions.prozorro.gov.ua/tenders/28f89dee37c340e7a81803cff225586f")</f>
        <v>https://auctions.prozorro.gov.ua/tenders/28f89dee37c340e7a81803cff225586f</v>
      </c>
      <c r="AT597" s="7">
        <v>44516.559500028598</v>
      </c>
      <c r="AU597" s="1"/>
      <c r="AV597" s="1"/>
      <c r="AW597" s="1" t="s">
        <v>2153</v>
      </c>
      <c r="AX597" s="7">
        <v>44527.000324831541</v>
      </c>
      <c r="AY597" s="1"/>
      <c r="AZ597" s="1"/>
      <c r="BA597" s="1"/>
      <c r="BB597" s="5">
        <v>44545</v>
      </c>
      <c r="BC597" s="1" t="s">
        <v>109</v>
      </c>
      <c r="BD597" s="1" t="s">
        <v>109</v>
      </c>
      <c r="BE597" s="1"/>
      <c r="BF597" s="1"/>
      <c r="BG597" s="1"/>
      <c r="BH597" s="1"/>
      <c r="BI597" s="1" t="s">
        <v>846</v>
      </c>
    </row>
    <row r="598" spans="1:61" hidden="1" x14ac:dyDescent="0.25">
      <c r="A598" s="4">
        <v>593</v>
      </c>
      <c r="B598" s="2" t="str">
        <f>HYPERLINK("https://my.zakupivli.pro/remote/dispatcher/state_purchase_view/31186490", "UA-2021-10-27-010909-a")</f>
        <v>UA-2021-10-27-010909-a</v>
      </c>
      <c r="C598" s="2" t="s">
        <v>1516</v>
      </c>
      <c r="D598" s="1" t="s">
        <v>1588</v>
      </c>
      <c r="E598" s="1" t="s">
        <v>1588</v>
      </c>
      <c r="F598" s="1" t="s">
        <v>298</v>
      </c>
      <c r="G598" s="1" t="s">
        <v>966</v>
      </c>
      <c r="H598" s="1" t="s">
        <v>1184</v>
      </c>
      <c r="I598" s="1" t="s">
        <v>2094</v>
      </c>
      <c r="J598" s="1" t="s">
        <v>1145</v>
      </c>
      <c r="K598" s="1" t="s">
        <v>947</v>
      </c>
      <c r="L598" s="1" t="s">
        <v>1533</v>
      </c>
      <c r="M598" s="1" t="s">
        <v>1533</v>
      </c>
      <c r="N598" s="1" t="s">
        <v>110</v>
      </c>
      <c r="O598" s="1" t="s">
        <v>110</v>
      </c>
      <c r="P598" s="1" t="s">
        <v>110</v>
      </c>
      <c r="Q598" s="5">
        <v>44496</v>
      </c>
      <c r="R598" s="1" t="s">
        <v>363</v>
      </c>
      <c r="S598" s="1" t="s">
        <v>368</v>
      </c>
      <c r="T598" s="5">
        <v>44496</v>
      </c>
      <c r="U598" s="5">
        <v>44513</v>
      </c>
      <c r="V598" s="7">
        <v>44515.659675925926</v>
      </c>
      <c r="W598" s="4">
        <v>2</v>
      </c>
      <c r="X598" s="6">
        <v>683207</v>
      </c>
      <c r="Y598" s="1" t="s">
        <v>1516</v>
      </c>
      <c r="Z598" s="1">
        <v>1</v>
      </c>
      <c r="AA598" s="6">
        <v>683207</v>
      </c>
      <c r="AB598" s="1" t="s">
        <v>2167</v>
      </c>
      <c r="AC598" s="6">
        <v>6832.07</v>
      </c>
      <c r="AD598" s="1" t="s">
        <v>1100</v>
      </c>
      <c r="AE598" s="1" t="s">
        <v>2094</v>
      </c>
      <c r="AF598" s="1" t="s">
        <v>1186</v>
      </c>
      <c r="AG598" s="1" t="s">
        <v>1522</v>
      </c>
      <c r="AH598" s="6">
        <v>682864.6</v>
      </c>
      <c r="AI598" s="6">
        <v>682864.6</v>
      </c>
      <c r="AJ598" s="1" t="s">
        <v>2027</v>
      </c>
      <c r="AK598" s="6">
        <v>342.40000000002328</v>
      </c>
      <c r="AL598" s="6">
        <v>5.0116582529163682E-4</v>
      </c>
      <c r="AM598" s="1" t="s">
        <v>2027</v>
      </c>
      <c r="AN598" s="1" t="s">
        <v>951</v>
      </c>
      <c r="AO598" s="1" t="s">
        <v>1117</v>
      </c>
      <c r="AP598" s="1" t="s">
        <v>79</v>
      </c>
      <c r="AQ598" s="6">
        <v>342.40000000002328</v>
      </c>
      <c r="AR598" s="6">
        <v>5.0116582529163682E-4</v>
      </c>
      <c r="AS598" s="2" t="str">
        <f>HYPERLINK("https://auctions.prozorro.gov.ua/tenders/1d5adff2c4ad45279b7db7372767cc24")</f>
        <v>https://auctions.prozorro.gov.ua/tenders/1d5adff2c4ad45279b7db7372767cc24</v>
      </c>
      <c r="AT598" s="7">
        <v>44516.714972762398</v>
      </c>
      <c r="AU598" s="1" t="s">
        <v>390</v>
      </c>
      <c r="AV598" s="1" t="s">
        <v>397</v>
      </c>
      <c r="AW598" s="1" t="s">
        <v>2152</v>
      </c>
      <c r="AX598" s="7">
        <v>44533.643669737023</v>
      </c>
      <c r="AY598" s="1" t="s">
        <v>1060</v>
      </c>
      <c r="AZ598" s="6">
        <v>682864.6</v>
      </c>
      <c r="BA598" s="1"/>
      <c r="BB598" s="5">
        <v>44561</v>
      </c>
      <c r="BC598" s="5">
        <v>44532</v>
      </c>
      <c r="BD598" s="5">
        <v>44532</v>
      </c>
      <c r="BE598" s="7">
        <v>44561</v>
      </c>
      <c r="BF598" s="1" t="s">
        <v>2170</v>
      </c>
      <c r="BG598" s="1"/>
      <c r="BH598" s="1"/>
      <c r="BI598" s="1" t="s">
        <v>953</v>
      </c>
    </row>
    <row r="599" spans="1:61" hidden="1" x14ac:dyDescent="0.25">
      <c r="A599" s="4">
        <v>594</v>
      </c>
      <c r="B599" s="2" t="str">
        <f>HYPERLINK("https://my.zakupivli.pro/remote/dispatcher/state_purchase_view/31190027", "UA-2021-10-27-011994-a")</f>
        <v>UA-2021-10-27-011994-a</v>
      </c>
      <c r="C599" s="2" t="s">
        <v>1516</v>
      </c>
      <c r="D599" s="1" t="s">
        <v>1994</v>
      </c>
      <c r="E599" s="1" t="s">
        <v>1994</v>
      </c>
      <c r="F599" s="1" t="s">
        <v>298</v>
      </c>
      <c r="G599" s="1" t="s">
        <v>974</v>
      </c>
      <c r="H599" s="1" t="s">
        <v>2015</v>
      </c>
      <c r="I599" s="1" t="s">
        <v>2094</v>
      </c>
      <c r="J599" s="1" t="s">
        <v>1145</v>
      </c>
      <c r="K599" s="1" t="s">
        <v>947</v>
      </c>
      <c r="L599" s="1" t="s">
        <v>1533</v>
      </c>
      <c r="M599" s="1" t="s">
        <v>1534</v>
      </c>
      <c r="N599" s="1" t="s">
        <v>110</v>
      </c>
      <c r="O599" s="1" t="s">
        <v>110</v>
      </c>
      <c r="P599" s="1" t="s">
        <v>110</v>
      </c>
      <c r="Q599" s="5">
        <v>44496</v>
      </c>
      <c r="R599" s="1" t="s">
        <v>363</v>
      </c>
      <c r="S599" s="1" t="s">
        <v>367</v>
      </c>
      <c r="T599" s="5">
        <v>44502</v>
      </c>
      <c r="U599" s="5">
        <v>44505</v>
      </c>
      <c r="V599" s="7">
        <v>44505.550902777781</v>
      </c>
      <c r="W599" s="4">
        <v>1</v>
      </c>
      <c r="X599" s="6">
        <v>155691</v>
      </c>
      <c r="Y599" s="1" t="s">
        <v>1516</v>
      </c>
      <c r="Z599" s="1">
        <v>1</v>
      </c>
      <c r="AA599" s="6">
        <v>155691</v>
      </c>
      <c r="AB599" s="1" t="s">
        <v>2167</v>
      </c>
      <c r="AC599" s="6">
        <v>779</v>
      </c>
      <c r="AD599" s="1" t="s">
        <v>1100</v>
      </c>
      <c r="AE599" s="1" t="s">
        <v>2094</v>
      </c>
      <c r="AF599" s="1" t="s">
        <v>1186</v>
      </c>
      <c r="AG599" s="1" t="s">
        <v>1522</v>
      </c>
      <c r="AH599" s="6">
        <v>155691</v>
      </c>
      <c r="AI599" s="6">
        <v>155691</v>
      </c>
      <c r="AJ599" s="1" t="s">
        <v>1512</v>
      </c>
      <c r="AK599" s="1"/>
      <c r="AL599" s="1"/>
      <c r="AM599" s="1" t="s">
        <v>1512</v>
      </c>
      <c r="AN599" s="1" t="s">
        <v>198</v>
      </c>
      <c r="AO599" s="1" t="s">
        <v>1121</v>
      </c>
      <c r="AP599" s="1" t="s">
        <v>870</v>
      </c>
      <c r="AQ599" s="1"/>
      <c r="AR599" s="1"/>
      <c r="AS599" s="2"/>
      <c r="AT599" s="7">
        <v>44505.461916860797</v>
      </c>
      <c r="AU599" s="1" t="s">
        <v>371</v>
      </c>
      <c r="AV599" s="1" t="s">
        <v>388</v>
      </c>
      <c r="AW599" s="1" t="s">
        <v>2152</v>
      </c>
      <c r="AX599" s="7">
        <v>44519.410239947603</v>
      </c>
      <c r="AY599" s="1" t="s">
        <v>1033</v>
      </c>
      <c r="AZ599" s="6">
        <v>155691</v>
      </c>
      <c r="BA599" s="1"/>
      <c r="BB599" s="5">
        <v>44561</v>
      </c>
      <c r="BC599" s="5">
        <v>44518</v>
      </c>
      <c r="BD599" s="5">
        <v>44518</v>
      </c>
      <c r="BE599" s="7">
        <v>44561</v>
      </c>
      <c r="BF599" s="1" t="s">
        <v>2170</v>
      </c>
      <c r="BG599" s="1"/>
      <c r="BH599" s="1"/>
      <c r="BI599" s="1" t="s">
        <v>199</v>
      </c>
    </row>
    <row r="600" spans="1:61" hidden="1" x14ac:dyDescent="0.25">
      <c r="A600" s="4">
        <v>595</v>
      </c>
      <c r="B600" s="2" t="str">
        <f>HYPERLINK("https://my.zakupivli.pro/remote/dispatcher/state_purchase_view/31189601", "UA-2021-10-27-011865-a")</f>
        <v>UA-2021-10-27-011865-a</v>
      </c>
      <c r="C600" s="2" t="s">
        <v>1516</v>
      </c>
      <c r="D600" s="1" t="s">
        <v>1984</v>
      </c>
      <c r="E600" s="1" t="s">
        <v>1984</v>
      </c>
      <c r="F600" s="1" t="s">
        <v>298</v>
      </c>
      <c r="G600" s="1" t="s">
        <v>967</v>
      </c>
      <c r="H600" s="1" t="s">
        <v>2015</v>
      </c>
      <c r="I600" s="1" t="s">
        <v>2094</v>
      </c>
      <c r="J600" s="1" t="s">
        <v>1145</v>
      </c>
      <c r="K600" s="1" t="s">
        <v>947</v>
      </c>
      <c r="L600" s="1" t="s">
        <v>1533</v>
      </c>
      <c r="M600" s="1" t="s">
        <v>1534</v>
      </c>
      <c r="N600" s="1" t="s">
        <v>110</v>
      </c>
      <c r="O600" s="1" t="s">
        <v>110</v>
      </c>
      <c r="P600" s="1" t="s">
        <v>110</v>
      </c>
      <c r="Q600" s="5">
        <v>44496</v>
      </c>
      <c r="R600" s="1" t="s">
        <v>363</v>
      </c>
      <c r="S600" s="1" t="s">
        <v>367</v>
      </c>
      <c r="T600" s="5">
        <v>44502</v>
      </c>
      <c r="U600" s="5">
        <v>44505</v>
      </c>
      <c r="V600" s="7">
        <v>44505.478344907409</v>
      </c>
      <c r="W600" s="4">
        <v>1</v>
      </c>
      <c r="X600" s="6">
        <v>58000</v>
      </c>
      <c r="Y600" s="1" t="s">
        <v>1516</v>
      </c>
      <c r="Z600" s="1">
        <v>1</v>
      </c>
      <c r="AA600" s="6">
        <v>58000</v>
      </c>
      <c r="AB600" s="1" t="s">
        <v>2167</v>
      </c>
      <c r="AC600" s="6">
        <v>290</v>
      </c>
      <c r="AD600" s="1" t="s">
        <v>1100</v>
      </c>
      <c r="AE600" s="1" t="s">
        <v>2094</v>
      </c>
      <c r="AF600" s="1" t="s">
        <v>1186</v>
      </c>
      <c r="AG600" s="1" t="s">
        <v>1522</v>
      </c>
      <c r="AH600" s="6">
        <v>58000</v>
      </c>
      <c r="AI600" s="6">
        <v>58000</v>
      </c>
      <c r="AJ600" s="1" t="s">
        <v>2031</v>
      </c>
      <c r="AK600" s="1"/>
      <c r="AL600" s="1"/>
      <c r="AM600" s="1" t="s">
        <v>2031</v>
      </c>
      <c r="AN600" s="1" t="s">
        <v>201</v>
      </c>
      <c r="AO600" s="1" t="s">
        <v>1101</v>
      </c>
      <c r="AP600" s="1" t="s">
        <v>59</v>
      </c>
      <c r="AQ600" s="1"/>
      <c r="AR600" s="1"/>
      <c r="AS600" s="2"/>
      <c r="AT600" s="7">
        <v>44505.464954816503</v>
      </c>
      <c r="AU600" s="1" t="s">
        <v>371</v>
      </c>
      <c r="AV600" s="1" t="s">
        <v>388</v>
      </c>
      <c r="AW600" s="1" t="s">
        <v>2152</v>
      </c>
      <c r="AX600" s="7">
        <v>44505.773550954662</v>
      </c>
      <c r="AY600" s="1" t="s">
        <v>1005</v>
      </c>
      <c r="AZ600" s="6">
        <v>58000</v>
      </c>
      <c r="BA600" s="1"/>
      <c r="BB600" s="5">
        <v>44561</v>
      </c>
      <c r="BC600" s="5">
        <v>44505</v>
      </c>
      <c r="BD600" s="5">
        <v>44505</v>
      </c>
      <c r="BE600" s="7">
        <v>44561</v>
      </c>
      <c r="BF600" s="1" t="s">
        <v>2170</v>
      </c>
      <c r="BG600" s="1"/>
      <c r="BH600" s="1"/>
      <c r="BI600" s="1" t="s">
        <v>202</v>
      </c>
    </row>
    <row r="601" spans="1:61" hidden="1" x14ac:dyDescent="0.25">
      <c r="A601" s="4">
        <v>596</v>
      </c>
      <c r="B601" s="2" t="str">
        <f>HYPERLINK("https://my.zakupivli.pro/remote/dispatcher/state_purchase_view/31189451", "UA-2021-10-27-011814-a")</f>
        <v>UA-2021-10-27-011814-a</v>
      </c>
      <c r="C601" s="2" t="s">
        <v>1516</v>
      </c>
      <c r="D601" s="1" t="s">
        <v>1988</v>
      </c>
      <c r="E601" s="1" t="s">
        <v>1988</v>
      </c>
      <c r="F601" s="1" t="s">
        <v>298</v>
      </c>
      <c r="G601" s="1" t="s">
        <v>963</v>
      </c>
      <c r="H601" s="1" t="s">
        <v>2015</v>
      </c>
      <c r="I601" s="1" t="s">
        <v>2094</v>
      </c>
      <c r="J601" s="1" t="s">
        <v>1145</v>
      </c>
      <c r="K601" s="1" t="s">
        <v>947</v>
      </c>
      <c r="L601" s="1" t="s">
        <v>1533</v>
      </c>
      <c r="M601" s="1" t="s">
        <v>1534</v>
      </c>
      <c r="N601" s="1" t="s">
        <v>110</v>
      </c>
      <c r="O601" s="1" t="s">
        <v>110</v>
      </c>
      <c r="P601" s="1" t="s">
        <v>110</v>
      </c>
      <c r="Q601" s="5">
        <v>44496</v>
      </c>
      <c r="R601" s="1" t="s">
        <v>363</v>
      </c>
      <c r="S601" s="1" t="s">
        <v>367</v>
      </c>
      <c r="T601" s="5">
        <v>44502</v>
      </c>
      <c r="U601" s="5">
        <v>44505</v>
      </c>
      <c r="V601" s="1" t="s">
        <v>2147</v>
      </c>
      <c r="W601" s="4">
        <v>1</v>
      </c>
      <c r="X601" s="6">
        <v>199998</v>
      </c>
      <c r="Y601" s="1" t="s">
        <v>1516</v>
      </c>
      <c r="Z601" s="1">
        <v>1</v>
      </c>
      <c r="AA601" s="6">
        <v>199998</v>
      </c>
      <c r="AB601" s="1" t="s">
        <v>2167</v>
      </c>
      <c r="AC601" s="6">
        <v>1000</v>
      </c>
      <c r="AD601" s="1" t="s">
        <v>1100</v>
      </c>
      <c r="AE601" s="1" t="s">
        <v>2094</v>
      </c>
      <c r="AF601" s="1" t="s">
        <v>1186</v>
      </c>
      <c r="AG601" s="1" t="s">
        <v>1522</v>
      </c>
      <c r="AH601" s="6">
        <v>199998</v>
      </c>
      <c r="AI601" s="6">
        <v>199998</v>
      </c>
      <c r="AJ601" s="1" t="s">
        <v>2031</v>
      </c>
      <c r="AK601" s="1"/>
      <c r="AL601" s="1"/>
      <c r="AM601" s="1"/>
      <c r="AN601" s="1"/>
      <c r="AO601" s="1"/>
      <c r="AP601" s="1"/>
      <c r="AQ601" s="1"/>
      <c r="AR601" s="1"/>
      <c r="AS601" s="2"/>
      <c r="AT601" s="1"/>
      <c r="AU601" s="1"/>
      <c r="AV601" s="1"/>
      <c r="AW601" s="1" t="s">
        <v>2171</v>
      </c>
      <c r="AX601" s="7">
        <v>44511.595430005706</v>
      </c>
      <c r="AY601" s="1"/>
      <c r="AZ601" s="1"/>
      <c r="BA601" s="1"/>
      <c r="BB601" s="5">
        <v>44561</v>
      </c>
      <c r="BC601" s="1" t="s">
        <v>109</v>
      </c>
      <c r="BD601" s="1" t="s">
        <v>109</v>
      </c>
      <c r="BE601" s="1"/>
      <c r="BF601" s="1"/>
      <c r="BG601" s="1" t="s">
        <v>1175</v>
      </c>
      <c r="BH601" s="1"/>
      <c r="BI601" s="1" t="s">
        <v>202</v>
      </c>
    </row>
    <row r="602" spans="1:61" hidden="1" x14ac:dyDescent="0.25">
      <c r="A602" s="4">
        <v>597</v>
      </c>
      <c r="B602" s="2" t="str">
        <f>HYPERLINK("https://my.zakupivli.pro/remote/dispatcher/state_purchase_view/31189249", "UA-2021-10-27-011760-a")</f>
        <v>UA-2021-10-27-011760-a</v>
      </c>
      <c r="C602" s="2" t="s">
        <v>1516</v>
      </c>
      <c r="D602" s="1" t="s">
        <v>1985</v>
      </c>
      <c r="E602" s="1" t="s">
        <v>1985</v>
      </c>
      <c r="F602" s="1" t="s">
        <v>298</v>
      </c>
      <c r="G602" s="1" t="s">
        <v>963</v>
      </c>
      <c r="H602" s="1" t="s">
        <v>2015</v>
      </c>
      <c r="I602" s="1" t="s">
        <v>2094</v>
      </c>
      <c r="J602" s="1" t="s">
        <v>1145</v>
      </c>
      <c r="K602" s="1" t="s">
        <v>947</v>
      </c>
      <c r="L602" s="1" t="s">
        <v>1533</v>
      </c>
      <c r="M602" s="1" t="s">
        <v>1534</v>
      </c>
      <c r="N602" s="1" t="s">
        <v>110</v>
      </c>
      <c r="O602" s="1" t="s">
        <v>110</v>
      </c>
      <c r="P602" s="1" t="s">
        <v>110</v>
      </c>
      <c r="Q602" s="5">
        <v>44496</v>
      </c>
      <c r="R602" s="1" t="s">
        <v>363</v>
      </c>
      <c r="S602" s="1" t="s">
        <v>367</v>
      </c>
      <c r="T602" s="5">
        <v>44502</v>
      </c>
      <c r="U602" s="5">
        <v>44505</v>
      </c>
      <c r="V602" s="7">
        <v>44505.524444444447</v>
      </c>
      <c r="W602" s="4">
        <v>1</v>
      </c>
      <c r="X602" s="6">
        <v>115000</v>
      </c>
      <c r="Y602" s="1" t="s">
        <v>1516</v>
      </c>
      <c r="Z602" s="1">
        <v>1</v>
      </c>
      <c r="AA602" s="6">
        <v>115000</v>
      </c>
      <c r="AB602" s="1" t="s">
        <v>2167</v>
      </c>
      <c r="AC602" s="6">
        <v>575</v>
      </c>
      <c r="AD602" s="1" t="s">
        <v>1100</v>
      </c>
      <c r="AE602" s="1" t="s">
        <v>2094</v>
      </c>
      <c r="AF602" s="1" t="s">
        <v>1186</v>
      </c>
      <c r="AG602" s="1" t="s">
        <v>1522</v>
      </c>
      <c r="AH602" s="6">
        <v>115000</v>
      </c>
      <c r="AI602" s="6">
        <v>115000</v>
      </c>
      <c r="AJ602" s="1" t="s">
        <v>2031</v>
      </c>
      <c r="AK602" s="1"/>
      <c r="AL602" s="1"/>
      <c r="AM602" s="1" t="s">
        <v>2031</v>
      </c>
      <c r="AN602" s="1" t="s">
        <v>201</v>
      </c>
      <c r="AO602" s="1" t="s">
        <v>1101</v>
      </c>
      <c r="AP602" s="1" t="s">
        <v>59</v>
      </c>
      <c r="AQ602" s="1"/>
      <c r="AR602" s="1"/>
      <c r="AS602" s="2"/>
      <c r="AT602" s="7">
        <v>44505.46822504852</v>
      </c>
      <c r="AU602" s="1" t="s">
        <v>371</v>
      </c>
      <c r="AV602" s="1" t="s">
        <v>388</v>
      </c>
      <c r="AW602" s="1" t="s">
        <v>2152</v>
      </c>
      <c r="AX602" s="7">
        <v>44505.771443114572</v>
      </c>
      <c r="AY602" s="1" t="s">
        <v>1003</v>
      </c>
      <c r="AZ602" s="6">
        <v>115000</v>
      </c>
      <c r="BA602" s="1"/>
      <c r="BB602" s="5">
        <v>44561</v>
      </c>
      <c r="BC602" s="5">
        <v>44505</v>
      </c>
      <c r="BD602" s="5">
        <v>44505</v>
      </c>
      <c r="BE602" s="7">
        <v>44561</v>
      </c>
      <c r="BF602" s="1" t="s">
        <v>2170</v>
      </c>
      <c r="BG602" s="1"/>
      <c r="BH602" s="1"/>
      <c r="BI602" s="1" t="s">
        <v>202</v>
      </c>
    </row>
    <row r="603" spans="1:61" hidden="1" x14ac:dyDescent="0.25">
      <c r="A603" s="4">
        <v>598</v>
      </c>
      <c r="B603" s="2" t="str">
        <f>HYPERLINK("https://my.zakupivli.pro/remote/dispatcher/state_purchase_view/31188999", "UA-2021-10-27-011674-a")</f>
        <v>UA-2021-10-27-011674-a</v>
      </c>
      <c r="C603" s="2" t="s">
        <v>1516</v>
      </c>
      <c r="D603" s="1" t="s">
        <v>1987</v>
      </c>
      <c r="E603" s="1" t="s">
        <v>1987</v>
      </c>
      <c r="F603" s="1" t="s">
        <v>298</v>
      </c>
      <c r="G603" s="1" t="s">
        <v>974</v>
      </c>
      <c r="H603" s="1" t="s">
        <v>2015</v>
      </c>
      <c r="I603" s="1" t="s">
        <v>2094</v>
      </c>
      <c r="J603" s="1" t="s">
        <v>1145</v>
      </c>
      <c r="K603" s="1" t="s">
        <v>947</v>
      </c>
      <c r="L603" s="1" t="s">
        <v>1533</v>
      </c>
      <c r="M603" s="1" t="s">
        <v>1534</v>
      </c>
      <c r="N603" s="1" t="s">
        <v>110</v>
      </c>
      <c r="O603" s="1" t="s">
        <v>110</v>
      </c>
      <c r="P603" s="1" t="s">
        <v>110</v>
      </c>
      <c r="Q603" s="5">
        <v>44496</v>
      </c>
      <c r="R603" s="1" t="s">
        <v>363</v>
      </c>
      <c r="S603" s="1" t="s">
        <v>367</v>
      </c>
      <c r="T603" s="5">
        <v>44502</v>
      </c>
      <c r="U603" s="5">
        <v>44505</v>
      </c>
      <c r="V603" s="7">
        <v>44505.458703703705</v>
      </c>
      <c r="W603" s="4">
        <v>1</v>
      </c>
      <c r="X603" s="6">
        <v>199954</v>
      </c>
      <c r="Y603" s="1" t="s">
        <v>1516</v>
      </c>
      <c r="Z603" s="1">
        <v>1</v>
      </c>
      <c r="AA603" s="6">
        <v>199954</v>
      </c>
      <c r="AB603" s="1" t="s">
        <v>2167</v>
      </c>
      <c r="AC603" s="6">
        <v>1000</v>
      </c>
      <c r="AD603" s="1" t="s">
        <v>1100</v>
      </c>
      <c r="AE603" s="1" t="s">
        <v>2094</v>
      </c>
      <c r="AF603" s="1" t="s">
        <v>1186</v>
      </c>
      <c r="AG603" s="1" t="s">
        <v>1522</v>
      </c>
      <c r="AH603" s="6">
        <v>199954</v>
      </c>
      <c r="AI603" s="6">
        <v>199954</v>
      </c>
      <c r="AJ603" s="1" t="s">
        <v>2031</v>
      </c>
      <c r="AK603" s="1"/>
      <c r="AL603" s="1"/>
      <c r="AM603" s="1" t="s">
        <v>2031</v>
      </c>
      <c r="AN603" s="1" t="s">
        <v>201</v>
      </c>
      <c r="AO603" s="1" t="s">
        <v>1101</v>
      </c>
      <c r="AP603" s="1" t="s">
        <v>59</v>
      </c>
      <c r="AQ603" s="1"/>
      <c r="AR603" s="1"/>
      <c r="AS603" s="2"/>
      <c r="AT603" s="7">
        <v>44505.470217361224</v>
      </c>
      <c r="AU603" s="1" t="s">
        <v>371</v>
      </c>
      <c r="AV603" s="1" t="s">
        <v>388</v>
      </c>
      <c r="AW603" s="1" t="s">
        <v>2152</v>
      </c>
      <c r="AX603" s="7">
        <v>44505.78512010134</v>
      </c>
      <c r="AY603" s="1" t="s">
        <v>1001</v>
      </c>
      <c r="AZ603" s="6">
        <v>199954</v>
      </c>
      <c r="BA603" s="1"/>
      <c r="BB603" s="5">
        <v>44561</v>
      </c>
      <c r="BC603" s="5">
        <v>44505</v>
      </c>
      <c r="BD603" s="5">
        <v>44505</v>
      </c>
      <c r="BE603" s="7">
        <v>44561</v>
      </c>
      <c r="BF603" s="1" t="s">
        <v>2170</v>
      </c>
      <c r="BG603" s="1"/>
      <c r="BH603" s="1"/>
      <c r="BI603" s="1" t="s">
        <v>202</v>
      </c>
    </row>
    <row r="604" spans="1:61" hidden="1" x14ac:dyDescent="0.25">
      <c r="A604" s="4">
        <v>599</v>
      </c>
      <c r="B604" s="2" t="str">
        <f>HYPERLINK("https://my.zakupivli.pro/remote/dispatcher/state_purchase_view/31188740", "UA-2021-10-27-011594-a")</f>
        <v>UA-2021-10-27-011594-a</v>
      </c>
      <c r="C604" s="2" t="s">
        <v>1516</v>
      </c>
      <c r="D604" s="1" t="s">
        <v>1677</v>
      </c>
      <c r="E604" s="1" t="s">
        <v>1677</v>
      </c>
      <c r="F604" s="1" t="s">
        <v>298</v>
      </c>
      <c r="G604" s="1" t="s">
        <v>964</v>
      </c>
      <c r="H604" s="1" t="s">
        <v>2015</v>
      </c>
      <c r="I604" s="1" t="s">
        <v>2094</v>
      </c>
      <c r="J604" s="1" t="s">
        <v>1145</v>
      </c>
      <c r="K604" s="1" t="s">
        <v>947</v>
      </c>
      <c r="L604" s="1" t="s">
        <v>1533</v>
      </c>
      <c r="M604" s="1" t="s">
        <v>1534</v>
      </c>
      <c r="N604" s="1" t="s">
        <v>110</v>
      </c>
      <c r="O604" s="1" t="s">
        <v>110</v>
      </c>
      <c r="P604" s="1" t="s">
        <v>110</v>
      </c>
      <c r="Q604" s="5">
        <v>44496</v>
      </c>
      <c r="R604" s="1" t="s">
        <v>363</v>
      </c>
      <c r="S604" s="1" t="s">
        <v>367</v>
      </c>
      <c r="T604" s="5">
        <v>44502</v>
      </c>
      <c r="U604" s="5">
        <v>44509</v>
      </c>
      <c r="V604" s="7">
        <v>44509.475937499999</v>
      </c>
      <c r="W604" s="4">
        <v>1</v>
      </c>
      <c r="X604" s="6">
        <v>162880</v>
      </c>
      <c r="Y604" s="1" t="s">
        <v>1516</v>
      </c>
      <c r="Z604" s="1">
        <v>1</v>
      </c>
      <c r="AA604" s="6">
        <v>162880</v>
      </c>
      <c r="AB604" s="1" t="s">
        <v>2167</v>
      </c>
      <c r="AC604" s="6">
        <v>815</v>
      </c>
      <c r="AD604" s="1" t="s">
        <v>1100</v>
      </c>
      <c r="AE604" s="1" t="s">
        <v>2094</v>
      </c>
      <c r="AF604" s="1" t="s">
        <v>1186</v>
      </c>
      <c r="AG604" s="1" t="s">
        <v>1522</v>
      </c>
      <c r="AH604" s="6">
        <v>162880</v>
      </c>
      <c r="AI604" s="6">
        <v>162880</v>
      </c>
      <c r="AJ604" s="1" t="s">
        <v>2130</v>
      </c>
      <c r="AK604" s="1"/>
      <c r="AL604" s="1"/>
      <c r="AM604" s="1" t="s">
        <v>2130</v>
      </c>
      <c r="AN604" s="1" t="s">
        <v>796</v>
      </c>
      <c r="AO604" s="1" t="s">
        <v>1115</v>
      </c>
      <c r="AP604" s="1" t="s">
        <v>72</v>
      </c>
      <c r="AQ604" s="1"/>
      <c r="AR604" s="1"/>
      <c r="AS604" s="2"/>
      <c r="AT604" s="7">
        <v>44509.470342108638</v>
      </c>
      <c r="AU604" s="1" t="s">
        <v>375</v>
      </c>
      <c r="AV604" s="1" t="s">
        <v>391</v>
      </c>
      <c r="AW604" s="1" t="s">
        <v>2152</v>
      </c>
      <c r="AX604" s="7">
        <v>44512.563937441948</v>
      </c>
      <c r="AY604" s="1" t="s">
        <v>1022</v>
      </c>
      <c r="AZ604" s="6">
        <v>162880</v>
      </c>
      <c r="BA604" s="1"/>
      <c r="BB604" s="5">
        <v>44561</v>
      </c>
      <c r="BC604" s="5">
        <v>44511</v>
      </c>
      <c r="BD604" s="5">
        <v>44511</v>
      </c>
      <c r="BE604" s="7">
        <v>44561</v>
      </c>
      <c r="BF604" s="1" t="s">
        <v>2170</v>
      </c>
      <c r="BG604" s="1"/>
      <c r="BH604" s="1"/>
      <c r="BI604" s="1" t="s">
        <v>797</v>
      </c>
    </row>
    <row r="605" spans="1:61" hidden="1" x14ac:dyDescent="0.25">
      <c r="A605" s="4">
        <v>600</v>
      </c>
      <c r="B605" s="2" t="str">
        <f>HYPERLINK("https://my.zakupivli.pro/remote/dispatcher/state_purchase_view/31187020", "UA-2021-10-27-011083-a")</f>
        <v>UA-2021-10-27-011083-a</v>
      </c>
      <c r="C605" s="2" t="s">
        <v>1516</v>
      </c>
      <c r="D605" s="1" t="s">
        <v>1591</v>
      </c>
      <c r="E605" s="1" t="s">
        <v>1591</v>
      </c>
      <c r="F605" s="1" t="s">
        <v>298</v>
      </c>
      <c r="G605" s="1" t="s">
        <v>966</v>
      </c>
      <c r="H605" s="1" t="s">
        <v>1184</v>
      </c>
      <c r="I605" s="1" t="s">
        <v>2094</v>
      </c>
      <c r="J605" s="1" t="s">
        <v>1145</v>
      </c>
      <c r="K605" s="1" t="s">
        <v>947</v>
      </c>
      <c r="L605" s="1" t="s">
        <v>1533</v>
      </c>
      <c r="M605" s="1" t="s">
        <v>1533</v>
      </c>
      <c r="N605" s="1" t="s">
        <v>110</v>
      </c>
      <c r="O605" s="1" t="s">
        <v>110</v>
      </c>
      <c r="P605" s="1" t="s">
        <v>110</v>
      </c>
      <c r="Q605" s="5">
        <v>44496</v>
      </c>
      <c r="R605" s="1" t="s">
        <v>363</v>
      </c>
      <c r="S605" s="1" t="s">
        <v>368</v>
      </c>
      <c r="T605" s="5">
        <v>44496</v>
      </c>
      <c r="U605" s="5">
        <v>44513</v>
      </c>
      <c r="V605" s="7">
        <v>44515.644571759258</v>
      </c>
      <c r="W605" s="4">
        <v>2</v>
      </c>
      <c r="X605" s="6">
        <v>305454</v>
      </c>
      <c r="Y605" s="1" t="s">
        <v>1516</v>
      </c>
      <c r="Z605" s="1">
        <v>1</v>
      </c>
      <c r="AA605" s="6">
        <v>305454</v>
      </c>
      <c r="AB605" s="1" t="s">
        <v>2167</v>
      </c>
      <c r="AC605" s="6">
        <v>3054.54</v>
      </c>
      <c r="AD605" s="1" t="s">
        <v>1100</v>
      </c>
      <c r="AE605" s="1" t="s">
        <v>2094</v>
      </c>
      <c r="AF605" s="1" t="s">
        <v>1186</v>
      </c>
      <c r="AG605" s="1" t="s">
        <v>1522</v>
      </c>
      <c r="AH605" s="6">
        <v>305235.49</v>
      </c>
      <c r="AI605" s="6">
        <v>305235.49</v>
      </c>
      <c r="AJ605" s="1" t="s">
        <v>2027</v>
      </c>
      <c r="AK605" s="6">
        <v>218.51000000000931</v>
      </c>
      <c r="AL605" s="6">
        <v>7.1536139647871463E-4</v>
      </c>
      <c r="AM605" s="1" t="s">
        <v>2027</v>
      </c>
      <c r="AN605" s="1" t="s">
        <v>951</v>
      </c>
      <c r="AO605" s="1" t="s">
        <v>1117</v>
      </c>
      <c r="AP605" s="1" t="s">
        <v>79</v>
      </c>
      <c r="AQ605" s="6">
        <v>218.51000000000931</v>
      </c>
      <c r="AR605" s="6">
        <v>7.1536139647871463E-4</v>
      </c>
      <c r="AS605" s="2" t="str">
        <f>HYPERLINK("https://auctions.prozorro.gov.ua/tenders/ecd56bd707784eb88bf3ad6484c896e8")</f>
        <v>https://auctions.prozorro.gov.ua/tenders/ecd56bd707784eb88bf3ad6484c896e8</v>
      </c>
      <c r="AT605" s="7">
        <v>44516.715178877501</v>
      </c>
      <c r="AU605" s="1" t="s">
        <v>390</v>
      </c>
      <c r="AV605" s="1" t="s">
        <v>397</v>
      </c>
      <c r="AW605" s="1" t="s">
        <v>2152</v>
      </c>
      <c r="AX605" s="7">
        <v>44533.477799975197</v>
      </c>
      <c r="AY605" s="1" t="s">
        <v>1047</v>
      </c>
      <c r="AZ605" s="6">
        <v>305235.49</v>
      </c>
      <c r="BA605" s="1"/>
      <c r="BB605" s="5">
        <v>44561</v>
      </c>
      <c r="BC605" s="5">
        <v>44532</v>
      </c>
      <c r="BD605" s="5">
        <v>44532</v>
      </c>
      <c r="BE605" s="7">
        <v>44561</v>
      </c>
      <c r="BF605" s="1" t="s">
        <v>2170</v>
      </c>
      <c r="BG605" s="1"/>
      <c r="BH605" s="1"/>
      <c r="BI605" s="1" t="s">
        <v>953</v>
      </c>
    </row>
    <row r="606" spans="1:61" hidden="1" x14ac:dyDescent="0.25">
      <c r="A606" s="4">
        <v>601</v>
      </c>
      <c r="B606" s="2" t="str">
        <f>HYPERLINK("https://my.zakupivli.pro/remote/dispatcher/state_purchase_view/31184632", "UA-2021-10-27-010321-a")</f>
        <v>UA-2021-10-27-010321-a</v>
      </c>
      <c r="C606" s="2" t="s">
        <v>1516</v>
      </c>
      <c r="D606" s="1" t="s">
        <v>1589</v>
      </c>
      <c r="E606" s="1" t="s">
        <v>1589</v>
      </c>
      <c r="F606" s="1" t="s">
        <v>298</v>
      </c>
      <c r="G606" s="1" t="s">
        <v>966</v>
      </c>
      <c r="H606" s="1" t="s">
        <v>1184</v>
      </c>
      <c r="I606" s="1" t="s">
        <v>2094</v>
      </c>
      <c r="J606" s="1" t="s">
        <v>1145</v>
      </c>
      <c r="K606" s="1" t="s">
        <v>947</v>
      </c>
      <c r="L606" s="1" t="s">
        <v>1533</v>
      </c>
      <c r="M606" s="1" t="s">
        <v>1533</v>
      </c>
      <c r="N606" s="1" t="s">
        <v>110</v>
      </c>
      <c r="O606" s="1" t="s">
        <v>110</v>
      </c>
      <c r="P606" s="1" t="s">
        <v>110</v>
      </c>
      <c r="Q606" s="5">
        <v>44496</v>
      </c>
      <c r="R606" s="1" t="s">
        <v>363</v>
      </c>
      <c r="S606" s="1" t="s">
        <v>368</v>
      </c>
      <c r="T606" s="5">
        <v>44496</v>
      </c>
      <c r="U606" s="5">
        <v>44513</v>
      </c>
      <c r="V606" s="7">
        <v>44515.620925925927</v>
      </c>
      <c r="W606" s="4">
        <v>3</v>
      </c>
      <c r="X606" s="6">
        <v>977758</v>
      </c>
      <c r="Y606" s="1" t="s">
        <v>1516</v>
      </c>
      <c r="Z606" s="1">
        <v>1</v>
      </c>
      <c r="AA606" s="6">
        <v>977758</v>
      </c>
      <c r="AB606" s="1" t="s">
        <v>2167</v>
      </c>
      <c r="AC606" s="6">
        <v>9777.58</v>
      </c>
      <c r="AD606" s="1" t="s">
        <v>1100</v>
      </c>
      <c r="AE606" s="1" t="s">
        <v>2094</v>
      </c>
      <c r="AF606" s="1" t="s">
        <v>1186</v>
      </c>
      <c r="AG606" s="1" t="s">
        <v>1522</v>
      </c>
      <c r="AH606" s="6">
        <v>879982.2</v>
      </c>
      <c r="AI606" s="6">
        <v>879982.2</v>
      </c>
      <c r="AJ606" s="1" t="s">
        <v>2120</v>
      </c>
      <c r="AK606" s="6">
        <v>97775.800000000047</v>
      </c>
      <c r="AL606" s="6">
        <v>0.10000000000000005</v>
      </c>
      <c r="AM606" s="1" t="s">
        <v>2027</v>
      </c>
      <c r="AN606" s="1" t="s">
        <v>951</v>
      </c>
      <c r="AO606" s="1" t="s">
        <v>1117</v>
      </c>
      <c r="AP606" s="1" t="s">
        <v>79</v>
      </c>
      <c r="AQ606" s="6">
        <v>513.45999999996275</v>
      </c>
      <c r="AR606" s="6">
        <v>5.2514016760789762E-4</v>
      </c>
      <c r="AS606" s="2" t="str">
        <f>HYPERLINK("https://auctions.prozorro.gov.ua/tenders/ff815f2f53154d3bacccf0066c15b8db")</f>
        <v>https://auctions.prozorro.gov.ua/tenders/ff815f2f53154d3bacccf0066c15b8db</v>
      </c>
      <c r="AT606" s="7">
        <v>44516.720270559272</v>
      </c>
      <c r="AU606" s="1" t="s">
        <v>390</v>
      </c>
      <c r="AV606" s="1" t="s">
        <v>397</v>
      </c>
      <c r="AW606" s="1" t="s">
        <v>2152</v>
      </c>
      <c r="AX606" s="7">
        <v>44533.441850169431</v>
      </c>
      <c r="AY606" s="1" t="s">
        <v>1053</v>
      </c>
      <c r="AZ606" s="6">
        <v>977244.54</v>
      </c>
      <c r="BA606" s="1"/>
      <c r="BB606" s="5">
        <v>44561</v>
      </c>
      <c r="BC606" s="5">
        <v>44532</v>
      </c>
      <c r="BD606" s="5">
        <v>44532</v>
      </c>
      <c r="BE606" s="7">
        <v>44561</v>
      </c>
      <c r="BF606" s="1" t="s">
        <v>2170</v>
      </c>
      <c r="BG606" s="1"/>
      <c r="BH606" s="1"/>
      <c r="BI606" s="1" t="s">
        <v>782</v>
      </c>
    </row>
    <row r="607" spans="1:61" hidden="1" x14ac:dyDescent="0.25">
      <c r="A607" s="4">
        <v>602</v>
      </c>
      <c r="B607" s="2" t="str">
        <f>HYPERLINK("https://my.zakupivli.pro/remote/dispatcher/state_purchase_view/31183652", "UA-2021-10-27-010047-a")</f>
        <v>UA-2021-10-27-010047-a</v>
      </c>
      <c r="C607" s="2" t="s">
        <v>1516</v>
      </c>
      <c r="D607" s="1" t="s">
        <v>1595</v>
      </c>
      <c r="E607" s="1" t="s">
        <v>1595</v>
      </c>
      <c r="F607" s="1" t="s">
        <v>298</v>
      </c>
      <c r="G607" s="1" t="s">
        <v>966</v>
      </c>
      <c r="H607" s="1" t="s">
        <v>1184</v>
      </c>
      <c r="I607" s="1" t="s">
        <v>2094</v>
      </c>
      <c r="J607" s="1" t="s">
        <v>1145</v>
      </c>
      <c r="K607" s="1" t="s">
        <v>947</v>
      </c>
      <c r="L607" s="1" t="s">
        <v>1533</v>
      </c>
      <c r="M607" s="1" t="s">
        <v>1533</v>
      </c>
      <c r="N607" s="1" t="s">
        <v>110</v>
      </c>
      <c r="O607" s="1" t="s">
        <v>110</v>
      </c>
      <c r="P607" s="1" t="s">
        <v>110</v>
      </c>
      <c r="Q607" s="5">
        <v>44496</v>
      </c>
      <c r="R607" s="1" t="s">
        <v>363</v>
      </c>
      <c r="S607" s="1" t="s">
        <v>368</v>
      </c>
      <c r="T607" s="5">
        <v>44496</v>
      </c>
      <c r="U607" s="5">
        <v>44513</v>
      </c>
      <c r="V607" s="7">
        <v>44515.555995370371</v>
      </c>
      <c r="W607" s="4">
        <v>3</v>
      </c>
      <c r="X607" s="6">
        <v>789561</v>
      </c>
      <c r="Y607" s="1" t="s">
        <v>1516</v>
      </c>
      <c r="Z607" s="1">
        <v>1</v>
      </c>
      <c r="AA607" s="6">
        <v>789561</v>
      </c>
      <c r="AB607" s="1" t="s">
        <v>2167</v>
      </c>
      <c r="AC607" s="6">
        <v>7895.61</v>
      </c>
      <c r="AD607" s="1" t="s">
        <v>1100</v>
      </c>
      <c r="AE607" s="1" t="s">
        <v>2094</v>
      </c>
      <c r="AF607" s="1" t="s">
        <v>1186</v>
      </c>
      <c r="AG607" s="1" t="s">
        <v>1522</v>
      </c>
      <c r="AH607" s="6">
        <v>710604.91</v>
      </c>
      <c r="AI607" s="6">
        <v>710604.91</v>
      </c>
      <c r="AJ607" s="1" t="s">
        <v>2120</v>
      </c>
      <c r="AK607" s="6">
        <v>78956.089999999967</v>
      </c>
      <c r="AL607" s="6">
        <v>9.9999987334734072E-2</v>
      </c>
      <c r="AM607" s="1" t="s">
        <v>2027</v>
      </c>
      <c r="AN607" s="1" t="s">
        <v>951</v>
      </c>
      <c r="AO607" s="1" t="s">
        <v>1117</v>
      </c>
      <c r="AP607" s="1" t="s">
        <v>79</v>
      </c>
      <c r="AQ607" s="6">
        <v>398.5899999999674</v>
      </c>
      <c r="AR607" s="6">
        <v>5.0482483304009119E-4</v>
      </c>
      <c r="AS607" s="2" t="str">
        <f>HYPERLINK("https://auctions.prozorro.gov.ua/tenders/059c57eb6ce64e489dfbb53b54d7e6b0")</f>
        <v>https://auctions.prozorro.gov.ua/tenders/059c57eb6ce64e489dfbb53b54d7e6b0</v>
      </c>
      <c r="AT607" s="7">
        <v>44516.70276587244</v>
      </c>
      <c r="AU607" s="1" t="s">
        <v>390</v>
      </c>
      <c r="AV607" s="1" t="s">
        <v>397</v>
      </c>
      <c r="AW607" s="1" t="s">
        <v>2152</v>
      </c>
      <c r="AX607" s="7">
        <v>44533.639744340406</v>
      </c>
      <c r="AY607" s="1" t="s">
        <v>1054</v>
      </c>
      <c r="AZ607" s="6">
        <v>789162.41</v>
      </c>
      <c r="BA607" s="1"/>
      <c r="BB607" s="5">
        <v>44561</v>
      </c>
      <c r="BC607" s="5">
        <v>44532</v>
      </c>
      <c r="BD607" s="5">
        <v>44532</v>
      </c>
      <c r="BE607" s="7">
        <v>44561</v>
      </c>
      <c r="BF607" s="1" t="s">
        <v>2170</v>
      </c>
      <c r="BG607" s="1"/>
      <c r="BH607" s="1"/>
      <c r="BI607" s="1" t="s">
        <v>782</v>
      </c>
    </row>
    <row r="608" spans="1:61" hidden="1" x14ac:dyDescent="0.25">
      <c r="A608" s="4">
        <v>603</v>
      </c>
      <c r="B608" s="2" t="str">
        <f>HYPERLINK("https://my.zakupivli.pro/remote/dispatcher/state_purchase_view/31177635", "UA-2021-10-27-008398-a")</f>
        <v>UA-2021-10-27-008398-a</v>
      </c>
      <c r="C608" s="2" t="s">
        <v>1516</v>
      </c>
      <c r="D608" s="1" t="s">
        <v>1652</v>
      </c>
      <c r="E608" s="1" t="s">
        <v>1652</v>
      </c>
      <c r="F608" s="1" t="s">
        <v>298</v>
      </c>
      <c r="G608" s="1" t="s">
        <v>1074</v>
      </c>
      <c r="H608" s="1" t="s">
        <v>2015</v>
      </c>
      <c r="I608" s="1" t="s">
        <v>2094</v>
      </c>
      <c r="J608" s="1" t="s">
        <v>1145</v>
      </c>
      <c r="K608" s="1" t="s">
        <v>947</v>
      </c>
      <c r="L608" s="1" t="s">
        <v>1533</v>
      </c>
      <c r="M608" s="1" t="s">
        <v>1534</v>
      </c>
      <c r="N608" s="1" t="s">
        <v>110</v>
      </c>
      <c r="O608" s="1" t="s">
        <v>110</v>
      </c>
      <c r="P608" s="1" t="s">
        <v>110</v>
      </c>
      <c r="Q608" s="5">
        <v>44496</v>
      </c>
      <c r="R608" s="1" t="s">
        <v>363</v>
      </c>
      <c r="S608" s="1" t="s">
        <v>367</v>
      </c>
      <c r="T608" s="5">
        <v>44502</v>
      </c>
      <c r="U608" s="5">
        <v>44505</v>
      </c>
      <c r="V608" s="1" t="s">
        <v>2147</v>
      </c>
      <c r="W608" s="4">
        <v>0</v>
      </c>
      <c r="X608" s="6">
        <v>60000</v>
      </c>
      <c r="Y608" s="1" t="s">
        <v>1516</v>
      </c>
      <c r="Z608" s="1">
        <v>1</v>
      </c>
      <c r="AA608" s="6">
        <v>60000</v>
      </c>
      <c r="AB608" s="1" t="s">
        <v>2167</v>
      </c>
      <c r="AC608" s="6">
        <v>300</v>
      </c>
      <c r="AD608" s="1" t="s">
        <v>1100</v>
      </c>
      <c r="AE608" s="1" t="s">
        <v>2094</v>
      </c>
      <c r="AF608" s="1" t="s">
        <v>1186</v>
      </c>
      <c r="AG608" s="1" t="s">
        <v>1522</v>
      </c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2"/>
      <c r="AT608" s="1"/>
      <c r="AU608" s="1"/>
      <c r="AV608" s="1"/>
      <c r="AW608" s="1" t="s">
        <v>2171</v>
      </c>
      <c r="AX608" s="7">
        <v>44503.739255091714</v>
      </c>
      <c r="AY608" s="1"/>
      <c r="AZ608" s="1"/>
      <c r="BA608" s="1"/>
      <c r="BB608" s="5">
        <v>44561</v>
      </c>
      <c r="BC608" s="1" t="s">
        <v>109</v>
      </c>
      <c r="BD608" s="1" t="s">
        <v>109</v>
      </c>
      <c r="BE608" s="1"/>
      <c r="BF608" s="1"/>
      <c r="BG608" s="1" t="s">
        <v>1187</v>
      </c>
      <c r="BH608" s="1"/>
      <c r="BI608" s="1"/>
    </row>
    <row r="609" spans="1:61" hidden="1" x14ac:dyDescent="0.25">
      <c r="A609" s="4">
        <v>604</v>
      </c>
      <c r="B609" s="2" t="str">
        <f>HYPERLINK("https://my.zakupivli.pro/remote/dispatcher/state_purchase_view/31180425", "UA-2021-10-27-009187-a")</f>
        <v>UA-2021-10-27-009187-a</v>
      </c>
      <c r="C609" s="2" t="s">
        <v>1516</v>
      </c>
      <c r="D609" s="1" t="s">
        <v>1930</v>
      </c>
      <c r="E609" s="1" t="s">
        <v>1930</v>
      </c>
      <c r="F609" s="1" t="s">
        <v>298</v>
      </c>
      <c r="G609" s="1" t="s">
        <v>974</v>
      </c>
      <c r="H609" s="1" t="s">
        <v>1184</v>
      </c>
      <c r="I609" s="1" t="s">
        <v>2094</v>
      </c>
      <c r="J609" s="1" t="s">
        <v>1145</v>
      </c>
      <c r="K609" s="1" t="s">
        <v>947</v>
      </c>
      <c r="L609" s="1" t="s">
        <v>1533</v>
      </c>
      <c r="M609" s="1" t="s">
        <v>1533</v>
      </c>
      <c r="N609" s="1" t="s">
        <v>110</v>
      </c>
      <c r="O609" s="1" t="s">
        <v>110</v>
      </c>
      <c r="P609" s="1" t="s">
        <v>110</v>
      </c>
      <c r="Q609" s="5">
        <v>44496</v>
      </c>
      <c r="R609" s="1" t="s">
        <v>363</v>
      </c>
      <c r="S609" s="1" t="s">
        <v>367</v>
      </c>
      <c r="T609" s="5">
        <v>44496</v>
      </c>
      <c r="U609" s="5">
        <v>44512</v>
      </c>
      <c r="V609" s="7">
        <v>44512.644537037035</v>
      </c>
      <c r="W609" s="4">
        <v>2</v>
      </c>
      <c r="X609" s="6">
        <v>236339</v>
      </c>
      <c r="Y609" s="1" t="s">
        <v>1516</v>
      </c>
      <c r="Z609" s="1">
        <v>1</v>
      </c>
      <c r="AA609" s="6">
        <v>236339</v>
      </c>
      <c r="AB609" s="1" t="s">
        <v>2167</v>
      </c>
      <c r="AC609" s="6">
        <v>2363.39</v>
      </c>
      <c r="AD609" s="1" t="s">
        <v>1100</v>
      </c>
      <c r="AE609" s="1" t="s">
        <v>2094</v>
      </c>
      <c r="AF609" s="1" t="s">
        <v>1186</v>
      </c>
      <c r="AG609" s="1" t="s">
        <v>1522</v>
      </c>
      <c r="AH609" s="6">
        <v>236339</v>
      </c>
      <c r="AI609" s="6">
        <v>236339</v>
      </c>
      <c r="AJ609" s="1" t="s">
        <v>1512</v>
      </c>
      <c r="AK609" s="1"/>
      <c r="AL609" s="1"/>
      <c r="AM609" s="1" t="s">
        <v>1512</v>
      </c>
      <c r="AN609" s="1" t="s">
        <v>198</v>
      </c>
      <c r="AO609" s="1" t="s">
        <v>1121</v>
      </c>
      <c r="AP609" s="1" t="s">
        <v>870</v>
      </c>
      <c r="AQ609" s="1"/>
      <c r="AR609" s="1"/>
      <c r="AS609" s="2" t="str">
        <f>HYPERLINK("https://auctions.prozorro.gov.ua/tenders/516170df6ffc4da2981959d408e302ed")</f>
        <v>https://auctions.prozorro.gov.ua/tenders/516170df6ffc4da2981959d408e302ed</v>
      </c>
      <c r="AT609" s="7">
        <v>44512.717994513783</v>
      </c>
      <c r="AU609" s="1" t="s">
        <v>386</v>
      </c>
      <c r="AV609" s="1" t="s">
        <v>395</v>
      </c>
      <c r="AW609" s="1" t="s">
        <v>2152</v>
      </c>
      <c r="AX609" s="7">
        <v>44533.610647588182</v>
      </c>
      <c r="AY609" s="1" t="s">
        <v>1063</v>
      </c>
      <c r="AZ609" s="6">
        <v>236339</v>
      </c>
      <c r="BA609" s="1"/>
      <c r="BB609" s="5">
        <v>44561</v>
      </c>
      <c r="BC609" s="5">
        <v>44531</v>
      </c>
      <c r="BD609" s="5">
        <v>44531</v>
      </c>
      <c r="BE609" s="7">
        <v>44561</v>
      </c>
      <c r="BF609" s="1" t="s">
        <v>2170</v>
      </c>
      <c r="BG609" s="1"/>
      <c r="BH609" s="1"/>
      <c r="BI609" s="1" t="s">
        <v>200</v>
      </c>
    </row>
    <row r="610" spans="1:61" hidden="1" x14ac:dyDescent="0.25">
      <c r="A610" s="4">
        <v>605</v>
      </c>
      <c r="B610" s="2" t="str">
        <f>HYPERLINK("https://my.zakupivli.pro/remote/dispatcher/state_purchase_view/31181596", "UA-2021-10-27-009506-a")</f>
        <v>UA-2021-10-27-009506-a</v>
      </c>
      <c r="C610" s="2" t="s">
        <v>1516</v>
      </c>
      <c r="D610" s="1" t="s">
        <v>1951</v>
      </c>
      <c r="E610" s="1" t="s">
        <v>1951</v>
      </c>
      <c r="F610" s="1" t="s">
        <v>298</v>
      </c>
      <c r="G610" s="1" t="s">
        <v>963</v>
      </c>
      <c r="H610" s="1" t="s">
        <v>1184</v>
      </c>
      <c r="I610" s="1" t="s">
        <v>2094</v>
      </c>
      <c r="J610" s="1" t="s">
        <v>1145</v>
      </c>
      <c r="K610" s="1" t="s">
        <v>947</v>
      </c>
      <c r="L610" s="1" t="s">
        <v>1533</v>
      </c>
      <c r="M610" s="1" t="s">
        <v>1533</v>
      </c>
      <c r="N610" s="1" t="s">
        <v>110</v>
      </c>
      <c r="O610" s="1" t="s">
        <v>110</v>
      </c>
      <c r="P610" s="1" t="s">
        <v>110</v>
      </c>
      <c r="Q610" s="5">
        <v>44496</v>
      </c>
      <c r="R610" s="1" t="s">
        <v>363</v>
      </c>
      <c r="S610" s="1" t="s">
        <v>367</v>
      </c>
      <c r="T610" s="5">
        <v>44496</v>
      </c>
      <c r="U610" s="5">
        <v>44512</v>
      </c>
      <c r="V610" s="7">
        <v>44512.604895833334</v>
      </c>
      <c r="W610" s="4">
        <v>2</v>
      </c>
      <c r="X610" s="6">
        <v>400001</v>
      </c>
      <c r="Y610" s="1" t="s">
        <v>1516</v>
      </c>
      <c r="Z610" s="1">
        <v>1</v>
      </c>
      <c r="AA610" s="6">
        <v>400001</v>
      </c>
      <c r="AB610" s="1" t="s">
        <v>2167</v>
      </c>
      <c r="AC610" s="6">
        <v>4000.01</v>
      </c>
      <c r="AD610" s="1" t="s">
        <v>1100</v>
      </c>
      <c r="AE610" s="1" t="s">
        <v>2094</v>
      </c>
      <c r="AF610" s="1" t="s">
        <v>1186</v>
      </c>
      <c r="AG610" s="1" t="s">
        <v>1522</v>
      </c>
      <c r="AH610" s="6">
        <v>397499</v>
      </c>
      <c r="AI610" s="6">
        <v>397499</v>
      </c>
      <c r="AJ610" s="1" t="s">
        <v>2049</v>
      </c>
      <c r="AK610" s="6">
        <v>2502</v>
      </c>
      <c r="AL610" s="6">
        <v>6.2549843625390933E-3</v>
      </c>
      <c r="AM610" s="1" t="s">
        <v>1512</v>
      </c>
      <c r="AN610" s="1" t="s">
        <v>198</v>
      </c>
      <c r="AO610" s="1" t="s">
        <v>1121</v>
      </c>
      <c r="AP610" s="1" t="s">
        <v>870</v>
      </c>
      <c r="AQ610" s="1"/>
      <c r="AR610" s="1"/>
      <c r="AS610" s="2" t="str">
        <f>HYPERLINK("https://auctions.prozorro.gov.ua/tenders/e2ebbefcf0074db5abd9d4ff5a92a5c6")</f>
        <v>https://auctions.prozorro.gov.ua/tenders/e2ebbefcf0074db5abd9d4ff5a92a5c6</v>
      </c>
      <c r="AT610" s="7">
        <v>44512.721211386226</v>
      </c>
      <c r="AU610" s="1" t="s">
        <v>386</v>
      </c>
      <c r="AV610" s="1" t="s">
        <v>395</v>
      </c>
      <c r="AW610" s="1" t="s">
        <v>2152</v>
      </c>
      <c r="AX610" s="7">
        <v>44533.613417541485</v>
      </c>
      <c r="AY610" s="1" t="s">
        <v>1061</v>
      </c>
      <c r="AZ610" s="6">
        <v>400001</v>
      </c>
      <c r="BA610" s="1"/>
      <c r="BB610" s="5">
        <v>44561</v>
      </c>
      <c r="BC610" s="5">
        <v>44531</v>
      </c>
      <c r="BD610" s="5">
        <v>44531</v>
      </c>
      <c r="BE610" s="7">
        <v>44561</v>
      </c>
      <c r="BF610" s="1" t="s">
        <v>2170</v>
      </c>
      <c r="BG610" s="1"/>
      <c r="BH610" s="1"/>
      <c r="BI610" s="1" t="s">
        <v>930</v>
      </c>
    </row>
    <row r="611" spans="1:61" hidden="1" x14ac:dyDescent="0.25">
      <c r="A611" s="4">
        <v>606</v>
      </c>
      <c r="B611" s="2" t="str">
        <f>HYPERLINK("https://my.zakupivli.pro/remote/dispatcher/state_purchase_view/31182879", "UA-2021-10-27-009824-a")</f>
        <v>UA-2021-10-27-009824-a</v>
      </c>
      <c r="C611" s="2" t="s">
        <v>1516</v>
      </c>
      <c r="D611" s="1" t="s">
        <v>1594</v>
      </c>
      <c r="E611" s="1" t="s">
        <v>1594</v>
      </c>
      <c r="F611" s="1" t="s">
        <v>298</v>
      </c>
      <c r="G611" s="1" t="s">
        <v>966</v>
      </c>
      <c r="H611" s="1" t="s">
        <v>1184</v>
      </c>
      <c r="I611" s="1" t="s">
        <v>2094</v>
      </c>
      <c r="J611" s="1" t="s">
        <v>1145</v>
      </c>
      <c r="K611" s="1" t="s">
        <v>947</v>
      </c>
      <c r="L611" s="1" t="s">
        <v>1533</v>
      </c>
      <c r="M611" s="1" t="s">
        <v>1533</v>
      </c>
      <c r="N611" s="1" t="s">
        <v>110</v>
      </c>
      <c r="O611" s="1" t="s">
        <v>110</v>
      </c>
      <c r="P611" s="1" t="s">
        <v>153</v>
      </c>
      <c r="Q611" s="5">
        <v>44496</v>
      </c>
      <c r="R611" s="1" t="s">
        <v>363</v>
      </c>
      <c r="S611" s="1" t="s">
        <v>368</v>
      </c>
      <c r="T611" s="5">
        <v>44496</v>
      </c>
      <c r="U611" s="5">
        <v>44513</v>
      </c>
      <c r="V611" s="7">
        <v>44515.56490740741</v>
      </c>
      <c r="W611" s="4">
        <v>3</v>
      </c>
      <c r="X611" s="6">
        <v>725732</v>
      </c>
      <c r="Y611" s="1" t="s">
        <v>1516</v>
      </c>
      <c r="Z611" s="1">
        <v>1</v>
      </c>
      <c r="AA611" s="6">
        <v>725732</v>
      </c>
      <c r="AB611" s="1" t="s">
        <v>2167</v>
      </c>
      <c r="AC611" s="6">
        <v>7257.32</v>
      </c>
      <c r="AD611" s="1" t="s">
        <v>1100</v>
      </c>
      <c r="AE611" s="1" t="s">
        <v>2094</v>
      </c>
      <c r="AF611" s="1" t="s">
        <v>1186</v>
      </c>
      <c r="AG611" s="1" t="s">
        <v>1522</v>
      </c>
      <c r="AH611" s="6">
        <v>653158.81999999995</v>
      </c>
      <c r="AI611" s="6">
        <v>653158.81999999995</v>
      </c>
      <c r="AJ611" s="1" t="s">
        <v>2120</v>
      </c>
      <c r="AK611" s="6">
        <v>72573.180000000051</v>
      </c>
      <c r="AL611" s="6">
        <v>9.9999972441617638E-2</v>
      </c>
      <c r="AM611" s="1" t="s">
        <v>2027</v>
      </c>
      <c r="AN611" s="1" t="s">
        <v>951</v>
      </c>
      <c r="AO611" s="1" t="s">
        <v>1117</v>
      </c>
      <c r="AP611" s="1" t="s">
        <v>79</v>
      </c>
      <c r="AQ611" s="6">
        <v>344.28000000002794</v>
      </c>
      <c r="AR611" s="6">
        <v>4.7438999520487996E-4</v>
      </c>
      <c r="AS611" s="2" t="str">
        <f>HYPERLINK("https://auctions.prozorro.gov.ua/tenders/64696c648e054873ba2f7e5d355635bc")</f>
        <v>https://auctions.prozorro.gov.ua/tenders/64696c648e054873ba2f7e5d355635bc</v>
      </c>
      <c r="AT611" s="7">
        <v>44516.710371957641</v>
      </c>
      <c r="AU611" s="1" t="s">
        <v>390</v>
      </c>
      <c r="AV611" s="1" t="s">
        <v>397</v>
      </c>
      <c r="AW611" s="1" t="s">
        <v>2152</v>
      </c>
      <c r="AX611" s="7">
        <v>44533.464958676341</v>
      </c>
      <c r="AY611" s="1" t="s">
        <v>1058</v>
      </c>
      <c r="AZ611" s="6">
        <v>725387.72</v>
      </c>
      <c r="BA611" s="1"/>
      <c r="BB611" s="5">
        <v>44561</v>
      </c>
      <c r="BC611" s="5">
        <v>44532</v>
      </c>
      <c r="BD611" s="5">
        <v>44532</v>
      </c>
      <c r="BE611" s="7">
        <v>44561</v>
      </c>
      <c r="BF611" s="1" t="s">
        <v>2170</v>
      </c>
      <c r="BG611" s="1"/>
      <c r="BH611" s="1"/>
      <c r="BI611" s="1" t="s">
        <v>782</v>
      </c>
    </row>
    <row r="612" spans="1:61" hidden="1" x14ac:dyDescent="0.25">
      <c r="A612" s="4">
        <v>607</v>
      </c>
      <c r="B612" s="2" t="str">
        <f>HYPERLINK("https://my.zakupivli.pro/remote/dispatcher/state_purchase_view/31065626", "UA-2021-10-25-003950-b")</f>
        <v>UA-2021-10-25-003950-b</v>
      </c>
      <c r="C612" s="2" t="s">
        <v>1516</v>
      </c>
      <c r="D612" s="1" t="s">
        <v>1965</v>
      </c>
      <c r="E612" s="1" t="s">
        <v>1965</v>
      </c>
      <c r="F612" s="1" t="s">
        <v>298</v>
      </c>
      <c r="G612" s="1" t="s">
        <v>974</v>
      </c>
      <c r="H612" s="1" t="s">
        <v>2015</v>
      </c>
      <c r="I612" s="1" t="s">
        <v>2094</v>
      </c>
      <c r="J612" s="1" t="s">
        <v>1145</v>
      </c>
      <c r="K612" s="1" t="s">
        <v>947</v>
      </c>
      <c r="L612" s="1" t="s">
        <v>1533</v>
      </c>
      <c r="M612" s="1" t="s">
        <v>1534</v>
      </c>
      <c r="N612" s="1" t="s">
        <v>110</v>
      </c>
      <c r="O612" s="1" t="s">
        <v>110</v>
      </c>
      <c r="P612" s="1" t="s">
        <v>110</v>
      </c>
      <c r="Q612" s="5">
        <v>44494</v>
      </c>
      <c r="R612" s="1" t="s">
        <v>362</v>
      </c>
      <c r="S612" s="1" t="s">
        <v>365</v>
      </c>
      <c r="T612" s="5">
        <v>44498</v>
      </c>
      <c r="U612" s="5">
        <v>44503</v>
      </c>
      <c r="V612" s="7">
        <v>44503.573159722226</v>
      </c>
      <c r="W612" s="4">
        <v>2</v>
      </c>
      <c r="X612" s="6">
        <v>120000</v>
      </c>
      <c r="Y612" s="1" t="s">
        <v>1516</v>
      </c>
      <c r="Z612" s="1">
        <v>1</v>
      </c>
      <c r="AA612" s="6">
        <v>120000</v>
      </c>
      <c r="AB612" s="1" t="s">
        <v>2167</v>
      </c>
      <c r="AC612" s="6">
        <v>600</v>
      </c>
      <c r="AD612" s="1" t="s">
        <v>1100</v>
      </c>
      <c r="AE612" s="1" t="s">
        <v>2094</v>
      </c>
      <c r="AF612" s="1" t="s">
        <v>1186</v>
      </c>
      <c r="AG612" s="1" t="s">
        <v>1522</v>
      </c>
      <c r="AH612" s="6">
        <v>108000.05</v>
      </c>
      <c r="AI612" s="6">
        <v>108000.05</v>
      </c>
      <c r="AJ612" s="1" t="s">
        <v>1543</v>
      </c>
      <c r="AK612" s="6">
        <v>11999.949999999997</v>
      </c>
      <c r="AL612" s="6">
        <v>9.9999583333333308E-2</v>
      </c>
      <c r="AM612" s="1" t="s">
        <v>2130</v>
      </c>
      <c r="AN612" s="1" t="s">
        <v>796</v>
      </c>
      <c r="AO612" s="1" t="s">
        <v>1115</v>
      </c>
      <c r="AP612" s="1" t="s">
        <v>72</v>
      </c>
      <c r="AQ612" s="1"/>
      <c r="AR612" s="1"/>
      <c r="AS612" s="2" t="str">
        <f>HYPERLINK("https://auctions.prozorro.gov.ua/tenders/c8b20d26e0904e04bdf18fac98b6bb9c")</f>
        <v>https://auctions.prozorro.gov.ua/tenders/c8b20d26e0904e04bdf18fac98b6bb9c</v>
      </c>
      <c r="AT612" s="7">
        <v>44504.707904174269</v>
      </c>
      <c r="AU612" s="1" t="s">
        <v>370</v>
      </c>
      <c r="AV612" s="1" t="s">
        <v>387</v>
      </c>
      <c r="AW612" s="1" t="s">
        <v>2152</v>
      </c>
      <c r="AX612" s="7">
        <v>44505.768363551375</v>
      </c>
      <c r="AY612" s="1" t="s">
        <v>997</v>
      </c>
      <c r="AZ612" s="6">
        <v>120000</v>
      </c>
      <c r="BA612" s="1"/>
      <c r="BB612" s="5">
        <v>44561</v>
      </c>
      <c r="BC612" s="5">
        <v>44505</v>
      </c>
      <c r="BD612" s="5">
        <v>44505</v>
      </c>
      <c r="BE612" s="7">
        <v>44561</v>
      </c>
      <c r="BF612" s="1" t="s">
        <v>2170</v>
      </c>
      <c r="BG612" s="1"/>
      <c r="BH612" s="1"/>
      <c r="BI612" s="1" t="s">
        <v>859</v>
      </c>
    </row>
    <row r="613" spans="1:61" hidden="1" x14ac:dyDescent="0.25">
      <c r="A613" s="4">
        <v>608</v>
      </c>
      <c r="B613" s="2" t="str">
        <f>HYPERLINK("https://my.zakupivli.pro/remote/dispatcher/state_purchase_view/31042495", "UA-2021-10-23-004351-b")</f>
        <v>UA-2021-10-23-004351-b</v>
      </c>
      <c r="C613" s="2" t="s">
        <v>1516</v>
      </c>
      <c r="D613" s="1" t="s">
        <v>1658</v>
      </c>
      <c r="E613" s="1" t="s">
        <v>1658</v>
      </c>
      <c r="F613" s="1" t="s">
        <v>298</v>
      </c>
      <c r="G613" s="1" t="s">
        <v>1076</v>
      </c>
      <c r="H613" s="1" t="s">
        <v>2015</v>
      </c>
      <c r="I613" s="1" t="s">
        <v>2094</v>
      </c>
      <c r="J613" s="1" t="s">
        <v>1145</v>
      </c>
      <c r="K613" s="1" t="s">
        <v>947</v>
      </c>
      <c r="L613" s="1" t="s">
        <v>1533</v>
      </c>
      <c r="M613" s="1" t="s">
        <v>1534</v>
      </c>
      <c r="N613" s="1" t="s">
        <v>110</v>
      </c>
      <c r="O613" s="1" t="s">
        <v>110</v>
      </c>
      <c r="P613" s="1" t="s">
        <v>110</v>
      </c>
      <c r="Q613" s="5">
        <v>44492</v>
      </c>
      <c r="R613" s="1" t="s">
        <v>360</v>
      </c>
      <c r="S613" s="1" t="s">
        <v>364</v>
      </c>
      <c r="T613" s="5">
        <v>44497</v>
      </c>
      <c r="U613" s="5">
        <v>44502</v>
      </c>
      <c r="V613" s="1" t="s">
        <v>2147</v>
      </c>
      <c r="W613" s="4">
        <v>0</v>
      </c>
      <c r="X613" s="6">
        <v>150100</v>
      </c>
      <c r="Y613" s="1" t="s">
        <v>1516</v>
      </c>
      <c r="Z613" s="1">
        <v>1</v>
      </c>
      <c r="AA613" s="6">
        <v>150100</v>
      </c>
      <c r="AB613" s="1" t="s">
        <v>2167</v>
      </c>
      <c r="AC613" s="6">
        <v>751</v>
      </c>
      <c r="AD613" s="1" t="s">
        <v>1100</v>
      </c>
      <c r="AE613" s="1" t="s">
        <v>2094</v>
      </c>
      <c r="AF613" s="1" t="s">
        <v>1186</v>
      </c>
      <c r="AG613" s="1" t="s">
        <v>1522</v>
      </c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2"/>
      <c r="AT613" s="1"/>
      <c r="AU613" s="1"/>
      <c r="AV613" s="1"/>
      <c r="AW613" s="1" t="s">
        <v>2153</v>
      </c>
      <c r="AX613" s="7">
        <v>44502.000291616321</v>
      </c>
      <c r="AY613" s="1"/>
      <c r="AZ613" s="1"/>
      <c r="BA613" s="1"/>
      <c r="BB613" s="5">
        <v>44561</v>
      </c>
      <c r="BC613" s="1" t="s">
        <v>109</v>
      </c>
      <c r="BD613" s="1" t="s">
        <v>109</v>
      </c>
      <c r="BE613" s="1"/>
      <c r="BF613" s="1"/>
      <c r="BG613" s="1"/>
      <c r="BH613" s="1"/>
      <c r="BI613" s="1"/>
    </row>
    <row r="614" spans="1:61" hidden="1" x14ac:dyDescent="0.25">
      <c r="A614" s="4">
        <v>609</v>
      </c>
      <c r="B614" s="2" t="str">
        <f>HYPERLINK("https://my.zakupivli.pro/remote/dispatcher/state_purchase_view/31024339", "UA-2021-10-22-012509-b")</f>
        <v>UA-2021-10-22-012509-b</v>
      </c>
      <c r="C614" s="2" t="s">
        <v>1516</v>
      </c>
      <c r="D614" s="1" t="s">
        <v>1978</v>
      </c>
      <c r="E614" s="1" t="s">
        <v>1978</v>
      </c>
      <c r="F614" s="1" t="s">
        <v>298</v>
      </c>
      <c r="G614" s="1" t="s">
        <v>963</v>
      </c>
      <c r="H614" s="1" t="s">
        <v>2015</v>
      </c>
      <c r="I614" s="1" t="s">
        <v>2094</v>
      </c>
      <c r="J614" s="1" t="s">
        <v>1145</v>
      </c>
      <c r="K614" s="1" t="s">
        <v>947</v>
      </c>
      <c r="L614" s="1" t="s">
        <v>1533</v>
      </c>
      <c r="M614" s="1" t="s">
        <v>1534</v>
      </c>
      <c r="N614" s="1" t="s">
        <v>110</v>
      </c>
      <c r="O614" s="1" t="s">
        <v>110</v>
      </c>
      <c r="P614" s="1" t="s">
        <v>110</v>
      </c>
      <c r="Q614" s="5">
        <v>44491</v>
      </c>
      <c r="R614" s="1" t="s">
        <v>359</v>
      </c>
      <c r="S614" s="1" t="s">
        <v>364</v>
      </c>
      <c r="T614" s="5">
        <v>44497</v>
      </c>
      <c r="U614" s="5">
        <v>44502</v>
      </c>
      <c r="V614" s="1" t="s">
        <v>2147</v>
      </c>
      <c r="W614" s="4">
        <v>1</v>
      </c>
      <c r="X614" s="6">
        <v>199819</v>
      </c>
      <c r="Y614" s="1" t="s">
        <v>1516</v>
      </c>
      <c r="Z614" s="1">
        <v>1</v>
      </c>
      <c r="AA614" s="6">
        <v>199819</v>
      </c>
      <c r="AB614" s="1" t="s">
        <v>2167</v>
      </c>
      <c r="AC614" s="6">
        <v>1000</v>
      </c>
      <c r="AD614" s="1" t="s">
        <v>1100</v>
      </c>
      <c r="AE614" s="1" t="s">
        <v>2094</v>
      </c>
      <c r="AF614" s="1" t="s">
        <v>1186</v>
      </c>
      <c r="AG614" s="1" t="s">
        <v>1522</v>
      </c>
      <c r="AH614" s="6">
        <v>199819</v>
      </c>
      <c r="AI614" s="6">
        <v>199819</v>
      </c>
      <c r="AJ614" s="1" t="s">
        <v>2031</v>
      </c>
      <c r="AK614" s="1"/>
      <c r="AL614" s="1"/>
      <c r="AM614" s="1" t="s">
        <v>2031</v>
      </c>
      <c r="AN614" s="1" t="s">
        <v>201</v>
      </c>
      <c r="AO614" s="1" t="s">
        <v>1101</v>
      </c>
      <c r="AP614" s="1" t="s">
        <v>59</v>
      </c>
      <c r="AQ614" s="1"/>
      <c r="AR614" s="1"/>
      <c r="AS614" s="2"/>
      <c r="AT614" s="7">
        <v>44502.692758746212</v>
      </c>
      <c r="AU614" s="1" t="s">
        <v>368</v>
      </c>
      <c r="AV614" s="1" t="s">
        <v>385</v>
      </c>
      <c r="AW614" s="1" t="s">
        <v>2152</v>
      </c>
      <c r="AX614" s="7">
        <v>44505.77813193333</v>
      </c>
      <c r="AY614" s="1" t="s">
        <v>1006</v>
      </c>
      <c r="AZ614" s="6">
        <v>199819</v>
      </c>
      <c r="BA614" s="1"/>
      <c r="BB614" s="5">
        <v>44561</v>
      </c>
      <c r="BC614" s="5">
        <v>44505</v>
      </c>
      <c r="BD614" s="5">
        <v>44505</v>
      </c>
      <c r="BE614" s="7">
        <v>44561</v>
      </c>
      <c r="BF614" s="1" t="s">
        <v>2170</v>
      </c>
      <c r="BG614" s="1"/>
      <c r="BH614" s="1"/>
      <c r="BI614" s="1" t="s">
        <v>202</v>
      </c>
    </row>
    <row r="615" spans="1:61" hidden="1" x14ac:dyDescent="0.25">
      <c r="A615" s="4">
        <v>610</v>
      </c>
      <c r="B615" s="2" t="str">
        <f>HYPERLINK("https://my.zakupivli.pro/remote/dispatcher/state_purchase_view/31024146", "UA-2021-10-22-012467-b")</f>
        <v>UA-2021-10-22-012467-b</v>
      </c>
      <c r="C615" s="2" t="s">
        <v>1516</v>
      </c>
      <c r="D615" s="1" t="s">
        <v>1986</v>
      </c>
      <c r="E615" s="1" t="s">
        <v>1986</v>
      </c>
      <c r="F615" s="1" t="s">
        <v>298</v>
      </c>
      <c r="G615" s="1" t="s">
        <v>963</v>
      </c>
      <c r="H615" s="1" t="s">
        <v>2015</v>
      </c>
      <c r="I615" s="1" t="s">
        <v>2094</v>
      </c>
      <c r="J615" s="1" t="s">
        <v>1145</v>
      </c>
      <c r="K615" s="1" t="s">
        <v>947</v>
      </c>
      <c r="L615" s="1" t="s">
        <v>1533</v>
      </c>
      <c r="M615" s="1" t="s">
        <v>1534</v>
      </c>
      <c r="N615" s="1" t="s">
        <v>110</v>
      </c>
      <c r="O615" s="1" t="s">
        <v>110</v>
      </c>
      <c r="P615" s="1" t="s">
        <v>110</v>
      </c>
      <c r="Q615" s="5">
        <v>44491</v>
      </c>
      <c r="R615" s="1" t="s">
        <v>359</v>
      </c>
      <c r="S615" s="1" t="s">
        <v>364</v>
      </c>
      <c r="T615" s="5">
        <v>44497</v>
      </c>
      <c r="U615" s="5">
        <v>44502</v>
      </c>
      <c r="V615" s="1" t="s">
        <v>2147</v>
      </c>
      <c r="W615" s="4">
        <v>1</v>
      </c>
      <c r="X615" s="6">
        <v>199999</v>
      </c>
      <c r="Y615" s="1" t="s">
        <v>1516</v>
      </c>
      <c r="Z615" s="1">
        <v>1</v>
      </c>
      <c r="AA615" s="6">
        <v>199999</v>
      </c>
      <c r="AB615" s="1" t="s">
        <v>2167</v>
      </c>
      <c r="AC615" s="6">
        <v>1000</v>
      </c>
      <c r="AD615" s="1" t="s">
        <v>1100</v>
      </c>
      <c r="AE615" s="1" t="s">
        <v>2094</v>
      </c>
      <c r="AF615" s="1" t="s">
        <v>1186</v>
      </c>
      <c r="AG615" s="1" t="s">
        <v>1522</v>
      </c>
      <c r="AH615" s="6">
        <v>199999</v>
      </c>
      <c r="AI615" s="6">
        <v>199999</v>
      </c>
      <c r="AJ615" s="1" t="s">
        <v>2031</v>
      </c>
      <c r="AK615" s="1"/>
      <c r="AL615" s="1"/>
      <c r="AM615" s="1" t="s">
        <v>2031</v>
      </c>
      <c r="AN615" s="1" t="s">
        <v>201</v>
      </c>
      <c r="AO615" s="1" t="s">
        <v>1101</v>
      </c>
      <c r="AP615" s="1" t="s">
        <v>59</v>
      </c>
      <c r="AQ615" s="1"/>
      <c r="AR615" s="1"/>
      <c r="AS615" s="2"/>
      <c r="AT615" s="7">
        <v>44502.690998900129</v>
      </c>
      <c r="AU615" s="1" t="s">
        <v>368</v>
      </c>
      <c r="AV615" s="1" t="s">
        <v>385</v>
      </c>
      <c r="AW615" s="1" t="s">
        <v>2152</v>
      </c>
      <c r="AX615" s="7">
        <v>44505.77547099127</v>
      </c>
      <c r="AY615" s="1" t="s">
        <v>1008</v>
      </c>
      <c r="AZ615" s="6">
        <v>199999</v>
      </c>
      <c r="BA615" s="1"/>
      <c r="BB615" s="5">
        <v>44561</v>
      </c>
      <c r="BC615" s="5">
        <v>44505</v>
      </c>
      <c r="BD615" s="5">
        <v>44505</v>
      </c>
      <c r="BE615" s="7">
        <v>44561</v>
      </c>
      <c r="BF615" s="1" t="s">
        <v>2170</v>
      </c>
      <c r="BG615" s="1"/>
      <c r="BH615" s="1"/>
      <c r="BI615" s="1" t="s">
        <v>202</v>
      </c>
    </row>
    <row r="616" spans="1:61" hidden="1" x14ac:dyDescent="0.25">
      <c r="A616" s="4">
        <v>611</v>
      </c>
      <c r="B616" s="2" t="str">
        <f>HYPERLINK("https://my.zakupivli.pro/remote/dispatcher/state_purchase_view/31023188", "UA-2021-10-22-012148-b")</f>
        <v>UA-2021-10-22-012148-b</v>
      </c>
      <c r="C616" s="2" t="s">
        <v>1516</v>
      </c>
      <c r="D616" s="1" t="s">
        <v>1982</v>
      </c>
      <c r="E616" s="1" t="s">
        <v>1982</v>
      </c>
      <c r="F616" s="1" t="s">
        <v>298</v>
      </c>
      <c r="G616" s="1" t="s">
        <v>963</v>
      </c>
      <c r="H616" s="1" t="s">
        <v>2015</v>
      </c>
      <c r="I616" s="1" t="s">
        <v>2094</v>
      </c>
      <c r="J616" s="1" t="s">
        <v>1145</v>
      </c>
      <c r="K616" s="1" t="s">
        <v>947</v>
      </c>
      <c r="L616" s="1" t="s">
        <v>1533</v>
      </c>
      <c r="M616" s="1" t="s">
        <v>1534</v>
      </c>
      <c r="N616" s="1" t="s">
        <v>110</v>
      </c>
      <c r="O616" s="1" t="s">
        <v>110</v>
      </c>
      <c r="P616" s="1" t="s">
        <v>110</v>
      </c>
      <c r="Q616" s="5">
        <v>44491</v>
      </c>
      <c r="R616" s="1" t="s">
        <v>359</v>
      </c>
      <c r="S616" s="1" t="s">
        <v>364</v>
      </c>
      <c r="T616" s="5">
        <v>44497</v>
      </c>
      <c r="U616" s="5">
        <v>44502</v>
      </c>
      <c r="V616" s="1" t="s">
        <v>2147</v>
      </c>
      <c r="W616" s="4">
        <v>1</v>
      </c>
      <c r="X616" s="6">
        <v>199582</v>
      </c>
      <c r="Y616" s="1" t="s">
        <v>1516</v>
      </c>
      <c r="Z616" s="1">
        <v>1</v>
      </c>
      <c r="AA616" s="6">
        <v>199582</v>
      </c>
      <c r="AB616" s="1" t="s">
        <v>2167</v>
      </c>
      <c r="AC616" s="6">
        <v>998</v>
      </c>
      <c r="AD616" s="1" t="s">
        <v>1100</v>
      </c>
      <c r="AE616" s="1" t="s">
        <v>2094</v>
      </c>
      <c r="AF616" s="1" t="s">
        <v>1186</v>
      </c>
      <c r="AG616" s="1" t="s">
        <v>1522</v>
      </c>
      <c r="AH616" s="6">
        <v>199582</v>
      </c>
      <c r="AI616" s="6">
        <v>199582</v>
      </c>
      <c r="AJ616" s="1" t="s">
        <v>2031</v>
      </c>
      <c r="AK616" s="1"/>
      <c r="AL616" s="1"/>
      <c r="AM616" s="1" t="s">
        <v>2031</v>
      </c>
      <c r="AN616" s="1" t="s">
        <v>201</v>
      </c>
      <c r="AO616" s="1" t="s">
        <v>1101</v>
      </c>
      <c r="AP616" s="1" t="s">
        <v>59</v>
      </c>
      <c r="AQ616" s="1"/>
      <c r="AR616" s="1"/>
      <c r="AS616" s="2"/>
      <c r="AT616" s="7">
        <v>44502.689401033589</v>
      </c>
      <c r="AU616" s="1" t="s">
        <v>368</v>
      </c>
      <c r="AV616" s="1" t="s">
        <v>385</v>
      </c>
      <c r="AW616" s="1" t="s">
        <v>2152</v>
      </c>
      <c r="AX616" s="7">
        <v>44505.782922171762</v>
      </c>
      <c r="AY616" s="1" t="s">
        <v>1000</v>
      </c>
      <c r="AZ616" s="6">
        <v>199582</v>
      </c>
      <c r="BA616" s="1"/>
      <c r="BB616" s="5">
        <v>44561</v>
      </c>
      <c r="BC616" s="5">
        <v>44505</v>
      </c>
      <c r="BD616" s="5">
        <v>44505</v>
      </c>
      <c r="BE616" s="7">
        <v>44561</v>
      </c>
      <c r="BF616" s="1" t="s">
        <v>2170</v>
      </c>
      <c r="BG616" s="1"/>
      <c r="BH616" s="1"/>
      <c r="BI616" s="1" t="s">
        <v>202</v>
      </c>
    </row>
    <row r="617" spans="1:61" hidden="1" x14ac:dyDescent="0.25">
      <c r="A617" s="4">
        <v>612</v>
      </c>
      <c r="B617" s="2" t="str">
        <f>HYPERLINK("https://my.zakupivli.pro/remote/dispatcher/state_purchase_view/31022721", "UA-2021-10-22-012021-b")</f>
        <v>UA-2021-10-22-012021-b</v>
      </c>
      <c r="C617" s="2" t="s">
        <v>1516</v>
      </c>
      <c r="D617" s="1" t="s">
        <v>1979</v>
      </c>
      <c r="E617" s="1" t="s">
        <v>1979</v>
      </c>
      <c r="F617" s="1" t="s">
        <v>298</v>
      </c>
      <c r="G617" s="1" t="s">
        <v>963</v>
      </c>
      <c r="H617" s="1" t="s">
        <v>2015</v>
      </c>
      <c r="I617" s="1" t="s">
        <v>2094</v>
      </c>
      <c r="J617" s="1" t="s">
        <v>1145</v>
      </c>
      <c r="K617" s="1" t="s">
        <v>947</v>
      </c>
      <c r="L617" s="1" t="s">
        <v>1533</v>
      </c>
      <c r="M617" s="1" t="s">
        <v>1534</v>
      </c>
      <c r="N617" s="1" t="s">
        <v>110</v>
      </c>
      <c r="O617" s="1" t="s">
        <v>110</v>
      </c>
      <c r="P617" s="1" t="s">
        <v>110</v>
      </c>
      <c r="Q617" s="5">
        <v>44491</v>
      </c>
      <c r="R617" s="1" t="s">
        <v>359</v>
      </c>
      <c r="S617" s="1" t="s">
        <v>364</v>
      </c>
      <c r="T617" s="5">
        <v>44497</v>
      </c>
      <c r="U617" s="5">
        <v>44502</v>
      </c>
      <c r="V617" s="1" t="s">
        <v>2147</v>
      </c>
      <c r="W617" s="4">
        <v>1</v>
      </c>
      <c r="X617" s="6">
        <v>62960</v>
      </c>
      <c r="Y617" s="1" t="s">
        <v>1516</v>
      </c>
      <c r="Z617" s="1">
        <v>1</v>
      </c>
      <c r="AA617" s="6">
        <v>62960</v>
      </c>
      <c r="AB617" s="1" t="s">
        <v>2167</v>
      </c>
      <c r="AC617" s="6">
        <v>315</v>
      </c>
      <c r="AD617" s="1" t="s">
        <v>1100</v>
      </c>
      <c r="AE617" s="1" t="s">
        <v>2094</v>
      </c>
      <c r="AF617" s="1" t="s">
        <v>1186</v>
      </c>
      <c r="AG617" s="1" t="s">
        <v>1522</v>
      </c>
      <c r="AH617" s="6">
        <v>62960</v>
      </c>
      <c r="AI617" s="6">
        <v>62960</v>
      </c>
      <c r="AJ617" s="1" t="s">
        <v>2031</v>
      </c>
      <c r="AK617" s="1"/>
      <c r="AL617" s="1"/>
      <c r="AM617" s="1" t="s">
        <v>2031</v>
      </c>
      <c r="AN617" s="1" t="s">
        <v>201</v>
      </c>
      <c r="AO617" s="1" t="s">
        <v>1101</v>
      </c>
      <c r="AP617" s="1" t="s">
        <v>59</v>
      </c>
      <c r="AQ617" s="1"/>
      <c r="AR617" s="1"/>
      <c r="AS617" s="2"/>
      <c r="AT617" s="7">
        <v>44502.687049025721</v>
      </c>
      <c r="AU617" s="1" t="s">
        <v>368</v>
      </c>
      <c r="AV617" s="1" t="s">
        <v>385</v>
      </c>
      <c r="AW617" s="1" t="s">
        <v>2152</v>
      </c>
      <c r="AX617" s="7">
        <v>44505.78036784257</v>
      </c>
      <c r="AY617" s="1" t="s">
        <v>1004</v>
      </c>
      <c r="AZ617" s="6">
        <v>62960</v>
      </c>
      <c r="BA617" s="1"/>
      <c r="BB617" s="5">
        <v>44561</v>
      </c>
      <c r="BC617" s="5">
        <v>44505</v>
      </c>
      <c r="BD617" s="5">
        <v>44505</v>
      </c>
      <c r="BE617" s="7">
        <v>44561</v>
      </c>
      <c r="BF617" s="1" t="s">
        <v>2170</v>
      </c>
      <c r="BG617" s="1"/>
      <c r="BH617" s="1"/>
      <c r="BI617" s="1" t="s">
        <v>202</v>
      </c>
    </row>
    <row r="618" spans="1:61" hidden="1" x14ac:dyDescent="0.25">
      <c r="A618" s="4">
        <v>613</v>
      </c>
      <c r="B618" s="2" t="str">
        <f>HYPERLINK("https://my.zakupivli.pro/remote/dispatcher/state_purchase_view/30951653", "UA-2021-10-21-005486-b")</f>
        <v>UA-2021-10-21-005486-b</v>
      </c>
      <c r="C618" s="2" t="s">
        <v>1516</v>
      </c>
      <c r="D618" s="1" t="s">
        <v>1961</v>
      </c>
      <c r="E618" s="1" t="s">
        <v>1961</v>
      </c>
      <c r="F618" s="1" t="s">
        <v>298</v>
      </c>
      <c r="G618" s="1" t="s">
        <v>966</v>
      </c>
      <c r="H618" s="1" t="s">
        <v>2015</v>
      </c>
      <c r="I618" s="1" t="s">
        <v>2094</v>
      </c>
      <c r="J618" s="1" t="s">
        <v>1145</v>
      </c>
      <c r="K618" s="1" t="s">
        <v>947</v>
      </c>
      <c r="L618" s="1" t="s">
        <v>1533</v>
      </c>
      <c r="M618" s="1" t="s">
        <v>1534</v>
      </c>
      <c r="N618" s="1" t="s">
        <v>110</v>
      </c>
      <c r="O618" s="1" t="s">
        <v>110</v>
      </c>
      <c r="P618" s="1" t="s">
        <v>110</v>
      </c>
      <c r="Q618" s="5">
        <v>44490</v>
      </c>
      <c r="R618" s="1" t="s">
        <v>358</v>
      </c>
      <c r="S618" s="1" t="s">
        <v>363</v>
      </c>
      <c r="T618" s="5">
        <v>44496</v>
      </c>
      <c r="U618" s="5">
        <v>44501</v>
      </c>
      <c r="V618" s="1" t="s">
        <v>2147</v>
      </c>
      <c r="W618" s="4">
        <v>1</v>
      </c>
      <c r="X618" s="6">
        <v>150000</v>
      </c>
      <c r="Y618" s="1" t="s">
        <v>1516</v>
      </c>
      <c r="Z618" s="1">
        <v>1</v>
      </c>
      <c r="AA618" s="6">
        <v>150000</v>
      </c>
      <c r="AB618" s="1" t="s">
        <v>2167</v>
      </c>
      <c r="AC618" s="6">
        <v>750</v>
      </c>
      <c r="AD618" s="1" t="s">
        <v>1100</v>
      </c>
      <c r="AE618" s="1" t="s">
        <v>2094</v>
      </c>
      <c r="AF618" s="1" t="s">
        <v>1186</v>
      </c>
      <c r="AG618" s="1" t="s">
        <v>1522</v>
      </c>
      <c r="AH618" s="6">
        <v>131012.04</v>
      </c>
      <c r="AI618" s="6">
        <v>131012.04</v>
      </c>
      <c r="AJ618" s="1" t="s">
        <v>2035</v>
      </c>
      <c r="AK618" s="6">
        <v>18987.960000000006</v>
      </c>
      <c r="AL618" s="6">
        <v>0.12658640000000004</v>
      </c>
      <c r="AM618" s="1" t="s">
        <v>2035</v>
      </c>
      <c r="AN618" s="1" t="s">
        <v>916</v>
      </c>
      <c r="AO618" s="1" t="s">
        <v>1108</v>
      </c>
      <c r="AP618" s="1" t="s">
        <v>90</v>
      </c>
      <c r="AQ618" s="6">
        <v>18987.960000000006</v>
      </c>
      <c r="AR618" s="6">
        <v>0.12658640000000004</v>
      </c>
      <c r="AS618" s="2"/>
      <c r="AT618" s="7">
        <v>44501.693151924395</v>
      </c>
      <c r="AU618" s="1" t="s">
        <v>367</v>
      </c>
      <c r="AV618" s="1" t="s">
        <v>384</v>
      </c>
      <c r="AW618" s="1" t="s">
        <v>2152</v>
      </c>
      <c r="AX618" s="7">
        <v>44503.584811194327</v>
      </c>
      <c r="AY618" s="1" t="s">
        <v>989</v>
      </c>
      <c r="AZ618" s="6">
        <v>131012.04</v>
      </c>
      <c r="BA618" s="1"/>
      <c r="BB618" s="5">
        <v>44561</v>
      </c>
      <c r="BC618" s="5">
        <v>44503</v>
      </c>
      <c r="BD618" s="5">
        <v>44503</v>
      </c>
      <c r="BE618" s="7">
        <v>44561</v>
      </c>
      <c r="BF618" s="1" t="s">
        <v>2170</v>
      </c>
      <c r="BG618" s="1"/>
      <c r="BH618" s="1"/>
      <c r="BI618" s="1" t="s">
        <v>917</v>
      </c>
    </row>
    <row r="619" spans="1:61" hidden="1" x14ac:dyDescent="0.25">
      <c r="A619" s="4">
        <v>614</v>
      </c>
      <c r="B619" s="2" t="str">
        <f>HYPERLINK("https://my.zakupivli.pro/remote/dispatcher/state_purchase_view/30885081", "UA-2021-10-19-016385-c")</f>
        <v>UA-2021-10-19-016385-c</v>
      </c>
      <c r="C619" s="2" t="s">
        <v>1516</v>
      </c>
      <c r="D619" s="1" t="s">
        <v>1592</v>
      </c>
      <c r="E619" s="1" t="s">
        <v>1592</v>
      </c>
      <c r="F619" s="1" t="s">
        <v>298</v>
      </c>
      <c r="G619" s="1" t="s">
        <v>966</v>
      </c>
      <c r="H619" s="1" t="s">
        <v>1184</v>
      </c>
      <c r="I619" s="1" t="s">
        <v>2094</v>
      </c>
      <c r="J619" s="1" t="s">
        <v>1145</v>
      </c>
      <c r="K619" s="1" t="s">
        <v>947</v>
      </c>
      <c r="L619" s="1" t="s">
        <v>1533</v>
      </c>
      <c r="M619" s="1" t="s">
        <v>1533</v>
      </c>
      <c r="N619" s="1" t="s">
        <v>110</v>
      </c>
      <c r="O619" s="1" t="s">
        <v>110</v>
      </c>
      <c r="P619" s="1" t="s">
        <v>110</v>
      </c>
      <c r="Q619" s="5">
        <v>44488</v>
      </c>
      <c r="R619" s="1" t="s">
        <v>357</v>
      </c>
      <c r="S619" s="1" t="s">
        <v>362</v>
      </c>
      <c r="T619" s="5">
        <v>44488</v>
      </c>
      <c r="U619" s="5">
        <v>44504</v>
      </c>
      <c r="V619" s="7">
        <v>44505.475856481484</v>
      </c>
      <c r="W619" s="4">
        <v>3</v>
      </c>
      <c r="X619" s="6">
        <v>696861</v>
      </c>
      <c r="Y619" s="1" t="s">
        <v>1516</v>
      </c>
      <c r="Z619" s="1">
        <v>1</v>
      </c>
      <c r="AA619" s="6">
        <v>696861</v>
      </c>
      <c r="AB619" s="1" t="s">
        <v>2167</v>
      </c>
      <c r="AC619" s="6">
        <v>6968.61</v>
      </c>
      <c r="AD619" s="1" t="s">
        <v>1100</v>
      </c>
      <c r="AE619" s="1" t="s">
        <v>2094</v>
      </c>
      <c r="AF619" s="1" t="s">
        <v>1186</v>
      </c>
      <c r="AG619" s="1" t="s">
        <v>1522</v>
      </c>
      <c r="AH619" s="6">
        <v>662017.94999999995</v>
      </c>
      <c r="AI619" s="6">
        <v>662017.94999999995</v>
      </c>
      <c r="AJ619" s="1" t="s">
        <v>2120</v>
      </c>
      <c r="AK619" s="6">
        <v>34843.050000000047</v>
      </c>
      <c r="AL619" s="6">
        <v>5.0000000000000065E-2</v>
      </c>
      <c r="AM619" s="1" t="s">
        <v>2114</v>
      </c>
      <c r="AN619" s="1" t="s">
        <v>281</v>
      </c>
      <c r="AO619" s="1" t="s">
        <v>1133</v>
      </c>
      <c r="AP619" s="1" t="s">
        <v>87</v>
      </c>
      <c r="AQ619" s="6">
        <v>4861</v>
      </c>
      <c r="AR619" s="6">
        <v>6.9755661459028418E-3</v>
      </c>
      <c r="AS619" s="2" t="str">
        <f>HYPERLINK("https://auctions.prozorro.gov.ua/tenders/0b77ad9b652b4f34a390fa9ce4ad0ffb")</f>
        <v>https://auctions.prozorro.gov.ua/tenders/0b77ad9b652b4f34a390fa9ce4ad0ffb</v>
      </c>
      <c r="AT619" s="7">
        <v>44505.788772173313</v>
      </c>
      <c r="AU619" s="1" t="s">
        <v>379</v>
      </c>
      <c r="AV619" s="1" t="s">
        <v>389</v>
      </c>
      <c r="AW619" s="1" t="s">
        <v>2152</v>
      </c>
      <c r="AX619" s="7">
        <v>44518.485350009294</v>
      </c>
      <c r="AY619" s="1" t="s">
        <v>1032</v>
      </c>
      <c r="AZ619" s="6">
        <v>692000</v>
      </c>
      <c r="BA619" s="1"/>
      <c r="BB619" s="5">
        <v>44561</v>
      </c>
      <c r="BC619" s="5">
        <v>44518</v>
      </c>
      <c r="BD619" s="5">
        <v>44518</v>
      </c>
      <c r="BE619" s="7">
        <v>44561</v>
      </c>
      <c r="BF619" s="1" t="s">
        <v>2170</v>
      </c>
      <c r="BG619" s="1"/>
      <c r="BH619" s="1"/>
      <c r="BI619" s="1" t="s">
        <v>776</v>
      </c>
    </row>
    <row r="620" spans="1:61" hidden="1" x14ac:dyDescent="0.25">
      <c r="A620" s="4">
        <v>615</v>
      </c>
      <c r="B620" s="2" t="str">
        <f>HYPERLINK("https://my.zakupivli.pro/remote/dispatcher/state_purchase_view/30885243", "UA-2021-10-19-016465-c")</f>
        <v>UA-2021-10-19-016465-c</v>
      </c>
      <c r="C620" s="2" t="s">
        <v>1516</v>
      </c>
      <c r="D620" s="1" t="s">
        <v>1590</v>
      </c>
      <c r="E620" s="1" t="s">
        <v>1590</v>
      </c>
      <c r="F620" s="1" t="s">
        <v>298</v>
      </c>
      <c r="G620" s="1" t="s">
        <v>966</v>
      </c>
      <c r="H620" s="1" t="s">
        <v>1184</v>
      </c>
      <c r="I620" s="1" t="s">
        <v>2094</v>
      </c>
      <c r="J620" s="1" t="s">
        <v>1145</v>
      </c>
      <c r="K620" s="1" t="s">
        <v>947</v>
      </c>
      <c r="L620" s="1" t="s">
        <v>1533</v>
      </c>
      <c r="M620" s="1" t="s">
        <v>1533</v>
      </c>
      <c r="N620" s="1" t="s">
        <v>110</v>
      </c>
      <c r="O620" s="1" t="s">
        <v>110</v>
      </c>
      <c r="P620" s="1" t="s">
        <v>110</v>
      </c>
      <c r="Q620" s="5">
        <v>44488</v>
      </c>
      <c r="R620" s="1" t="s">
        <v>357</v>
      </c>
      <c r="S620" s="1" t="s">
        <v>362</v>
      </c>
      <c r="T620" s="5">
        <v>44488</v>
      </c>
      <c r="U620" s="5">
        <v>44504</v>
      </c>
      <c r="V620" s="7">
        <v>44505.468912037039</v>
      </c>
      <c r="W620" s="4">
        <v>2</v>
      </c>
      <c r="X620" s="6">
        <v>396000</v>
      </c>
      <c r="Y620" s="1" t="s">
        <v>1516</v>
      </c>
      <c r="Z620" s="1">
        <v>1</v>
      </c>
      <c r="AA620" s="6">
        <v>396000</v>
      </c>
      <c r="AB620" s="1" t="s">
        <v>2167</v>
      </c>
      <c r="AC620" s="6">
        <v>3960</v>
      </c>
      <c r="AD620" s="1" t="s">
        <v>1100</v>
      </c>
      <c r="AE620" s="1" t="s">
        <v>2094</v>
      </c>
      <c r="AF620" s="1" t="s">
        <v>1186</v>
      </c>
      <c r="AG620" s="1" t="s">
        <v>1522</v>
      </c>
      <c r="AH620" s="6">
        <v>395000</v>
      </c>
      <c r="AI620" s="6">
        <v>395000</v>
      </c>
      <c r="AJ620" s="1" t="s">
        <v>2117</v>
      </c>
      <c r="AK620" s="6">
        <v>1000</v>
      </c>
      <c r="AL620" s="6">
        <v>2.5252525252525255E-3</v>
      </c>
      <c r="AM620" s="1" t="s">
        <v>2117</v>
      </c>
      <c r="AN620" s="1" t="s">
        <v>861</v>
      </c>
      <c r="AO620" s="1" t="s">
        <v>1134</v>
      </c>
      <c r="AP620" s="1" t="s">
        <v>103</v>
      </c>
      <c r="AQ620" s="6">
        <v>1000</v>
      </c>
      <c r="AR620" s="6">
        <v>2.5252525252525255E-3</v>
      </c>
      <c r="AS620" s="2" t="str">
        <f>HYPERLINK("https://auctions.prozorro.gov.ua/tenders/1ac826c2f7274de69f047ab5b93846f1")</f>
        <v>https://auctions.prozorro.gov.ua/tenders/1ac826c2f7274de69f047ab5b93846f1</v>
      </c>
      <c r="AT620" s="7">
        <v>44505.672404205543</v>
      </c>
      <c r="AU620" s="1" t="s">
        <v>379</v>
      </c>
      <c r="AV620" s="1" t="s">
        <v>389</v>
      </c>
      <c r="AW620" s="1" t="s">
        <v>2152</v>
      </c>
      <c r="AX620" s="7">
        <v>44518.481473905587</v>
      </c>
      <c r="AY620" s="1" t="s">
        <v>1029</v>
      </c>
      <c r="AZ620" s="6">
        <v>395000</v>
      </c>
      <c r="BA620" s="1"/>
      <c r="BB620" s="5">
        <v>44561</v>
      </c>
      <c r="BC620" s="5">
        <v>44518</v>
      </c>
      <c r="BD620" s="5">
        <v>44518</v>
      </c>
      <c r="BE620" s="7">
        <v>44561</v>
      </c>
      <c r="BF620" s="1" t="s">
        <v>2170</v>
      </c>
      <c r="BG620" s="1"/>
      <c r="BH620" s="1"/>
      <c r="BI620" s="1" t="s">
        <v>864</v>
      </c>
    </row>
    <row r="621" spans="1:61" hidden="1" x14ac:dyDescent="0.25">
      <c r="A621" s="4">
        <v>616</v>
      </c>
      <c r="B621" s="2" t="str">
        <f>HYPERLINK("https://my.zakupivli.pro/remote/dispatcher/state_purchase_view/30847490", "UA-2021-10-19-003322-c")</f>
        <v>UA-2021-10-19-003322-c</v>
      </c>
      <c r="C621" s="2" t="s">
        <v>1516</v>
      </c>
      <c r="D621" s="1" t="s">
        <v>1648</v>
      </c>
      <c r="E621" s="1" t="s">
        <v>1648</v>
      </c>
      <c r="F621" s="1" t="s">
        <v>298</v>
      </c>
      <c r="G621" s="1" t="s">
        <v>966</v>
      </c>
      <c r="H621" s="1" t="s">
        <v>2015</v>
      </c>
      <c r="I621" s="1" t="s">
        <v>2094</v>
      </c>
      <c r="J621" s="1" t="s">
        <v>1145</v>
      </c>
      <c r="K621" s="1" t="s">
        <v>947</v>
      </c>
      <c r="L621" s="1" t="s">
        <v>1533</v>
      </c>
      <c r="M621" s="1" t="s">
        <v>1534</v>
      </c>
      <c r="N621" s="1" t="s">
        <v>110</v>
      </c>
      <c r="O621" s="1" t="s">
        <v>110</v>
      </c>
      <c r="P621" s="1" t="s">
        <v>110</v>
      </c>
      <c r="Q621" s="5">
        <v>44488</v>
      </c>
      <c r="R621" s="1" t="s">
        <v>357</v>
      </c>
      <c r="S621" s="1" t="s">
        <v>362</v>
      </c>
      <c r="T621" s="5">
        <v>44494</v>
      </c>
      <c r="U621" s="5">
        <v>44497</v>
      </c>
      <c r="V621" s="1" t="s">
        <v>2147</v>
      </c>
      <c r="W621" s="4">
        <v>1</v>
      </c>
      <c r="X621" s="6">
        <v>199900</v>
      </c>
      <c r="Y621" s="1" t="s">
        <v>1516</v>
      </c>
      <c r="Z621" s="1">
        <v>1</v>
      </c>
      <c r="AA621" s="6">
        <v>199900</v>
      </c>
      <c r="AB621" s="1" t="s">
        <v>2167</v>
      </c>
      <c r="AC621" s="6">
        <v>1000</v>
      </c>
      <c r="AD621" s="1" t="s">
        <v>1100</v>
      </c>
      <c r="AE621" s="1" t="s">
        <v>2094</v>
      </c>
      <c r="AF621" s="1" t="s">
        <v>1186</v>
      </c>
      <c r="AG621" s="1" t="s">
        <v>1522</v>
      </c>
      <c r="AH621" s="6">
        <v>199900</v>
      </c>
      <c r="AI621" s="6">
        <v>199900</v>
      </c>
      <c r="AJ621" s="1" t="s">
        <v>2117</v>
      </c>
      <c r="AK621" s="1"/>
      <c r="AL621" s="1"/>
      <c r="AM621" s="1" t="s">
        <v>2117</v>
      </c>
      <c r="AN621" s="1" t="s">
        <v>861</v>
      </c>
      <c r="AO621" s="1" t="s">
        <v>1134</v>
      </c>
      <c r="AP621" s="1" t="s">
        <v>103</v>
      </c>
      <c r="AQ621" s="1"/>
      <c r="AR621" s="1"/>
      <c r="AS621" s="2"/>
      <c r="AT621" s="7">
        <v>44498.407394132359</v>
      </c>
      <c r="AU621" s="1" t="s">
        <v>366</v>
      </c>
      <c r="AV621" s="1" t="s">
        <v>381</v>
      </c>
      <c r="AW621" s="1" t="s">
        <v>2152</v>
      </c>
      <c r="AX621" s="7">
        <v>44503.581533913552</v>
      </c>
      <c r="AY621" s="1" t="s">
        <v>986</v>
      </c>
      <c r="AZ621" s="6">
        <v>199900</v>
      </c>
      <c r="BA621" s="1"/>
      <c r="BB621" s="5">
        <v>44561</v>
      </c>
      <c r="BC621" s="5">
        <v>44503</v>
      </c>
      <c r="BD621" s="5">
        <v>44503</v>
      </c>
      <c r="BE621" s="7">
        <v>44561</v>
      </c>
      <c r="BF621" s="1" t="s">
        <v>2170</v>
      </c>
      <c r="BG621" s="1"/>
      <c r="BH621" s="1"/>
      <c r="BI621" s="1" t="s">
        <v>862</v>
      </c>
    </row>
    <row r="622" spans="1:61" hidden="1" x14ac:dyDescent="0.25">
      <c r="A622" s="4">
        <v>617</v>
      </c>
      <c r="B622" s="2" t="str">
        <f>HYPERLINK("https://my.zakupivli.pro/remote/dispatcher/state_purchase_view/30836929", "UA-2021-10-18-014597-c")</f>
        <v>UA-2021-10-18-014597-c</v>
      </c>
      <c r="C622" s="2" t="s">
        <v>1516</v>
      </c>
      <c r="D622" s="1" t="s">
        <v>1596</v>
      </c>
      <c r="E622" s="1" t="s">
        <v>1596</v>
      </c>
      <c r="F622" s="1" t="s">
        <v>298</v>
      </c>
      <c r="G622" s="1" t="s">
        <v>966</v>
      </c>
      <c r="H622" s="1" t="s">
        <v>2015</v>
      </c>
      <c r="I622" s="1" t="s">
        <v>2094</v>
      </c>
      <c r="J622" s="1" t="s">
        <v>1145</v>
      </c>
      <c r="K622" s="1" t="s">
        <v>947</v>
      </c>
      <c r="L622" s="1" t="s">
        <v>1533</v>
      </c>
      <c r="M622" s="1" t="s">
        <v>1534</v>
      </c>
      <c r="N622" s="1" t="s">
        <v>110</v>
      </c>
      <c r="O622" s="1" t="s">
        <v>110</v>
      </c>
      <c r="P622" s="1" t="s">
        <v>110</v>
      </c>
      <c r="Q622" s="5">
        <v>44487</v>
      </c>
      <c r="R622" s="1" t="s">
        <v>356</v>
      </c>
      <c r="S622" s="1" t="s">
        <v>359</v>
      </c>
      <c r="T622" s="5">
        <v>44491</v>
      </c>
      <c r="U622" s="5">
        <v>44496</v>
      </c>
      <c r="V622" s="1" t="s">
        <v>2147</v>
      </c>
      <c r="W622" s="4">
        <v>1</v>
      </c>
      <c r="X622" s="6">
        <v>70000</v>
      </c>
      <c r="Y622" s="1" t="s">
        <v>1516</v>
      </c>
      <c r="Z622" s="1">
        <v>1</v>
      </c>
      <c r="AA622" s="6">
        <v>70000</v>
      </c>
      <c r="AB622" s="1" t="s">
        <v>2167</v>
      </c>
      <c r="AC622" s="6">
        <v>350</v>
      </c>
      <c r="AD622" s="1" t="s">
        <v>1100</v>
      </c>
      <c r="AE622" s="1" t="s">
        <v>2094</v>
      </c>
      <c r="AF622" s="1" t="s">
        <v>1186</v>
      </c>
      <c r="AG622" s="1" t="s">
        <v>1522</v>
      </c>
      <c r="AH622" s="6">
        <v>69479.67</v>
      </c>
      <c r="AI622" s="6">
        <v>69479.67</v>
      </c>
      <c r="AJ622" s="1" t="s">
        <v>2035</v>
      </c>
      <c r="AK622" s="6">
        <v>520.33000000000175</v>
      </c>
      <c r="AL622" s="6">
        <v>7.4332857142857395E-3</v>
      </c>
      <c r="AM622" s="1" t="s">
        <v>2035</v>
      </c>
      <c r="AN622" s="1" t="s">
        <v>916</v>
      </c>
      <c r="AO622" s="1" t="s">
        <v>1108</v>
      </c>
      <c r="AP622" s="1" t="s">
        <v>90</v>
      </c>
      <c r="AQ622" s="6">
        <v>520.33000000000175</v>
      </c>
      <c r="AR622" s="6">
        <v>7.4332857142857395E-3</v>
      </c>
      <c r="AS622" s="2"/>
      <c r="AT622" s="7">
        <v>44497.615147881908</v>
      </c>
      <c r="AU622" s="1" t="s">
        <v>365</v>
      </c>
      <c r="AV622" s="1" t="s">
        <v>380</v>
      </c>
      <c r="AW622" s="1" t="s">
        <v>2152</v>
      </c>
      <c r="AX622" s="7">
        <v>44502.626129782155</v>
      </c>
      <c r="AY622" s="1" t="s">
        <v>984</v>
      </c>
      <c r="AZ622" s="6">
        <v>69479.67</v>
      </c>
      <c r="BA622" s="1"/>
      <c r="BB622" s="5">
        <v>44561</v>
      </c>
      <c r="BC622" s="5">
        <v>44502</v>
      </c>
      <c r="BD622" s="5">
        <v>44502</v>
      </c>
      <c r="BE622" s="7">
        <v>44561</v>
      </c>
      <c r="BF622" s="1" t="s">
        <v>2170</v>
      </c>
      <c r="BG622" s="1"/>
      <c r="BH622" s="1"/>
      <c r="BI622" s="1" t="s">
        <v>917</v>
      </c>
    </row>
    <row r="623" spans="1:61" hidden="1" x14ac:dyDescent="0.25">
      <c r="A623" s="4">
        <v>618</v>
      </c>
      <c r="B623" s="2" t="str">
        <f>HYPERLINK("https://my.zakupivli.pro/remote/dispatcher/state_purchase_view/30830240", "UA-2021-10-18-012318-c")</f>
        <v>UA-2021-10-18-012318-c</v>
      </c>
      <c r="C623" s="2" t="s">
        <v>1516</v>
      </c>
      <c r="D623" s="1" t="s">
        <v>1966</v>
      </c>
      <c r="E623" s="1" t="s">
        <v>1966</v>
      </c>
      <c r="F623" s="1" t="s">
        <v>298</v>
      </c>
      <c r="G623" s="1" t="s">
        <v>974</v>
      </c>
      <c r="H623" s="1" t="s">
        <v>1184</v>
      </c>
      <c r="I623" s="1" t="s">
        <v>2094</v>
      </c>
      <c r="J623" s="1" t="s">
        <v>1145</v>
      </c>
      <c r="K623" s="1" t="s">
        <v>947</v>
      </c>
      <c r="L623" s="1" t="s">
        <v>1533</v>
      </c>
      <c r="M623" s="1" t="s">
        <v>1533</v>
      </c>
      <c r="N623" s="1" t="s">
        <v>110</v>
      </c>
      <c r="O623" s="1" t="s">
        <v>110</v>
      </c>
      <c r="P623" s="1" t="s">
        <v>110</v>
      </c>
      <c r="Q623" s="5">
        <v>44487</v>
      </c>
      <c r="R623" s="1" t="s">
        <v>356</v>
      </c>
      <c r="S623" s="1" t="s">
        <v>361</v>
      </c>
      <c r="T623" s="5">
        <v>44487</v>
      </c>
      <c r="U623" s="5">
        <v>44503</v>
      </c>
      <c r="V623" s="7">
        <v>44504.595104166663</v>
      </c>
      <c r="W623" s="4">
        <v>2</v>
      </c>
      <c r="X623" s="6">
        <v>363769</v>
      </c>
      <c r="Y623" s="1" t="s">
        <v>1516</v>
      </c>
      <c r="Z623" s="1">
        <v>1</v>
      </c>
      <c r="AA623" s="6">
        <v>363769</v>
      </c>
      <c r="AB623" s="1" t="s">
        <v>2167</v>
      </c>
      <c r="AC623" s="6">
        <v>3637.69</v>
      </c>
      <c r="AD623" s="1" t="s">
        <v>1100</v>
      </c>
      <c r="AE623" s="1" t="s">
        <v>2094</v>
      </c>
      <c r="AF623" s="1" t="s">
        <v>1186</v>
      </c>
      <c r="AG623" s="1" t="s">
        <v>1522</v>
      </c>
      <c r="AH623" s="6">
        <v>361566</v>
      </c>
      <c r="AI623" s="6">
        <v>361566</v>
      </c>
      <c r="AJ623" s="1" t="s">
        <v>2049</v>
      </c>
      <c r="AK623" s="6">
        <v>2203</v>
      </c>
      <c r="AL623" s="6">
        <v>6.0560410590237215E-3</v>
      </c>
      <c r="AM623" s="1" t="s">
        <v>1512</v>
      </c>
      <c r="AN623" s="1" t="s">
        <v>198</v>
      </c>
      <c r="AO623" s="1" t="s">
        <v>1121</v>
      </c>
      <c r="AP623" s="1" t="s">
        <v>870</v>
      </c>
      <c r="AQ623" s="6">
        <v>1</v>
      </c>
      <c r="AR623" s="6">
        <v>2.7489973032336455E-6</v>
      </c>
      <c r="AS623" s="2" t="str">
        <f>HYPERLINK("https://auctions.prozorro.gov.ua/tenders/c89f5e08f7d14097a8b7710b7b45450e")</f>
        <v>https://auctions.prozorro.gov.ua/tenders/c89f5e08f7d14097a8b7710b7b45450e</v>
      </c>
      <c r="AT623" s="7">
        <v>44505.674866857546</v>
      </c>
      <c r="AU623" s="1" t="s">
        <v>379</v>
      </c>
      <c r="AV623" s="1" t="s">
        <v>389</v>
      </c>
      <c r="AW623" s="1" t="s">
        <v>2152</v>
      </c>
      <c r="AX623" s="7">
        <v>44518.475009051203</v>
      </c>
      <c r="AY623" s="1" t="s">
        <v>1028</v>
      </c>
      <c r="AZ623" s="6">
        <v>363768</v>
      </c>
      <c r="BA623" s="1"/>
      <c r="BB623" s="5">
        <v>44561</v>
      </c>
      <c r="BC623" s="5">
        <v>44518</v>
      </c>
      <c r="BD623" s="5">
        <v>44518</v>
      </c>
      <c r="BE623" s="7">
        <v>44561</v>
      </c>
      <c r="BF623" s="1" t="s">
        <v>2170</v>
      </c>
      <c r="BG623" s="1"/>
      <c r="BH623" s="1"/>
      <c r="BI623" s="1" t="s">
        <v>930</v>
      </c>
    </row>
    <row r="624" spans="1:61" hidden="1" x14ac:dyDescent="0.25">
      <c r="A624" s="4">
        <v>619</v>
      </c>
      <c r="B624" s="2" t="str">
        <f>HYPERLINK("https://my.zakupivli.pro/remote/dispatcher/state_purchase_view/30781874", "UA-2021-10-13-011193-b")</f>
        <v>UA-2021-10-13-011193-b</v>
      </c>
      <c r="C624" s="2" t="s">
        <v>1516</v>
      </c>
      <c r="D624" s="1" t="s">
        <v>1922</v>
      </c>
      <c r="E624" s="1" t="s">
        <v>1923</v>
      </c>
      <c r="F624" s="1" t="s">
        <v>298</v>
      </c>
      <c r="G624" s="1" t="s">
        <v>963</v>
      </c>
      <c r="H624" s="1" t="s">
        <v>1184</v>
      </c>
      <c r="I624" s="1" t="s">
        <v>2094</v>
      </c>
      <c r="J624" s="1" t="s">
        <v>1145</v>
      </c>
      <c r="K624" s="1" t="s">
        <v>947</v>
      </c>
      <c r="L624" s="1" t="s">
        <v>1533</v>
      </c>
      <c r="M624" s="1" t="s">
        <v>1533</v>
      </c>
      <c r="N624" s="1" t="s">
        <v>110</v>
      </c>
      <c r="O624" s="1" t="s">
        <v>110</v>
      </c>
      <c r="P624" s="1" t="s">
        <v>110</v>
      </c>
      <c r="Q624" s="5">
        <v>44482</v>
      </c>
      <c r="R624" s="1" t="s">
        <v>354</v>
      </c>
      <c r="S624" s="1" t="s">
        <v>357</v>
      </c>
      <c r="T624" s="5">
        <v>44482</v>
      </c>
      <c r="U624" s="5">
        <v>44498</v>
      </c>
      <c r="V624" s="7">
        <v>44498.581250000003</v>
      </c>
      <c r="W624" s="4">
        <v>2</v>
      </c>
      <c r="X624" s="6">
        <v>444524</v>
      </c>
      <c r="Y624" s="1" t="s">
        <v>1516</v>
      </c>
      <c r="Z624" s="1">
        <v>1</v>
      </c>
      <c r="AA624" s="6">
        <v>444524</v>
      </c>
      <c r="AB624" s="1" t="s">
        <v>2167</v>
      </c>
      <c r="AC624" s="6">
        <v>4445.24</v>
      </c>
      <c r="AD624" s="1" t="s">
        <v>1100</v>
      </c>
      <c r="AE624" s="1" t="s">
        <v>2094</v>
      </c>
      <c r="AF624" s="1" t="s">
        <v>1186</v>
      </c>
      <c r="AG624" s="1" t="s">
        <v>1522</v>
      </c>
      <c r="AH624" s="6">
        <v>444432</v>
      </c>
      <c r="AI624" s="6">
        <v>444432</v>
      </c>
      <c r="AJ624" s="1" t="s">
        <v>2051</v>
      </c>
      <c r="AK624" s="6">
        <v>92</v>
      </c>
      <c r="AL624" s="6">
        <v>2.069629536313E-4</v>
      </c>
      <c r="AM624" s="1" t="s">
        <v>2051</v>
      </c>
      <c r="AN624" s="1" t="s">
        <v>911</v>
      </c>
      <c r="AO624" s="1" t="s">
        <v>1130</v>
      </c>
      <c r="AP624" s="1" t="s">
        <v>70</v>
      </c>
      <c r="AQ624" s="6">
        <v>92</v>
      </c>
      <c r="AR624" s="6">
        <v>2.069629536313E-4</v>
      </c>
      <c r="AS624" s="2" t="str">
        <f>HYPERLINK("https://auctions.prozorro.gov.ua/tenders/67d48c0958224071948a194fcce4c401")</f>
        <v>https://auctions.prozorro.gov.ua/tenders/67d48c0958224071948a194fcce4c401</v>
      </c>
      <c r="AT624" s="7">
        <v>44504.632306080413</v>
      </c>
      <c r="AU624" s="1" t="s">
        <v>378</v>
      </c>
      <c r="AV624" s="1" t="s">
        <v>388</v>
      </c>
      <c r="AW624" s="1" t="s">
        <v>2152</v>
      </c>
      <c r="AX624" s="7">
        <v>44515.511975295674</v>
      </c>
      <c r="AY624" s="1" t="s">
        <v>1025</v>
      </c>
      <c r="AZ624" s="6">
        <v>444432</v>
      </c>
      <c r="BA624" s="1"/>
      <c r="BB624" s="5">
        <v>44561</v>
      </c>
      <c r="BC624" s="5">
        <v>44515</v>
      </c>
      <c r="BD624" s="5">
        <v>44515</v>
      </c>
      <c r="BE624" s="7">
        <v>44561</v>
      </c>
      <c r="BF624" s="1" t="s">
        <v>2170</v>
      </c>
      <c r="BG624" s="1"/>
      <c r="BH624" s="1"/>
      <c r="BI624" s="1" t="s">
        <v>912</v>
      </c>
    </row>
    <row r="625" spans="1:61" hidden="1" x14ac:dyDescent="0.25">
      <c r="A625" s="4">
        <v>620</v>
      </c>
      <c r="B625" s="2" t="str">
        <f>HYPERLINK("https://my.zakupivli.pro/remote/dispatcher/state_purchase_view/30737197", "UA-2021-10-12-012413-b")</f>
        <v>UA-2021-10-12-012413-b</v>
      </c>
      <c r="C625" s="2" t="s">
        <v>1516</v>
      </c>
      <c r="D625" s="1" t="s">
        <v>1973</v>
      </c>
      <c r="E625" s="1" t="s">
        <v>1973</v>
      </c>
      <c r="F625" s="1" t="s">
        <v>298</v>
      </c>
      <c r="G625" s="1" t="s">
        <v>114</v>
      </c>
      <c r="H625" s="1" t="s">
        <v>1184</v>
      </c>
      <c r="I625" s="1" t="s">
        <v>2094</v>
      </c>
      <c r="J625" s="1" t="s">
        <v>1145</v>
      </c>
      <c r="K625" s="1" t="s">
        <v>947</v>
      </c>
      <c r="L625" s="1" t="s">
        <v>1533</v>
      </c>
      <c r="M625" s="1" t="s">
        <v>1533</v>
      </c>
      <c r="N625" s="1" t="s">
        <v>153</v>
      </c>
      <c r="O625" s="1" t="s">
        <v>110</v>
      </c>
      <c r="P625" s="1" t="s">
        <v>110</v>
      </c>
      <c r="Q625" s="5">
        <v>44481</v>
      </c>
      <c r="R625" s="1" t="s">
        <v>353</v>
      </c>
      <c r="S625" s="1" t="s">
        <v>356</v>
      </c>
      <c r="T625" s="5">
        <v>44481</v>
      </c>
      <c r="U625" s="5">
        <v>44497</v>
      </c>
      <c r="V625" s="1" t="s">
        <v>2147</v>
      </c>
      <c r="W625" s="4">
        <v>1</v>
      </c>
      <c r="X625" s="6">
        <v>200000</v>
      </c>
      <c r="Y625" s="1" t="s">
        <v>1516</v>
      </c>
      <c r="Z625" s="1">
        <v>209</v>
      </c>
      <c r="AA625" s="6">
        <v>956.94</v>
      </c>
      <c r="AB625" s="1" t="s">
        <v>2163</v>
      </c>
      <c r="AC625" s="6">
        <v>2000</v>
      </c>
      <c r="AD625" s="1" t="s">
        <v>1100</v>
      </c>
      <c r="AE625" s="1" t="s">
        <v>2094</v>
      </c>
      <c r="AF625" s="1" t="s">
        <v>1186</v>
      </c>
      <c r="AG625" s="1" t="s">
        <v>1522</v>
      </c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2"/>
      <c r="AT625" s="1"/>
      <c r="AU625" s="1"/>
      <c r="AV625" s="1"/>
      <c r="AW625" s="1" t="s">
        <v>2153</v>
      </c>
      <c r="AX625" s="7">
        <v>44497.044618154687</v>
      </c>
      <c r="AY625" s="1"/>
      <c r="AZ625" s="1"/>
      <c r="BA625" s="1"/>
      <c r="BB625" s="5">
        <v>44545</v>
      </c>
      <c r="BC625" s="1" t="s">
        <v>109</v>
      </c>
      <c r="BD625" s="1" t="s">
        <v>109</v>
      </c>
      <c r="BE625" s="1"/>
      <c r="BF625" s="1"/>
      <c r="BG625" s="1"/>
      <c r="BH625" s="1"/>
      <c r="BI625" s="1" t="s">
        <v>845</v>
      </c>
    </row>
    <row r="626" spans="1:61" hidden="1" x14ac:dyDescent="0.25">
      <c r="A626" s="4">
        <v>621</v>
      </c>
      <c r="B626" s="2" t="str">
        <f>HYPERLINK("https://my.zakupivli.pro/remote/dispatcher/state_purchase_view/30683006", "UA-2021-10-11-009805-b")</f>
        <v>UA-2021-10-11-009805-b</v>
      </c>
      <c r="C626" s="2" t="str">
        <f>HYPERLINK("https://my.zakupivli.pro/remote/dispatcher/state_purchase_lot_view/697422", "UA-2021-10-11-009805-b-L1")</f>
        <v>UA-2021-10-11-009805-b-L1</v>
      </c>
      <c r="D626" s="1" t="s">
        <v>1944</v>
      </c>
      <c r="E626" s="1" t="s">
        <v>1935</v>
      </c>
      <c r="F626" s="1" t="s">
        <v>298</v>
      </c>
      <c r="G626" s="1" t="s">
        <v>963</v>
      </c>
      <c r="H626" s="1" t="s">
        <v>1184</v>
      </c>
      <c r="I626" s="1" t="s">
        <v>2094</v>
      </c>
      <c r="J626" s="1" t="s">
        <v>1145</v>
      </c>
      <c r="K626" s="1" t="s">
        <v>947</v>
      </c>
      <c r="L626" s="1" t="s">
        <v>1533</v>
      </c>
      <c r="M626" s="1" t="s">
        <v>1533</v>
      </c>
      <c r="N626" s="1" t="s">
        <v>110</v>
      </c>
      <c r="O626" s="1" t="s">
        <v>110</v>
      </c>
      <c r="P626" s="1" t="s">
        <v>110</v>
      </c>
      <c r="Q626" s="5">
        <v>44480</v>
      </c>
      <c r="R626" s="1" t="s">
        <v>352</v>
      </c>
      <c r="S626" s="1" t="s">
        <v>355</v>
      </c>
      <c r="T626" s="5">
        <v>44480</v>
      </c>
      <c r="U626" s="5">
        <v>44496</v>
      </c>
      <c r="V626" s="1" t="s">
        <v>2147</v>
      </c>
      <c r="W626" s="4">
        <v>1</v>
      </c>
      <c r="X626" s="6">
        <v>286569</v>
      </c>
      <c r="Y626" s="6">
        <v>119569</v>
      </c>
      <c r="Z626" s="1">
        <v>1</v>
      </c>
      <c r="AA626" s="6">
        <v>119569</v>
      </c>
      <c r="AB626" s="1" t="s">
        <v>2167</v>
      </c>
      <c r="AC626" s="6">
        <v>1195.69</v>
      </c>
      <c r="AD626" s="1" t="s">
        <v>1100</v>
      </c>
      <c r="AE626" s="1" t="s">
        <v>2094</v>
      </c>
      <c r="AF626" s="1" t="s">
        <v>1186</v>
      </c>
      <c r="AG626" s="1" t="s">
        <v>1522</v>
      </c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2"/>
      <c r="AT626" s="7">
        <v>44510.445658665732</v>
      </c>
      <c r="AU626" s="1"/>
      <c r="AV626" s="1"/>
      <c r="AW626" s="1" t="s">
        <v>2172</v>
      </c>
      <c r="AX626" s="7">
        <v>44480.660038096554</v>
      </c>
      <c r="AY626" s="1"/>
      <c r="AZ626" s="1"/>
      <c r="BA626" s="1"/>
      <c r="BB626" s="5">
        <v>44561</v>
      </c>
      <c r="BC626" s="1" t="s">
        <v>109</v>
      </c>
      <c r="BD626" s="1" t="s">
        <v>109</v>
      </c>
      <c r="BE626" s="1"/>
      <c r="BF626" s="1"/>
      <c r="BG626" s="1" t="s">
        <v>1518</v>
      </c>
      <c r="BH626" s="1"/>
      <c r="BI626" s="1" t="s">
        <v>199</v>
      </c>
    </row>
    <row r="627" spans="1:61" hidden="1" x14ac:dyDescent="0.25">
      <c r="A627" s="4">
        <v>622</v>
      </c>
      <c r="B627" s="2" t="str">
        <f>HYPERLINK("https://my.zakupivli.pro/remote/dispatcher/state_purchase_view/30683006", "UA-2021-10-11-009805-b")</f>
        <v>UA-2021-10-11-009805-b</v>
      </c>
      <c r="C627" s="2" t="str">
        <f>HYPERLINK("https://my.zakupivli.pro/remote/dispatcher/state_purchase_lot_view/697423", "UA-2021-10-11-009805-b-L2")</f>
        <v>UA-2021-10-11-009805-b-L2</v>
      </c>
      <c r="D627" s="1" t="s">
        <v>1943</v>
      </c>
      <c r="E627" s="1" t="s">
        <v>1908</v>
      </c>
      <c r="F627" s="1" t="s">
        <v>298</v>
      </c>
      <c r="G627" s="1" t="s">
        <v>963</v>
      </c>
      <c r="H627" s="1" t="s">
        <v>1184</v>
      </c>
      <c r="I627" s="1" t="s">
        <v>2094</v>
      </c>
      <c r="J627" s="1" t="s">
        <v>1145</v>
      </c>
      <c r="K627" s="1" t="s">
        <v>947</v>
      </c>
      <c r="L627" s="1" t="s">
        <v>1533</v>
      </c>
      <c r="M627" s="1" t="s">
        <v>1533</v>
      </c>
      <c r="N627" s="1" t="s">
        <v>110</v>
      </c>
      <c r="O627" s="1" t="s">
        <v>110</v>
      </c>
      <c r="P627" s="1" t="s">
        <v>110</v>
      </c>
      <c r="Q627" s="5">
        <v>44480</v>
      </c>
      <c r="R627" s="1" t="s">
        <v>352</v>
      </c>
      <c r="S627" s="1" t="s">
        <v>355</v>
      </c>
      <c r="T627" s="5">
        <v>44480</v>
      </c>
      <c r="U627" s="5">
        <v>44496</v>
      </c>
      <c r="V627" s="7">
        <v>44508.52238425926</v>
      </c>
      <c r="W627" s="4">
        <v>3</v>
      </c>
      <c r="X627" s="6">
        <v>286569</v>
      </c>
      <c r="Y627" s="6">
        <v>167000</v>
      </c>
      <c r="Z627" s="1">
        <v>1</v>
      </c>
      <c r="AA627" s="6">
        <v>167000</v>
      </c>
      <c r="AB627" s="1" t="s">
        <v>2167</v>
      </c>
      <c r="AC627" s="6">
        <v>1670</v>
      </c>
      <c r="AD627" s="1" t="s">
        <v>1100</v>
      </c>
      <c r="AE627" s="1" t="s">
        <v>2094</v>
      </c>
      <c r="AF627" s="1" t="s">
        <v>1186</v>
      </c>
      <c r="AG627" s="1" t="s">
        <v>1522</v>
      </c>
      <c r="AH627" s="6">
        <v>160050.06</v>
      </c>
      <c r="AI627" s="6">
        <v>160050.06</v>
      </c>
      <c r="AJ627" s="1" t="s">
        <v>2120</v>
      </c>
      <c r="AK627" s="6">
        <v>6949.9400000000023</v>
      </c>
      <c r="AL627" s="6">
        <v>4.1616407185628757E-2</v>
      </c>
      <c r="AM627" s="1" t="s">
        <v>1512</v>
      </c>
      <c r="AN627" s="1" t="s">
        <v>198</v>
      </c>
      <c r="AO627" s="1" t="s">
        <v>1121</v>
      </c>
      <c r="AP627" s="1" t="s">
        <v>870</v>
      </c>
      <c r="AQ627" s="1"/>
      <c r="AR627" s="1"/>
      <c r="AS627" s="2" t="str">
        <f>HYPERLINK("https://auctions.prozorro.gov.ua/tenders/2d4fa2d01995455091d65aa7b2af794d_537cedff6f1148be95054c346f78be0a")</f>
        <v>https://auctions.prozorro.gov.ua/tenders/2d4fa2d01995455091d65aa7b2af794d_537cedff6f1148be95054c346f78be0a</v>
      </c>
      <c r="AT627" s="7">
        <v>44510.445658665732</v>
      </c>
      <c r="AU627" s="1" t="s">
        <v>384</v>
      </c>
      <c r="AV627" s="1" t="s">
        <v>393</v>
      </c>
      <c r="AW627" s="1" t="s">
        <v>2151</v>
      </c>
      <c r="AX627" s="7">
        <v>44532.709340389825</v>
      </c>
      <c r="AY627" s="1" t="s">
        <v>789</v>
      </c>
      <c r="AZ627" s="6">
        <v>167000</v>
      </c>
      <c r="BA627" s="1"/>
      <c r="BB627" s="5">
        <v>44561</v>
      </c>
      <c r="BC627" s="5">
        <v>44529</v>
      </c>
      <c r="BD627" s="5">
        <v>44529</v>
      </c>
      <c r="BE627" s="7">
        <v>44561</v>
      </c>
      <c r="BF627" s="1" t="s">
        <v>2170</v>
      </c>
      <c r="BG627" s="1"/>
      <c r="BH627" s="1"/>
      <c r="BI627" s="1" t="s">
        <v>778</v>
      </c>
    </row>
    <row r="628" spans="1:61" hidden="1" x14ac:dyDescent="0.25">
      <c r="A628" s="4">
        <v>623</v>
      </c>
      <c r="B628" s="2" t="str">
        <f>HYPERLINK("https://my.zakupivli.pro/remote/dispatcher/state_purchase_view/30681852", "UA-2021-10-11-009426-b")</f>
        <v>UA-2021-10-11-009426-b</v>
      </c>
      <c r="C628" s="2" t="s">
        <v>1516</v>
      </c>
      <c r="D628" s="1" t="s">
        <v>1936</v>
      </c>
      <c r="E628" s="1" t="s">
        <v>1934</v>
      </c>
      <c r="F628" s="1" t="s">
        <v>298</v>
      </c>
      <c r="G628" s="1" t="s">
        <v>963</v>
      </c>
      <c r="H628" s="1" t="s">
        <v>1184</v>
      </c>
      <c r="I628" s="1" t="s">
        <v>2094</v>
      </c>
      <c r="J628" s="1" t="s">
        <v>1145</v>
      </c>
      <c r="K628" s="1" t="s">
        <v>947</v>
      </c>
      <c r="L628" s="1" t="s">
        <v>1533</v>
      </c>
      <c r="M628" s="1" t="s">
        <v>1533</v>
      </c>
      <c r="N628" s="1" t="s">
        <v>110</v>
      </c>
      <c r="O628" s="1" t="s">
        <v>110</v>
      </c>
      <c r="P628" s="1" t="s">
        <v>110</v>
      </c>
      <c r="Q628" s="5">
        <v>44480</v>
      </c>
      <c r="R628" s="1" t="s">
        <v>352</v>
      </c>
      <c r="S628" s="1" t="s">
        <v>355</v>
      </c>
      <c r="T628" s="5">
        <v>44480</v>
      </c>
      <c r="U628" s="5">
        <v>44496</v>
      </c>
      <c r="V628" s="7">
        <v>44497.628206018519</v>
      </c>
      <c r="W628" s="4">
        <v>2</v>
      </c>
      <c r="X628" s="6">
        <v>244467</v>
      </c>
      <c r="Y628" s="1" t="s">
        <v>1516</v>
      </c>
      <c r="Z628" s="1">
        <v>1</v>
      </c>
      <c r="AA628" s="6">
        <v>244467</v>
      </c>
      <c r="AB628" s="1" t="s">
        <v>2167</v>
      </c>
      <c r="AC628" s="6">
        <v>2444.67</v>
      </c>
      <c r="AD628" s="1" t="s">
        <v>1100</v>
      </c>
      <c r="AE628" s="1" t="s">
        <v>2094</v>
      </c>
      <c r="AF628" s="1" t="s">
        <v>1186</v>
      </c>
      <c r="AG628" s="1" t="s">
        <v>1522</v>
      </c>
      <c r="AH628" s="6">
        <v>220020.31</v>
      </c>
      <c r="AI628" s="6">
        <v>220020.31</v>
      </c>
      <c r="AJ628" s="1" t="s">
        <v>2120</v>
      </c>
      <c r="AK628" s="6">
        <v>24446.690000000002</v>
      </c>
      <c r="AL628" s="6">
        <v>9.9999959094683552E-2</v>
      </c>
      <c r="AM628" s="1"/>
      <c r="AN628" s="1"/>
      <c r="AO628" s="1"/>
      <c r="AP628" s="1"/>
      <c r="AQ628" s="1"/>
      <c r="AR628" s="1"/>
      <c r="AS628" s="2" t="str">
        <f>HYPERLINK("https://auctions.prozorro.gov.ua/tenders/3fadd2becf914676a87372d57e20557a")</f>
        <v>https://auctions.prozorro.gov.ua/tenders/3fadd2becf914676a87372d57e20557a</v>
      </c>
      <c r="AT628" s="7">
        <v>44502.70096349169</v>
      </c>
      <c r="AU628" s="1"/>
      <c r="AV628" s="1"/>
      <c r="AW628" s="1" t="s">
        <v>2153</v>
      </c>
      <c r="AX628" s="7">
        <v>44513.002072555289</v>
      </c>
      <c r="AY628" s="1"/>
      <c r="AZ628" s="1"/>
      <c r="BA628" s="1"/>
      <c r="BB628" s="5">
        <v>44561</v>
      </c>
      <c r="BC628" s="1" t="s">
        <v>109</v>
      </c>
      <c r="BD628" s="1" t="s">
        <v>109</v>
      </c>
      <c r="BE628" s="1"/>
      <c r="BF628" s="1"/>
      <c r="BG628" s="1"/>
      <c r="BH628" s="1"/>
      <c r="BI628" s="1" t="s">
        <v>774</v>
      </c>
    </row>
    <row r="629" spans="1:61" hidden="1" x14ac:dyDescent="0.25">
      <c r="A629" s="4">
        <v>624</v>
      </c>
      <c r="B629" s="2" t="str">
        <f>HYPERLINK("https://my.zakupivli.pro/remote/dispatcher/state_purchase_view/30554193", "UA-2021-10-06-014471-b")</f>
        <v>UA-2021-10-06-014471-b</v>
      </c>
      <c r="C629" s="2" t="str">
        <f>HYPERLINK("https://my.zakupivli.pro/remote/dispatcher/state_purchase_lot_view/696415", "UA-2021-10-06-014471-b-L1")</f>
        <v>UA-2021-10-06-014471-b-L1</v>
      </c>
      <c r="D629" s="1" t="s">
        <v>1938</v>
      </c>
      <c r="E629" s="1" t="s">
        <v>1942</v>
      </c>
      <c r="F629" s="1" t="s">
        <v>298</v>
      </c>
      <c r="G629" s="1" t="s">
        <v>963</v>
      </c>
      <c r="H629" s="1" t="s">
        <v>1184</v>
      </c>
      <c r="I629" s="1" t="s">
        <v>2094</v>
      </c>
      <c r="J629" s="1" t="s">
        <v>1145</v>
      </c>
      <c r="K629" s="1" t="s">
        <v>947</v>
      </c>
      <c r="L629" s="1" t="s">
        <v>1533</v>
      </c>
      <c r="M629" s="1" t="s">
        <v>1533</v>
      </c>
      <c r="N629" s="1" t="s">
        <v>110</v>
      </c>
      <c r="O629" s="1" t="s">
        <v>110</v>
      </c>
      <c r="P629" s="1" t="s">
        <v>110</v>
      </c>
      <c r="Q629" s="5">
        <v>44475</v>
      </c>
      <c r="R629" s="1" t="s">
        <v>349</v>
      </c>
      <c r="S629" s="1" t="s">
        <v>353</v>
      </c>
      <c r="T629" s="5">
        <v>44475</v>
      </c>
      <c r="U629" s="5">
        <v>44491</v>
      </c>
      <c r="V629" s="7">
        <v>44494.460266203707</v>
      </c>
      <c r="W629" s="4">
        <v>4</v>
      </c>
      <c r="X629" s="6">
        <v>208491</v>
      </c>
      <c r="Y629" s="6">
        <v>77177</v>
      </c>
      <c r="Z629" s="1">
        <v>1</v>
      </c>
      <c r="AA629" s="6">
        <v>77177</v>
      </c>
      <c r="AB629" s="1" t="s">
        <v>2167</v>
      </c>
      <c r="AC629" s="6">
        <v>771.77</v>
      </c>
      <c r="AD629" s="1" t="s">
        <v>1100</v>
      </c>
      <c r="AE629" s="1" t="s">
        <v>2094</v>
      </c>
      <c r="AF629" s="1" t="s">
        <v>1186</v>
      </c>
      <c r="AG629" s="1" t="s">
        <v>1522</v>
      </c>
      <c r="AH629" s="6">
        <v>63896.35</v>
      </c>
      <c r="AI629" s="6">
        <v>63896.35</v>
      </c>
      <c r="AJ629" s="1" t="s">
        <v>2120</v>
      </c>
      <c r="AK629" s="6">
        <v>13280.650000000001</v>
      </c>
      <c r="AL629" s="6">
        <v>0.17208041255814557</v>
      </c>
      <c r="AM629" s="1"/>
      <c r="AN629" s="1"/>
      <c r="AO629" s="1"/>
      <c r="AP629" s="1"/>
      <c r="AQ629" s="1"/>
      <c r="AR629" s="1"/>
      <c r="AS629" s="2" t="str">
        <f>HYPERLINK("https://auctions.prozorro.gov.ua/tenders/1eae87fb7ad6456b8e4ca71a80175635_b88eb72154ad46a4a171095b4c670b0e")</f>
        <v>https://auctions.prozorro.gov.ua/tenders/1eae87fb7ad6456b8e4ca71a80175635_b88eb72154ad46a4a171095b4c670b0e</v>
      </c>
      <c r="AT629" s="7">
        <v>44502.695382326936</v>
      </c>
      <c r="AU629" s="1"/>
      <c r="AV629" s="1"/>
      <c r="AW629" s="1" t="s">
        <v>2153</v>
      </c>
      <c r="AX629" s="7">
        <v>44475.737801361967</v>
      </c>
      <c r="AY629" s="1"/>
      <c r="AZ629" s="1"/>
      <c r="BA629" s="1"/>
      <c r="BB629" s="5">
        <v>44561</v>
      </c>
      <c r="BC629" s="1" t="s">
        <v>109</v>
      </c>
      <c r="BD629" s="1" t="s">
        <v>109</v>
      </c>
      <c r="BE629" s="1"/>
      <c r="BF629" s="1"/>
      <c r="BG629" s="1"/>
      <c r="BH629" s="1"/>
      <c r="BI629" s="1" t="s">
        <v>781</v>
      </c>
    </row>
    <row r="630" spans="1:61" hidden="1" x14ac:dyDescent="0.25">
      <c r="A630" s="4">
        <v>625</v>
      </c>
      <c r="B630" s="2" t="str">
        <f>HYPERLINK("https://my.zakupivli.pro/remote/dispatcher/state_purchase_view/30554193", "UA-2021-10-06-014471-b")</f>
        <v>UA-2021-10-06-014471-b</v>
      </c>
      <c r="C630" s="2" t="str">
        <f>HYPERLINK("https://my.zakupivli.pro/remote/dispatcher/state_purchase_lot_view/696416", "UA-2021-10-06-014471-b-L2")</f>
        <v>UA-2021-10-06-014471-b-L2</v>
      </c>
      <c r="D630" s="1" t="s">
        <v>1937</v>
      </c>
      <c r="E630" s="1" t="s">
        <v>1941</v>
      </c>
      <c r="F630" s="1" t="s">
        <v>298</v>
      </c>
      <c r="G630" s="1" t="s">
        <v>963</v>
      </c>
      <c r="H630" s="1" t="s">
        <v>1184</v>
      </c>
      <c r="I630" s="1" t="s">
        <v>2094</v>
      </c>
      <c r="J630" s="1" t="s">
        <v>1145</v>
      </c>
      <c r="K630" s="1" t="s">
        <v>947</v>
      </c>
      <c r="L630" s="1" t="s">
        <v>1533</v>
      </c>
      <c r="M630" s="1" t="s">
        <v>1533</v>
      </c>
      <c r="N630" s="1" t="s">
        <v>110</v>
      </c>
      <c r="O630" s="1" t="s">
        <v>110</v>
      </c>
      <c r="P630" s="1" t="s">
        <v>110</v>
      </c>
      <c r="Q630" s="5">
        <v>44475</v>
      </c>
      <c r="R630" s="1" t="s">
        <v>349</v>
      </c>
      <c r="S630" s="1" t="s">
        <v>353</v>
      </c>
      <c r="T630" s="5">
        <v>44475</v>
      </c>
      <c r="U630" s="5">
        <v>44491</v>
      </c>
      <c r="V630" s="7">
        <v>44494.495428240742</v>
      </c>
      <c r="W630" s="4">
        <v>4</v>
      </c>
      <c r="X630" s="6">
        <v>208491</v>
      </c>
      <c r="Y630" s="6">
        <v>131314</v>
      </c>
      <c r="Z630" s="1">
        <v>1</v>
      </c>
      <c r="AA630" s="6">
        <v>131314</v>
      </c>
      <c r="AB630" s="1" t="s">
        <v>2167</v>
      </c>
      <c r="AC630" s="6">
        <v>1313.14</v>
      </c>
      <c r="AD630" s="1" t="s">
        <v>1100</v>
      </c>
      <c r="AE630" s="1" t="s">
        <v>2094</v>
      </c>
      <c r="AF630" s="1" t="s">
        <v>1186</v>
      </c>
      <c r="AG630" s="1" t="s">
        <v>1522</v>
      </c>
      <c r="AH630" s="6">
        <v>123745.55</v>
      </c>
      <c r="AI630" s="6">
        <v>123745.55</v>
      </c>
      <c r="AJ630" s="1" t="s">
        <v>2120</v>
      </c>
      <c r="AK630" s="6">
        <v>7568.4499999999971</v>
      </c>
      <c r="AL630" s="6">
        <v>5.7636276406171444E-2</v>
      </c>
      <c r="AM630" s="1"/>
      <c r="AN630" s="1"/>
      <c r="AO630" s="1"/>
      <c r="AP630" s="1"/>
      <c r="AQ630" s="1"/>
      <c r="AR630" s="1"/>
      <c r="AS630" s="2" t="str">
        <f>HYPERLINK("https://auctions.prozorro.gov.ua/tenders/1eae87fb7ad6456b8e4ca71a80175635_537cedff6f1148be95054c346f78be0a")</f>
        <v>https://auctions.prozorro.gov.ua/tenders/1eae87fb7ad6456b8e4ca71a80175635_537cedff6f1148be95054c346f78be0a</v>
      </c>
      <c r="AT630" s="7">
        <v>44502.695382326936</v>
      </c>
      <c r="AU630" s="1"/>
      <c r="AV630" s="1"/>
      <c r="AW630" s="1" t="s">
        <v>2153</v>
      </c>
      <c r="AX630" s="7">
        <v>44475.737801361967</v>
      </c>
      <c r="AY630" s="1"/>
      <c r="AZ630" s="1"/>
      <c r="BA630" s="1"/>
      <c r="BB630" s="5">
        <v>44561</v>
      </c>
      <c r="BC630" s="1" t="s">
        <v>109</v>
      </c>
      <c r="BD630" s="1" t="s">
        <v>109</v>
      </c>
      <c r="BE630" s="1"/>
      <c r="BF630" s="1"/>
      <c r="BG630" s="1"/>
      <c r="BH630" s="1"/>
      <c r="BI630" s="1" t="s">
        <v>781</v>
      </c>
    </row>
    <row r="631" spans="1:61" hidden="1" x14ac:dyDescent="0.25">
      <c r="A631" s="4">
        <v>626</v>
      </c>
      <c r="B631" s="2" t="str">
        <f>HYPERLINK("https://my.zakupivli.pro/remote/dispatcher/state_purchase_view/30553398", "UA-2021-10-06-014199-b")</f>
        <v>UA-2021-10-06-014199-b</v>
      </c>
      <c r="C631" s="2" t="s">
        <v>1516</v>
      </c>
      <c r="D631" s="1" t="s">
        <v>1949</v>
      </c>
      <c r="E631" s="1" t="s">
        <v>1949</v>
      </c>
      <c r="F631" s="1" t="s">
        <v>298</v>
      </c>
      <c r="G631" s="1" t="s">
        <v>963</v>
      </c>
      <c r="H631" s="1" t="s">
        <v>1184</v>
      </c>
      <c r="I631" s="1" t="s">
        <v>2094</v>
      </c>
      <c r="J631" s="1" t="s">
        <v>1145</v>
      </c>
      <c r="K631" s="1" t="s">
        <v>947</v>
      </c>
      <c r="L631" s="1" t="s">
        <v>1533</v>
      </c>
      <c r="M631" s="1" t="s">
        <v>1533</v>
      </c>
      <c r="N631" s="1" t="s">
        <v>110</v>
      </c>
      <c r="O631" s="1" t="s">
        <v>110</v>
      </c>
      <c r="P631" s="1" t="s">
        <v>110</v>
      </c>
      <c r="Q631" s="5">
        <v>44475</v>
      </c>
      <c r="R631" s="1" t="s">
        <v>349</v>
      </c>
      <c r="S631" s="1" t="s">
        <v>353</v>
      </c>
      <c r="T631" s="5">
        <v>44475</v>
      </c>
      <c r="U631" s="5">
        <v>44491</v>
      </c>
      <c r="V631" s="7">
        <v>44494.556817129633</v>
      </c>
      <c r="W631" s="4">
        <v>3</v>
      </c>
      <c r="X631" s="6">
        <v>400000</v>
      </c>
      <c r="Y631" s="1" t="s">
        <v>1516</v>
      </c>
      <c r="Z631" s="1">
        <v>1</v>
      </c>
      <c r="AA631" s="6">
        <v>400000</v>
      </c>
      <c r="AB631" s="1" t="s">
        <v>2167</v>
      </c>
      <c r="AC631" s="6">
        <v>4000</v>
      </c>
      <c r="AD631" s="1" t="s">
        <v>1100</v>
      </c>
      <c r="AE631" s="1" t="s">
        <v>2094</v>
      </c>
      <c r="AF631" s="1" t="s">
        <v>1186</v>
      </c>
      <c r="AG631" s="1" t="s">
        <v>1522</v>
      </c>
      <c r="AH631" s="6">
        <v>380000</v>
      </c>
      <c r="AI631" s="6">
        <v>380000</v>
      </c>
      <c r="AJ631" s="1" t="s">
        <v>2120</v>
      </c>
      <c r="AK631" s="6">
        <v>20000</v>
      </c>
      <c r="AL631" s="6">
        <v>0.05</v>
      </c>
      <c r="AM631" s="1"/>
      <c r="AN631" s="1"/>
      <c r="AO631" s="1"/>
      <c r="AP631" s="1"/>
      <c r="AQ631" s="1"/>
      <c r="AR631" s="1"/>
      <c r="AS631" s="2" t="str">
        <f>HYPERLINK("https://auctions.prozorro.gov.ua/tenders/c94f7856afcf4dfcbb17a92f7f6f6adf")</f>
        <v>https://auctions.prozorro.gov.ua/tenders/c94f7856afcf4dfcbb17a92f7f6f6adf</v>
      </c>
      <c r="AT631" s="7">
        <v>44502.671758907243</v>
      </c>
      <c r="AU631" s="1"/>
      <c r="AV631" s="1"/>
      <c r="AW631" s="1" t="s">
        <v>2153</v>
      </c>
      <c r="AX631" s="7">
        <v>44513.00192188441</v>
      </c>
      <c r="AY631" s="1"/>
      <c r="AZ631" s="1"/>
      <c r="BA631" s="1"/>
      <c r="BB631" s="5">
        <v>44561</v>
      </c>
      <c r="BC631" s="1" t="s">
        <v>109</v>
      </c>
      <c r="BD631" s="1" t="s">
        <v>109</v>
      </c>
      <c r="BE631" s="1"/>
      <c r="BF631" s="1"/>
      <c r="BG631" s="1"/>
      <c r="BH631" s="1"/>
      <c r="BI631" s="1" t="s">
        <v>780</v>
      </c>
    </row>
    <row r="632" spans="1:61" hidden="1" x14ac:dyDescent="0.25">
      <c r="A632" s="4">
        <v>627</v>
      </c>
      <c r="B632" s="2" t="str">
        <f>HYPERLINK("https://my.zakupivli.pro/remote/dispatcher/state_purchase_view/30466065", "UA-2021-10-04-011417-b")</f>
        <v>UA-2021-10-04-011417-b</v>
      </c>
      <c r="C632" s="2" t="s">
        <v>1516</v>
      </c>
      <c r="D632" s="1" t="s">
        <v>1960</v>
      </c>
      <c r="E632" s="1" t="s">
        <v>1960</v>
      </c>
      <c r="F632" s="1" t="s">
        <v>298</v>
      </c>
      <c r="G632" s="1" t="s">
        <v>995</v>
      </c>
      <c r="H632" s="1" t="s">
        <v>2015</v>
      </c>
      <c r="I632" s="1" t="s">
        <v>2094</v>
      </c>
      <c r="J632" s="1" t="s">
        <v>1145</v>
      </c>
      <c r="K632" s="1" t="s">
        <v>947</v>
      </c>
      <c r="L632" s="1" t="s">
        <v>1533</v>
      </c>
      <c r="M632" s="1" t="s">
        <v>1534</v>
      </c>
      <c r="N632" s="1" t="s">
        <v>110</v>
      </c>
      <c r="O632" s="1" t="s">
        <v>110</v>
      </c>
      <c r="P632" s="1" t="s">
        <v>110</v>
      </c>
      <c r="Q632" s="5">
        <v>44473</v>
      </c>
      <c r="R632" s="1" t="s">
        <v>348</v>
      </c>
      <c r="S632" s="1" t="s">
        <v>351</v>
      </c>
      <c r="T632" s="5">
        <v>44477</v>
      </c>
      <c r="U632" s="5">
        <v>44482</v>
      </c>
      <c r="V632" s="7">
        <v>44482.58326388889</v>
      </c>
      <c r="W632" s="4">
        <v>2</v>
      </c>
      <c r="X632" s="6">
        <v>139530</v>
      </c>
      <c r="Y632" s="1" t="s">
        <v>1516</v>
      </c>
      <c r="Z632" s="1">
        <v>1</v>
      </c>
      <c r="AA632" s="6">
        <v>139530</v>
      </c>
      <c r="AB632" s="1" t="s">
        <v>2167</v>
      </c>
      <c r="AC632" s="6">
        <v>698</v>
      </c>
      <c r="AD632" s="1" t="s">
        <v>1100</v>
      </c>
      <c r="AE632" s="1" t="s">
        <v>2094</v>
      </c>
      <c r="AF632" s="1" t="s">
        <v>1186</v>
      </c>
      <c r="AG632" s="1" t="s">
        <v>1522</v>
      </c>
      <c r="AH632" s="6">
        <v>114789.81</v>
      </c>
      <c r="AI632" s="6">
        <v>114789.81</v>
      </c>
      <c r="AJ632" s="1" t="s">
        <v>2028</v>
      </c>
      <c r="AK632" s="6">
        <v>24740.190000000002</v>
      </c>
      <c r="AL632" s="6">
        <v>0.17731090088153087</v>
      </c>
      <c r="AM632" s="1" t="s">
        <v>2031</v>
      </c>
      <c r="AN632" s="1" t="s">
        <v>201</v>
      </c>
      <c r="AO632" s="1" t="s">
        <v>1101</v>
      </c>
      <c r="AP632" s="1" t="s">
        <v>59</v>
      </c>
      <c r="AQ632" s="1"/>
      <c r="AR632" s="1"/>
      <c r="AS632" s="2" t="str">
        <f>HYPERLINK("https://auctions.prozorro.gov.ua/tenders/1eb1bd008c634e399b70dfb6d1299631")</f>
        <v>https://auctions.prozorro.gov.ua/tenders/1eb1bd008c634e399b70dfb6d1299631</v>
      </c>
      <c r="AT632" s="7">
        <v>44487.472437650744</v>
      </c>
      <c r="AU632" s="1" t="s">
        <v>357</v>
      </c>
      <c r="AV632" s="1" t="s">
        <v>372</v>
      </c>
      <c r="AW632" s="1" t="s">
        <v>2152</v>
      </c>
      <c r="AX632" s="7">
        <v>44490.732929082144</v>
      </c>
      <c r="AY632" s="1" t="s">
        <v>938</v>
      </c>
      <c r="AZ632" s="6">
        <v>139530</v>
      </c>
      <c r="BA632" s="1"/>
      <c r="BB632" s="5">
        <v>44561</v>
      </c>
      <c r="BC632" s="5">
        <v>44490</v>
      </c>
      <c r="BD632" s="5">
        <v>44490</v>
      </c>
      <c r="BE632" s="7">
        <v>44561</v>
      </c>
      <c r="BF632" s="1" t="s">
        <v>2170</v>
      </c>
      <c r="BG632" s="1"/>
      <c r="BH632" s="1"/>
      <c r="BI632" s="1" t="s">
        <v>935</v>
      </c>
    </row>
    <row r="633" spans="1:61" hidden="1" x14ac:dyDescent="0.25">
      <c r="A633" s="4">
        <v>628</v>
      </c>
      <c r="B633" s="2" t="str">
        <f>HYPERLINK("https://my.zakupivli.pro/remote/dispatcher/state_purchase_view/30465883", "UA-2021-10-04-011364-b")</f>
        <v>UA-2021-10-04-011364-b</v>
      </c>
      <c r="C633" s="2" t="s">
        <v>1516</v>
      </c>
      <c r="D633" s="1" t="s">
        <v>1927</v>
      </c>
      <c r="E633" s="1" t="s">
        <v>1927</v>
      </c>
      <c r="F633" s="1" t="s">
        <v>298</v>
      </c>
      <c r="G633" s="1" t="s">
        <v>967</v>
      </c>
      <c r="H633" s="1" t="s">
        <v>2015</v>
      </c>
      <c r="I633" s="1" t="s">
        <v>2094</v>
      </c>
      <c r="J633" s="1" t="s">
        <v>1145</v>
      </c>
      <c r="K633" s="1" t="s">
        <v>947</v>
      </c>
      <c r="L633" s="1" t="s">
        <v>1533</v>
      </c>
      <c r="M633" s="1" t="s">
        <v>1534</v>
      </c>
      <c r="N633" s="1" t="s">
        <v>110</v>
      </c>
      <c r="O633" s="1" t="s">
        <v>110</v>
      </c>
      <c r="P633" s="1" t="s">
        <v>110</v>
      </c>
      <c r="Q633" s="5">
        <v>44473</v>
      </c>
      <c r="R633" s="1" t="s">
        <v>348</v>
      </c>
      <c r="S633" s="1" t="s">
        <v>351</v>
      </c>
      <c r="T633" s="5">
        <v>44477</v>
      </c>
      <c r="U633" s="5">
        <v>44482</v>
      </c>
      <c r="V633" s="1" t="s">
        <v>2147</v>
      </c>
      <c r="W633" s="4">
        <v>1</v>
      </c>
      <c r="X633" s="6">
        <v>198902</v>
      </c>
      <c r="Y633" s="1" t="s">
        <v>1516</v>
      </c>
      <c r="Z633" s="1">
        <v>1</v>
      </c>
      <c r="AA633" s="6">
        <v>198902</v>
      </c>
      <c r="AB633" s="1" t="s">
        <v>2167</v>
      </c>
      <c r="AC633" s="6">
        <v>995</v>
      </c>
      <c r="AD633" s="1" t="s">
        <v>1100</v>
      </c>
      <c r="AE633" s="1" t="s">
        <v>2094</v>
      </c>
      <c r="AF633" s="1" t="s">
        <v>1186</v>
      </c>
      <c r="AG633" s="1" t="s">
        <v>1522</v>
      </c>
      <c r="AH633" s="6">
        <v>198902</v>
      </c>
      <c r="AI633" s="6">
        <v>198902</v>
      </c>
      <c r="AJ633" s="1" t="s">
        <v>2031</v>
      </c>
      <c r="AK633" s="1"/>
      <c r="AL633" s="1"/>
      <c r="AM633" s="1" t="s">
        <v>2031</v>
      </c>
      <c r="AN633" s="1" t="s">
        <v>201</v>
      </c>
      <c r="AO633" s="1" t="s">
        <v>1101</v>
      </c>
      <c r="AP633" s="1" t="s">
        <v>59</v>
      </c>
      <c r="AQ633" s="1"/>
      <c r="AR633" s="1"/>
      <c r="AS633" s="2"/>
      <c r="AT633" s="7">
        <v>44487.426865530848</v>
      </c>
      <c r="AU633" s="1" t="s">
        <v>357</v>
      </c>
      <c r="AV633" s="1" t="s">
        <v>372</v>
      </c>
      <c r="AW633" s="1" t="s">
        <v>2152</v>
      </c>
      <c r="AX633" s="7">
        <v>44490.718984023544</v>
      </c>
      <c r="AY633" s="1" t="s">
        <v>920</v>
      </c>
      <c r="AZ633" s="6">
        <v>198902</v>
      </c>
      <c r="BA633" s="1"/>
      <c r="BB633" s="5">
        <v>44561</v>
      </c>
      <c r="BC633" s="5">
        <v>44490</v>
      </c>
      <c r="BD633" s="5">
        <v>44490</v>
      </c>
      <c r="BE633" s="7">
        <v>44561</v>
      </c>
      <c r="BF633" s="1" t="s">
        <v>2170</v>
      </c>
      <c r="BG633" s="1"/>
      <c r="BH633" s="1"/>
      <c r="BI633" s="1" t="s">
        <v>202</v>
      </c>
    </row>
    <row r="634" spans="1:61" hidden="1" x14ac:dyDescent="0.25">
      <c r="A634" s="4">
        <v>629</v>
      </c>
      <c r="B634" s="2" t="str">
        <f>HYPERLINK("https://my.zakupivli.pro/remote/dispatcher/state_purchase_view/30423471", "UA-2021-10-01-009515-b")</f>
        <v>UA-2021-10-01-009515-b</v>
      </c>
      <c r="C634" s="2" t="s">
        <v>1516</v>
      </c>
      <c r="D634" s="1" t="s">
        <v>1909</v>
      </c>
      <c r="E634" s="1" t="s">
        <v>1909</v>
      </c>
      <c r="F634" s="1" t="s">
        <v>298</v>
      </c>
      <c r="G634" s="1" t="s">
        <v>963</v>
      </c>
      <c r="H634" s="1" t="s">
        <v>2015</v>
      </c>
      <c r="I634" s="1" t="s">
        <v>2094</v>
      </c>
      <c r="J634" s="1" t="s">
        <v>1145</v>
      </c>
      <c r="K634" s="1" t="s">
        <v>947</v>
      </c>
      <c r="L634" s="1" t="s">
        <v>1533</v>
      </c>
      <c r="M634" s="1" t="s">
        <v>1534</v>
      </c>
      <c r="N634" s="1" t="s">
        <v>110</v>
      </c>
      <c r="O634" s="1" t="s">
        <v>110</v>
      </c>
      <c r="P634" s="1" t="s">
        <v>110</v>
      </c>
      <c r="Q634" s="5">
        <v>44470</v>
      </c>
      <c r="R634" s="1" t="s">
        <v>346</v>
      </c>
      <c r="S634" s="1" t="s">
        <v>350</v>
      </c>
      <c r="T634" s="5">
        <v>44476</v>
      </c>
      <c r="U634" s="5">
        <v>44483</v>
      </c>
      <c r="V634" s="1" t="s">
        <v>2147</v>
      </c>
      <c r="W634" s="4">
        <v>1</v>
      </c>
      <c r="X634" s="6">
        <v>162547</v>
      </c>
      <c r="Y634" s="1" t="s">
        <v>1516</v>
      </c>
      <c r="Z634" s="1">
        <v>1</v>
      </c>
      <c r="AA634" s="6">
        <v>162547</v>
      </c>
      <c r="AB634" s="1" t="s">
        <v>2167</v>
      </c>
      <c r="AC634" s="6">
        <v>813</v>
      </c>
      <c r="AD634" s="1" t="s">
        <v>1100</v>
      </c>
      <c r="AE634" s="1" t="s">
        <v>2094</v>
      </c>
      <c r="AF634" s="1" t="s">
        <v>1186</v>
      </c>
      <c r="AG634" s="1" t="s">
        <v>1522</v>
      </c>
      <c r="AH634" s="6">
        <v>162547</v>
      </c>
      <c r="AI634" s="6">
        <v>162547</v>
      </c>
      <c r="AJ634" s="1" t="s">
        <v>2130</v>
      </c>
      <c r="AK634" s="1"/>
      <c r="AL634" s="1"/>
      <c r="AM634" s="1" t="s">
        <v>2130</v>
      </c>
      <c r="AN634" s="1" t="s">
        <v>796</v>
      </c>
      <c r="AO634" s="1" t="s">
        <v>1115</v>
      </c>
      <c r="AP634" s="1" t="s">
        <v>72</v>
      </c>
      <c r="AQ634" s="1"/>
      <c r="AR634" s="1"/>
      <c r="AS634" s="2"/>
      <c r="AT634" s="7">
        <v>44487.572833858103</v>
      </c>
      <c r="AU634" s="1" t="s">
        <v>357</v>
      </c>
      <c r="AV634" s="1" t="s">
        <v>372</v>
      </c>
      <c r="AW634" s="1" t="s">
        <v>2152</v>
      </c>
      <c r="AX634" s="7">
        <v>44491.654378738887</v>
      </c>
      <c r="AY634" s="1" t="s">
        <v>962</v>
      </c>
      <c r="AZ634" s="6">
        <v>162547</v>
      </c>
      <c r="BA634" s="1"/>
      <c r="BB634" s="5">
        <v>44561</v>
      </c>
      <c r="BC634" s="5">
        <v>44490</v>
      </c>
      <c r="BD634" s="5">
        <v>44490</v>
      </c>
      <c r="BE634" s="7">
        <v>44561</v>
      </c>
      <c r="BF634" s="1" t="s">
        <v>2170</v>
      </c>
      <c r="BG634" s="1"/>
      <c r="BH634" s="1"/>
      <c r="BI634" s="1" t="s">
        <v>797</v>
      </c>
    </row>
    <row r="635" spans="1:61" hidden="1" x14ac:dyDescent="0.25">
      <c r="A635" s="4">
        <v>630</v>
      </c>
      <c r="B635" s="2" t="str">
        <f>HYPERLINK("https://my.zakupivli.pro/remote/dispatcher/state_purchase_view/30423276", "UA-2021-10-01-009525-b")</f>
        <v>UA-2021-10-01-009525-b</v>
      </c>
      <c r="C635" s="2" t="s">
        <v>1516</v>
      </c>
      <c r="D635" s="1" t="s">
        <v>1995</v>
      </c>
      <c r="E635" s="1" t="s">
        <v>1995</v>
      </c>
      <c r="F635" s="1" t="s">
        <v>298</v>
      </c>
      <c r="G635" s="1" t="s">
        <v>974</v>
      </c>
      <c r="H635" s="1" t="s">
        <v>2015</v>
      </c>
      <c r="I635" s="1" t="s">
        <v>2094</v>
      </c>
      <c r="J635" s="1" t="s">
        <v>1145</v>
      </c>
      <c r="K635" s="1" t="s">
        <v>947</v>
      </c>
      <c r="L635" s="1" t="s">
        <v>1533</v>
      </c>
      <c r="M635" s="1" t="s">
        <v>1534</v>
      </c>
      <c r="N635" s="1" t="s">
        <v>110</v>
      </c>
      <c r="O635" s="1" t="s">
        <v>110</v>
      </c>
      <c r="P635" s="1" t="s">
        <v>110</v>
      </c>
      <c r="Q635" s="5">
        <v>44470</v>
      </c>
      <c r="R635" s="1" t="s">
        <v>346</v>
      </c>
      <c r="S635" s="1" t="s">
        <v>350</v>
      </c>
      <c r="T635" s="5">
        <v>44476</v>
      </c>
      <c r="U635" s="5">
        <v>44483</v>
      </c>
      <c r="V635" s="1" t="s">
        <v>2147</v>
      </c>
      <c r="W635" s="4">
        <v>1</v>
      </c>
      <c r="X635" s="6">
        <v>93902</v>
      </c>
      <c r="Y635" s="1" t="s">
        <v>1516</v>
      </c>
      <c r="Z635" s="1">
        <v>1</v>
      </c>
      <c r="AA635" s="6">
        <v>93902</v>
      </c>
      <c r="AB635" s="1" t="s">
        <v>2167</v>
      </c>
      <c r="AC635" s="6">
        <v>470</v>
      </c>
      <c r="AD635" s="1" t="s">
        <v>1100</v>
      </c>
      <c r="AE635" s="1" t="s">
        <v>2094</v>
      </c>
      <c r="AF635" s="1" t="s">
        <v>1186</v>
      </c>
      <c r="AG635" s="1" t="s">
        <v>1522</v>
      </c>
      <c r="AH635" s="6">
        <v>93901.31</v>
      </c>
      <c r="AI635" s="6">
        <v>93901.31</v>
      </c>
      <c r="AJ635" s="1" t="s">
        <v>2130</v>
      </c>
      <c r="AK635" s="6">
        <v>0.69000000000232831</v>
      </c>
      <c r="AL635" s="6">
        <v>7.3480863027659504E-6</v>
      </c>
      <c r="AM635" s="1" t="s">
        <v>2130</v>
      </c>
      <c r="AN635" s="1" t="s">
        <v>796</v>
      </c>
      <c r="AO635" s="1" t="s">
        <v>1115</v>
      </c>
      <c r="AP635" s="1" t="s">
        <v>72</v>
      </c>
      <c r="AQ635" s="6">
        <v>0.69000000000232831</v>
      </c>
      <c r="AR635" s="6">
        <v>7.3480863027659504E-6</v>
      </c>
      <c r="AS635" s="2"/>
      <c r="AT635" s="7">
        <v>44487.676469178994</v>
      </c>
      <c r="AU635" s="1" t="s">
        <v>357</v>
      </c>
      <c r="AV635" s="1" t="s">
        <v>372</v>
      </c>
      <c r="AW635" s="1" t="s">
        <v>2152</v>
      </c>
      <c r="AX635" s="7">
        <v>44491.65703432601</v>
      </c>
      <c r="AY635" s="1" t="s">
        <v>950</v>
      </c>
      <c r="AZ635" s="6">
        <v>93901.31</v>
      </c>
      <c r="BA635" s="1"/>
      <c r="BB635" s="5">
        <v>44561</v>
      </c>
      <c r="BC635" s="5">
        <v>44490</v>
      </c>
      <c r="BD635" s="5">
        <v>44490</v>
      </c>
      <c r="BE635" s="7">
        <v>44561</v>
      </c>
      <c r="BF635" s="1" t="s">
        <v>2170</v>
      </c>
      <c r="BG635" s="1"/>
      <c r="BH635" s="1"/>
      <c r="BI635" s="1" t="s">
        <v>797</v>
      </c>
    </row>
    <row r="636" spans="1:61" hidden="1" x14ac:dyDescent="0.25">
      <c r="A636" s="4">
        <v>631</v>
      </c>
      <c r="B636" s="2" t="str">
        <f>HYPERLINK("https://my.zakupivli.pro/remote/dispatcher/state_purchase_view/30269219", "UA-2021-09-28-007259-b")</f>
        <v>UA-2021-09-28-007259-b</v>
      </c>
      <c r="C636" s="2" t="s">
        <v>1516</v>
      </c>
      <c r="D636" s="1" t="s">
        <v>1991</v>
      </c>
      <c r="E636" s="1" t="s">
        <v>1991</v>
      </c>
      <c r="F636" s="1" t="s">
        <v>298</v>
      </c>
      <c r="G636" s="1" t="s">
        <v>963</v>
      </c>
      <c r="H636" s="1" t="s">
        <v>1218</v>
      </c>
      <c r="I636" s="1" t="s">
        <v>2094</v>
      </c>
      <c r="J636" s="1" t="s">
        <v>1145</v>
      </c>
      <c r="K636" s="1" t="s">
        <v>947</v>
      </c>
      <c r="L636" s="1" t="s">
        <v>1533</v>
      </c>
      <c r="M636" s="1" t="s">
        <v>1534</v>
      </c>
      <c r="N636" s="1" t="s">
        <v>110</v>
      </c>
      <c r="O636" s="1" t="s">
        <v>110</v>
      </c>
      <c r="P636" s="1" t="s">
        <v>110</v>
      </c>
      <c r="Q636" s="5">
        <v>44467</v>
      </c>
      <c r="R636" s="1"/>
      <c r="S636" s="1"/>
      <c r="T636" s="1"/>
      <c r="U636" s="1"/>
      <c r="V636" s="1" t="s">
        <v>2146</v>
      </c>
      <c r="W636" s="4">
        <v>1</v>
      </c>
      <c r="X636" s="6">
        <v>49960</v>
      </c>
      <c r="Y636" s="1" t="s">
        <v>1516</v>
      </c>
      <c r="Z636" s="1">
        <v>1</v>
      </c>
      <c r="AA636" s="6">
        <v>49960</v>
      </c>
      <c r="AB636" s="1" t="s">
        <v>2167</v>
      </c>
      <c r="AC636" s="1" t="s">
        <v>2162</v>
      </c>
      <c r="AD636" s="1" t="s">
        <v>1100</v>
      </c>
      <c r="AE636" s="1" t="s">
        <v>2094</v>
      </c>
      <c r="AF636" s="1" t="s">
        <v>1186</v>
      </c>
      <c r="AG636" s="1" t="s">
        <v>1522</v>
      </c>
      <c r="AH636" s="6">
        <v>49960</v>
      </c>
      <c r="AI636" s="6">
        <v>49960</v>
      </c>
      <c r="AJ636" s="1" t="s">
        <v>2060</v>
      </c>
      <c r="AK636" s="1"/>
      <c r="AL636" s="1"/>
      <c r="AM636" s="1" t="s">
        <v>2060</v>
      </c>
      <c r="AN636" s="1" t="s">
        <v>201</v>
      </c>
      <c r="AO636" s="1"/>
      <c r="AP636" s="1" t="s">
        <v>133</v>
      </c>
      <c r="AQ636" s="1"/>
      <c r="AR636" s="1"/>
      <c r="AS636" s="2"/>
      <c r="AT636" s="1"/>
      <c r="AU636" s="1"/>
      <c r="AV636" s="1"/>
      <c r="AW636" s="1" t="s">
        <v>2152</v>
      </c>
      <c r="AX636" s="7">
        <v>44467.656632818835</v>
      </c>
      <c r="AY636" s="1" t="s">
        <v>234</v>
      </c>
      <c r="AZ636" s="6">
        <v>49960</v>
      </c>
      <c r="BA636" s="1"/>
      <c r="BB636" s="5">
        <v>44561</v>
      </c>
      <c r="BC636" s="5">
        <v>44467</v>
      </c>
      <c r="BD636" s="5">
        <v>44467</v>
      </c>
      <c r="BE636" s="7">
        <v>44561</v>
      </c>
      <c r="BF636" s="1" t="s">
        <v>2170</v>
      </c>
      <c r="BG636" s="1"/>
      <c r="BH636" s="1"/>
      <c r="BI636" s="1" t="s">
        <v>108</v>
      </c>
    </row>
    <row r="637" spans="1:61" hidden="1" x14ac:dyDescent="0.25">
      <c r="A637" s="4">
        <v>632</v>
      </c>
      <c r="B637" s="2" t="str">
        <f>HYPERLINK("https://my.zakupivli.pro/remote/dispatcher/state_purchase_view/30317206", "UA-2021-09-28-010368-b")</f>
        <v>UA-2021-09-28-010368-b</v>
      </c>
      <c r="C637" s="2" t="s">
        <v>1516</v>
      </c>
      <c r="D637" s="1" t="s">
        <v>1992</v>
      </c>
      <c r="E637" s="1" t="s">
        <v>1992</v>
      </c>
      <c r="F637" s="1" t="s">
        <v>298</v>
      </c>
      <c r="G637" s="1" t="s">
        <v>963</v>
      </c>
      <c r="H637" s="1" t="s">
        <v>1218</v>
      </c>
      <c r="I637" s="1" t="s">
        <v>2094</v>
      </c>
      <c r="J637" s="1" t="s">
        <v>1145</v>
      </c>
      <c r="K637" s="1" t="s">
        <v>947</v>
      </c>
      <c r="L637" s="1" t="s">
        <v>1533</v>
      </c>
      <c r="M637" s="1" t="s">
        <v>1534</v>
      </c>
      <c r="N637" s="1" t="s">
        <v>110</v>
      </c>
      <c r="O637" s="1" t="s">
        <v>110</v>
      </c>
      <c r="P637" s="1" t="s">
        <v>110</v>
      </c>
      <c r="Q637" s="5">
        <v>44467</v>
      </c>
      <c r="R637" s="1"/>
      <c r="S637" s="1"/>
      <c r="T637" s="1"/>
      <c r="U637" s="1"/>
      <c r="V637" s="1" t="s">
        <v>2146</v>
      </c>
      <c r="W637" s="4">
        <v>1</v>
      </c>
      <c r="X637" s="6">
        <v>49980</v>
      </c>
      <c r="Y637" s="1" t="s">
        <v>1516</v>
      </c>
      <c r="Z637" s="1">
        <v>1</v>
      </c>
      <c r="AA637" s="6">
        <v>49980</v>
      </c>
      <c r="AB637" s="1" t="s">
        <v>2167</v>
      </c>
      <c r="AC637" s="1" t="s">
        <v>2162</v>
      </c>
      <c r="AD637" s="1" t="s">
        <v>1100</v>
      </c>
      <c r="AE637" s="1" t="s">
        <v>2094</v>
      </c>
      <c r="AF637" s="1" t="s">
        <v>1186</v>
      </c>
      <c r="AG637" s="1" t="s">
        <v>1522</v>
      </c>
      <c r="AH637" s="6">
        <v>49980</v>
      </c>
      <c r="AI637" s="6">
        <v>49980</v>
      </c>
      <c r="AJ637" s="1" t="s">
        <v>2060</v>
      </c>
      <c r="AK637" s="1"/>
      <c r="AL637" s="1"/>
      <c r="AM637" s="1" t="s">
        <v>2060</v>
      </c>
      <c r="AN637" s="1" t="s">
        <v>201</v>
      </c>
      <c r="AO637" s="1"/>
      <c r="AP637" s="1" t="s">
        <v>133</v>
      </c>
      <c r="AQ637" s="1"/>
      <c r="AR637" s="1"/>
      <c r="AS637" s="2"/>
      <c r="AT637" s="1"/>
      <c r="AU637" s="1"/>
      <c r="AV637" s="1"/>
      <c r="AW637" s="1" t="s">
        <v>2152</v>
      </c>
      <c r="AX637" s="7">
        <v>44467.704032343485</v>
      </c>
      <c r="AY637" s="1" t="s">
        <v>248</v>
      </c>
      <c r="AZ637" s="6">
        <v>49980</v>
      </c>
      <c r="BA637" s="1"/>
      <c r="BB637" s="5">
        <v>44561</v>
      </c>
      <c r="BC637" s="5">
        <v>44467</v>
      </c>
      <c r="BD637" s="5">
        <v>44467</v>
      </c>
      <c r="BE637" s="7">
        <v>44561</v>
      </c>
      <c r="BF637" s="1" t="s">
        <v>2170</v>
      </c>
      <c r="BG637" s="1"/>
      <c r="BH637" s="1"/>
      <c r="BI637" s="1" t="s">
        <v>108</v>
      </c>
    </row>
    <row r="638" spans="1:61" hidden="1" x14ac:dyDescent="0.25">
      <c r="A638" s="4">
        <v>633</v>
      </c>
      <c r="B638" s="2" t="str">
        <f>HYPERLINK("https://my.zakupivli.pro/remote/dispatcher/state_purchase_view/30320386", "UA-2021-09-28-011326-b")</f>
        <v>UA-2021-09-28-011326-b</v>
      </c>
      <c r="C638" s="2" t="s">
        <v>1516</v>
      </c>
      <c r="D638" s="1" t="s">
        <v>1990</v>
      </c>
      <c r="E638" s="1" t="s">
        <v>1990</v>
      </c>
      <c r="F638" s="1" t="s">
        <v>298</v>
      </c>
      <c r="G638" s="1" t="s">
        <v>963</v>
      </c>
      <c r="H638" s="1" t="s">
        <v>1218</v>
      </c>
      <c r="I638" s="1" t="s">
        <v>2094</v>
      </c>
      <c r="J638" s="1" t="s">
        <v>1145</v>
      </c>
      <c r="K638" s="1" t="s">
        <v>947</v>
      </c>
      <c r="L638" s="1" t="s">
        <v>1533</v>
      </c>
      <c r="M638" s="1" t="s">
        <v>1534</v>
      </c>
      <c r="N638" s="1" t="s">
        <v>110</v>
      </c>
      <c r="O638" s="1" t="s">
        <v>110</v>
      </c>
      <c r="P638" s="1" t="s">
        <v>110</v>
      </c>
      <c r="Q638" s="5">
        <v>44467</v>
      </c>
      <c r="R638" s="1"/>
      <c r="S638" s="1"/>
      <c r="T638" s="1"/>
      <c r="U638" s="1"/>
      <c r="V638" s="1" t="s">
        <v>2146</v>
      </c>
      <c r="W638" s="4">
        <v>1</v>
      </c>
      <c r="X638" s="6">
        <v>49850</v>
      </c>
      <c r="Y638" s="1" t="s">
        <v>1516</v>
      </c>
      <c r="Z638" s="1">
        <v>1</v>
      </c>
      <c r="AA638" s="6">
        <v>49850</v>
      </c>
      <c r="AB638" s="1" t="s">
        <v>2167</v>
      </c>
      <c r="AC638" s="1" t="s">
        <v>2162</v>
      </c>
      <c r="AD638" s="1" t="s">
        <v>1100</v>
      </c>
      <c r="AE638" s="1" t="s">
        <v>2094</v>
      </c>
      <c r="AF638" s="1" t="s">
        <v>1186</v>
      </c>
      <c r="AG638" s="1" t="s">
        <v>1522</v>
      </c>
      <c r="AH638" s="6">
        <v>49850</v>
      </c>
      <c r="AI638" s="6">
        <v>49850</v>
      </c>
      <c r="AJ638" s="1" t="s">
        <v>2060</v>
      </c>
      <c r="AK638" s="1"/>
      <c r="AL638" s="1"/>
      <c r="AM638" s="1" t="s">
        <v>2060</v>
      </c>
      <c r="AN638" s="1" t="s">
        <v>201</v>
      </c>
      <c r="AO638" s="1"/>
      <c r="AP638" s="1" t="s">
        <v>59</v>
      </c>
      <c r="AQ638" s="1"/>
      <c r="AR638" s="1"/>
      <c r="AS638" s="2"/>
      <c r="AT638" s="1"/>
      <c r="AU638" s="1"/>
      <c r="AV638" s="1"/>
      <c r="AW638" s="1" t="s">
        <v>2152</v>
      </c>
      <c r="AX638" s="7">
        <v>44468.372913979307</v>
      </c>
      <c r="AY638" s="1" t="s">
        <v>260</v>
      </c>
      <c r="AZ638" s="6">
        <v>49850</v>
      </c>
      <c r="BA638" s="1"/>
      <c r="BB638" s="5">
        <v>44561</v>
      </c>
      <c r="BC638" s="5">
        <v>44467</v>
      </c>
      <c r="BD638" s="5">
        <v>44467</v>
      </c>
      <c r="BE638" s="7">
        <v>44561</v>
      </c>
      <c r="BF638" s="1" t="s">
        <v>2170</v>
      </c>
      <c r="BG638" s="1"/>
      <c r="BH638" s="1"/>
      <c r="BI638" s="1" t="s">
        <v>108</v>
      </c>
    </row>
    <row r="639" spans="1:61" hidden="1" x14ac:dyDescent="0.25">
      <c r="A639" s="4">
        <v>634</v>
      </c>
      <c r="B639" s="2" t="str">
        <f>HYPERLINK("https://my.zakupivli.pro/remote/dispatcher/state_purchase_view/29648240", "UA-2021-09-08-005100-c")</f>
        <v>UA-2021-09-08-005100-c</v>
      </c>
      <c r="C639" s="2" t="s">
        <v>1516</v>
      </c>
      <c r="D639" s="1" t="s">
        <v>1567</v>
      </c>
      <c r="E639" s="1" t="s">
        <v>1567</v>
      </c>
      <c r="F639" s="1" t="s">
        <v>298</v>
      </c>
      <c r="G639" s="1" t="s">
        <v>1051</v>
      </c>
      <c r="H639" s="1" t="s">
        <v>2015</v>
      </c>
      <c r="I639" s="1" t="s">
        <v>2094</v>
      </c>
      <c r="J639" s="1" t="s">
        <v>1145</v>
      </c>
      <c r="K639" s="1" t="s">
        <v>947</v>
      </c>
      <c r="L639" s="1" t="s">
        <v>1533</v>
      </c>
      <c r="M639" s="1" t="s">
        <v>1534</v>
      </c>
      <c r="N639" s="1" t="s">
        <v>110</v>
      </c>
      <c r="O639" s="1" t="s">
        <v>110</v>
      </c>
      <c r="P639" s="1" t="s">
        <v>110</v>
      </c>
      <c r="Q639" s="5">
        <v>44447</v>
      </c>
      <c r="R639" s="1" t="s">
        <v>336</v>
      </c>
      <c r="S639" s="1" t="s">
        <v>339</v>
      </c>
      <c r="T639" s="5">
        <v>44453</v>
      </c>
      <c r="U639" s="5">
        <v>44456</v>
      </c>
      <c r="V639" s="7">
        <v>44456.521932870368</v>
      </c>
      <c r="W639" s="4">
        <v>2</v>
      </c>
      <c r="X639" s="6">
        <v>130000</v>
      </c>
      <c r="Y639" s="1" t="s">
        <v>1516</v>
      </c>
      <c r="Z639" s="1">
        <v>95000</v>
      </c>
      <c r="AA639" s="6">
        <v>1.37</v>
      </c>
      <c r="AB639" s="1" t="s">
        <v>2160</v>
      </c>
      <c r="AC639" s="6">
        <v>650</v>
      </c>
      <c r="AD639" s="1" t="s">
        <v>1100</v>
      </c>
      <c r="AE639" s="1" t="s">
        <v>2094</v>
      </c>
      <c r="AF639" s="1" t="s">
        <v>1186</v>
      </c>
      <c r="AG639" s="1" t="s">
        <v>1522</v>
      </c>
      <c r="AH639" s="6">
        <v>107350</v>
      </c>
      <c r="AI639" s="6">
        <v>1.1299999999999999</v>
      </c>
      <c r="AJ639" s="1" t="s">
        <v>2113</v>
      </c>
      <c r="AK639" s="6">
        <v>22650</v>
      </c>
      <c r="AL639" s="6">
        <v>0.17423076923076924</v>
      </c>
      <c r="AM639" s="1" t="s">
        <v>2122</v>
      </c>
      <c r="AN639" s="1" t="s">
        <v>225</v>
      </c>
      <c r="AO639" s="1" t="s">
        <v>1107</v>
      </c>
      <c r="AP639" s="1" t="s">
        <v>55</v>
      </c>
      <c r="AQ639" s="6">
        <v>8400</v>
      </c>
      <c r="AR639" s="6">
        <v>6.4615384615384616E-2</v>
      </c>
      <c r="AS639" s="2" t="str">
        <f>HYPERLINK("https://auctions.prozorro.gov.ua/tenders/cf38578048134f63a6a4b75edfc9734b")</f>
        <v>https://auctions.prozorro.gov.ua/tenders/cf38578048134f63a6a4b75edfc9734b</v>
      </c>
      <c r="AT639" s="7">
        <v>44460.44186598478</v>
      </c>
      <c r="AU639" s="1" t="s">
        <v>342</v>
      </c>
      <c r="AV639" s="1" t="s">
        <v>352</v>
      </c>
      <c r="AW639" s="1" t="s">
        <v>2152</v>
      </c>
      <c r="AX639" s="7">
        <v>44467.456138602087</v>
      </c>
      <c r="AY639" s="1" t="s">
        <v>767</v>
      </c>
      <c r="AZ639" s="6">
        <v>121600</v>
      </c>
      <c r="BA639" s="1"/>
      <c r="BB639" s="5">
        <v>44499</v>
      </c>
      <c r="BC639" s="5">
        <v>44467</v>
      </c>
      <c r="BD639" s="5">
        <v>44467</v>
      </c>
      <c r="BE639" s="7">
        <v>44561</v>
      </c>
      <c r="BF639" s="1" t="s">
        <v>2170</v>
      </c>
      <c r="BG639" s="1"/>
      <c r="BH639" s="1"/>
      <c r="BI639" s="1" t="s">
        <v>823</v>
      </c>
    </row>
    <row r="640" spans="1:61" hidden="1" x14ac:dyDescent="0.25">
      <c r="A640" s="4">
        <v>635</v>
      </c>
      <c r="B640" s="2" t="str">
        <f>HYPERLINK("https://my.zakupivli.pro/remote/dispatcher/state_purchase_view/29627335", "UA-2021-09-07-011508-c")</f>
        <v>UA-2021-09-07-011508-c</v>
      </c>
      <c r="C640" s="2" t="s">
        <v>1516</v>
      </c>
      <c r="D640" s="1" t="s">
        <v>1949</v>
      </c>
      <c r="E640" s="1" t="s">
        <v>1949</v>
      </c>
      <c r="F640" s="1" t="s">
        <v>298</v>
      </c>
      <c r="G640" s="1" t="s">
        <v>963</v>
      </c>
      <c r="H640" s="1" t="s">
        <v>1184</v>
      </c>
      <c r="I640" s="1" t="s">
        <v>2094</v>
      </c>
      <c r="J640" s="1" t="s">
        <v>1145</v>
      </c>
      <c r="K640" s="1" t="s">
        <v>947</v>
      </c>
      <c r="L640" s="1" t="s">
        <v>1533</v>
      </c>
      <c r="M640" s="1" t="s">
        <v>1533</v>
      </c>
      <c r="N640" s="1" t="s">
        <v>110</v>
      </c>
      <c r="O640" s="1" t="s">
        <v>110</v>
      </c>
      <c r="P640" s="1" t="s">
        <v>110</v>
      </c>
      <c r="Q640" s="5">
        <v>44446</v>
      </c>
      <c r="R640" s="1" t="s">
        <v>335</v>
      </c>
      <c r="S640" s="1" t="s">
        <v>338</v>
      </c>
      <c r="T640" s="5">
        <v>44446</v>
      </c>
      <c r="U640" s="5">
        <v>44462</v>
      </c>
      <c r="V640" s="7">
        <v>44462.663414351853</v>
      </c>
      <c r="W640" s="4">
        <v>2</v>
      </c>
      <c r="X640" s="6">
        <v>400000</v>
      </c>
      <c r="Y640" s="1" t="s">
        <v>1516</v>
      </c>
      <c r="Z640" s="1">
        <v>1</v>
      </c>
      <c r="AA640" s="6">
        <v>400000</v>
      </c>
      <c r="AB640" s="1" t="s">
        <v>2167</v>
      </c>
      <c r="AC640" s="6">
        <v>4000</v>
      </c>
      <c r="AD640" s="1" t="s">
        <v>1100</v>
      </c>
      <c r="AE640" s="1" t="s">
        <v>2094</v>
      </c>
      <c r="AF640" s="1" t="s">
        <v>1186</v>
      </c>
      <c r="AG640" s="1" t="s">
        <v>1522</v>
      </c>
      <c r="AH640" s="6">
        <v>380000</v>
      </c>
      <c r="AI640" s="6">
        <v>380000</v>
      </c>
      <c r="AJ640" s="1" t="s">
        <v>2120</v>
      </c>
      <c r="AK640" s="6">
        <v>20000</v>
      </c>
      <c r="AL640" s="6">
        <v>0.05</v>
      </c>
      <c r="AM640" s="1"/>
      <c r="AN640" s="1"/>
      <c r="AO640" s="1"/>
      <c r="AP640" s="1"/>
      <c r="AQ640" s="1"/>
      <c r="AR640" s="1"/>
      <c r="AS640" s="2" t="str">
        <f>HYPERLINK("https://auctions.prozorro.gov.ua/tenders/d086a06534314096afb80ca1a967b8a9")</f>
        <v>https://auctions.prozorro.gov.ua/tenders/d086a06534314096afb80ca1a967b8a9</v>
      </c>
      <c r="AT640" s="7">
        <v>44467.726308896461</v>
      </c>
      <c r="AU640" s="1"/>
      <c r="AV640" s="1"/>
      <c r="AW640" s="1" t="s">
        <v>2153</v>
      </c>
      <c r="AX640" s="7">
        <v>44478.001401324829</v>
      </c>
      <c r="AY640" s="1"/>
      <c r="AZ640" s="1"/>
      <c r="BA640" s="1"/>
      <c r="BB640" s="5">
        <v>44561</v>
      </c>
      <c r="BC640" s="1" t="s">
        <v>109</v>
      </c>
      <c r="BD640" s="1" t="s">
        <v>109</v>
      </c>
      <c r="BE640" s="1"/>
      <c r="BF640" s="1"/>
      <c r="BG640" s="1"/>
      <c r="BH640" s="1"/>
      <c r="BI640" s="1" t="s">
        <v>779</v>
      </c>
    </row>
    <row r="641" spans="1:61" hidden="1" x14ac:dyDescent="0.25">
      <c r="A641" s="4">
        <v>636</v>
      </c>
      <c r="B641" s="2" t="str">
        <f>HYPERLINK("https://my.zakupivli.pro/remote/dispatcher/state_purchase_view/29626884", "UA-2021-09-07-011363-c")</f>
        <v>UA-2021-09-07-011363-c</v>
      </c>
      <c r="C641" s="2" t="str">
        <f>HYPERLINK("https://my.zakupivli.pro/remote/dispatcher/state_purchase_lot_view/688430", "UA-2021-09-07-011363-c-L2")</f>
        <v>UA-2021-09-07-011363-c-L2</v>
      </c>
      <c r="D641" s="1" t="s">
        <v>1943</v>
      </c>
      <c r="E641" s="1" t="s">
        <v>1908</v>
      </c>
      <c r="F641" s="1" t="s">
        <v>298</v>
      </c>
      <c r="G641" s="1" t="s">
        <v>963</v>
      </c>
      <c r="H641" s="1" t="s">
        <v>1184</v>
      </c>
      <c r="I641" s="1" t="s">
        <v>2094</v>
      </c>
      <c r="J641" s="1" t="s">
        <v>1145</v>
      </c>
      <c r="K641" s="1" t="s">
        <v>947</v>
      </c>
      <c r="L641" s="1" t="s">
        <v>1533</v>
      </c>
      <c r="M641" s="1" t="s">
        <v>1533</v>
      </c>
      <c r="N641" s="1" t="s">
        <v>110</v>
      </c>
      <c r="O641" s="1" t="s">
        <v>110</v>
      </c>
      <c r="P641" s="1" t="s">
        <v>110</v>
      </c>
      <c r="Q641" s="5">
        <v>44446</v>
      </c>
      <c r="R641" s="1" t="s">
        <v>335</v>
      </c>
      <c r="S641" s="1" t="s">
        <v>338</v>
      </c>
      <c r="T641" s="5">
        <v>44446</v>
      </c>
      <c r="U641" s="5">
        <v>44462</v>
      </c>
      <c r="V641" s="7">
        <v>44462.537499999999</v>
      </c>
      <c r="W641" s="4">
        <v>2</v>
      </c>
      <c r="X641" s="6">
        <v>286569</v>
      </c>
      <c r="Y641" s="6">
        <v>167000</v>
      </c>
      <c r="Z641" s="1">
        <v>1</v>
      </c>
      <c r="AA641" s="6">
        <v>167000</v>
      </c>
      <c r="AB641" s="1" t="s">
        <v>2167</v>
      </c>
      <c r="AC641" s="6">
        <v>1670</v>
      </c>
      <c r="AD641" s="1" t="s">
        <v>1100</v>
      </c>
      <c r="AE641" s="1" t="s">
        <v>2094</v>
      </c>
      <c r="AF641" s="1" t="s">
        <v>1186</v>
      </c>
      <c r="AG641" s="1" t="s">
        <v>1522</v>
      </c>
      <c r="AH641" s="6">
        <v>160050.06</v>
      </c>
      <c r="AI641" s="6">
        <v>160050.06</v>
      </c>
      <c r="AJ641" s="1" t="s">
        <v>2120</v>
      </c>
      <c r="AK641" s="6">
        <v>6949.9400000000023</v>
      </c>
      <c r="AL641" s="6">
        <v>4.1616407185628757E-2</v>
      </c>
      <c r="AM641" s="1"/>
      <c r="AN641" s="1"/>
      <c r="AO641" s="1"/>
      <c r="AP641" s="1"/>
      <c r="AQ641" s="1"/>
      <c r="AR641" s="1"/>
      <c r="AS641" s="2" t="str">
        <f>HYPERLINK("https://auctions.prozorro.gov.ua/tenders/cbfc5e6125e74a92a747436d59c67178_537cedff6f1148be95054c346f78be0a")</f>
        <v>https://auctions.prozorro.gov.ua/tenders/cbfc5e6125e74a92a747436d59c67178_537cedff6f1148be95054c346f78be0a</v>
      </c>
      <c r="AT641" s="7">
        <v>44467.719753596852</v>
      </c>
      <c r="AU641" s="1"/>
      <c r="AV641" s="1"/>
      <c r="AW641" s="1" t="s">
        <v>2153</v>
      </c>
      <c r="AX641" s="7">
        <v>44478.003254815405</v>
      </c>
      <c r="AY641" s="1"/>
      <c r="AZ641" s="1"/>
      <c r="BA641" s="1"/>
      <c r="BB641" s="5">
        <v>44561</v>
      </c>
      <c r="BC641" s="1" t="s">
        <v>109</v>
      </c>
      <c r="BD641" s="1" t="s">
        <v>109</v>
      </c>
      <c r="BE641" s="1"/>
      <c r="BF641" s="1"/>
      <c r="BG641" s="1"/>
      <c r="BH641" s="1"/>
      <c r="BI641" s="1" t="s">
        <v>777</v>
      </c>
    </row>
    <row r="642" spans="1:61" hidden="1" x14ac:dyDescent="0.25">
      <c r="A642" s="4">
        <v>637</v>
      </c>
      <c r="B642" s="2" t="str">
        <f>HYPERLINK("https://my.zakupivli.pro/remote/dispatcher/state_purchase_view/29626884", "UA-2021-09-07-011363-c")</f>
        <v>UA-2021-09-07-011363-c</v>
      </c>
      <c r="C642" s="2" t="str">
        <f>HYPERLINK("https://my.zakupivli.pro/remote/dispatcher/state_purchase_lot_view/688429", "UA-2021-09-07-011363-c-L1")</f>
        <v>UA-2021-09-07-011363-c-L1</v>
      </c>
      <c r="D642" s="1" t="s">
        <v>1945</v>
      </c>
      <c r="E642" s="1" t="s">
        <v>1948</v>
      </c>
      <c r="F642" s="1" t="s">
        <v>298</v>
      </c>
      <c r="G642" s="1" t="s">
        <v>963</v>
      </c>
      <c r="H642" s="1" t="s">
        <v>1184</v>
      </c>
      <c r="I642" s="1" t="s">
        <v>2094</v>
      </c>
      <c r="J642" s="1" t="s">
        <v>1145</v>
      </c>
      <c r="K642" s="1" t="s">
        <v>947</v>
      </c>
      <c r="L642" s="1" t="s">
        <v>1533</v>
      </c>
      <c r="M642" s="1" t="s">
        <v>1533</v>
      </c>
      <c r="N642" s="1" t="s">
        <v>110</v>
      </c>
      <c r="O642" s="1" t="s">
        <v>110</v>
      </c>
      <c r="P642" s="1" t="s">
        <v>110</v>
      </c>
      <c r="Q642" s="5">
        <v>44446</v>
      </c>
      <c r="R642" s="1" t="s">
        <v>335</v>
      </c>
      <c r="S642" s="1" t="s">
        <v>338</v>
      </c>
      <c r="T642" s="5">
        <v>44446</v>
      </c>
      <c r="U642" s="5">
        <v>44462</v>
      </c>
      <c r="V642" s="7">
        <v>44462.512638888889</v>
      </c>
      <c r="W642" s="4">
        <v>2</v>
      </c>
      <c r="X642" s="6">
        <v>286569</v>
      </c>
      <c r="Y642" s="6">
        <v>119569</v>
      </c>
      <c r="Z642" s="1">
        <v>1</v>
      </c>
      <c r="AA642" s="6">
        <v>119569</v>
      </c>
      <c r="AB642" s="1" t="s">
        <v>2167</v>
      </c>
      <c r="AC642" s="6">
        <v>1195.69</v>
      </c>
      <c r="AD642" s="1" t="s">
        <v>1100</v>
      </c>
      <c r="AE642" s="1" t="s">
        <v>2094</v>
      </c>
      <c r="AF642" s="1" t="s">
        <v>1186</v>
      </c>
      <c r="AG642" s="1" t="s">
        <v>1522</v>
      </c>
      <c r="AH642" s="6">
        <v>112190.49</v>
      </c>
      <c r="AI642" s="6">
        <v>112190.49</v>
      </c>
      <c r="AJ642" s="1" t="s">
        <v>2120</v>
      </c>
      <c r="AK642" s="6">
        <v>7378.5099999999948</v>
      </c>
      <c r="AL642" s="6">
        <v>6.1709222290058416E-2</v>
      </c>
      <c r="AM642" s="1"/>
      <c r="AN642" s="1"/>
      <c r="AO642" s="1"/>
      <c r="AP642" s="1"/>
      <c r="AQ642" s="1"/>
      <c r="AR642" s="1"/>
      <c r="AS642" s="2" t="str">
        <f>HYPERLINK("https://auctions.prozorro.gov.ua/tenders/cbfc5e6125e74a92a747436d59c67178_b88eb72154ad46a4a171095b4c670b0e")</f>
        <v>https://auctions.prozorro.gov.ua/tenders/cbfc5e6125e74a92a747436d59c67178_b88eb72154ad46a4a171095b4c670b0e</v>
      </c>
      <c r="AT642" s="7">
        <v>44467.719753596852</v>
      </c>
      <c r="AU642" s="1"/>
      <c r="AV642" s="1"/>
      <c r="AW642" s="1" t="s">
        <v>2153</v>
      </c>
      <c r="AX642" s="7">
        <v>44478.003254815405</v>
      </c>
      <c r="AY642" s="1"/>
      <c r="AZ642" s="1"/>
      <c r="BA642" s="1"/>
      <c r="BB642" s="5">
        <v>44561</v>
      </c>
      <c r="BC642" s="1" t="s">
        <v>109</v>
      </c>
      <c r="BD642" s="1" t="s">
        <v>109</v>
      </c>
      <c r="BE642" s="1"/>
      <c r="BF642" s="1"/>
      <c r="BG642" s="1"/>
      <c r="BH642" s="1"/>
      <c r="BI642" s="1" t="s">
        <v>779</v>
      </c>
    </row>
    <row r="643" spans="1:61" hidden="1" x14ac:dyDescent="0.25">
      <c r="A643" s="4">
        <v>638</v>
      </c>
      <c r="B643" s="2" t="str">
        <f>HYPERLINK("https://my.zakupivli.pro/remote/dispatcher/state_purchase_view/29626931", "UA-2021-09-07-011403-c")</f>
        <v>UA-2021-09-07-011403-c</v>
      </c>
      <c r="C643" s="2" t="s">
        <v>1516</v>
      </c>
      <c r="D643" s="1" t="s">
        <v>1966</v>
      </c>
      <c r="E643" s="1" t="s">
        <v>1966</v>
      </c>
      <c r="F643" s="1" t="s">
        <v>298</v>
      </c>
      <c r="G643" s="1" t="s">
        <v>974</v>
      </c>
      <c r="H643" s="1" t="s">
        <v>1184</v>
      </c>
      <c r="I643" s="1" t="s">
        <v>2094</v>
      </c>
      <c r="J643" s="1" t="s">
        <v>1145</v>
      </c>
      <c r="K643" s="1" t="s">
        <v>947</v>
      </c>
      <c r="L643" s="1" t="s">
        <v>1533</v>
      </c>
      <c r="M643" s="1" t="s">
        <v>1533</v>
      </c>
      <c r="N643" s="1" t="s">
        <v>110</v>
      </c>
      <c r="O643" s="1" t="s">
        <v>110</v>
      </c>
      <c r="P643" s="1" t="s">
        <v>153</v>
      </c>
      <c r="Q643" s="5">
        <v>44446</v>
      </c>
      <c r="R643" s="1" t="s">
        <v>335</v>
      </c>
      <c r="S643" s="1" t="s">
        <v>338</v>
      </c>
      <c r="T643" s="5">
        <v>44446</v>
      </c>
      <c r="U643" s="5">
        <v>44462</v>
      </c>
      <c r="V643" s="7">
        <v>44462.498229166667</v>
      </c>
      <c r="W643" s="4">
        <v>4</v>
      </c>
      <c r="X643" s="6">
        <v>363769</v>
      </c>
      <c r="Y643" s="1" t="s">
        <v>1516</v>
      </c>
      <c r="Z643" s="1">
        <v>1</v>
      </c>
      <c r="AA643" s="6">
        <v>363769</v>
      </c>
      <c r="AB643" s="1" t="s">
        <v>2167</v>
      </c>
      <c r="AC643" s="6">
        <v>3637.69</v>
      </c>
      <c r="AD643" s="1" t="s">
        <v>1100</v>
      </c>
      <c r="AE643" s="1" t="s">
        <v>2094</v>
      </c>
      <c r="AF643" s="1" t="s">
        <v>1186</v>
      </c>
      <c r="AG643" s="1" t="s">
        <v>1522</v>
      </c>
      <c r="AH643" s="6">
        <v>188000</v>
      </c>
      <c r="AI643" s="6">
        <v>188000</v>
      </c>
      <c r="AJ643" s="1" t="s">
        <v>2120</v>
      </c>
      <c r="AK643" s="6">
        <v>175769</v>
      </c>
      <c r="AL643" s="6">
        <v>0.48318850699207466</v>
      </c>
      <c r="AM643" s="1"/>
      <c r="AN643" s="1"/>
      <c r="AO643" s="1"/>
      <c r="AP643" s="1"/>
      <c r="AQ643" s="1"/>
      <c r="AR643" s="1"/>
      <c r="AS643" s="2" t="str">
        <f>HYPERLINK("https://auctions.prozorro.gov.ua/tenders/60a2722523694db59c0ce6759cdd6e54")</f>
        <v>https://auctions.prozorro.gov.ua/tenders/60a2722523694db59c0ce6759cdd6e54</v>
      </c>
      <c r="AT643" s="7">
        <v>44474.65782200425</v>
      </c>
      <c r="AU643" s="1"/>
      <c r="AV643" s="1"/>
      <c r="AW643" s="1" t="s">
        <v>2153</v>
      </c>
      <c r="AX643" s="7">
        <v>44485.002911277894</v>
      </c>
      <c r="AY643" s="1"/>
      <c r="AZ643" s="1"/>
      <c r="BA643" s="1"/>
      <c r="BB643" s="5">
        <v>44561</v>
      </c>
      <c r="BC643" s="1" t="s">
        <v>109</v>
      </c>
      <c r="BD643" s="1" t="s">
        <v>109</v>
      </c>
      <c r="BE643" s="1"/>
      <c r="BF643" s="1"/>
      <c r="BG643" s="1"/>
      <c r="BH643" s="1"/>
      <c r="BI643" s="1" t="s">
        <v>783</v>
      </c>
    </row>
    <row r="644" spans="1:61" hidden="1" x14ac:dyDescent="0.25">
      <c r="A644" s="4">
        <v>639</v>
      </c>
      <c r="B644" s="2" t="str">
        <f>HYPERLINK("https://my.zakupivli.pro/remote/dispatcher/state_purchase_view/29627198", "UA-2021-09-07-011457-c")</f>
        <v>UA-2021-09-07-011457-c</v>
      </c>
      <c r="C644" s="2" t="str">
        <f>HYPERLINK("https://my.zakupivli.pro/remote/dispatcher/state_purchase_lot_view/688436", "UA-2021-09-07-011457-c-L1")</f>
        <v>UA-2021-09-07-011457-c-L1</v>
      </c>
      <c r="D644" s="1" t="s">
        <v>1939</v>
      </c>
      <c r="E644" s="1" t="s">
        <v>1950</v>
      </c>
      <c r="F644" s="1" t="s">
        <v>298</v>
      </c>
      <c r="G644" s="1" t="s">
        <v>963</v>
      </c>
      <c r="H644" s="1" t="s">
        <v>1184</v>
      </c>
      <c r="I644" s="1" t="s">
        <v>2094</v>
      </c>
      <c r="J644" s="1" t="s">
        <v>1145</v>
      </c>
      <c r="K644" s="1" t="s">
        <v>947</v>
      </c>
      <c r="L644" s="1" t="s">
        <v>1533</v>
      </c>
      <c r="M644" s="1" t="s">
        <v>1533</v>
      </c>
      <c r="N644" s="1" t="s">
        <v>110</v>
      </c>
      <c r="O644" s="1" t="s">
        <v>110</v>
      </c>
      <c r="P644" s="1" t="s">
        <v>110</v>
      </c>
      <c r="Q644" s="5">
        <v>44446</v>
      </c>
      <c r="R644" s="1" t="s">
        <v>335</v>
      </c>
      <c r="S644" s="1" t="s">
        <v>338</v>
      </c>
      <c r="T644" s="5">
        <v>44446</v>
      </c>
      <c r="U644" s="5">
        <v>44462</v>
      </c>
      <c r="V644" s="1" t="s">
        <v>2147</v>
      </c>
      <c r="W644" s="4">
        <v>1</v>
      </c>
      <c r="X644" s="6">
        <v>208431</v>
      </c>
      <c r="Y644" s="6">
        <v>77117</v>
      </c>
      <c r="Z644" s="1">
        <v>1</v>
      </c>
      <c r="AA644" s="6">
        <v>77117</v>
      </c>
      <c r="AB644" s="1" t="s">
        <v>2167</v>
      </c>
      <c r="AC644" s="6">
        <v>771.17</v>
      </c>
      <c r="AD644" s="1" t="s">
        <v>1100</v>
      </c>
      <c r="AE644" s="1" t="s">
        <v>2094</v>
      </c>
      <c r="AF644" s="1" t="s">
        <v>1186</v>
      </c>
      <c r="AG644" s="1" t="s">
        <v>1522</v>
      </c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2"/>
      <c r="AT644" s="1"/>
      <c r="AU644" s="1"/>
      <c r="AV644" s="1"/>
      <c r="AW644" s="1" t="s">
        <v>2153</v>
      </c>
      <c r="AX644" s="7">
        <v>44462.000928269292</v>
      </c>
      <c r="AY644" s="1"/>
      <c r="AZ644" s="1"/>
      <c r="BA644" s="1"/>
      <c r="BB644" s="5">
        <v>44561</v>
      </c>
      <c r="BC644" s="1" t="s">
        <v>109</v>
      </c>
      <c r="BD644" s="1" t="s">
        <v>109</v>
      </c>
      <c r="BE644" s="1"/>
      <c r="BF644" s="1"/>
      <c r="BG644" s="1"/>
      <c r="BH644" s="1"/>
      <c r="BI644" s="1" t="s">
        <v>929</v>
      </c>
    </row>
    <row r="645" spans="1:61" hidden="1" x14ac:dyDescent="0.25">
      <c r="A645" s="4">
        <v>640</v>
      </c>
      <c r="B645" s="2" t="str">
        <f>HYPERLINK("https://my.zakupivli.pro/remote/dispatcher/state_purchase_view/29627198", "UA-2021-09-07-011457-c")</f>
        <v>UA-2021-09-07-011457-c</v>
      </c>
      <c r="C645" s="2" t="str">
        <f>HYPERLINK("https://my.zakupivli.pro/remote/dispatcher/state_purchase_lot_view/688437", "UA-2021-09-07-011457-c-L2")</f>
        <v>UA-2021-09-07-011457-c-L2</v>
      </c>
      <c r="D645" s="1" t="s">
        <v>1940</v>
      </c>
      <c r="E645" s="1" t="s">
        <v>1953</v>
      </c>
      <c r="F645" s="1" t="s">
        <v>298</v>
      </c>
      <c r="G645" s="1" t="s">
        <v>963</v>
      </c>
      <c r="H645" s="1" t="s">
        <v>1184</v>
      </c>
      <c r="I645" s="1" t="s">
        <v>2094</v>
      </c>
      <c r="J645" s="1" t="s">
        <v>1145</v>
      </c>
      <c r="K645" s="1" t="s">
        <v>947</v>
      </c>
      <c r="L645" s="1" t="s">
        <v>1533</v>
      </c>
      <c r="M645" s="1" t="s">
        <v>1533</v>
      </c>
      <c r="N645" s="1" t="s">
        <v>110</v>
      </c>
      <c r="O645" s="1" t="s">
        <v>110</v>
      </c>
      <c r="P645" s="1" t="s">
        <v>110</v>
      </c>
      <c r="Q645" s="5">
        <v>44446</v>
      </c>
      <c r="R645" s="1" t="s">
        <v>335</v>
      </c>
      <c r="S645" s="1" t="s">
        <v>338</v>
      </c>
      <c r="T645" s="5">
        <v>44446</v>
      </c>
      <c r="U645" s="5">
        <v>44462</v>
      </c>
      <c r="V645" s="1" t="s">
        <v>2147</v>
      </c>
      <c r="W645" s="4">
        <v>1</v>
      </c>
      <c r="X645" s="6">
        <v>208431</v>
      </c>
      <c r="Y645" s="6">
        <v>131314</v>
      </c>
      <c r="Z645" s="1">
        <v>1</v>
      </c>
      <c r="AA645" s="6">
        <v>131314</v>
      </c>
      <c r="AB645" s="1" t="s">
        <v>2167</v>
      </c>
      <c r="AC645" s="6">
        <v>1313.14</v>
      </c>
      <c r="AD645" s="1" t="s">
        <v>1100</v>
      </c>
      <c r="AE645" s="1" t="s">
        <v>2094</v>
      </c>
      <c r="AF645" s="1" t="s">
        <v>1186</v>
      </c>
      <c r="AG645" s="1" t="s">
        <v>1522</v>
      </c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2"/>
      <c r="AT645" s="1"/>
      <c r="AU645" s="1"/>
      <c r="AV645" s="1"/>
      <c r="AW645" s="1" t="s">
        <v>2153</v>
      </c>
      <c r="AX645" s="7">
        <v>44462.000928269292</v>
      </c>
      <c r="AY645" s="1"/>
      <c r="AZ645" s="1"/>
      <c r="BA645" s="1"/>
      <c r="BB645" s="5">
        <v>44561</v>
      </c>
      <c r="BC645" s="1" t="s">
        <v>109</v>
      </c>
      <c r="BD645" s="1" t="s">
        <v>109</v>
      </c>
      <c r="BE645" s="1"/>
      <c r="BF645" s="1"/>
      <c r="BG645" s="1"/>
      <c r="BH645" s="1"/>
      <c r="BI645" s="1" t="s">
        <v>929</v>
      </c>
    </row>
    <row r="646" spans="1:61" hidden="1" x14ac:dyDescent="0.25">
      <c r="A646" s="4">
        <v>641</v>
      </c>
      <c r="B646" s="2" t="str">
        <f>HYPERLINK("https://my.zakupivli.pro/remote/dispatcher/state_purchase_view/29627233", "UA-2021-09-07-011481-c")</f>
        <v>UA-2021-09-07-011481-c</v>
      </c>
      <c r="C646" s="2" t="s">
        <v>1516</v>
      </c>
      <c r="D646" s="1" t="s">
        <v>1954</v>
      </c>
      <c r="E646" s="1" t="s">
        <v>1954</v>
      </c>
      <c r="F646" s="1" t="s">
        <v>298</v>
      </c>
      <c r="G646" s="1" t="s">
        <v>963</v>
      </c>
      <c r="H646" s="1" t="s">
        <v>1184</v>
      </c>
      <c r="I646" s="1" t="s">
        <v>2094</v>
      </c>
      <c r="J646" s="1" t="s">
        <v>1145</v>
      </c>
      <c r="K646" s="1" t="s">
        <v>947</v>
      </c>
      <c r="L646" s="1" t="s">
        <v>1533</v>
      </c>
      <c r="M646" s="1" t="s">
        <v>1533</v>
      </c>
      <c r="N646" s="1" t="s">
        <v>110</v>
      </c>
      <c r="O646" s="1" t="s">
        <v>110</v>
      </c>
      <c r="P646" s="1" t="s">
        <v>110</v>
      </c>
      <c r="Q646" s="5">
        <v>44446</v>
      </c>
      <c r="R646" s="1" t="s">
        <v>335</v>
      </c>
      <c r="S646" s="1" t="s">
        <v>338</v>
      </c>
      <c r="T646" s="5">
        <v>44446</v>
      </c>
      <c r="U646" s="5">
        <v>44462</v>
      </c>
      <c r="V646" s="1" t="s">
        <v>2147</v>
      </c>
      <c r="W646" s="4">
        <v>1</v>
      </c>
      <c r="X646" s="6">
        <v>244467</v>
      </c>
      <c r="Y646" s="1" t="s">
        <v>1516</v>
      </c>
      <c r="Z646" s="1">
        <v>1</v>
      </c>
      <c r="AA646" s="6">
        <v>244467</v>
      </c>
      <c r="AB646" s="1" t="s">
        <v>2167</v>
      </c>
      <c r="AC646" s="6">
        <v>2444.67</v>
      </c>
      <c r="AD646" s="1" t="s">
        <v>1100</v>
      </c>
      <c r="AE646" s="1" t="s">
        <v>2094</v>
      </c>
      <c r="AF646" s="1" t="s">
        <v>1186</v>
      </c>
      <c r="AG646" s="1" t="s">
        <v>1522</v>
      </c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2"/>
      <c r="AT646" s="1"/>
      <c r="AU646" s="1"/>
      <c r="AV646" s="1"/>
      <c r="AW646" s="1" t="s">
        <v>2153</v>
      </c>
      <c r="AX646" s="7">
        <v>44462.003016345901</v>
      </c>
      <c r="AY646" s="1"/>
      <c r="AZ646" s="1"/>
      <c r="BA646" s="1"/>
      <c r="BB646" s="5">
        <v>44561</v>
      </c>
      <c r="BC646" s="1" t="s">
        <v>109</v>
      </c>
      <c r="BD646" s="1" t="s">
        <v>109</v>
      </c>
      <c r="BE646" s="1"/>
      <c r="BF646" s="1"/>
      <c r="BG646" s="1"/>
      <c r="BH646" s="1"/>
      <c r="BI646" s="1" t="s">
        <v>929</v>
      </c>
    </row>
    <row r="647" spans="1:61" hidden="1" x14ac:dyDescent="0.25">
      <c r="A647" s="4">
        <v>642</v>
      </c>
      <c r="B647" s="2" t="str">
        <f>HYPERLINK("https://my.zakupivli.pro/remote/dispatcher/state_purchase_view/29628068", "UA-2021-09-07-011710-c")</f>
        <v>UA-2021-09-07-011710-c</v>
      </c>
      <c r="C647" s="2" t="s">
        <v>1516</v>
      </c>
      <c r="D647" s="1" t="s">
        <v>1592</v>
      </c>
      <c r="E647" s="1" t="s">
        <v>1592</v>
      </c>
      <c r="F647" s="1" t="s">
        <v>298</v>
      </c>
      <c r="G647" s="1" t="s">
        <v>966</v>
      </c>
      <c r="H647" s="1" t="s">
        <v>1184</v>
      </c>
      <c r="I647" s="1" t="s">
        <v>2094</v>
      </c>
      <c r="J647" s="1" t="s">
        <v>1145</v>
      </c>
      <c r="K647" s="1" t="s">
        <v>947</v>
      </c>
      <c r="L647" s="1" t="s">
        <v>1533</v>
      </c>
      <c r="M647" s="1" t="s">
        <v>1533</v>
      </c>
      <c r="N647" s="1" t="s">
        <v>110</v>
      </c>
      <c r="O647" s="1" t="s">
        <v>110</v>
      </c>
      <c r="P647" s="1" t="s">
        <v>110</v>
      </c>
      <c r="Q647" s="5">
        <v>44446</v>
      </c>
      <c r="R647" s="1" t="s">
        <v>335</v>
      </c>
      <c r="S647" s="1" t="s">
        <v>338</v>
      </c>
      <c r="T647" s="5">
        <v>44446</v>
      </c>
      <c r="U647" s="5">
        <v>44462</v>
      </c>
      <c r="V647" s="7">
        <v>44462.588888888888</v>
      </c>
      <c r="W647" s="4">
        <v>3</v>
      </c>
      <c r="X647" s="6">
        <v>696861</v>
      </c>
      <c r="Y647" s="1" t="s">
        <v>1516</v>
      </c>
      <c r="Z647" s="1">
        <v>1</v>
      </c>
      <c r="AA647" s="6">
        <v>696861</v>
      </c>
      <c r="AB647" s="1" t="s">
        <v>2167</v>
      </c>
      <c r="AC647" s="6">
        <v>6968.61</v>
      </c>
      <c r="AD647" s="1" t="s">
        <v>1100</v>
      </c>
      <c r="AE647" s="1" t="s">
        <v>2094</v>
      </c>
      <c r="AF647" s="1" t="s">
        <v>1186</v>
      </c>
      <c r="AG647" s="1" t="s">
        <v>1522</v>
      </c>
      <c r="AH647" s="6">
        <v>662017.94999999995</v>
      </c>
      <c r="AI647" s="6">
        <v>662017.94999999995</v>
      </c>
      <c r="AJ647" s="1" t="s">
        <v>2120</v>
      </c>
      <c r="AK647" s="6">
        <v>34843.050000000047</v>
      </c>
      <c r="AL647" s="6">
        <v>5.0000000000000065E-2</v>
      </c>
      <c r="AM647" s="1" t="s">
        <v>2114</v>
      </c>
      <c r="AN647" s="1" t="s">
        <v>281</v>
      </c>
      <c r="AO647" s="1" t="s">
        <v>1133</v>
      </c>
      <c r="AP647" s="1" t="s">
        <v>87</v>
      </c>
      <c r="AQ647" s="6">
        <v>4861</v>
      </c>
      <c r="AR647" s="6">
        <v>6.9755661459028418E-3</v>
      </c>
      <c r="AS647" s="2" t="str">
        <f>HYPERLINK("https://auctions.prozorro.gov.ua/tenders/92d4a9c6f7594bceb04eb4571f7d4e3f")</f>
        <v>https://auctions.prozorro.gov.ua/tenders/92d4a9c6f7594bceb04eb4571f7d4e3f</v>
      </c>
      <c r="AT647" s="7">
        <v>44466.740063818666</v>
      </c>
      <c r="AU647" s="1" t="s">
        <v>351</v>
      </c>
      <c r="AV647" s="1" t="s">
        <v>356</v>
      </c>
      <c r="AW647" s="1" t="s">
        <v>2152</v>
      </c>
      <c r="AX647" s="7">
        <v>44481.483261456538</v>
      </c>
      <c r="AY647" s="1" t="s">
        <v>903</v>
      </c>
      <c r="AZ647" s="6">
        <v>692000</v>
      </c>
      <c r="BA647" s="1"/>
      <c r="BB647" s="5">
        <v>44561</v>
      </c>
      <c r="BC647" s="5">
        <v>44481</v>
      </c>
      <c r="BD647" s="5">
        <v>44481</v>
      </c>
      <c r="BE647" s="7">
        <v>44561</v>
      </c>
      <c r="BF647" s="1" t="s">
        <v>2170</v>
      </c>
      <c r="BG647" s="1"/>
      <c r="BH647" s="1"/>
      <c r="BI647" s="1" t="s">
        <v>776</v>
      </c>
    </row>
    <row r="648" spans="1:61" hidden="1" x14ac:dyDescent="0.25">
      <c r="A648" s="4">
        <v>643</v>
      </c>
      <c r="B648" s="2" t="str">
        <f>HYPERLINK("https://my.zakupivli.pro/remote/dispatcher/state_purchase_view/29455081", "UA-2021-09-01-007987-a")</f>
        <v>UA-2021-09-01-007987-a</v>
      </c>
      <c r="C648" s="2" t="s">
        <v>1516</v>
      </c>
      <c r="D648" s="1" t="s">
        <v>1952</v>
      </c>
      <c r="E648" s="1" t="s">
        <v>1952</v>
      </c>
      <c r="F648" s="1" t="s">
        <v>298</v>
      </c>
      <c r="G648" s="1" t="s">
        <v>963</v>
      </c>
      <c r="H648" s="1" t="s">
        <v>2015</v>
      </c>
      <c r="I648" s="1" t="s">
        <v>2094</v>
      </c>
      <c r="J648" s="1" t="s">
        <v>1145</v>
      </c>
      <c r="K648" s="1" t="s">
        <v>947</v>
      </c>
      <c r="L648" s="1" t="s">
        <v>1533</v>
      </c>
      <c r="M648" s="1" t="s">
        <v>1533</v>
      </c>
      <c r="N648" s="1" t="s">
        <v>110</v>
      </c>
      <c r="O648" s="1" t="s">
        <v>110</v>
      </c>
      <c r="P648" s="1" t="s">
        <v>110</v>
      </c>
      <c r="Q648" s="5">
        <v>44440</v>
      </c>
      <c r="R648" s="1" t="s">
        <v>333</v>
      </c>
      <c r="S648" s="1" t="s">
        <v>335</v>
      </c>
      <c r="T648" s="5">
        <v>44446</v>
      </c>
      <c r="U648" s="5">
        <v>44449</v>
      </c>
      <c r="V648" s="1" t="s">
        <v>2147</v>
      </c>
      <c r="W648" s="4">
        <v>1</v>
      </c>
      <c r="X648" s="6">
        <v>161251</v>
      </c>
      <c r="Y648" s="1" t="s">
        <v>1516</v>
      </c>
      <c r="Z648" s="1">
        <v>1</v>
      </c>
      <c r="AA648" s="6">
        <v>161251</v>
      </c>
      <c r="AB648" s="1" t="s">
        <v>2167</v>
      </c>
      <c r="AC648" s="6">
        <v>806.26</v>
      </c>
      <c r="AD648" s="1" t="s">
        <v>1100</v>
      </c>
      <c r="AE648" s="1" t="s">
        <v>2094</v>
      </c>
      <c r="AF648" s="1" t="s">
        <v>1186</v>
      </c>
      <c r="AG648" s="1" t="s">
        <v>1522</v>
      </c>
      <c r="AH648" s="6">
        <v>161250</v>
      </c>
      <c r="AI648" s="6">
        <v>161250</v>
      </c>
      <c r="AJ648" s="1" t="s">
        <v>1512</v>
      </c>
      <c r="AK648" s="6">
        <v>1</v>
      </c>
      <c r="AL648" s="6">
        <v>6.201511928608195E-6</v>
      </c>
      <c r="AM648" s="1" t="s">
        <v>1512</v>
      </c>
      <c r="AN648" s="1" t="s">
        <v>198</v>
      </c>
      <c r="AO648" s="1" t="s">
        <v>1121</v>
      </c>
      <c r="AP648" s="1" t="s">
        <v>870</v>
      </c>
      <c r="AQ648" s="6">
        <v>1</v>
      </c>
      <c r="AR648" s="6">
        <v>6.201511928608195E-6</v>
      </c>
      <c r="AS648" s="2"/>
      <c r="AT648" s="7">
        <v>44452.59416567476</v>
      </c>
      <c r="AU648" s="1" t="s">
        <v>339</v>
      </c>
      <c r="AV648" s="1" t="s">
        <v>347</v>
      </c>
      <c r="AW648" s="1" t="s">
        <v>2152</v>
      </c>
      <c r="AX648" s="7">
        <v>44467.523296588646</v>
      </c>
      <c r="AY648" s="1" t="s">
        <v>773</v>
      </c>
      <c r="AZ648" s="6">
        <v>161250</v>
      </c>
      <c r="BA648" s="1"/>
      <c r="BB648" s="5">
        <v>44561</v>
      </c>
      <c r="BC648" s="5">
        <v>44467</v>
      </c>
      <c r="BD648" s="5">
        <v>44467</v>
      </c>
      <c r="BE648" s="7">
        <v>44561</v>
      </c>
      <c r="BF648" s="1" t="s">
        <v>2170</v>
      </c>
      <c r="BG648" s="1"/>
      <c r="BH648" s="1"/>
      <c r="BI648" s="1" t="s">
        <v>199</v>
      </c>
    </row>
    <row r="649" spans="1:61" hidden="1" x14ac:dyDescent="0.25">
      <c r="A649" s="4">
        <v>644</v>
      </c>
      <c r="B649" s="2" t="str">
        <f>HYPERLINK("https://my.zakupivli.pro/remote/dispatcher/state_purchase_view/29454129", "UA-2021-09-01-007733-a")</f>
        <v>UA-2021-09-01-007733-a</v>
      </c>
      <c r="C649" s="2" t="s">
        <v>1516</v>
      </c>
      <c r="D649" s="1" t="s">
        <v>1933</v>
      </c>
      <c r="E649" s="1" t="s">
        <v>1933</v>
      </c>
      <c r="F649" s="1" t="s">
        <v>298</v>
      </c>
      <c r="G649" s="1" t="s">
        <v>974</v>
      </c>
      <c r="H649" s="1" t="s">
        <v>2015</v>
      </c>
      <c r="I649" s="1" t="s">
        <v>2094</v>
      </c>
      <c r="J649" s="1" t="s">
        <v>1145</v>
      </c>
      <c r="K649" s="1" t="s">
        <v>947</v>
      </c>
      <c r="L649" s="1" t="s">
        <v>1533</v>
      </c>
      <c r="M649" s="1" t="s">
        <v>1533</v>
      </c>
      <c r="N649" s="1" t="s">
        <v>153</v>
      </c>
      <c r="O649" s="1" t="s">
        <v>110</v>
      </c>
      <c r="P649" s="1" t="s">
        <v>110</v>
      </c>
      <c r="Q649" s="5">
        <v>44440</v>
      </c>
      <c r="R649" s="1" t="s">
        <v>333</v>
      </c>
      <c r="S649" s="1" t="s">
        <v>335</v>
      </c>
      <c r="T649" s="5">
        <v>44446</v>
      </c>
      <c r="U649" s="5">
        <v>44449</v>
      </c>
      <c r="V649" s="1" t="s">
        <v>2147</v>
      </c>
      <c r="W649" s="4">
        <v>1</v>
      </c>
      <c r="X649" s="6">
        <v>166047</v>
      </c>
      <c r="Y649" s="1" t="s">
        <v>1516</v>
      </c>
      <c r="Z649" s="1">
        <v>1</v>
      </c>
      <c r="AA649" s="6">
        <v>166047</v>
      </c>
      <c r="AB649" s="1" t="s">
        <v>2167</v>
      </c>
      <c r="AC649" s="6">
        <v>830.24</v>
      </c>
      <c r="AD649" s="1" t="s">
        <v>1100</v>
      </c>
      <c r="AE649" s="1" t="s">
        <v>2094</v>
      </c>
      <c r="AF649" s="1" t="s">
        <v>1186</v>
      </c>
      <c r="AG649" s="1" t="s">
        <v>1522</v>
      </c>
      <c r="AH649" s="6">
        <v>166046.82999999999</v>
      </c>
      <c r="AI649" s="6">
        <v>166046.82999999999</v>
      </c>
      <c r="AJ649" s="1" t="s">
        <v>1512</v>
      </c>
      <c r="AK649" s="6">
        <v>0.17000000001280569</v>
      </c>
      <c r="AL649" s="6">
        <v>1.0238065126910194E-6</v>
      </c>
      <c r="AM649" s="1" t="s">
        <v>1512</v>
      </c>
      <c r="AN649" s="1" t="s">
        <v>198</v>
      </c>
      <c r="AO649" s="1" t="s">
        <v>1121</v>
      </c>
      <c r="AP649" s="1" t="s">
        <v>870</v>
      </c>
      <c r="AQ649" s="6">
        <v>0.17000000001280569</v>
      </c>
      <c r="AR649" s="6">
        <v>1.0238065126910194E-6</v>
      </c>
      <c r="AS649" s="2"/>
      <c r="AT649" s="7">
        <v>44452.600202601148</v>
      </c>
      <c r="AU649" s="1" t="s">
        <v>339</v>
      </c>
      <c r="AV649" s="1" t="s">
        <v>347</v>
      </c>
      <c r="AW649" s="1" t="s">
        <v>2152</v>
      </c>
      <c r="AX649" s="7">
        <v>44460.732987604038</v>
      </c>
      <c r="AY649" s="1" t="s">
        <v>757</v>
      </c>
      <c r="AZ649" s="6">
        <v>166046.82999999999</v>
      </c>
      <c r="BA649" s="1"/>
      <c r="BB649" s="5">
        <v>44561</v>
      </c>
      <c r="BC649" s="5">
        <v>44460</v>
      </c>
      <c r="BD649" s="5">
        <v>44460</v>
      </c>
      <c r="BE649" s="7">
        <v>44561</v>
      </c>
      <c r="BF649" s="1" t="s">
        <v>2170</v>
      </c>
      <c r="BG649" s="1"/>
      <c r="BH649" s="1"/>
      <c r="BI649" s="1" t="s">
        <v>199</v>
      </c>
    </row>
    <row r="650" spans="1:61" hidden="1" x14ac:dyDescent="0.25">
      <c r="A650" s="4">
        <v>645</v>
      </c>
      <c r="B650" s="2" t="str">
        <f>HYPERLINK("https://my.zakupivli.pro/remote/dispatcher/state_purchase_view/29440730", "UA-2021-09-01-004023-a")</f>
        <v>UA-2021-09-01-004023-a</v>
      </c>
      <c r="C650" s="2" t="s">
        <v>1516</v>
      </c>
      <c r="D650" s="1" t="s">
        <v>1925</v>
      </c>
      <c r="E650" s="1" t="s">
        <v>1925</v>
      </c>
      <c r="F650" s="1" t="s">
        <v>298</v>
      </c>
      <c r="G650" s="1" t="s">
        <v>965</v>
      </c>
      <c r="H650" s="1" t="s">
        <v>1218</v>
      </c>
      <c r="I650" s="1" t="s">
        <v>2094</v>
      </c>
      <c r="J650" s="1" t="s">
        <v>1145</v>
      </c>
      <c r="K650" s="1" t="s">
        <v>947</v>
      </c>
      <c r="L650" s="1" t="s">
        <v>1533</v>
      </c>
      <c r="M650" s="1" t="s">
        <v>1533</v>
      </c>
      <c r="N650" s="1" t="s">
        <v>110</v>
      </c>
      <c r="O650" s="1" t="s">
        <v>110</v>
      </c>
      <c r="P650" s="1" t="s">
        <v>110</v>
      </c>
      <c r="Q650" s="5">
        <v>44440</v>
      </c>
      <c r="R650" s="1"/>
      <c r="S650" s="1"/>
      <c r="T650" s="1"/>
      <c r="U650" s="1"/>
      <c r="V650" s="1" t="s">
        <v>2146</v>
      </c>
      <c r="W650" s="4">
        <v>1</v>
      </c>
      <c r="X650" s="6">
        <v>20200</v>
      </c>
      <c r="Y650" s="1" t="s">
        <v>1516</v>
      </c>
      <c r="Z650" s="1">
        <v>1</v>
      </c>
      <c r="AA650" s="6">
        <v>20200</v>
      </c>
      <c r="AB650" s="1" t="s">
        <v>2167</v>
      </c>
      <c r="AC650" s="1" t="s">
        <v>2162</v>
      </c>
      <c r="AD650" s="1" t="s">
        <v>1100</v>
      </c>
      <c r="AE650" s="1" t="s">
        <v>2094</v>
      </c>
      <c r="AF650" s="1" t="s">
        <v>1186</v>
      </c>
      <c r="AG650" s="1" t="s">
        <v>1522</v>
      </c>
      <c r="AH650" s="6">
        <v>20200</v>
      </c>
      <c r="AI650" s="6">
        <v>20200</v>
      </c>
      <c r="AJ650" s="1" t="s">
        <v>2060</v>
      </c>
      <c r="AK650" s="1"/>
      <c r="AL650" s="1"/>
      <c r="AM650" s="1" t="s">
        <v>2060</v>
      </c>
      <c r="AN650" s="1" t="s">
        <v>201</v>
      </c>
      <c r="AO650" s="1"/>
      <c r="AP650" s="1" t="s">
        <v>133</v>
      </c>
      <c r="AQ650" s="1"/>
      <c r="AR650" s="1"/>
      <c r="AS650" s="2"/>
      <c r="AT650" s="1"/>
      <c r="AU650" s="1"/>
      <c r="AV650" s="1"/>
      <c r="AW650" s="1" t="s">
        <v>2152</v>
      </c>
      <c r="AX650" s="7">
        <v>44440.557463258585</v>
      </c>
      <c r="AY650" s="1" t="s">
        <v>712</v>
      </c>
      <c r="AZ650" s="6">
        <v>20200</v>
      </c>
      <c r="BA650" s="1"/>
      <c r="BB650" s="5">
        <v>44561</v>
      </c>
      <c r="BC650" s="5">
        <v>44440</v>
      </c>
      <c r="BD650" s="5">
        <v>44440</v>
      </c>
      <c r="BE650" s="7">
        <v>44561</v>
      </c>
      <c r="BF650" s="1" t="s">
        <v>2170</v>
      </c>
      <c r="BG650" s="1"/>
      <c r="BH650" s="1"/>
      <c r="BI650" s="1" t="s">
        <v>108</v>
      </c>
    </row>
    <row r="651" spans="1:61" hidden="1" x14ac:dyDescent="0.25">
      <c r="A651" s="4">
        <v>646</v>
      </c>
      <c r="B651" s="2" t="str">
        <f>HYPERLINK("https://my.zakupivli.pro/remote/dispatcher/state_purchase_view/29387139", "UA-2021-08-30-006390-a")</f>
        <v>UA-2021-08-30-006390-a</v>
      </c>
      <c r="C651" s="2" t="s">
        <v>1516</v>
      </c>
      <c r="D651" s="1" t="s">
        <v>1928</v>
      </c>
      <c r="E651" s="1" t="s">
        <v>1928</v>
      </c>
      <c r="F651" s="1" t="s">
        <v>298</v>
      </c>
      <c r="G651" s="1" t="s">
        <v>963</v>
      </c>
      <c r="H651" s="1" t="s">
        <v>2015</v>
      </c>
      <c r="I651" s="1" t="s">
        <v>2094</v>
      </c>
      <c r="J651" s="1" t="s">
        <v>1145</v>
      </c>
      <c r="K651" s="1" t="s">
        <v>947</v>
      </c>
      <c r="L651" s="1" t="s">
        <v>1533</v>
      </c>
      <c r="M651" s="1" t="s">
        <v>1533</v>
      </c>
      <c r="N651" s="1" t="s">
        <v>110</v>
      </c>
      <c r="O651" s="1" t="s">
        <v>110</v>
      </c>
      <c r="P651" s="1" t="s">
        <v>110</v>
      </c>
      <c r="Q651" s="5">
        <v>44438</v>
      </c>
      <c r="R651" s="1" t="s">
        <v>332</v>
      </c>
      <c r="S651" s="1" t="s">
        <v>334</v>
      </c>
      <c r="T651" s="5">
        <v>44442</v>
      </c>
      <c r="U651" s="5">
        <v>44447</v>
      </c>
      <c r="V651" s="1" t="s">
        <v>2147</v>
      </c>
      <c r="W651" s="4">
        <v>1</v>
      </c>
      <c r="X651" s="6">
        <v>199900</v>
      </c>
      <c r="Y651" s="1" t="s">
        <v>1516</v>
      </c>
      <c r="Z651" s="1">
        <v>1</v>
      </c>
      <c r="AA651" s="6">
        <v>199900</v>
      </c>
      <c r="AB651" s="1" t="s">
        <v>2167</v>
      </c>
      <c r="AC651" s="6">
        <v>999.5</v>
      </c>
      <c r="AD651" s="1" t="s">
        <v>1100</v>
      </c>
      <c r="AE651" s="1" t="s">
        <v>2094</v>
      </c>
      <c r="AF651" s="1" t="s">
        <v>1186</v>
      </c>
      <c r="AG651" s="1" t="s">
        <v>1522</v>
      </c>
      <c r="AH651" s="6">
        <v>199900</v>
      </c>
      <c r="AI651" s="6">
        <v>199900</v>
      </c>
      <c r="AJ651" s="1" t="s">
        <v>2031</v>
      </c>
      <c r="AK651" s="1"/>
      <c r="AL651" s="1"/>
      <c r="AM651" s="1" t="s">
        <v>2031</v>
      </c>
      <c r="AN651" s="1" t="s">
        <v>201</v>
      </c>
      <c r="AO651" s="1" t="s">
        <v>1101</v>
      </c>
      <c r="AP651" s="1" t="s">
        <v>59</v>
      </c>
      <c r="AQ651" s="1"/>
      <c r="AR651" s="1"/>
      <c r="AS651" s="2"/>
      <c r="AT651" s="7">
        <v>44447.625545743518</v>
      </c>
      <c r="AU651" s="1" t="s">
        <v>337</v>
      </c>
      <c r="AV651" s="1" t="s">
        <v>344</v>
      </c>
      <c r="AW651" s="1" t="s">
        <v>2152</v>
      </c>
      <c r="AX651" s="7">
        <v>44459.647720807858</v>
      </c>
      <c r="AY651" s="1" t="s">
        <v>728</v>
      </c>
      <c r="AZ651" s="6">
        <v>199900</v>
      </c>
      <c r="BA651" s="1"/>
      <c r="BB651" s="5">
        <v>44561</v>
      </c>
      <c r="BC651" s="5">
        <v>44459</v>
      </c>
      <c r="BD651" s="5">
        <v>44459</v>
      </c>
      <c r="BE651" s="7">
        <v>44561</v>
      </c>
      <c r="BF651" s="1" t="s">
        <v>2170</v>
      </c>
      <c r="BG651" s="1"/>
      <c r="BH651" s="1"/>
      <c r="BI651" s="1" t="s">
        <v>202</v>
      </c>
    </row>
    <row r="652" spans="1:61" hidden="1" x14ac:dyDescent="0.25">
      <c r="A652" s="4">
        <v>647</v>
      </c>
      <c r="B652" s="2" t="str">
        <f>HYPERLINK("https://my.zakupivli.pro/remote/dispatcher/state_purchase_view/29306319", "UA-2021-08-26-018467-a")</f>
        <v>UA-2021-08-26-018467-a</v>
      </c>
      <c r="C652" s="2" t="s">
        <v>1516</v>
      </c>
      <c r="D652" s="1" t="s">
        <v>1567</v>
      </c>
      <c r="E652" s="1" t="s">
        <v>1567</v>
      </c>
      <c r="F652" s="1" t="s">
        <v>298</v>
      </c>
      <c r="G652" s="1" t="s">
        <v>1051</v>
      </c>
      <c r="H652" s="1" t="s">
        <v>2015</v>
      </c>
      <c r="I652" s="1" t="s">
        <v>2094</v>
      </c>
      <c r="J652" s="1" t="s">
        <v>1145</v>
      </c>
      <c r="K652" s="1" t="s">
        <v>947</v>
      </c>
      <c r="L652" s="1" t="s">
        <v>1533</v>
      </c>
      <c r="M652" s="1" t="s">
        <v>1533</v>
      </c>
      <c r="N652" s="1" t="s">
        <v>110</v>
      </c>
      <c r="O652" s="1" t="s">
        <v>110</v>
      </c>
      <c r="P652" s="1" t="s">
        <v>110</v>
      </c>
      <c r="Q652" s="5">
        <v>44434</v>
      </c>
      <c r="R652" s="1" t="s">
        <v>329</v>
      </c>
      <c r="S652" s="1" t="s">
        <v>333</v>
      </c>
      <c r="T652" s="5">
        <v>44440</v>
      </c>
      <c r="U652" s="5">
        <v>44445</v>
      </c>
      <c r="V652" s="1" t="s">
        <v>2147</v>
      </c>
      <c r="W652" s="4">
        <v>1</v>
      </c>
      <c r="X652" s="6">
        <v>130000</v>
      </c>
      <c r="Y652" s="1" t="s">
        <v>1516</v>
      </c>
      <c r="Z652" s="1">
        <v>95000</v>
      </c>
      <c r="AA652" s="6">
        <v>1.37</v>
      </c>
      <c r="AB652" s="1" t="s">
        <v>2160</v>
      </c>
      <c r="AC652" s="6">
        <v>650</v>
      </c>
      <c r="AD652" s="1" t="s">
        <v>1100</v>
      </c>
      <c r="AE652" s="1" t="s">
        <v>2094</v>
      </c>
      <c r="AF652" s="1" t="s">
        <v>1186</v>
      </c>
      <c r="AG652" s="1" t="s">
        <v>1522</v>
      </c>
      <c r="AH652" s="6">
        <v>107350</v>
      </c>
      <c r="AI652" s="6">
        <v>1.1299999999999999</v>
      </c>
      <c r="AJ652" s="1" t="s">
        <v>2122</v>
      </c>
      <c r="AK652" s="6">
        <v>22650</v>
      </c>
      <c r="AL652" s="6">
        <v>0.17423076923076924</v>
      </c>
      <c r="AM652" s="1"/>
      <c r="AN652" s="1"/>
      <c r="AO652" s="1"/>
      <c r="AP652" s="1"/>
      <c r="AQ652" s="1"/>
      <c r="AR652" s="1"/>
      <c r="AS652" s="2"/>
      <c r="AT652" s="7">
        <v>44446.637941460045</v>
      </c>
      <c r="AU652" s="1"/>
      <c r="AV652" s="1"/>
      <c r="AW652" s="1" t="s">
        <v>2153</v>
      </c>
      <c r="AX652" s="7">
        <v>44449.002241520859</v>
      </c>
      <c r="AY652" s="1"/>
      <c r="AZ652" s="1"/>
      <c r="BA652" s="1"/>
      <c r="BB652" s="5">
        <v>44499</v>
      </c>
      <c r="BC652" s="1" t="s">
        <v>109</v>
      </c>
      <c r="BD652" s="1" t="s">
        <v>109</v>
      </c>
      <c r="BE652" s="1"/>
      <c r="BF652" s="1"/>
      <c r="BG652" s="1"/>
      <c r="BH652" s="1"/>
      <c r="BI652" s="1" t="s">
        <v>226</v>
      </c>
    </row>
    <row r="653" spans="1:61" hidden="1" x14ac:dyDescent="0.25">
      <c r="A653" s="4">
        <v>648</v>
      </c>
      <c r="B653" s="2" t="str">
        <f t="shared" ref="B653:B661" si="0">HYPERLINK("https://my.zakupivli.pro/remote/dispatcher/state_purchase_view/29212113", "UA-2021-08-20-009338-a")</f>
        <v>UA-2021-08-20-009338-a</v>
      </c>
      <c r="C653" s="2" t="str">
        <f>HYPERLINK("https://my.zakupivli.pro/remote/dispatcher/state_purchase_lot_view/683867", "UA-2021-08-20-009338-a-L2")</f>
        <v>UA-2021-08-20-009338-a-L2</v>
      </c>
      <c r="D653" s="1" t="s">
        <v>1633</v>
      </c>
      <c r="E653" s="1" t="s">
        <v>1643</v>
      </c>
      <c r="F653" s="1" t="s">
        <v>298</v>
      </c>
      <c r="G653" s="1" t="s">
        <v>966</v>
      </c>
      <c r="H653" s="1" t="s">
        <v>1184</v>
      </c>
      <c r="I653" s="1" t="s">
        <v>2094</v>
      </c>
      <c r="J653" s="1" t="s">
        <v>1145</v>
      </c>
      <c r="K653" s="1" t="s">
        <v>947</v>
      </c>
      <c r="L653" s="1" t="s">
        <v>1533</v>
      </c>
      <c r="M653" s="1" t="s">
        <v>1534</v>
      </c>
      <c r="N653" s="1" t="s">
        <v>110</v>
      </c>
      <c r="O653" s="1" t="s">
        <v>110</v>
      </c>
      <c r="P653" s="1" t="s">
        <v>110</v>
      </c>
      <c r="Q653" s="5">
        <v>44428</v>
      </c>
      <c r="R653" s="1" t="s">
        <v>327</v>
      </c>
      <c r="S653" s="1" t="s">
        <v>331</v>
      </c>
      <c r="T653" s="5">
        <v>44428</v>
      </c>
      <c r="U653" s="5">
        <v>44447</v>
      </c>
      <c r="V653" s="7">
        <v>44448.611550925925</v>
      </c>
      <c r="W653" s="4">
        <v>2</v>
      </c>
      <c r="X653" s="6">
        <v>4100000</v>
      </c>
      <c r="Y653" s="6">
        <v>330000</v>
      </c>
      <c r="Z653" s="1">
        <v>1</v>
      </c>
      <c r="AA653" s="6">
        <v>330000</v>
      </c>
      <c r="AB653" s="1" t="s">
        <v>2167</v>
      </c>
      <c r="AC653" s="6">
        <v>3300</v>
      </c>
      <c r="AD653" s="1" t="s">
        <v>1100</v>
      </c>
      <c r="AE653" s="1" t="s">
        <v>2094</v>
      </c>
      <c r="AF653" s="1" t="s">
        <v>1186</v>
      </c>
      <c r="AG653" s="1" t="s">
        <v>1522</v>
      </c>
      <c r="AH653" s="6">
        <v>328166.56</v>
      </c>
      <c r="AI653" s="6">
        <v>328166.56</v>
      </c>
      <c r="AJ653" s="1" t="s">
        <v>2035</v>
      </c>
      <c r="AK653" s="6">
        <v>1833.4400000000023</v>
      </c>
      <c r="AL653" s="6">
        <v>5.5558787878787945E-3</v>
      </c>
      <c r="AM653" s="1" t="s">
        <v>2035</v>
      </c>
      <c r="AN653" s="1" t="s">
        <v>916</v>
      </c>
      <c r="AO653" s="1" t="s">
        <v>1108</v>
      </c>
      <c r="AP653" s="1" t="s">
        <v>90</v>
      </c>
      <c r="AQ653" s="6">
        <v>1833.4400000000023</v>
      </c>
      <c r="AR653" s="6">
        <v>5.5558787878787945E-3</v>
      </c>
      <c r="AS653" s="2" t="str">
        <f>HYPERLINK("https://auctions.prozorro.gov.ua/tenders/75c2a57a0ecd4770985d0788f044c47b_18a9014f62584594898c86b070ec5988")</f>
        <v>https://auctions.prozorro.gov.ua/tenders/75c2a57a0ecd4770985d0788f044c47b_18a9014f62584594898c86b070ec5988</v>
      </c>
      <c r="AT653" s="7">
        <v>44452.522640139701</v>
      </c>
      <c r="AU653" s="1" t="s">
        <v>341</v>
      </c>
      <c r="AV653" s="1" t="s">
        <v>346</v>
      </c>
      <c r="AW653" s="1" t="s">
        <v>2151</v>
      </c>
      <c r="AX653" s="7">
        <v>44468.661105924453</v>
      </c>
      <c r="AY653" s="1" t="s">
        <v>878</v>
      </c>
      <c r="AZ653" s="6">
        <v>328166.56</v>
      </c>
      <c r="BA653" s="1"/>
      <c r="BB653" s="5">
        <v>44561</v>
      </c>
      <c r="BC653" s="5">
        <v>44467</v>
      </c>
      <c r="BD653" s="5">
        <v>44467</v>
      </c>
      <c r="BE653" s="7">
        <v>44561</v>
      </c>
      <c r="BF653" s="1" t="s">
        <v>2170</v>
      </c>
      <c r="BG653" s="1"/>
      <c r="BH653" s="1"/>
      <c r="BI653" s="1" t="s">
        <v>918</v>
      </c>
    </row>
    <row r="654" spans="1:61" hidden="1" x14ac:dyDescent="0.25">
      <c r="A654" s="4">
        <v>649</v>
      </c>
      <c r="B654" s="2" t="str">
        <f t="shared" si="0"/>
        <v>UA-2021-08-20-009338-a</v>
      </c>
      <c r="C654" s="2" t="str">
        <f>HYPERLINK("https://my.zakupivli.pro/remote/dispatcher/state_purchase_lot_view/683872", "UA-2021-08-20-009338-a-L7")</f>
        <v>UA-2021-08-20-009338-a-L7</v>
      </c>
      <c r="D654" s="1" t="s">
        <v>1626</v>
      </c>
      <c r="E654" s="1" t="s">
        <v>1600</v>
      </c>
      <c r="F654" s="1" t="s">
        <v>298</v>
      </c>
      <c r="G654" s="1" t="s">
        <v>966</v>
      </c>
      <c r="H654" s="1" t="s">
        <v>1184</v>
      </c>
      <c r="I654" s="1" t="s">
        <v>2094</v>
      </c>
      <c r="J654" s="1" t="s">
        <v>1145</v>
      </c>
      <c r="K654" s="1" t="s">
        <v>947</v>
      </c>
      <c r="L654" s="1" t="s">
        <v>1533</v>
      </c>
      <c r="M654" s="1" t="s">
        <v>1534</v>
      </c>
      <c r="N654" s="1" t="s">
        <v>110</v>
      </c>
      <c r="O654" s="1" t="s">
        <v>110</v>
      </c>
      <c r="P654" s="1" t="s">
        <v>110</v>
      </c>
      <c r="Q654" s="5">
        <v>44428</v>
      </c>
      <c r="R654" s="1" t="s">
        <v>327</v>
      </c>
      <c r="S654" s="1" t="s">
        <v>331</v>
      </c>
      <c r="T654" s="5">
        <v>44428</v>
      </c>
      <c r="U654" s="5">
        <v>44447</v>
      </c>
      <c r="V654" s="7">
        <v>44448.514953703707</v>
      </c>
      <c r="W654" s="4">
        <v>2</v>
      </c>
      <c r="X654" s="6">
        <v>4100000</v>
      </c>
      <c r="Y654" s="6">
        <v>205000</v>
      </c>
      <c r="Z654" s="1">
        <v>1</v>
      </c>
      <c r="AA654" s="6">
        <v>205000</v>
      </c>
      <c r="AB654" s="1" t="s">
        <v>2167</v>
      </c>
      <c r="AC654" s="6">
        <v>2050</v>
      </c>
      <c r="AD654" s="1" t="s">
        <v>1100</v>
      </c>
      <c r="AE654" s="1" t="s">
        <v>2094</v>
      </c>
      <c r="AF654" s="1" t="s">
        <v>1186</v>
      </c>
      <c r="AG654" s="1" t="s">
        <v>1522</v>
      </c>
      <c r="AH654" s="6">
        <v>194371.09</v>
      </c>
      <c r="AI654" s="6">
        <v>194371.09</v>
      </c>
      <c r="AJ654" s="1" t="s">
        <v>2035</v>
      </c>
      <c r="AK654" s="6">
        <v>10628.910000000003</v>
      </c>
      <c r="AL654" s="6">
        <v>5.1848341463414653E-2</v>
      </c>
      <c r="AM654" s="1" t="s">
        <v>2035</v>
      </c>
      <c r="AN654" s="1" t="s">
        <v>916</v>
      </c>
      <c r="AO654" s="1" t="s">
        <v>1108</v>
      </c>
      <c r="AP654" s="1" t="s">
        <v>90</v>
      </c>
      <c r="AQ654" s="6">
        <v>10628.910000000003</v>
      </c>
      <c r="AR654" s="6">
        <v>5.1848341463414653E-2</v>
      </c>
      <c r="AS654" s="2" t="str">
        <f>HYPERLINK("https://auctions.prozorro.gov.ua/tenders/75c2a57a0ecd4770985d0788f044c47b_d5afaaa2e66b4cac8d2b8c536ce2e741")</f>
        <v>https://auctions.prozorro.gov.ua/tenders/75c2a57a0ecd4770985d0788f044c47b_d5afaaa2e66b4cac8d2b8c536ce2e741</v>
      </c>
      <c r="AT654" s="7">
        <v>44452.522640139701</v>
      </c>
      <c r="AU654" s="1" t="s">
        <v>341</v>
      </c>
      <c r="AV654" s="1" t="s">
        <v>346</v>
      </c>
      <c r="AW654" s="1" t="s">
        <v>2151</v>
      </c>
      <c r="AX654" s="7">
        <v>44468.659025894129</v>
      </c>
      <c r="AY654" s="1" t="s">
        <v>812</v>
      </c>
      <c r="AZ654" s="6">
        <v>194371.09</v>
      </c>
      <c r="BA654" s="1"/>
      <c r="BB654" s="5">
        <v>44561</v>
      </c>
      <c r="BC654" s="5">
        <v>44467</v>
      </c>
      <c r="BD654" s="5">
        <v>44467</v>
      </c>
      <c r="BE654" s="7">
        <v>44561</v>
      </c>
      <c r="BF654" s="1" t="s">
        <v>2170</v>
      </c>
      <c r="BG654" s="1"/>
      <c r="BH654" s="1"/>
      <c r="BI654" s="1" t="s">
        <v>918</v>
      </c>
    </row>
    <row r="655" spans="1:61" hidden="1" x14ac:dyDescent="0.25">
      <c r="A655" s="4">
        <v>650</v>
      </c>
      <c r="B655" s="2" t="str">
        <f t="shared" si="0"/>
        <v>UA-2021-08-20-009338-a</v>
      </c>
      <c r="C655" s="2" t="str">
        <f>HYPERLINK("https://my.zakupivli.pro/remote/dispatcher/state_purchase_lot_view/683868", "UA-2021-08-20-009338-a-L3")</f>
        <v>UA-2021-08-20-009338-a-L3</v>
      </c>
      <c r="D655" s="1" t="s">
        <v>1624</v>
      </c>
      <c r="E655" s="1" t="s">
        <v>1643</v>
      </c>
      <c r="F655" s="1" t="s">
        <v>298</v>
      </c>
      <c r="G655" s="1" t="s">
        <v>966</v>
      </c>
      <c r="H655" s="1" t="s">
        <v>1184</v>
      </c>
      <c r="I655" s="1" t="s">
        <v>2094</v>
      </c>
      <c r="J655" s="1" t="s">
        <v>1145</v>
      </c>
      <c r="K655" s="1" t="s">
        <v>947</v>
      </c>
      <c r="L655" s="1" t="s">
        <v>1533</v>
      </c>
      <c r="M655" s="1" t="s">
        <v>1534</v>
      </c>
      <c r="N655" s="1" t="s">
        <v>110</v>
      </c>
      <c r="O655" s="1" t="s">
        <v>110</v>
      </c>
      <c r="P655" s="1" t="s">
        <v>110</v>
      </c>
      <c r="Q655" s="5">
        <v>44428</v>
      </c>
      <c r="R655" s="1" t="s">
        <v>327</v>
      </c>
      <c r="S655" s="1" t="s">
        <v>331</v>
      </c>
      <c r="T655" s="5">
        <v>44428</v>
      </c>
      <c r="U655" s="5">
        <v>44447</v>
      </c>
      <c r="V655" s="7">
        <v>44448.634930555556</v>
      </c>
      <c r="W655" s="4">
        <v>2</v>
      </c>
      <c r="X655" s="6">
        <v>4100000</v>
      </c>
      <c r="Y655" s="6">
        <v>345000</v>
      </c>
      <c r="Z655" s="1">
        <v>1</v>
      </c>
      <c r="AA655" s="6">
        <v>345000</v>
      </c>
      <c r="AB655" s="1" t="s">
        <v>2167</v>
      </c>
      <c r="AC655" s="6">
        <v>3450</v>
      </c>
      <c r="AD655" s="1" t="s">
        <v>1100</v>
      </c>
      <c r="AE655" s="1" t="s">
        <v>2094</v>
      </c>
      <c r="AF655" s="1" t="s">
        <v>1186</v>
      </c>
      <c r="AG655" s="1" t="s">
        <v>1522</v>
      </c>
      <c r="AH655" s="6">
        <v>343906.43</v>
      </c>
      <c r="AI655" s="6">
        <v>343906.43</v>
      </c>
      <c r="AJ655" s="1" t="s">
        <v>2035</v>
      </c>
      <c r="AK655" s="6">
        <v>1093.570000000007</v>
      </c>
      <c r="AL655" s="6">
        <v>3.1697681159420493E-3</v>
      </c>
      <c r="AM655" s="1" t="s">
        <v>2035</v>
      </c>
      <c r="AN655" s="1" t="s">
        <v>916</v>
      </c>
      <c r="AO655" s="1" t="s">
        <v>1108</v>
      </c>
      <c r="AP655" s="1" t="s">
        <v>90</v>
      </c>
      <c r="AQ655" s="6">
        <v>1093.570000000007</v>
      </c>
      <c r="AR655" s="6">
        <v>3.1697681159420493E-3</v>
      </c>
      <c r="AS655" s="2" t="str">
        <f>HYPERLINK("https://auctions.prozorro.gov.ua/tenders/75c2a57a0ecd4770985d0788f044c47b_a0335c2b271b4387b9b30cb72d6a5a21")</f>
        <v>https://auctions.prozorro.gov.ua/tenders/75c2a57a0ecd4770985d0788f044c47b_a0335c2b271b4387b9b30cb72d6a5a21</v>
      </c>
      <c r="AT655" s="7">
        <v>44452.522640139701</v>
      </c>
      <c r="AU655" s="1" t="s">
        <v>341</v>
      </c>
      <c r="AV655" s="1" t="s">
        <v>346</v>
      </c>
      <c r="AW655" s="1" t="s">
        <v>2151</v>
      </c>
      <c r="AX655" s="7">
        <v>44468.686597994812</v>
      </c>
      <c r="AY655" s="1" t="s">
        <v>856</v>
      </c>
      <c r="AZ655" s="6">
        <v>343906.43</v>
      </c>
      <c r="BA655" s="1"/>
      <c r="BB655" s="5">
        <v>44561</v>
      </c>
      <c r="BC655" s="5">
        <v>44467</v>
      </c>
      <c r="BD655" s="5">
        <v>44467</v>
      </c>
      <c r="BE655" s="7">
        <v>44561</v>
      </c>
      <c r="BF655" s="1" t="s">
        <v>2170</v>
      </c>
      <c r="BG655" s="1"/>
      <c r="BH655" s="1"/>
      <c r="BI655" s="1" t="s">
        <v>918</v>
      </c>
    </row>
    <row r="656" spans="1:61" hidden="1" x14ac:dyDescent="0.25">
      <c r="A656" s="4">
        <v>651</v>
      </c>
      <c r="B656" s="2" t="str">
        <f t="shared" si="0"/>
        <v>UA-2021-08-20-009338-a</v>
      </c>
      <c r="C656" s="2" t="str">
        <f>HYPERLINK("https://my.zakupivli.pro/remote/dispatcher/state_purchase_lot_view/683873", "UA-2021-08-20-009338-a-L8")</f>
        <v>UA-2021-08-20-009338-a-L8</v>
      </c>
      <c r="D656" s="1" t="s">
        <v>1627</v>
      </c>
      <c r="E656" s="1" t="s">
        <v>1601</v>
      </c>
      <c r="F656" s="1" t="s">
        <v>298</v>
      </c>
      <c r="G656" s="1" t="s">
        <v>966</v>
      </c>
      <c r="H656" s="1" t="s">
        <v>1184</v>
      </c>
      <c r="I656" s="1" t="s">
        <v>2094</v>
      </c>
      <c r="J656" s="1" t="s">
        <v>1145</v>
      </c>
      <c r="K656" s="1" t="s">
        <v>947</v>
      </c>
      <c r="L656" s="1" t="s">
        <v>1533</v>
      </c>
      <c r="M656" s="1" t="s">
        <v>1534</v>
      </c>
      <c r="N656" s="1" t="s">
        <v>110</v>
      </c>
      <c r="O656" s="1" t="s">
        <v>110</v>
      </c>
      <c r="P656" s="1" t="s">
        <v>110</v>
      </c>
      <c r="Q656" s="5">
        <v>44428</v>
      </c>
      <c r="R656" s="1" t="s">
        <v>327</v>
      </c>
      <c r="S656" s="1" t="s">
        <v>331</v>
      </c>
      <c r="T656" s="5">
        <v>44428</v>
      </c>
      <c r="U656" s="5">
        <v>44447</v>
      </c>
      <c r="V656" s="7">
        <v>44448.527499999997</v>
      </c>
      <c r="W656" s="4">
        <v>2</v>
      </c>
      <c r="X656" s="6">
        <v>4100000</v>
      </c>
      <c r="Y656" s="6">
        <v>345000</v>
      </c>
      <c r="Z656" s="1">
        <v>1</v>
      </c>
      <c r="AA656" s="6">
        <v>345000</v>
      </c>
      <c r="AB656" s="1" t="s">
        <v>2167</v>
      </c>
      <c r="AC656" s="6">
        <v>3450</v>
      </c>
      <c r="AD656" s="1" t="s">
        <v>1100</v>
      </c>
      <c r="AE656" s="1" t="s">
        <v>2094</v>
      </c>
      <c r="AF656" s="1" t="s">
        <v>1186</v>
      </c>
      <c r="AG656" s="1" t="s">
        <v>1522</v>
      </c>
      <c r="AH656" s="6">
        <v>335293.42</v>
      </c>
      <c r="AI656" s="6">
        <v>335293.42</v>
      </c>
      <c r="AJ656" s="1" t="s">
        <v>2035</v>
      </c>
      <c r="AK656" s="6">
        <v>9706.5800000000163</v>
      </c>
      <c r="AL656" s="6">
        <v>2.8135014492753671E-2</v>
      </c>
      <c r="AM656" s="1" t="s">
        <v>2035</v>
      </c>
      <c r="AN656" s="1" t="s">
        <v>916</v>
      </c>
      <c r="AO656" s="1" t="s">
        <v>1108</v>
      </c>
      <c r="AP656" s="1" t="s">
        <v>90</v>
      </c>
      <c r="AQ656" s="6">
        <v>9706.5800000000163</v>
      </c>
      <c r="AR656" s="6">
        <v>2.8135014492753671E-2</v>
      </c>
      <c r="AS656" s="2" t="str">
        <f>HYPERLINK("https://auctions.prozorro.gov.ua/tenders/75c2a57a0ecd4770985d0788f044c47b_5c5cd693e6e0461bb426bb170159fa71")</f>
        <v>https://auctions.prozorro.gov.ua/tenders/75c2a57a0ecd4770985d0788f044c47b_5c5cd693e6e0461bb426bb170159fa71</v>
      </c>
      <c r="AT656" s="7">
        <v>44452.522640139701</v>
      </c>
      <c r="AU656" s="1" t="s">
        <v>341</v>
      </c>
      <c r="AV656" s="1" t="s">
        <v>346</v>
      </c>
      <c r="AW656" s="1" t="s">
        <v>2151</v>
      </c>
      <c r="AX656" s="7">
        <v>44468.652285163458</v>
      </c>
      <c r="AY656" s="1" t="s">
        <v>825</v>
      </c>
      <c r="AZ656" s="6">
        <v>335293.42</v>
      </c>
      <c r="BA656" s="1"/>
      <c r="BB656" s="5">
        <v>44561</v>
      </c>
      <c r="BC656" s="5">
        <v>44467</v>
      </c>
      <c r="BD656" s="5">
        <v>44467</v>
      </c>
      <c r="BE656" s="7">
        <v>44561</v>
      </c>
      <c r="BF656" s="1" t="s">
        <v>2170</v>
      </c>
      <c r="BG656" s="1"/>
      <c r="BH656" s="1"/>
      <c r="BI656" s="1" t="s">
        <v>918</v>
      </c>
    </row>
    <row r="657" spans="1:61" hidden="1" x14ac:dyDescent="0.25">
      <c r="A657" s="4">
        <v>652</v>
      </c>
      <c r="B657" s="2" t="str">
        <f t="shared" si="0"/>
        <v>UA-2021-08-20-009338-a</v>
      </c>
      <c r="C657" s="2" t="str">
        <f>HYPERLINK("https://my.zakupivli.pro/remote/dispatcher/state_purchase_lot_view/683869", "UA-2021-08-20-009338-a-L4")</f>
        <v>UA-2021-08-20-009338-a-L4</v>
      </c>
      <c r="D657" s="1" t="s">
        <v>1621</v>
      </c>
      <c r="E657" s="1" t="s">
        <v>1586</v>
      </c>
      <c r="F657" s="1" t="s">
        <v>298</v>
      </c>
      <c r="G657" s="1" t="s">
        <v>966</v>
      </c>
      <c r="H657" s="1" t="s">
        <v>1184</v>
      </c>
      <c r="I657" s="1" t="s">
        <v>2094</v>
      </c>
      <c r="J657" s="1" t="s">
        <v>1145</v>
      </c>
      <c r="K657" s="1" t="s">
        <v>947</v>
      </c>
      <c r="L657" s="1" t="s">
        <v>1533</v>
      </c>
      <c r="M657" s="1" t="s">
        <v>1534</v>
      </c>
      <c r="N657" s="1" t="s">
        <v>110</v>
      </c>
      <c r="O657" s="1" t="s">
        <v>110</v>
      </c>
      <c r="P657" s="1" t="s">
        <v>110</v>
      </c>
      <c r="Q657" s="5">
        <v>44428</v>
      </c>
      <c r="R657" s="1" t="s">
        <v>327</v>
      </c>
      <c r="S657" s="1" t="s">
        <v>331</v>
      </c>
      <c r="T657" s="5">
        <v>44428</v>
      </c>
      <c r="U657" s="5">
        <v>44447</v>
      </c>
      <c r="V657" s="7">
        <v>44448.665601851855</v>
      </c>
      <c r="W657" s="4">
        <v>2</v>
      </c>
      <c r="X657" s="6">
        <v>4100000</v>
      </c>
      <c r="Y657" s="6">
        <v>345000</v>
      </c>
      <c r="Z657" s="1">
        <v>1</v>
      </c>
      <c r="AA657" s="6">
        <v>345000</v>
      </c>
      <c r="AB657" s="1" t="s">
        <v>2167</v>
      </c>
      <c r="AC657" s="6">
        <v>3450</v>
      </c>
      <c r="AD657" s="1" t="s">
        <v>1100</v>
      </c>
      <c r="AE657" s="1" t="s">
        <v>2094</v>
      </c>
      <c r="AF657" s="1" t="s">
        <v>1186</v>
      </c>
      <c r="AG657" s="1" t="s">
        <v>1522</v>
      </c>
      <c r="AH657" s="6">
        <v>344431.92</v>
      </c>
      <c r="AI657" s="6">
        <v>344431.92</v>
      </c>
      <c r="AJ657" s="1" t="s">
        <v>2035</v>
      </c>
      <c r="AK657" s="6">
        <v>568.0800000000163</v>
      </c>
      <c r="AL657" s="6">
        <v>1.6466086956522211E-3</v>
      </c>
      <c r="AM657" s="1" t="s">
        <v>2035</v>
      </c>
      <c r="AN657" s="1" t="s">
        <v>916</v>
      </c>
      <c r="AO657" s="1" t="s">
        <v>1108</v>
      </c>
      <c r="AP657" s="1" t="s">
        <v>90</v>
      </c>
      <c r="AQ657" s="6">
        <v>568.0800000000163</v>
      </c>
      <c r="AR657" s="6">
        <v>1.6466086956522211E-3</v>
      </c>
      <c r="AS657" s="2" t="str">
        <f>HYPERLINK("https://auctions.prozorro.gov.ua/tenders/75c2a57a0ecd4770985d0788f044c47b_3c96bf6946c7447f8247d838a03eccbf")</f>
        <v>https://auctions.prozorro.gov.ua/tenders/75c2a57a0ecd4770985d0788f044c47b_3c96bf6946c7447f8247d838a03eccbf</v>
      </c>
      <c r="AT657" s="7">
        <v>44452.522640139701</v>
      </c>
      <c r="AU657" s="1" t="s">
        <v>341</v>
      </c>
      <c r="AV657" s="1" t="s">
        <v>346</v>
      </c>
      <c r="AW657" s="1" t="s">
        <v>2151</v>
      </c>
      <c r="AX657" s="7">
        <v>44468.663564251736</v>
      </c>
      <c r="AY657" s="1" t="s">
        <v>865</v>
      </c>
      <c r="AZ657" s="6">
        <v>344431.92</v>
      </c>
      <c r="BA657" s="1"/>
      <c r="BB657" s="5">
        <v>44561</v>
      </c>
      <c r="BC657" s="5">
        <v>44467</v>
      </c>
      <c r="BD657" s="5">
        <v>44467</v>
      </c>
      <c r="BE657" s="7">
        <v>44561</v>
      </c>
      <c r="BF657" s="1" t="s">
        <v>2170</v>
      </c>
      <c r="BG657" s="1"/>
      <c r="BH657" s="1"/>
      <c r="BI657" s="1" t="s">
        <v>918</v>
      </c>
    </row>
    <row r="658" spans="1:61" hidden="1" x14ac:dyDescent="0.25">
      <c r="A658" s="4">
        <v>653</v>
      </c>
      <c r="B658" s="2" t="str">
        <f t="shared" si="0"/>
        <v>UA-2021-08-20-009338-a</v>
      </c>
      <c r="C658" s="2" t="str">
        <f>HYPERLINK("https://my.zakupivli.pro/remote/dispatcher/state_purchase_lot_view/683871", "UA-2021-08-20-009338-a-L6")</f>
        <v>UA-2021-08-20-009338-a-L6</v>
      </c>
      <c r="D658" s="1" t="s">
        <v>1625</v>
      </c>
      <c r="E658" s="1" t="s">
        <v>1599</v>
      </c>
      <c r="F658" s="1" t="s">
        <v>298</v>
      </c>
      <c r="G658" s="1" t="s">
        <v>966</v>
      </c>
      <c r="H658" s="1" t="s">
        <v>1184</v>
      </c>
      <c r="I658" s="1" t="s">
        <v>2094</v>
      </c>
      <c r="J658" s="1" t="s">
        <v>1145</v>
      </c>
      <c r="K658" s="1" t="s">
        <v>947</v>
      </c>
      <c r="L658" s="1" t="s">
        <v>1533</v>
      </c>
      <c r="M658" s="1" t="s">
        <v>1534</v>
      </c>
      <c r="N658" s="1" t="s">
        <v>110</v>
      </c>
      <c r="O658" s="1" t="s">
        <v>110</v>
      </c>
      <c r="P658" s="1" t="s">
        <v>110</v>
      </c>
      <c r="Q658" s="5">
        <v>44428</v>
      </c>
      <c r="R658" s="1" t="s">
        <v>327</v>
      </c>
      <c r="S658" s="1" t="s">
        <v>331</v>
      </c>
      <c r="T658" s="5">
        <v>44428</v>
      </c>
      <c r="U658" s="5">
        <v>44447</v>
      </c>
      <c r="V658" s="7">
        <v>44448.497800925928</v>
      </c>
      <c r="W658" s="4">
        <v>2</v>
      </c>
      <c r="X658" s="6">
        <v>4100000</v>
      </c>
      <c r="Y658" s="6">
        <v>135000</v>
      </c>
      <c r="Z658" s="1">
        <v>1</v>
      </c>
      <c r="AA658" s="6">
        <v>135000</v>
      </c>
      <c r="AB658" s="1" t="s">
        <v>2167</v>
      </c>
      <c r="AC658" s="6">
        <v>1350</v>
      </c>
      <c r="AD658" s="1" t="s">
        <v>1100</v>
      </c>
      <c r="AE658" s="1" t="s">
        <v>2094</v>
      </c>
      <c r="AF658" s="1" t="s">
        <v>1186</v>
      </c>
      <c r="AG658" s="1" t="s">
        <v>1522</v>
      </c>
      <c r="AH658" s="6">
        <v>118634.7</v>
      </c>
      <c r="AI658" s="6">
        <v>118634.7</v>
      </c>
      <c r="AJ658" s="1" t="s">
        <v>2040</v>
      </c>
      <c r="AK658" s="6">
        <v>16365.300000000003</v>
      </c>
      <c r="AL658" s="6">
        <v>0.12122444444444447</v>
      </c>
      <c r="AM658" s="1" t="s">
        <v>2035</v>
      </c>
      <c r="AN658" s="1" t="s">
        <v>916</v>
      </c>
      <c r="AO658" s="1" t="s">
        <v>1108</v>
      </c>
      <c r="AP658" s="1" t="s">
        <v>90</v>
      </c>
      <c r="AQ658" s="6">
        <v>12115.350000000006</v>
      </c>
      <c r="AR658" s="6">
        <v>8.9743333333333383E-2</v>
      </c>
      <c r="AS658" s="2" t="str">
        <f>HYPERLINK("https://auctions.prozorro.gov.ua/tenders/75c2a57a0ecd4770985d0788f044c47b_6ef100036d2a4123ad1ff4cdb8904b76")</f>
        <v>https://auctions.prozorro.gov.ua/tenders/75c2a57a0ecd4770985d0788f044c47b_6ef100036d2a4123ad1ff4cdb8904b76</v>
      </c>
      <c r="AT658" s="7">
        <v>44452.522640139701</v>
      </c>
      <c r="AU658" s="1" t="s">
        <v>343</v>
      </c>
      <c r="AV658" s="1" t="s">
        <v>348</v>
      </c>
      <c r="AW658" s="1" t="s">
        <v>2151</v>
      </c>
      <c r="AX658" s="7">
        <v>44468.655405063335</v>
      </c>
      <c r="AY658" s="1" t="s">
        <v>802</v>
      </c>
      <c r="AZ658" s="6">
        <v>122884.65</v>
      </c>
      <c r="BA658" s="1"/>
      <c r="BB658" s="5">
        <v>44561</v>
      </c>
      <c r="BC658" s="5">
        <v>44467</v>
      </c>
      <c r="BD658" s="5">
        <v>44467</v>
      </c>
      <c r="BE658" s="7">
        <v>44561</v>
      </c>
      <c r="BF658" s="1" t="s">
        <v>2170</v>
      </c>
      <c r="BG658" s="1"/>
      <c r="BH658" s="1"/>
      <c r="BI658" s="1" t="s">
        <v>819</v>
      </c>
    </row>
    <row r="659" spans="1:61" hidden="1" x14ac:dyDescent="0.25">
      <c r="A659" s="4">
        <v>654</v>
      </c>
      <c r="B659" s="2" t="str">
        <f t="shared" si="0"/>
        <v>UA-2021-08-20-009338-a</v>
      </c>
      <c r="C659" s="2" t="str">
        <f>HYPERLINK("https://my.zakupivli.pro/remote/dispatcher/state_purchase_lot_view/683875", "UA-2021-08-20-009338-a-L10")</f>
        <v>UA-2021-08-20-009338-a-L10</v>
      </c>
      <c r="D659" s="1" t="s">
        <v>1631</v>
      </c>
      <c r="E659" s="1" t="s">
        <v>1606</v>
      </c>
      <c r="F659" s="1" t="s">
        <v>298</v>
      </c>
      <c r="G659" s="1" t="s">
        <v>966</v>
      </c>
      <c r="H659" s="1" t="s">
        <v>1184</v>
      </c>
      <c r="I659" s="1" t="s">
        <v>2094</v>
      </c>
      <c r="J659" s="1" t="s">
        <v>1145</v>
      </c>
      <c r="K659" s="1" t="s">
        <v>947</v>
      </c>
      <c r="L659" s="1" t="s">
        <v>1533</v>
      </c>
      <c r="M659" s="1" t="s">
        <v>1534</v>
      </c>
      <c r="N659" s="1" t="s">
        <v>110</v>
      </c>
      <c r="O659" s="1" t="s">
        <v>110</v>
      </c>
      <c r="P659" s="1" t="s">
        <v>110</v>
      </c>
      <c r="Q659" s="5">
        <v>44428</v>
      </c>
      <c r="R659" s="1" t="s">
        <v>327</v>
      </c>
      <c r="S659" s="1" t="s">
        <v>331</v>
      </c>
      <c r="T659" s="5">
        <v>44428</v>
      </c>
      <c r="U659" s="5">
        <v>44447</v>
      </c>
      <c r="V659" s="7">
        <v>44448.578067129631</v>
      </c>
      <c r="W659" s="4">
        <v>2</v>
      </c>
      <c r="X659" s="6">
        <v>4100000</v>
      </c>
      <c r="Y659" s="6">
        <v>215000</v>
      </c>
      <c r="Z659" s="1">
        <v>1</v>
      </c>
      <c r="AA659" s="6">
        <v>215000</v>
      </c>
      <c r="AB659" s="1" t="s">
        <v>2167</v>
      </c>
      <c r="AC659" s="6">
        <v>2150</v>
      </c>
      <c r="AD659" s="1" t="s">
        <v>1100</v>
      </c>
      <c r="AE659" s="1" t="s">
        <v>2094</v>
      </c>
      <c r="AF659" s="1" t="s">
        <v>1186</v>
      </c>
      <c r="AG659" s="1" t="s">
        <v>1522</v>
      </c>
      <c r="AH659" s="6">
        <v>214942.18</v>
      </c>
      <c r="AI659" s="6">
        <v>214942.18</v>
      </c>
      <c r="AJ659" s="1" t="s">
        <v>2035</v>
      </c>
      <c r="AK659" s="6">
        <v>57.820000000006985</v>
      </c>
      <c r="AL659" s="6">
        <v>2.6893023255817201E-4</v>
      </c>
      <c r="AM659" s="1" t="s">
        <v>2035</v>
      </c>
      <c r="AN659" s="1" t="s">
        <v>916</v>
      </c>
      <c r="AO659" s="1" t="s">
        <v>1108</v>
      </c>
      <c r="AP659" s="1" t="s">
        <v>90</v>
      </c>
      <c r="AQ659" s="6">
        <v>57.820000000006985</v>
      </c>
      <c r="AR659" s="6">
        <v>2.6893023255817201E-4</v>
      </c>
      <c r="AS659" s="2" t="str">
        <f>HYPERLINK("https://auctions.prozorro.gov.ua/tenders/75c2a57a0ecd4770985d0788f044c47b_cf6c0e04cb8d4675a3f4dc64fc8bc15f")</f>
        <v>https://auctions.prozorro.gov.ua/tenders/75c2a57a0ecd4770985d0788f044c47b_cf6c0e04cb8d4675a3f4dc64fc8bc15f</v>
      </c>
      <c r="AT659" s="7">
        <v>44452.522640139701</v>
      </c>
      <c r="AU659" s="1" t="s">
        <v>341</v>
      </c>
      <c r="AV659" s="1" t="s">
        <v>346</v>
      </c>
      <c r="AW659" s="1" t="s">
        <v>2151</v>
      </c>
      <c r="AX659" s="7">
        <v>44468.72128255479</v>
      </c>
      <c r="AY659" s="1" t="s">
        <v>830</v>
      </c>
      <c r="AZ659" s="6">
        <v>214942.18</v>
      </c>
      <c r="BA659" s="1"/>
      <c r="BB659" s="5">
        <v>44561</v>
      </c>
      <c r="BC659" s="5">
        <v>44467</v>
      </c>
      <c r="BD659" s="5">
        <v>44467</v>
      </c>
      <c r="BE659" s="7">
        <v>44561</v>
      </c>
      <c r="BF659" s="1" t="s">
        <v>2170</v>
      </c>
      <c r="BG659" s="1"/>
      <c r="BH659" s="1"/>
      <c r="BI659" s="1" t="s">
        <v>918</v>
      </c>
    </row>
    <row r="660" spans="1:61" hidden="1" x14ac:dyDescent="0.25">
      <c r="A660" s="4">
        <v>655</v>
      </c>
      <c r="B660" s="2" t="str">
        <f t="shared" si="0"/>
        <v>UA-2021-08-20-009338-a</v>
      </c>
      <c r="C660" s="2" t="str">
        <f>HYPERLINK("https://my.zakupivli.pro/remote/dispatcher/state_purchase_lot_view/683878", "UA-2021-08-20-009338-a-L13")</f>
        <v>UA-2021-08-20-009338-a-L13</v>
      </c>
      <c r="D660" s="1" t="s">
        <v>1630</v>
      </c>
      <c r="E660" s="1" t="s">
        <v>1604</v>
      </c>
      <c r="F660" s="1" t="s">
        <v>298</v>
      </c>
      <c r="G660" s="1" t="s">
        <v>966</v>
      </c>
      <c r="H660" s="1" t="s">
        <v>1184</v>
      </c>
      <c r="I660" s="1" t="s">
        <v>2094</v>
      </c>
      <c r="J660" s="1" t="s">
        <v>1145</v>
      </c>
      <c r="K660" s="1" t="s">
        <v>947</v>
      </c>
      <c r="L660" s="1" t="s">
        <v>1533</v>
      </c>
      <c r="M660" s="1" t="s">
        <v>1534</v>
      </c>
      <c r="N660" s="1" t="s">
        <v>110</v>
      </c>
      <c r="O660" s="1" t="s">
        <v>110</v>
      </c>
      <c r="P660" s="1" t="s">
        <v>110</v>
      </c>
      <c r="Q660" s="5">
        <v>44428</v>
      </c>
      <c r="R660" s="1" t="s">
        <v>327</v>
      </c>
      <c r="S660" s="1" t="s">
        <v>331</v>
      </c>
      <c r="T660" s="5">
        <v>44428</v>
      </c>
      <c r="U660" s="5">
        <v>44447</v>
      </c>
      <c r="V660" s="7">
        <v>44448.641574074078</v>
      </c>
      <c r="W660" s="4">
        <v>2</v>
      </c>
      <c r="X660" s="6">
        <v>4100000</v>
      </c>
      <c r="Y660" s="6">
        <v>250000</v>
      </c>
      <c r="Z660" s="1">
        <v>1</v>
      </c>
      <c r="AA660" s="6">
        <v>250000</v>
      </c>
      <c r="AB660" s="1" t="s">
        <v>2167</v>
      </c>
      <c r="AC660" s="6">
        <v>2500</v>
      </c>
      <c r="AD660" s="1" t="s">
        <v>1100</v>
      </c>
      <c r="AE660" s="1" t="s">
        <v>2094</v>
      </c>
      <c r="AF660" s="1" t="s">
        <v>1186</v>
      </c>
      <c r="AG660" s="1" t="s">
        <v>1522</v>
      </c>
      <c r="AH660" s="6">
        <v>248725.09</v>
      </c>
      <c r="AI660" s="6">
        <v>248725.09</v>
      </c>
      <c r="AJ660" s="1" t="s">
        <v>2035</v>
      </c>
      <c r="AK660" s="6">
        <v>1274.9100000000035</v>
      </c>
      <c r="AL660" s="6">
        <v>5.0996400000000138E-3</v>
      </c>
      <c r="AM660" s="1" t="s">
        <v>2035</v>
      </c>
      <c r="AN660" s="1" t="s">
        <v>916</v>
      </c>
      <c r="AO660" s="1" t="s">
        <v>1108</v>
      </c>
      <c r="AP660" s="1" t="s">
        <v>90</v>
      </c>
      <c r="AQ660" s="6">
        <v>1274.9100000000035</v>
      </c>
      <c r="AR660" s="6">
        <v>5.0996400000000138E-3</v>
      </c>
      <c r="AS660" s="2" t="str">
        <f>HYPERLINK("https://auctions.prozorro.gov.ua/tenders/75c2a57a0ecd4770985d0788f044c47b_bf0d400291134f94aa43671936d639c6")</f>
        <v>https://auctions.prozorro.gov.ua/tenders/75c2a57a0ecd4770985d0788f044c47b_bf0d400291134f94aa43671936d639c6</v>
      </c>
      <c r="AT660" s="7">
        <v>44452.522640139701</v>
      </c>
      <c r="AU660" s="1" t="s">
        <v>341</v>
      </c>
      <c r="AV660" s="1" t="s">
        <v>346</v>
      </c>
      <c r="AW660" s="1" t="s">
        <v>2151</v>
      </c>
      <c r="AX660" s="7">
        <v>44468.647043710982</v>
      </c>
      <c r="AY660" s="1" t="s">
        <v>894</v>
      </c>
      <c r="AZ660" s="6">
        <v>248725.09</v>
      </c>
      <c r="BA660" s="1"/>
      <c r="BB660" s="5">
        <v>44561</v>
      </c>
      <c r="BC660" s="5">
        <v>44467</v>
      </c>
      <c r="BD660" s="5">
        <v>44467</v>
      </c>
      <c r="BE660" s="7">
        <v>44561</v>
      </c>
      <c r="BF660" s="1" t="s">
        <v>2170</v>
      </c>
      <c r="BG660" s="1"/>
      <c r="BH660" s="1"/>
      <c r="BI660" s="1" t="s">
        <v>918</v>
      </c>
    </row>
    <row r="661" spans="1:61" hidden="1" x14ac:dyDescent="0.25">
      <c r="A661" s="4">
        <v>656</v>
      </c>
      <c r="B661" s="2" t="str">
        <f t="shared" si="0"/>
        <v>UA-2021-08-20-009338-a</v>
      </c>
      <c r="C661" s="2" t="str">
        <f>HYPERLINK("https://my.zakupivli.pro/remote/dispatcher/state_purchase_lot_view/683876", "UA-2021-08-20-009338-a-L11")</f>
        <v>UA-2021-08-20-009338-a-L11</v>
      </c>
      <c r="D661" s="1" t="s">
        <v>1628</v>
      </c>
      <c r="E661" s="1" t="s">
        <v>1602</v>
      </c>
      <c r="F661" s="1" t="s">
        <v>298</v>
      </c>
      <c r="G661" s="1" t="s">
        <v>966</v>
      </c>
      <c r="H661" s="1" t="s">
        <v>1184</v>
      </c>
      <c r="I661" s="1" t="s">
        <v>2094</v>
      </c>
      <c r="J661" s="1" t="s">
        <v>1145</v>
      </c>
      <c r="K661" s="1" t="s">
        <v>947</v>
      </c>
      <c r="L661" s="1" t="s">
        <v>1533</v>
      </c>
      <c r="M661" s="1" t="s">
        <v>1534</v>
      </c>
      <c r="N661" s="1" t="s">
        <v>110</v>
      </c>
      <c r="O661" s="1" t="s">
        <v>110</v>
      </c>
      <c r="P661" s="1" t="s">
        <v>110</v>
      </c>
      <c r="Q661" s="5">
        <v>44428</v>
      </c>
      <c r="R661" s="1" t="s">
        <v>327</v>
      </c>
      <c r="S661" s="1" t="s">
        <v>331</v>
      </c>
      <c r="T661" s="5">
        <v>44428</v>
      </c>
      <c r="U661" s="5">
        <v>44447</v>
      </c>
      <c r="V661" s="7">
        <v>44448.603888888887</v>
      </c>
      <c r="W661" s="4">
        <v>2</v>
      </c>
      <c r="X661" s="6">
        <v>4100000</v>
      </c>
      <c r="Y661" s="6">
        <v>230000</v>
      </c>
      <c r="Z661" s="1">
        <v>1</v>
      </c>
      <c r="AA661" s="6">
        <v>230000</v>
      </c>
      <c r="AB661" s="1" t="s">
        <v>2167</v>
      </c>
      <c r="AC661" s="6">
        <v>2300</v>
      </c>
      <c r="AD661" s="1" t="s">
        <v>1100</v>
      </c>
      <c r="AE661" s="1" t="s">
        <v>2094</v>
      </c>
      <c r="AF661" s="1" t="s">
        <v>1186</v>
      </c>
      <c r="AG661" s="1" t="s">
        <v>1522</v>
      </c>
      <c r="AH661" s="6">
        <v>229785.56</v>
      </c>
      <c r="AI661" s="6">
        <v>229785.56</v>
      </c>
      <c r="AJ661" s="1" t="s">
        <v>2035</v>
      </c>
      <c r="AK661" s="6">
        <v>214.44000000000233</v>
      </c>
      <c r="AL661" s="6">
        <v>9.3234782608696666E-4</v>
      </c>
      <c r="AM661" s="1" t="s">
        <v>2035</v>
      </c>
      <c r="AN661" s="1" t="s">
        <v>916</v>
      </c>
      <c r="AO661" s="1" t="s">
        <v>1108</v>
      </c>
      <c r="AP661" s="1" t="s">
        <v>90</v>
      </c>
      <c r="AQ661" s="6">
        <v>214.44000000000233</v>
      </c>
      <c r="AR661" s="6">
        <v>9.3234782608696666E-4</v>
      </c>
      <c r="AS661" s="2" t="str">
        <f>HYPERLINK("https://auctions.prozorro.gov.ua/tenders/75c2a57a0ecd4770985d0788f044c47b_d96402f2ec464f0294c2f2fe6d2a574c")</f>
        <v>https://auctions.prozorro.gov.ua/tenders/75c2a57a0ecd4770985d0788f044c47b_d96402f2ec464f0294c2f2fe6d2a574c</v>
      </c>
      <c r="AT661" s="7">
        <v>44452.522640139701</v>
      </c>
      <c r="AU661" s="1" t="s">
        <v>341</v>
      </c>
      <c r="AV661" s="1" t="s">
        <v>346</v>
      </c>
      <c r="AW661" s="1" t="s">
        <v>2151</v>
      </c>
      <c r="AX661" s="7">
        <v>44468.678761293624</v>
      </c>
      <c r="AY661" s="1" t="s">
        <v>839</v>
      </c>
      <c r="AZ661" s="6">
        <v>229785.56</v>
      </c>
      <c r="BA661" s="1"/>
      <c r="BB661" s="5">
        <v>44561</v>
      </c>
      <c r="BC661" s="5">
        <v>44467</v>
      </c>
      <c r="BD661" s="5">
        <v>44467</v>
      </c>
      <c r="BE661" s="7">
        <v>44561</v>
      </c>
      <c r="BF661" s="1" t="s">
        <v>2170</v>
      </c>
      <c r="BG661" s="1"/>
      <c r="BH661" s="1"/>
      <c r="BI661" s="1" t="s">
        <v>918</v>
      </c>
    </row>
    <row r="662" spans="1:61" hidden="1" x14ac:dyDescent="0.25">
      <c r="A662" s="4">
        <v>657</v>
      </c>
      <c r="B662" s="2" t="str">
        <f>HYPERLINK("https://my.zakupivli.pro/remote/dispatcher/state_purchase_view/29208945", "UA-2021-08-20-006235-a")</f>
        <v>UA-2021-08-20-006235-a</v>
      </c>
      <c r="C662" s="2" t="str">
        <f>HYPERLINK("https://my.zakupivli.pro/remote/dispatcher/state_purchase_lot_view/683822", "UA-2021-08-20-006235-a-L1")</f>
        <v>UA-2021-08-20-006235-a-L1</v>
      </c>
      <c r="D662" s="1" t="s">
        <v>1945</v>
      </c>
      <c r="E662" s="1" t="s">
        <v>1948</v>
      </c>
      <c r="F662" s="1" t="s">
        <v>298</v>
      </c>
      <c r="G662" s="1" t="s">
        <v>963</v>
      </c>
      <c r="H662" s="1" t="s">
        <v>1184</v>
      </c>
      <c r="I662" s="1" t="s">
        <v>2094</v>
      </c>
      <c r="J662" s="1" t="s">
        <v>1145</v>
      </c>
      <c r="K662" s="1" t="s">
        <v>947</v>
      </c>
      <c r="L662" s="1" t="s">
        <v>1533</v>
      </c>
      <c r="M662" s="1" t="s">
        <v>1534</v>
      </c>
      <c r="N662" s="1" t="s">
        <v>110</v>
      </c>
      <c r="O662" s="1" t="s">
        <v>110</v>
      </c>
      <c r="P662" s="1" t="s">
        <v>110</v>
      </c>
      <c r="Q662" s="5">
        <v>44428</v>
      </c>
      <c r="R662" s="1" t="s">
        <v>327</v>
      </c>
      <c r="S662" s="1" t="s">
        <v>329</v>
      </c>
      <c r="T662" s="5">
        <v>44428</v>
      </c>
      <c r="U662" s="5">
        <v>44444</v>
      </c>
      <c r="V662" s="1" t="s">
        <v>2147</v>
      </c>
      <c r="W662" s="4">
        <v>1</v>
      </c>
      <c r="X662" s="6">
        <v>286569</v>
      </c>
      <c r="Y662" s="6">
        <v>119569</v>
      </c>
      <c r="Z662" s="1">
        <v>1</v>
      </c>
      <c r="AA662" s="6">
        <v>119569</v>
      </c>
      <c r="AB662" s="1" t="s">
        <v>2167</v>
      </c>
      <c r="AC662" s="6">
        <v>1195.69</v>
      </c>
      <c r="AD662" s="1" t="s">
        <v>1100</v>
      </c>
      <c r="AE662" s="1" t="s">
        <v>2094</v>
      </c>
      <c r="AF662" s="1" t="s">
        <v>1186</v>
      </c>
      <c r="AG662" s="1" t="s">
        <v>1522</v>
      </c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2"/>
      <c r="AT662" s="1"/>
      <c r="AU662" s="1"/>
      <c r="AV662" s="1"/>
      <c r="AW662" s="1" t="s">
        <v>2153</v>
      </c>
      <c r="AX662" s="7">
        <v>44444.002143157639</v>
      </c>
      <c r="AY662" s="1"/>
      <c r="AZ662" s="1"/>
      <c r="BA662" s="1"/>
      <c r="BB662" s="5">
        <v>44561</v>
      </c>
      <c r="BC662" s="1" t="s">
        <v>109</v>
      </c>
      <c r="BD662" s="1" t="s">
        <v>109</v>
      </c>
      <c r="BE662" s="1"/>
      <c r="BF662" s="1"/>
      <c r="BG662" s="1"/>
      <c r="BH662" s="1"/>
      <c r="BI662" s="1" t="s">
        <v>199</v>
      </c>
    </row>
    <row r="663" spans="1:61" hidden="1" x14ac:dyDescent="0.25">
      <c r="A663" s="4">
        <v>658</v>
      </c>
      <c r="B663" s="2" t="str">
        <f>HYPERLINK("https://my.zakupivli.pro/remote/dispatcher/state_purchase_view/29208945", "UA-2021-08-20-006235-a")</f>
        <v>UA-2021-08-20-006235-a</v>
      </c>
      <c r="C663" s="2" t="str">
        <f>HYPERLINK("https://my.zakupivli.pro/remote/dispatcher/state_purchase_lot_view/683823", "UA-2021-08-20-006235-a-L2")</f>
        <v>UA-2021-08-20-006235-a-L2</v>
      </c>
      <c r="D663" s="1" t="s">
        <v>1943</v>
      </c>
      <c r="E663" s="1" t="s">
        <v>1908</v>
      </c>
      <c r="F663" s="1" t="s">
        <v>298</v>
      </c>
      <c r="G663" s="1" t="s">
        <v>963</v>
      </c>
      <c r="H663" s="1" t="s">
        <v>1184</v>
      </c>
      <c r="I663" s="1" t="s">
        <v>2094</v>
      </c>
      <c r="J663" s="1" t="s">
        <v>1145</v>
      </c>
      <c r="K663" s="1" t="s">
        <v>947</v>
      </c>
      <c r="L663" s="1" t="s">
        <v>1533</v>
      </c>
      <c r="M663" s="1" t="s">
        <v>1534</v>
      </c>
      <c r="N663" s="1" t="s">
        <v>110</v>
      </c>
      <c r="O663" s="1" t="s">
        <v>110</v>
      </c>
      <c r="P663" s="1" t="s">
        <v>110</v>
      </c>
      <c r="Q663" s="5">
        <v>44428</v>
      </c>
      <c r="R663" s="1" t="s">
        <v>327</v>
      </c>
      <c r="S663" s="1" t="s">
        <v>329</v>
      </c>
      <c r="T663" s="5">
        <v>44428</v>
      </c>
      <c r="U663" s="5">
        <v>44444</v>
      </c>
      <c r="V663" s="1" t="s">
        <v>2147</v>
      </c>
      <c r="W663" s="4">
        <v>1</v>
      </c>
      <c r="X663" s="6">
        <v>286569</v>
      </c>
      <c r="Y663" s="6">
        <v>167000</v>
      </c>
      <c r="Z663" s="1">
        <v>1</v>
      </c>
      <c r="AA663" s="6">
        <v>167000</v>
      </c>
      <c r="AB663" s="1" t="s">
        <v>2167</v>
      </c>
      <c r="AC663" s="6">
        <v>1670</v>
      </c>
      <c r="AD663" s="1" t="s">
        <v>1100</v>
      </c>
      <c r="AE663" s="1" t="s">
        <v>2094</v>
      </c>
      <c r="AF663" s="1" t="s">
        <v>1186</v>
      </c>
      <c r="AG663" s="1" t="s">
        <v>1522</v>
      </c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2"/>
      <c r="AT663" s="1"/>
      <c r="AU663" s="1"/>
      <c r="AV663" s="1"/>
      <c r="AW663" s="1" t="s">
        <v>2153</v>
      </c>
      <c r="AX663" s="7">
        <v>44444.002143157639</v>
      </c>
      <c r="AY663" s="1"/>
      <c r="AZ663" s="1"/>
      <c r="BA663" s="1"/>
      <c r="BB663" s="5">
        <v>44561</v>
      </c>
      <c r="BC663" s="1" t="s">
        <v>109</v>
      </c>
      <c r="BD663" s="1" t="s">
        <v>109</v>
      </c>
      <c r="BE663" s="1"/>
      <c r="BF663" s="1"/>
      <c r="BG663" s="1"/>
      <c r="BH663" s="1"/>
      <c r="BI663" s="1" t="s">
        <v>199</v>
      </c>
    </row>
    <row r="664" spans="1:61" hidden="1" x14ac:dyDescent="0.25">
      <c r="A664" s="4">
        <v>659</v>
      </c>
      <c r="B664" s="2" t="str">
        <f>HYPERLINK("https://my.zakupivli.pro/remote/dispatcher/state_purchase_view/29212113", "UA-2021-08-20-009338-a")</f>
        <v>UA-2021-08-20-009338-a</v>
      </c>
      <c r="C664" s="2" t="str">
        <f>HYPERLINK("https://my.zakupivli.pro/remote/dispatcher/state_purchase_lot_view/683866", "UA-2021-08-20-009338-a-L1")</f>
        <v>UA-2021-08-20-009338-a-L1</v>
      </c>
      <c r="D664" s="1" t="s">
        <v>1623</v>
      </c>
      <c r="E664" s="1" t="s">
        <v>1597</v>
      </c>
      <c r="F664" s="1" t="s">
        <v>298</v>
      </c>
      <c r="G664" s="1" t="s">
        <v>966</v>
      </c>
      <c r="H664" s="1" t="s">
        <v>1184</v>
      </c>
      <c r="I664" s="1" t="s">
        <v>2094</v>
      </c>
      <c r="J664" s="1" t="s">
        <v>1145</v>
      </c>
      <c r="K664" s="1" t="s">
        <v>947</v>
      </c>
      <c r="L664" s="1" t="s">
        <v>1533</v>
      </c>
      <c r="M664" s="1" t="s">
        <v>1534</v>
      </c>
      <c r="N664" s="1" t="s">
        <v>110</v>
      </c>
      <c r="O664" s="1" t="s">
        <v>110</v>
      </c>
      <c r="P664" s="1" t="s">
        <v>110</v>
      </c>
      <c r="Q664" s="5">
        <v>44428</v>
      </c>
      <c r="R664" s="1" t="s">
        <v>327</v>
      </c>
      <c r="S664" s="1" t="s">
        <v>331</v>
      </c>
      <c r="T664" s="5">
        <v>44428</v>
      </c>
      <c r="U664" s="5">
        <v>44447</v>
      </c>
      <c r="V664" s="7">
        <v>44448.589456018519</v>
      </c>
      <c r="W664" s="4">
        <v>2</v>
      </c>
      <c r="X664" s="6">
        <v>4100000</v>
      </c>
      <c r="Y664" s="6">
        <v>185000</v>
      </c>
      <c r="Z664" s="1">
        <v>1</v>
      </c>
      <c r="AA664" s="6">
        <v>185000</v>
      </c>
      <c r="AB664" s="1" t="s">
        <v>2167</v>
      </c>
      <c r="AC664" s="6">
        <v>1850</v>
      </c>
      <c r="AD664" s="1" t="s">
        <v>1100</v>
      </c>
      <c r="AE664" s="1" t="s">
        <v>2094</v>
      </c>
      <c r="AF664" s="1" t="s">
        <v>1186</v>
      </c>
      <c r="AG664" s="1" t="s">
        <v>1522</v>
      </c>
      <c r="AH664" s="6">
        <v>184933.15</v>
      </c>
      <c r="AI664" s="6">
        <v>184933.15</v>
      </c>
      <c r="AJ664" s="1" t="s">
        <v>2035</v>
      </c>
      <c r="AK664" s="6">
        <v>66.850000000005821</v>
      </c>
      <c r="AL664" s="6">
        <v>3.6135135135138282E-4</v>
      </c>
      <c r="AM664" s="1" t="s">
        <v>2035</v>
      </c>
      <c r="AN664" s="1" t="s">
        <v>916</v>
      </c>
      <c r="AO664" s="1" t="s">
        <v>1108</v>
      </c>
      <c r="AP664" s="1" t="s">
        <v>90</v>
      </c>
      <c r="AQ664" s="6">
        <v>66.850000000005821</v>
      </c>
      <c r="AR664" s="6">
        <v>3.6135135135138282E-4</v>
      </c>
      <c r="AS664" s="2" t="str">
        <f>HYPERLINK("https://auctions.prozorro.gov.ua/tenders/75c2a57a0ecd4770985d0788f044c47b_b88eb72154ad46a4a171095b4c670b0e")</f>
        <v>https://auctions.prozorro.gov.ua/tenders/75c2a57a0ecd4770985d0788f044c47b_b88eb72154ad46a4a171095b4c670b0e</v>
      </c>
      <c r="AT664" s="7">
        <v>44452.522640139701</v>
      </c>
      <c r="AU664" s="1" t="s">
        <v>341</v>
      </c>
      <c r="AV664" s="1" t="s">
        <v>346</v>
      </c>
      <c r="AW664" s="1" t="s">
        <v>2151</v>
      </c>
      <c r="AX664" s="7">
        <v>44468.665497310198</v>
      </c>
      <c r="AY664" s="1" t="s">
        <v>860</v>
      </c>
      <c r="AZ664" s="6">
        <v>184933.15</v>
      </c>
      <c r="BA664" s="1"/>
      <c r="BB664" s="5">
        <v>44561</v>
      </c>
      <c r="BC664" s="5">
        <v>44467</v>
      </c>
      <c r="BD664" s="5">
        <v>44467</v>
      </c>
      <c r="BE664" s="7">
        <v>44561</v>
      </c>
      <c r="BF664" s="1" t="s">
        <v>2170</v>
      </c>
      <c r="BG664" s="1"/>
      <c r="BH664" s="1"/>
      <c r="BI664" s="1" t="s">
        <v>918</v>
      </c>
    </row>
    <row r="665" spans="1:61" hidden="1" x14ac:dyDescent="0.25">
      <c r="A665" s="4">
        <v>660</v>
      </c>
      <c r="B665" s="2" t="str">
        <f>HYPERLINK("https://my.zakupivli.pro/remote/dispatcher/state_purchase_view/29212113", "UA-2021-08-20-009338-a")</f>
        <v>UA-2021-08-20-009338-a</v>
      </c>
      <c r="C665" s="2" t="str">
        <f>HYPERLINK("https://my.zakupivli.pro/remote/dispatcher/state_purchase_lot_view/683874", "UA-2021-08-20-009338-a-L9")</f>
        <v>UA-2021-08-20-009338-a-L9</v>
      </c>
      <c r="D665" s="1" t="s">
        <v>1632</v>
      </c>
      <c r="E665" s="1" t="s">
        <v>1641</v>
      </c>
      <c r="F665" s="1" t="s">
        <v>298</v>
      </c>
      <c r="G665" s="1" t="s">
        <v>966</v>
      </c>
      <c r="H665" s="1" t="s">
        <v>1184</v>
      </c>
      <c r="I665" s="1" t="s">
        <v>2094</v>
      </c>
      <c r="J665" s="1" t="s">
        <v>1145</v>
      </c>
      <c r="K665" s="1" t="s">
        <v>947</v>
      </c>
      <c r="L665" s="1" t="s">
        <v>1533</v>
      </c>
      <c r="M665" s="1" t="s">
        <v>1534</v>
      </c>
      <c r="N665" s="1" t="s">
        <v>110</v>
      </c>
      <c r="O665" s="1" t="s">
        <v>110</v>
      </c>
      <c r="P665" s="1" t="s">
        <v>110</v>
      </c>
      <c r="Q665" s="5">
        <v>44428</v>
      </c>
      <c r="R665" s="1" t="s">
        <v>327</v>
      </c>
      <c r="S665" s="1" t="s">
        <v>331</v>
      </c>
      <c r="T665" s="5">
        <v>44428</v>
      </c>
      <c r="U665" s="5">
        <v>44447</v>
      </c>
      <c r="V665" s="7">
        <v>44448.552071759259</v>
      </c>
      <c r="W665" s="4">
        <v>2</v>
      </c>
      <c r="X665" s="6">
        <v>4100000</v>
      </c>
      <c r="Y665" s="6">
        <v>515000</v>
      </c>
      <c r="Z665" s="1">
        <v>1</v>
      </c>
      <c r="AA665" s="6">
        <v>515000</v>
      </c>
      <c r="AB665" s="1" t="s">
        <v>2167</v>
      </c>
      <c r="AC665" s="6">
        <v>5150</v>
      </c>
      <c r="AD665" s="1" t="s">
        <v>1100</v>
      </c>
      <c r="AE665" s="1" t="s">
        <v>2094</v>
      </c>
      <c r="AF665" s="1" t="s">
        <v>1186</v>
      </c>
      <c r="AG665" s="1" t="s">
        <v>1522</v>
      </c>
      <c r="AH665" s="6">
        <v>477644.12</v>
      </c>
      <c r="AI665" s="6">
        <v>477644.12</v>
      </c>
      <c r="AJ665" s="1" t="s">
        <v>2035</v>
      </c>
      <c r="AK665" s="6">
        <v>37355.880000000005</v>
      </c>
      <c r="AL665" s="6">
        <v>7.2535689320388355E-2</v>
      </c>
      <c r="AM665" s="1" t="s">
        <v>2035</v>
      </c>
      <c r="AN665" s="1" t="s">
        <v>916</v>
      </c>
      <c r="AO665" s="1" t="s">
        <v>1108</v>
      </c>
      <c r="AP665" s="1" t="s">
        <v>90</v>
      </c>
      <c r="AQ665" s="6">
        <v>37355.880000000005</v>
      </c>
      <c r="AR665" s="6">
        <v>7.2535689320388355E-2</v>
      </c>
      <c r="AS665" s="2" t="str">
        <f>HYPERLINK("https://auctions.prozorro.gov.ua/tenders/75c2a57a0ecd4770985d0788f044c47b_519f6208beff4829ac61d2b78fdd7a8a")</f>
        <v>https://auctions.prozorro.gov.ua/tenders/75c2a57a0ecd4770985d0788f044c47b_519f6208beff4829ac61d2b78fdd7a8a</v>
      </c>
      <c r="AT665" s="7">
        <v>44452.522640139701</v>
      </c>
      <c r="AU665" s="1" t="s">
        <v>341</v>
      </c>
      <c r="AV665" s="1" t="s">
        <v>346</v>
      </c>
      <c r="AW665" s="1" t="s">
        <v>2151</v>
      </c>
      <c r="AX665" s="7">
        <v>44460.599782937214</v>
      </c>
      <c r="AY665" s="1" t="s">
        <v>740</v>
      </c>
      <c r="AZ665" s="6">
        <v>477644.12</v>
      </c>
      <c r="BA665" s="1"/>
      <c r="BB665" s="5">
        <v>44561</v>
      </c>
      <c r="BC665" s="5">
        <v>44460</v>
      </c>
      <c r="BD665" s="5">
        <v>44460</v>
      </c>
      <c r="BE665" s="7">
        <v>44561</v>
      </c>
      <c r="BF665" s="1" t="s">
        <v>2170</v>
      </c>
      <c r="BG665" s="1"/>
      <c r="BH665" s="1"/>
      <c r="BI665" s="1" t="s">
        <v>918</v>
      </c>
    </row>
    <row r="666" spans="1:61" hidden="1" x14ac:dyDescent="0.25">
      <c r="A666" s="4">
        <v>661</v>
      </c>
      <c r="B666" s="2" t="str">
        <f>HYPERLINK("https://my.zakupivli.pro/remote/dispatcher/state_purchase_view/29212113", "UA-2021-08-20-009338-a")</f>
        <v>UA-2021-08-20-009338-a</v>
      </c>
      <c r="C666" s="2" t="str">
        <f>HYPERLINK("https://my.zakupivli.pro/remote/dispatcher/state_purchase_lot_view/683877", "UA-2021-08-20-009338-a-L12")</f>
        <v>UA-2021-08-20-009338-a-L12</v>
      </c>
      <c r="D666" s="1" t="s">
        <v>1629</v>
      </c>
      <c r="E666" s="1" t="s">
        <v>1603</v>
      </c>
      <c r="F666" s="1" t="s">
        <v>298</v>
      </c>
      <c r="G666" s="1" t="s">
        <v>966</v>
      </c>
      <c r="H666" s="1" t="s">
        <v>1184</v>
      </c>
      <c r="I666" s="1" t="s">
        <v>2094</v>
      </c>
      <c r="J666" s="1" t="s">
        <v>1145</v>
      </c>
      <c r="K666" s="1" t="s">
        <v>947</v>
      </c>
      <c r="L666" s="1" t="s">
        <v>1533</v>
      </c>
      <c r="M666" s="1" t="s">
        <v>1534</v>
      </c>
      <c r="N666" s="1" t="s">
        <v>110</v>
      </c>
      <c r="O666" s="1" t="s">
        <v>110</v>
      </c>
      <c r="P666" s="1" t="s">
        <v>110</v>
      </c>
      <c r="Q666" s="5">
        <v>44428</v>
      </c>
      <c r="R666" s="1" t="s">
        <v>327</v>
      </c>
      <c r="S666" s="1" t="s">
        <v>331</v>
      </c>
      <c r="T666" s="5">
        <v>44428</v>
      </c>
      <c r="U666" s="5">
        <v>44447</v>
      </c>
      <c r="V666" s="7">
        <v>44448.604224537034</v>
      </c>
      <c r="W666" s="4">
        <v>2</v>
      </c>
      <c r="X666" s="6">
        <v>4100000</v>
      </c>
      <c r="Y666" s="6">
        <v>325000</v>
      </c>
      <c r="Z666" s="1">
        <v>1</v>
      </c>
      <c r="AA666" s="6">
        <v>325000</v>
      </c>
      <c r="AB666" s="1" t="s">
        <v>2167</v>
      </c>
      <c r="AC666" s="6">
        <v>3250</v>
      </c>
      <c r="AD666" s="1" t="s">
        <v>1100</v>
      </c>
      <c r="AE666" s="1" t="s">
        <v>2094</v>
      </c>
      <c r="AF666" s="1" t="s">
        <v>1186</v>
      </c>
      <c r="AG666" s="1" t="s">
        <v>1522</v>
      </c>
      <c r="AH666" s="6">
        <v>314765.76</v>
      </c>
      <c r="AI666" s="6">
        <v>314765.76</v>
      </c>
      <c r="AJ666" s="1" t="s">
        <v>2035</v>
      </c>
      <c r="AK666" s="6">
        <v>10234.239999999991</v>
      </c>
      <c r="AL666" s="6">
        <v>3.1489969230769202E-2</v>
      </c>
      <c r="AM666" s="1" t="s">
        <v>2035</v>
      </c>
      <c r="AN666" s="1" t="s">
        <v>916</v>
      </c>
      <c r="AO666" s="1" t="s">
        <v>1108</v>
      </c>
      <c r="AP666" s="1" t="s">
        <v>90</v>
      </c>
      <c r="AQ666" s="6">
        <v>10234.239999999991</v>
      </c>
      <c r="AR666" s="6">
        <v>3.1489969230769202E-2</v>
      </c>
      <c r="AS666" s="2" t="str">
        <f>HYPERLINK("https://auctions.prozorro.gov.ua/tenders/75c2a57a0ecd4770985d0788f044c47b_6338741b8d934835aafb8d2f52c4441a")</f>
        <v>https://auctions.prozorro.gov.ua/tenders/75c2a57a0ecd4770985d0788f044c47b_6338741b8d934835aafb8d2f52c4441a</v>
      </c>
      <c r="AT666" s="7">
        <v>44452.522640139701</v>
      </c>
      <c r="AU666" s="1" t="s">
        <v>341</v>
      </c>
      <c r="AV666" s="1" t="s">
        <v>346</v>
      </c>
      <c r="AW666" s="1" t="s">
        <v>2151</v>
      </c>
      <c r="AX666" s="7">
        <v>44468.649528697671</v>
      </c>
      <c r="AY666" s="1" t="s">
        <v>849</v>
      </c>
      <c r="AZ666" s="6">
        <v>314765.76</v>
      </c>
      <c r="BA666" s="1"/>
      <c r="BB666" s="5">
        <v>44561</v>
      </c>
      <c r="BC666" s="5">
        <v>44467</v>
      </c>
      <c r="BD666" s="5">
        <v>44467</v>
      </c>
      <c r="BE666" s="7">
        <v>44561</v>
      </c>
      <c r="BF666" s="1" t="s">
        <v>2170</v>
      </c>
      <c r="BG666" s="1"/>
      <c r="BH666" s="1"/>
      <c r="BI666" s="1" t="s">
        <v>918</v>
      </c>
    </row>
    <row r="667" spans="1:61" hidden="1" x14ac:dyDescent="0.25">
      <c r="A667" s="4">
        <v>662</v>
      </c>
      <c r="B667" s="2" t="str">
        <f>HYPERLINK("https://my.zakupivli.pro/remote/dispatcher/state_purchase_view/29212113", "UA-2021-08-20-009338-a")</f>
        <v>UA-2021-08-20-009338-a</v>
      </c>
      <c r="C667" s="2" t="str">
        <f>HYPERLINK("https://my.zakupivli.pro/remote/dispatcher/state_purchase_lot_view/683870", "UA-2021-08-20-009338-a-L5")</f>
        <v>UA-2021-08-20-009338-a-L5</v>
      </c>
      <c r="D667" s="1" t="s">
        <v>1622</v>
      </c>
      <c r="E667" s="1" t="s">
        <v>1587</v>
      </c>
      <c r="F667" s="1" t="s">
        <v>298</v>
      </c>
      <c r="G667" s="1" t="s">
        <v>966</v>
      </c>
      <c r="H667" s="1" t="s">
        <v>1184</v>
      </c>
      <c r="I667" s="1" t="s">
        <v>2094</v>
      </c>
      <c r="J667" s="1" t="s">
        <v>1145</v>
      </c>
      <c r="K667" s="1" t="s">
        <v>947</v>
      </c>
      <c r="L667" s="1" t="s">
        <v>1533</v>
      </c>
      <c r="M667" s="1" t="s">
        <v>1534</v>
      </c>
      <c r="N667" s="1" t="s">
        <v>110</v>
      </c>
      <c r="O667" s="1" t="s">
        <v>110</v>
      </c>
      <c r="P667" s="1" t="s">
        <v>110</v>
      </c>
      <c r="Q667" s="5">
        <v>44428</v>
      </c>
      <c r="R667" s="1" t="s">
        <v>327</v>
      </c>
      <c r="S667" s="1" t="s">
        <v>331</v>
      </c>
      <c r="T667" s="5">
        <v>44428</v>
      </c>
      <c r="U667" s="5">
        <v>44447</v>
      </c>
      <c r="V667" s="7">
        <v>44448.466400462959</v>
      </c>
      <c r="W667" s="4">
        <v>2</v>
      </c>
      <c r="X667" s="6">
        <v>4100000</v>
      </c>
      <c r="Y667" s="6">
        <v>675000</v>
      </c>
      <c r="Z667" s="1">
        <v>1</v>
      </c>
      <c r="AA667" s="6">
        <v>675000</v>
      </c>
      <c r="AB667" s="1" t="s">
        <v>2167</v>
      </c>
      <c r="AC667" s="6">
        <v>6750</v>
      </c>
      <c r="AD667" s="1" t="s">
        <v>1100</v>
      </c>
      <c r="AE667" s="1" t="s">
        <v>2094</v>
      </c>
      <c r="AF667" s="1" t="s">
        <v>1186</v>
      </c>
      <c r="AG667" s="1" t="s">
        <v>1522</v>
      </c>
      <c r="AH667" s="6">
        <v>673974.28</v>
      </c>
      <c r="AI667" s="6">
        <v>673974.28</v>
      </c>
      <c r="AJ667" s="1" t="s">
        <v>2035</v>
      </c>
      <c r="AK667" s="6">
        <v>1025.7199999999721</v>
      </c>
      <c r="AL667" s="6">
        <v>1.5195851851851439E-3</v>
      </c>
      <c r="AM667" s="1" t="s">
        <v>2035</v>
      </c>
      <c r="AN667" s="1" t="s">
        <v>916</v>
      </c>
      <c r="AO667" s="1" t="s">
        <v>1108</v>
      </c>
      <c r="AP667" s="1" t="s">
        <v>90</v>
      </c>
      <c r="AQ667" s="6">
        <v>1025.7199999999721</v>
      </c>
      <c r="AR667" s="6">
        <v>1.5195851851851439E-3</v>
      </c>
      <c r="AS667" s="2" t="str">
        <f>HYPERLINK("https://auctions.prozorro.gov.ua/tenders/75c2a57a0ecd4770985d0788f044c47b_818ca922cec64914b5d285b4af1a1149")</f>
        <v>https://auctions.prozorro.gov.ua/tenders/75c2a57a0ecd4770985d0788f044c47b_818ca922cec64914b5d285b4af1a1149</v>
      </c>
      <c r="AT667" s="7">
        <v>44452.522640139701</v>
      </c>
      <c r="AU667" s="1" t="s">
        <v>341</v>
      </c>
      <c r="AV667" s="1" t="s">
        <v>346</v>
      </c>
      <c r="AW667" s="1" t="s">
        <v>2151</v>
      </c>
      <c r="AX667" s="7">
        <v>44468.682863548645</v>
      </c>
      <c r="AY667" s="1" t="s">
        <v>788</v>
      </c>
      <c r="AZ667" s="6">
        <v>673974.28</v>
      </c>
      <c r="BA667" s="1"/>
      <c r="BB667" s="5">
        <v>44561</v>
      </c>
      <c r="BC667" s="5">
        <v>44467</v>
      </c>
      <c r="BD667" s="5">
        <v>44467</v>
      </c>
      <c r="BE667" s="7">
        <v>44561</v>
      </c>
      <c r="BF667" s="1" t="s">
        <v>2170</v>
      </c>
      <c r="BG667" s="1"/>
      <c r="BH667" s="1"/>
      <c r="BI667" s="1" t="s">
        <v>918</v>
      </c>
    </row>
    <row r="668" spans="1:61" hidden="1" x14ac:dyDescent="0.25">
      <c r="A668" s="4">
        <v>663</v>
      </c>
      <c r="B668" s="2" t="str">
        <f>HYPERLINK("https://my.zakupivli.pro/remote/dispatcher/state_purchase_view/29162966", "UA-2021-08-19-005203-a")</f>
        <v>UA-2021-08-19-005203-a</v>
      </c>
      <c r="C668" s="2" t="s">
        <v>1516</v>
      </c>
      <c r="D668" s="1" t="s">
        <v>1946</v>
      </c>
      <c r="E668" s="1" t="s">
        <v>1946</v>
      </c>
      <c r="F668" s="1" t="s">
        <v>298</v>
      </c>
      <c r="G668" s="1" t="s">
        <v>974</v>
      </c>
      <c r="H668" s="1" t="s">
        <v>2015</v>
      </c>
      <c r="I668" s="1" t="s">
        <v>2094</v>
      </c>
      <c r="J668" s="1" t="s">
        <v>1145</v>
      </c>
      <c r="K668" s="1" t="s">
        <v>947</v>
      </c>
      <c r="L668" s="1" t="s">
        <v>1533</v>
      </c>
      <c r="M668" s="1" t="s">
        <v>1534</v>
      </c>
      <c r="N668" s="1" t="s">
        <v>110</v>
      </c>
      <c r="O668" s="1" t="s">
        <v>110</v>
      </c>
      <c r="P668" s="1" t="s">
        <v>110</v>
      </c>
      <c r="Q668" s="5">
        <v>44427</v>
      </c>
      <c r="R668" s="1" t="s">
        <v>326</v>
      </c>
      <c r="S668" s="1" t="s">
        <v>330</v>
      </c>
      <c r="T668" s="5">
        <v>44435</v>
      </c>
      <c r="U668" s="5">
        <v>44439</v>
      </c>
      <c r="V668" s="1" t="s">
        <v>2147</v>
      </c>
      <c r="W668" s="4">
        <v>1</v>
      </c>
      <c r="X668" s="6">
        <v>121433</v>
      </c>
      <c r="Y668" s="1" t="s">
        <v>1516</v>
      </c>
      <c r="Z668" s="1">
        <v>1</v>
      </c>
      <c r="AA668" s="6">
        <v>121433</v>
      </c>
      <c r="AB668" s="1" t="s">
        <v>2167</v>
      </c>
      <c r="AC668" s="6">
        <v>607.16999999999996</v>
      </c>
      <c r="AD668" s="1" t="s">
        <v>1100</v>
      </c>
      <c r="AE668" s="1" t="s">
        <v>2094</v>
      </c>
      <c r="AF668" s="1" t="s">
        <v>1186</v>
      </c>
      <c r="AG668" s="1" t="s">
        <v>1522</v>
      </c>
      <c r="AH668" s="6">
        <v>121432.27</v>
      </c>
      <c r="AI668" s="6">
        <v>121432.27</v>
      </c>
      <c r="AJ668" s="1" t="s">
        <v>1512</v>
      </c>
      <c r="AK668" s="6">
        <v>0.72999999999592546</v>
      </c>
      <c r="AL668" s="6">
        <v>6.0115454612496227E-6</v>
      </c>
      <c r="AM668" s="1" t="s">
        <v>1512</v>
      </c>
      <c r="AN668" s="1" t="s">
        <v>198</v>
      </c>
      <c r="AO668" s="1" t="s">
        <v>1121</v>
      </c>
      <c r="AP668" s="1" t="s">
        <v>870</v>
      </c>
      <c r="AQ668" s="6">
        <v>0.72999999999592546</v>
      </c>
      <c r="AR668" s="6">
        <v>6.0115454612496227E-6</v>
      </c>
      <c r="AS668" s="2"/>
      <c r="AT668" s="7">
        <v>44439.660300819014</v>
      </c>
      <c r="AU668" s="1" t="s">
        <v>333</v>
      </c>
      <c r="AV668" s="1" t="s">
        <v>340</v>
      </c>
      <c r="AW668" s="1" t="s">
        <v>2152</v>
      </c>
      <c r="AX668" s="7">
        <v>44460.47629941527</v>
      </c>
      <c r="AY668" s="1" t="s">
        <v>236</v>
      </c>
      <c r="AZ668" s="6">
        <v>121432.27</v>
      </c>
      <c r="BA668" s="1"/>
      <c r="BB668" s="5">
        <v>44561</v>
      </c>
      <c r="BC668" s="5">
        <v>44456</v>
      </c>
      <c r="BD668" s="5">
        <v>44456</v>
      </c>
      <c r="BE668" s="7">
        <v>44561</v>
      </c>
      <c r="BF668" s="1" t="s">
        <v>2170</v>
      </c>
      <c r="BG668" s="1"/>
      <c r="BH668" s="1"/>
      <c r="BI668" s="1" t="s">
        <v>199</v>
      </c>
    </row>
    <row r="669" spans="1:61" hidden="1" x14ac:dyDescent="0.25">
      <c r="A669" s="4">
        <v>664</v>
      </c>
      <c r="B669" s="2" t="str">
        <f>HYPERLINK("https://my.zakupivli.pro/remote/dispatcher/state_purchase_view/29187047", "UA-2021-08-19-012303-a")</f>
        <v>UA-2021-08-19-012303-a</v>
      </c>
      <c r="C669" s="2" t="str">
        <f>HYPERLINK("https://my.zakupivli.pro/remote/dispatcher/state_purchase_lot_view/683562", "UA-2021-08-19-012303-a-L2")</f>
        <v>UA-2021-08-19-012303-a-L2</v>
      </c>
      <c r="D669" s="1" t="s">
        <v>1943</v>
      </c>
      <c r="E669" s="1" t="s">
        <v>1908</v>
      </c>
      <c r="F669" s="1" t="s">
        <v>298</v>
      </c>
      <c r="G669" s="1" t="s">
        <v>963</v>
      </c>
      <c r="H669" s="1" t="s">
        <v>1184</v>
      </c>
      <c r="I669" s="1" t="s">
        <v>2094</v>
      </c>
      <c r="J669" s="1" t="s">
        <v>1145</v>
      </c>
      <c r="K669" s="1" t="s">
        <v>947</v>
      </c>
      <c r="L669" s="1" t="s">
        <v>1533</v>
      </c>
      <c r="M669" s="1" t="s">
        <v>1534</v>
      </c>
      <c r="N669" s="1" t="s">
        <v>110</v>
      </c>
      <c r="O669" s="1" t="s">
        <v>110</v>
      </c>
      <c r="P669" s="1" t="s">
        <v>110</v>
      </c>
      <c r="Q669" s="5">
        <v>44427</v>
      </c>
      <c r="R669" s="1" t="s">
        <v>326</v>
      </c>
      <c r="S669" s="1" t="s">
        <v>328</v>
      </c>
      <c r="T669" s="5">
        <v>44427</v>
      </c>
      <c r="U669" s="5">
        <v>44443</v>
      </c>
      <c r="V669" s="7">
        <v>44445.532349537039</v>
      </c>
      <c r="W669" s="4">
        <v>0</v>
      </c>
      <c r="X669" s="6">
        <v>286569</v>
      </c>
      <c r="Y669" s="6">
        <v>167000</v>
      </c>
      <c r="Z669" s="1">
        <v>1</v>
      </c>
      <c r="AA669" s="6">
        <v>167000</v>
      </c>
      <c r="AB669" s="1" t="s">
        <v>2167</v>
      </c>
      <c r="AC669" s="6">
        <v>1670</v>
      </c>
      <c r="AD669" s="1" t="s">
        <v>1100</v>
      </c>
      <c r="AE669" s="1" t="s">
        <v>2094</v>
      </c>
      <c r="AF669" s="1" t="s">
        <v>1186</v>
      </c>
      <c r="AG669" s="1" t="s">
        <v>1522</v>
      </c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2"/>
      <c r="AT669" s="1"/>
      <c r="AU669" s="1"/>
      <c r="AV669" s="1"/>
      <c r="AW669" s="1" t="s">
        <v>2171</v>
      </c>
      <c r="AX669" s="7">
        <v>44427.770906854756</v>
      </c>
      <c r="AY669" s="1"/>
      <c r="AZ669" s="1"/>
      <c r="BA669" s="1"/>
      <c r="BB669" s="5">
        <v>44561</v>
      </c>
      <c r="BC669" s="1" t="s">
        <v>109</v>
      </c>
      <c r="BD669" s="1" t="s">
        <v>109</v>
      </c>
      <c r="BE669" s="1"/>
      <c r="BF669" s="1"/>
      <c r="BG669" s="1"/>
      <c r="BH669" s="1"/>
      <c r="BI669" s="1"/>
    </row>
    <row r="670" spans="1:61" hidden="1" x14ac:dyDescent="0.25">
      <c r="A670" s="4">
        <v>665</v>
      </c>
      <c r="B670" s="2" t="str">
        <f>HYPERLINK("https://my.zakupivli.pro/remote/dispatcher/state_purchase_view/29187047", "UA-2021-08-19-012303-a")</f>
        <v>UA-2021-08-19-012303-a</v>
      </c>
      <c r="C670" s="2" t="str">
        <f>HYPERLINK("https://my.zakupivli.pro/remote/dispatcher/state_purchase_lot_view/683561", "UA-2021-08-19-012303-a-L1")</f>
        <v>UA-2021-08-19-012303-a-L1</v>
      </c>
      <c r="D670" s="1" t="s">
        <v>1945</v>
      </c>
      <c r="E670" s="1" t="s">
        <v>1948</v>
      </c>
      <c r="F670" s="1" t="s">
        <v>298</v>
      </c>
      <c r="G670" s="1" t="s">
        <v>963</v>
      </c>
      <c r="H670" s="1" t="s">
        <v>1184</v>
      </c>
      <c r="I670" s="1" t="s">
        <v>2094</v>
      </c>
      <c r="J670" s="1" t="s">
        <v>1145</v>
      </c>
      <c r="K670" s="1" t="s">
        <v>947</v>
      </c>
      <c r="L670" s="1" t="s">
        <v>1533</v>
      </c>
      <c r="M670" s="1" t="s">
        <v>1534</v>
      </c>
      <c r="N670" s="1" t="s">
        <v>110</v>
      </c>
      <c r="O670" s="1" t="s">
        <v>110</v>
      </c>
      <c r="P670" s="1" t="s">
        <v>110</v>
      </c>
      <c r="Q670" s="5">
        <v>44427</v>
      </c>
      <c r="R670" s="1" t="s">
        <v>326</v>
      </c>
      <c r="S670" s="1" t="s">
        <v>328</v>
      </c>
      <c r="T670" s="5">
        <v>44427</v>
      </c>
      <c r="U670" s="5">
        <v>44443</v>
      </c>
      <c r="V670" s="7">
        <v>44445.511377314811</v>
      </c>
      <c r="W670" s="4">
        <v>0</v>
      </c>
      <c r="X670" s="6">
        <v>286569</v>
      </c>
      <c r="Y670" s="6">
        <v>119569</v>
      </c>
      <c r="Z670" s="1">
        <v>1</v>
      </c>
      <c r="AA670" s="6">
        <v>119569</v>
      </c>
      <c r="AB670" s="1" t="s">
        <v>2167</v>
      </c>
      <c r="AC670" s="6">
        <v>1195.69</v>
      </c>
      <c r="AD670" s="1" t="s">
        <v>1100</v>
      </c>
      <c r="AE670" s="1" t="s">
        <v>2094</v>
      </c>
      <c r="AF670" s="1" t="s">
        <v>1186</v>
      </c>
      <c r="AG670" s="1" t="s">
        <v>1522</v>
      </c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2"/>
      <c r="AT670" s="1"/>
      <c r="AU670" s="1"/>
      <c r="AV670" s="1"/>
      <c r="AW670" s="1" t="s">
        <v>2171</v>
      </c>
      <c r="AX670" s="7">
        <v>44427.770906854756</v>
      </c>
      <c r="AY670" s="1"/>
      <c r="AZ670" s="1"/>
      <c r="BA670" s="1"/>
      <c r="BB670" s="5">
        <v>44561</v>
      </c>
      <c r="BC670" s="1" t="s">
        <v>109</v>
      </c>
      <c r="BD670" s="1" t="s">
        <v>109</v>
      </c>
      <c r="BE670" s="1"/>
      <c r="BF670" s="1"/>
      <c r="BG670" s="1"/>
      <c r="BH670" s="1"/>
      <c r="BI670" s="1"/>
    </row>
    <row r="671" spans="1:61" hidden="1" x14ac:dyDescent="0.25">
      <c r="A671" s="4">
        <v>666</v>
      </c>
      <c r="B671" s="2" t="str">
        <f>HYPERLINK("https://my.zakupivli.pro/remote/dispatcher/state_purchase_view/29186915", "UA-2021-08-19-012270-a")</f>
        <v>UA-2021-08-19-012270-a</v>
      </c>
      <c r="C671" s="2" t="str">
        <f>HYPERLINK("https://my.zakupivli.pro/remote/dispatcher/state_purchase_lot_view/683557", "UA-2021-08-19-012270-a-L1")</f>
        <v>UA-2021-08-19-012270-a-L1</v>
      </c>
      <c r="D671" s="1" t="s">
        <v>1939</v>
      </c>
      <c r="E671" s="1" t="s">
        <v>1950</v>
      </c>
      <c r="F671" s="1" t="s">
        <v>298</v>
      </c>
      <c r="G671" s="1" t="s">
        <v>963</v>
      </c>
      <c r="H671" s="1" t="s">
        <v>1184</v>
      </c>
      <c r="I671" s="1" t="s">
        <v>2094</v>
      </c>
      <c r="J671" s="1" t="s">
        <v>1145</v>
      </c>
      <c r="K671" s="1" t="s">
        <v>947</v>
      </c>
      <c r="L671" s="1" t="s">
        <v>1533</v>
      </c>
      <c r="M671" s="1" t="s">
        <v>1534</v>
      </c>
      <c r="N671" s="1" t="s">
        <v>110</v>
      </c>
      <c r="O671" s="1" t="s">
        <v>110</v>
      </c>
      <c r="P671" s="1" t="s">
        <v>110</v>
      </c>
      <c r="Q671" s="5">
        <v>44427</v>
      </c>
      <c r="R671" s="1" t="s">
        <v>326</v>
      </c>
      <c r="S671" s="1" t="s">
        <v>328</v>
      </c>
      <c r="T671" s="5">
        <v>44427</v>
      </c>
      <c r="U671" s="5">
        <v>44443</v>
      </c>
      <c r="V671" s="1" t="s">
        <v>2147</v>
      </c>
      <c r="W671" s="4">
        <v>1</v>
      </c>
      <c r="X671" s="6">
        <v>208431</v>
      </c>
      <c r="Y671" s="6">
        <v>77117</v>
      </c>
      <c r="Z671" s="1">
        <v>1</v>
      </c>
      <c r="AA671" s="6">
        <v>77117</v>
      </c>
      <c r="AB671" s="1" t="s">
        <v>2167</v>
      </c>
      <c r="AC671" s="6">
        <v>771.17</v>
      </c>
      <c r="AD671" s="1" t="s">
        <v>1100</v>
      </c>
      <c r="AE671" s="1" t="s">
        <v>2094</v>
      </c>
      <c r="AF671" s="1" t="s">
        <v>1186</v>
      </c>
      <c r="AG671" s="1" t="s">
        <v>1522</v>
      </c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2"/>
      <c r="AT671" s="1"/>
      <c r="AU671" s="1"/>
      <c r="AV671" s="1"/>
      <c r="AW671" s="1" t="s">
        <v>2153</v>
      </c>
      <c r="AX671" s="7">
        <v>44443.002069920905</v>
      </c>
      <c r="AY671" s="1"/>
      <c r="AZ671" s="1"/>
      <c r="BA671" s="1"/>
      <c r="BB671" s="5">
        <v>44561</v>
      </c>
      <c r="BC671" s="1" t="s">
        <v>109</v>
      </c>
      <c r="BD671" s="1" t="s">
        <v>109</v>
      </c>
      <c r="BE671" s="1"/>
      <c r="BF671" s="1"/>
      <c r="BG671" s="1"/>
      <c r="BH671" s="1"/>
      <c r="BI671" s="1" t="s">
        <v>199</v>
      </c>
    </row>
    <row r="672" spans="1:61" hidden="1" x14ac:dyDescent="0.25">
      <c r="A672" s="4">
        <v>667</v>
      </c>
      <c r="B672" s="2" t="str">
        <f>HYPERLINK("https://my.zakupivli.pro/remote/dispatcher/state_purchase_view/29186915", "UA-2021-08-19-012270-a")</f>
        <v>UA-2021-08-19-012270-a</v>
      </c>
      <c r="C672" s="2" t="str">
        <f>HYPERLINK("https://my.zakupivli.pro/remote/dispatcher/state_purchase_lot_view/683558", "UA-2021-08-19-012270-a-L2")</f>
        <v>UA-2021-08-19-012270-a-L2</v>
      </c>
      <c r="D672" s="1" t="s">
        <v>1940</v>
      </c>
      <c r="E672" s="1" t="s">
        <v>1953</v>
      </c>
      <c r="F672" s="1" t="s">
        <v>298</v>
      </c>
      <c r="G672" s="1" t="s">
        <v>963</v>
      </c>
      <c r="H672" s="1" t="s">
        <v>1184</v>
      </c>
      <c r="I672" s="1" t="s">
        <v>2094</v>
      </c>
      <c r="J672" s="1" t="s">
        <v>1145</v>
      </c>
      <c r="K672" s="1" t="s">
        <v>947</v>
      </c>
      <c r="L672" s="1" t="s">
        <v>1533</v>
      </c>
      <c r="M672" s="1" t="s">
        <v>1534</v>
      </c>
      <c r="N672" s="1" t="s">
        <v>110</v>
      </c>
      <c r="O672" s="1" t="s">
        <v>110</v>
      </c>
      <c r="P672" s="1" t="s">
        <v>110</v>
      </c>
      <c r="Q672" s="5">
        <v>44427</v>
      </c>
      <c r="R672" s="1" t="s">
        <v>326</v>
      </c>
      <c r="S672" s="1" t="s">
        <v>328</v>
      </c>
      <c r="T672" s="5">
        <v>44427</v>
      </c>
      <c r="U672" s="5">
        <v>44443</v>
      </c>
      <c r="V672" s="1" t="s">
        <v>2147</v>
      </c>
      <c r="W672" s="4">
        <v>1</v>
      </c>
      <c r="X672" s="6">
        <v>208431</v>
      </c>
      <c r="Y672" s="6">
        <v>131314</v>
      </c>
      <c r="Z672" s="1">
        <v>1</v>
      </c>
      <c r="AA672" s="6">
        <v>131314</v>
      </c>
      <c r="AB672" s="1" t="s">
        <v>2167</v>
      </c>
      <c r="AC672" s="6">
        <v>1313.14</v>
      </c>
      <c r="AD672" s="1" t="s">
        <v>1100</v>
      </c>
      <c r="AE672" s="1" t="s">
        <v>2094</v>
      </c>
      <c r="AF672" s="1" t="s">
        <v>1186</v>
      </c>
      <c r="AG672" s="1" t="s">
        <v>1522</v>
      </c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2"/>
      <c r="AT672" s="1"/>
      <c r="AU672" s="1"/>
      <c r="AV672" s="1"/>
      <c r="AW672" s="1" t="s">
        <v>2153</v>
      </c>
      <c r="AX672" s="7">
        <v>44443.002069920905</v>
      </c>
      <c r="AY672" s="1"/>
      <c r="AZ672" s="1"/>
      <c r="BA672" s="1"/>
      <c r="BB672" s="5">
        <v>44561</v>
      </c>
      <c r="BC672" s="1" t="s">
        <v>109</v>
      </c>
      <c r="BD672" s="1" t="s">
        <v>109</v>
      </c>
      <c r="BE672" s="1"/>
      <c r="BF672" s="1"/>
      <c r="BG672" s="1"/>
      <c r="BH672" s="1"/>
      <c r="BI672" s="1" t="s">
        <v>199</v>
      </c>
    </row>
    <row r="673" spans="1:61" hidden="1" x14ac:dyDescent="0.25">
      <c r="A673" s="4">
        <v>668</v>
      </c>
      <c r="B673" s="2" t="str">
        <f>HYPERLINK("https://my.zakupivli.pro/remote/dispatcher/state_purchase_view/29163513", "UA-2021-08-19-005366-a")</f>
        <v>UA-2021-08-19-005366-a</v>
      </c>
      <c r="C673" s="2" t="s">
        <v>1516</v>
      </c>
      <c r="D673" s="1" t="s">
        <v>1952</v>
      </c>
      <c r="E673" s="1" t="s">
        <v>1952</v>
      </c>
      <c r="F673" s="1" t="s">
        <v>298</v>
      </c>
      <c r="G673" s="1" t="s">
        <v>963</v>
      </c>
      <c r="H673" s="1" t="s">
        <v>2015</v>
      </c>
      <c r="I673" s="1" t="s">
        <v>2094</v>
      </c>
      <c r="J673" s="1" t="s">
        <v>1145</v>
      </c>
      <c r="K673" s="1" t="s">
        <v>947</v>
      </c>
      <c r="L673" s="1" t="s">
        <v>1533</v>
      </c>
      <c r="M673" s="1" t="s">
        <v>1534</v>
      </c>
      <c r="N673" s="1" t="s">
        <v>110</v>
      </c>
      <c r="O673" s="1" t="s">
        <v>110</v>
      </c>
      <c r="P673" s="1" t="s">
        <v>110</v>
      </c>
      <c r="Q673" s="5">
        <v>44427</v>
      </c>
      <c r="R673" s="1" t="s">
        <v>326</v>
      </c>
      <c r="S673" s="1" t="s">
        <v>330</v>
      </c>
      <c r="T673" s="5">
        <v>44435</v>
      </c>
      <c r="U673" s="5">
        <v>44439</v>
      </c>
      <c r="V673" s="1" t="s">
        <v>2147</v>
      </c>
      <c r="W673" s="4">
        <v>1</v>
      </c>
      <c r="X673" s="6">
        <v>161251</v>
      </c>
      <c r="Y673" s="1" t="s">
        <v>1516</v>
      </c>
      <c r="Z673" s="1">
        <v>1</v>
      </c>
      <c r="AA673" s="6">
        <v>161251</v>
      </c>
      <c r="AB673" s="1" t="s">
        <v>2167</v>
      </c>
      <c r="AC673" s="6">
        <v>806.26</v>
      </c>
      <c r="AD673" s="1" t="s">
        <v>1100</v>
      </c>
      <c r="AE673" s="1" t="s">
        <v>2094</v>
      </c>
      <c r="AF673" s="1" t="s">
        <v>1186</v>
      </c>
      <c r="AG673" s="1" t="s">
        <v>1522</v>
      </c>
      <c r="AH673" s="6">
        <v>161250</v>
      </c>
      <c r="AI673" s="6">
        <v>161250</v>
      </c>
      <c r="AJ673" s="1" t="s">
        <v>1512</v>
      </c>
      <c r="AK673" s="6">
        <v>1</v>
      </c>
      <c r="AL673" s="6">
        <v>6.201511928608195E-6</v>
      </c>
      <c r="AM673" s="1"/>
      <c r="AN673" s="1"/>
      <c r="AO673" s="1"/>
      <c r="AP673" s="1"/>
      <c r="AQ673" s="1"/>
      <c r="AR673" s="1"/>
      <c r="AS673" s="2"/>
      <c r="AT673" s="7">
        <v>44440.608491500207</v>
      </c>
      <c r="AU673" s="1"/>
      <c r="AV673" s="1"/>
      <c r="AW673" s="1" t="s">
        <v>2153</v>
      </c>
      <c r="AX673" s="7">
        <v>44443.001704271897</v>
      </c>
      <c r="AY673" s="1"/>
      <c r="AZ673" s="1"/>
      <c r="BA673" s="1"/>
      <c r="BB673" s="5">
        <v>44561</v>
      </c>
      <c r="BC673" s="1" t="s">
        <v>109</v>
      </c>
      <c r="BD673" s="1" t="s">
        <v>109</v>
      </c>
      <c r="BE673" s="1"/>
      <c r="BF673" s="1"/>
      <c r="BG673" s="1"/>
      <c r="BH673" s="1"/>
      <c r="BI673" s="1" t="s">
        <v>199</v>
      </c>
    </row>
    <row r="674" spans="1:61" hidden="1" x14ac:dyDescent="0.25">
      <c r="A674" s="4">
        <v>669</v>
      </c>
      <c r="B674" s="2" t="str">
        <f>HYPERLINK("https://my.zakupivli.pro/remote/dispatcher/state_purchase_view/29163275", "UA-2021-08-19-005273-a")</f>
        <v>UA-2021-08-19-005273-a</v>
      </c>
      <c r="C674" s="2" t="s">
        <v>1516</v>
      </c>
      <c r="D674" s="1" t="s">
        <v>1933</v>
      </c>
      <c r="E674" s="1" t="s">
        <v>1933</v>
      </c>
      <c r="F674" s="1" t="s">
        <v>298</v>
      </c>
      <c r="G674" s="1" t="s">
        <v>974</v>
      </c>
      <c r="H674" s="1" t="s">
        <v>2015</v>
      </c>
      <c r="I674" s="1" t="s">
        <v>2094</v>
      </c>
      <c r="J674" s="1" t="s">
        <v>1145</v>
      </c>
      <c r="K674" s="1" t="s">
        <v>947</v>
      </c>
      <c r="L674" s="1" t="s">
        <v>1533</v>
      </c>
      <c r="M674" s="1" t="s">
        <v>1534</v>
      </c>
      <c r="N674" s="1" t="s">
        <v>110</v>
      </c>
      <c r="O674" s="1" t="s">
        <v>110</v>
      </c>
      <c r="P674" s="1" t="s">
        <v>110</v>
      </c>
      <c r="Q674" s="5">
        <v>44427</v>
      </c>
      <c r="R674" s="1" t="s">
        <v>326</v>
      </c>
      <c r="S674" s="1" t="s">
        <v>330</v>
      </c>
      <c r="T674" s="5">
        <v>44435</v>
      </c>
      <c r="U674" s="5">
        <v>44439</v>
      </c>
      <c r="V674" s="1" t="s">
        <v>2147</v>
      </c>
      <c r="W674" s="4">
        <v>1</v>
      </c>
      <c r="X674" s="6">
        <v>166047</v>
      </c>
      <c r="Y674" s="1" t="s">
        <v>1516</v>
      </c>
      <c r="Z674" s="1">
        <v>1</v>
      </c>
      <c r="AA674" s="6">
        <v>166047</v>
      </c>
      <c r="AB674" s="1" t="s">
        <v>2167</v>
      </c>
      <c r="AC674" s="6">
        <v>830.24</v>
      </c>
      <c r="AD674" s="1" t="s">
        <v>1100</v>
      </c>
      <c r="AE674" s="1" t="s">
        <v>2094</v>
      </c>
      <c r="AF674" s="1" t="s">
        <v>1186</v>
      </c>
      <c r="AG674" s="1" t="s">
        <v>1522</v>
      </c>
      <c r="AH674" s="6">
        <v>166046.82999999999</v>
      </c>
      <c r="AI674" s="6">
        <v>166046.82999999999</v>
      </c>
      <c r="AJ674" s="1" t="s">
        <v>1512</v>
      </c>
      <c r="AK674" s="6">
        <v>0.17000000001280569</v>
      </c>
      <c r="AL674" s="6">
        <v>1.0238065126910194E-6</v>
      </c>
      <c r="AM674" s="1"/>
      <c r="AN674" s="1"/>
      <c r="AO674" s="1"/>
      <c r="AP674" s="1"/>
      <c r="AQ674" s="1"/>
      <c r="AR674" s="1"/>
      <c r="AS674" s="2"/>
      <c r="AT674" s="7">
        <v>44440.610891498218</v>
      </c>
      <c r="AU674" s="1"/>
      <c r="AV674" s="1"/>
      <c r="AW674" s="1" t="s">
        <v>2153</v>
      </c>
      <c r="AX674" s="7">
        <v>44443.000636433033</v>
      </c>
      <c r="AY674" s="1"/>
      <c r="AZ674" s="1"/>
      <c r="BA674" s="1"/>
      <c r="BB674" s="5">
        <v>44561</v>
      </c>
      <c r="BC674" s="1" t="s">
        <v>109</v>
      </c>
      <c r="BD674" s="1" t="s">
        <v>109</v>
      </c>
      <c r="BE674" s="1"/>
      <c r="BF674" s="1"/>
      <c r="BG674" s="1"/>
      <c r="BH674" s="1"/>
      <c r="BI674" s="1" t="s">
        <v>199</v>
      </c>
    </row>
    <row r="675" spans="1:61" hidden="1" x14ac:dyDescent="0.25">
      <c r="A675" s="4">
        <v>670</v>
      </c>
      <c r="B675" s="2" t="str">
        <f>HYPERLINK("https://my.zakupivli.pro/remote/dispatcher/state_purchase_view/29156661", "UA-2021-08-19-002979-a")</f>
        <v>UA-2021-08-19-002979-a</v>
      </c>
      <c r="C675" s="2" t="s">
        <v>1516</v>
      </c>
      <c r="D675" s="1" t="s">
        <v>1966</v>
      </c>
      <c r="E675" s="1" t="s">
        <v>1966</v>
      </c>
      <c r="F675" s="1" t="s">
        <v>298</v>
      </c>
      <c r="G675" s="1" t="s">
        <v>974</v>
      </c>
      <c r="H675" s="1" t="s">
        <v>1184</v>
      </c>
      <c r="I675" s="1" t="s">
        <v>2094</v>
      </c>
      <c r="J675" s="1" t="s">
        <v>1145</v>
      </c>
      <c r="K675" s="1" t="s">
        <v>947</v>
      </c>
      <c r="L675" s="1" t="s">
        <v>1533</v>
      </c>
      <c r="M675" s="1" t="s">
        <v>1534</v>
      </c>
      <c r="N675" s="1" t="s">
        <v>110</v>
      </c>
      <c r="O675" s="1" t="s">
        <v>110</v>
      </c>
      <c r="P675" s="1" t="s">
        <v>110</v>
      </c>
      <c r="Q675" s="5">
        <v>44427</v>
      </c>
      <c r="R675" s="1" t="s">
        <v>326</v>
      </c>
      <c r="S675" s="1" t="s">
        <v>328</v>
      </c>
      <c r="T675" s="5">
        <v>44427</v>
      </c>
      <c r="U675" s="5">
        <v>44443</v>
      </c>
      <c r="V675" s="1" t="s">
        <v>2147</v>
      </c>
      <c r="W675" s="4">
        <v>1</v>
      </c>
      <c r="X675" s="6">
        <v>363769</v>
      </c>
      <c r="Y675" s="1" t="s">
        <v>1516</v>
      </c>
      <c r="Z675" s="1">
        <v>1</v>
      </c>
      <c r="AA675" s="6">
        <v>363769</v>
      </c>
      <c r="AB675" s="1" t="s">
        <v>2167</v>
      </c>
      <c r="AC675" s="6">
        <v>3637.69</v>
      </c>
      <c r="AD675" s="1" t="s">
        <v>1100</v>
      </c>
      <c r="AE675" s="1" t="s">
        <v>2094</v>
      </c>
      <c r="AF675" s="1" t="s">
        <v>1186</v>
      </c>
      <c r="AG675" s="1" t="s">
        <v>1522</v>
      </c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2"/>
      <c r="AT675" s="1"/>
      <c r="AU675" s="1"/>
      <c r="AV675" s="1"/>
      <c r="AW675" s="1" t="s">
        <v>2153</v>
      </c>
      <c r="AX675" s="7">
        <v>44443.002593316472</v>
      </c>
      <c r="AY675" s="1"/>
      <c r="AZ675" s="1"/>
      <c r="BA675" s="1"/>
      <c r="BB675" s="5">
        <v>44561</v>
      </c>
      <c r="BC675" s="1" t="s">
        <v>109</v>
      </c>
      <c r="BD675" s="1" t="s">
        <v>109</v>
      </c>
      <c r="BE675" s="1"/>
      <c r="BF675" s="1"/>
      <c r="BG675" s="1"/>
      <c r="BH675" s="1"/>
      <c r="BI675" s="1" t="s">
        <v>199</v>
      </c>
    </row>
    <row r="676" spans="1:61" hidden="1" x14ac:dyDescent="0.25">
      <c r="A676" s="4">
        <v>671</v>
      </c>
      <c r="B676" s="2" t="str">
        <f>HYPERLINK("https://my.zakupivli.pro/remote/dispatcher/state_purchase_view/29156287", "UA-2021-08-19-002770-a")</f>
        <v>UA-2021-08-19-002770-a</v>
      </c>
      <c r="C676" s="2" t="s">
        <v>1516</v>
      </c>
      <c r="D676" s="1" t="s">
        <v>1954</v>
      </c>
      <c r="E676" s="1" t="s">
        <v>1954</v>
      </c>
      <c r="F676" s="1" t="s">
        <v>298</v>
      </c>
      <c r="G676" s="1" t="s">
        <v>963</v>
      </c>
      <c r="H676" s="1" t="s">
        <v>1184</v>
      </c>
      <c r="I676" s="1" t="s">
        <v>2094</v>
      </c>
      <c r="J676" s="1" t="s">
        <v>1145</v>
      </c>
      <c r="K676" s="1" t="s">
        <v>947</v>
      </c>
      <c r="L676" s="1" t="s">
        <v>1533</v>
      </c>
      <c r="M676" s="1" t="s">
        <v>1534</v>
      </c>
      <c r="N676" s="1" t="s">
        <v>110</v>
      </c>
      <c r="O676" s="1" t="s">
        <v>110</v>
      </c>
      <c r="P676" s="1" t="s">
        <v>110</v>
      </c>
      <c r="Q676" s="5">
        <v>44427</v>
      </c>
      <c r="R676" s="1" t="s">
        <v>326</v>
      </c>
      <c r="S676" s="1" t="s">
        <v>328</v>
      </c>
      <c r="T676" s="5">
        <v>44427</v>
      </c>
      <c r="U676" s="5">
        <v>44443</v>
      </c>
      <c r="V676" s="1" t="s">
        <v>2147</v>
      </c>
      <c r="W676" s="4">
        <v>1</v>
      </c>
      <c r="X676" s="6">
        <v>244467</v>
      </c>
      <c r="Y676" s="1" t="s">
        <v>1516</v>
      </c>
      <c r="Z676" s="1">
        <v>1</v>
      </c>
      <c r="AA676" s="6">
        <v>244467</v>
      </c>
      <c r="AB676" s="1" t="s">
        <v>2167</v>
      </c>
      <c r="AC676" s="6">
        <v>2444.67</v>
      </c>
      <c r="AD676" s="1" t="s">
        <v>1100</v>
      </c>
      <c r="AE676" s="1" t="s">
        <v>2094</v>
      </c>
      <c r="AF676" s="1" t="s">
        <v>1186</v>
      </c>
      <c r="AG676" s="1" t="s">
        <v>1522</v>
      </c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2"/>
      <c r="AT676" s="1"/>
      <c r="AU676" s="1"/>
      <c r="AV676" s="1"/>
      <c r="AW676" s="1" t="s">
        <v>2153</v>
      </c>
      <c r="AX676" s="7">
        <v>44443.00141075164</v>
      </c>
      <c r="AY676" s="1"/>
      <c r="AZ676" s="1"/>
      <c r="BA676" s="1"/>
      <c r="BB676" s="5">
        <v>44561</v>
      </c>
      <c r="BC676" s="1" t="s">
        <v>109</v>
      </c>
      <c r="BD676" s="1" t="s">
        <v>109</v>
      </c>
      <c r="BE676" s="1"/>
      <c r="BF676" s="1"/>
      <c r="BG676" s="1"/>
      <c r="BH676" s="1"/>
      <c r="BI676" s="1" t="s">
        <v>199</v>
      </c>
    </row>
    <row r="677" spans="1:61" hidden="1" x14ac:dyDescent="0.25">
      <c r="A677" s="4">
        <v>672</v>
      </c>
      <c r="B677" s="2" t="str">
        <f>HYPERLINK("https://my.zakupivli.pro/remote/dispatcher/state_purchase_view/29154861", "UA-2021-08-19-002274-a")</f>
        <v>UA-2021-08-19-002274-a</v>
      </c>
      <c r="C677" s="2" t="s">
        <v>1516</v>
      </c>
      <c r="D677" s="1" t="s">
        <v>1916</v>
      </c>
      <c r="E677" s="1" t="s">
        <v>1916</v>
      </c>
      <c r="F677" s="1" t="s">
        <v>298</v>
      </c>
      <c r="G677" s="1" t="s">
        <v>994</v>
      </c>
      <c r="H677" s="1" t="s">
        <v>1184</v>
      </c>
      <c r="I677" s="1" t="s">
        <v>2094</v>
      </c>
      <c r="J677" s="1" t="s">
        <v>1145</v>
      </c>
      <c r="K677" s="1" t="s">
        <v>947</v>
      </c>
      <c r="L677" s="1" t="s">
        <v>1533</v>
      </c>
      <c r="M677" s="1" t="s">
        <v>1534</v>
      </c>
      <c r="N677" s="1" t="s">
        <v>110</v>
      </c>
      <c r="O677" s="1" t="s">
        <v>110</v>
      </c>
      <c r="P677" s="1" t="s">
        <v>110</v>
      </c>
      <c r="Q677" s="5">
        <v>44427</v>
      </c>
      <c r="R677" s="1" t="s">
        <v>326</v>
      </c>
      <c r="S677" s="1" t="s">
        <v>328</v>
      </c>
      <c r="T677" s="5">
        <v>44427</v>
      </c>
      <c r="U677" s="5">
        <v>44443</v>
      </c>
      <c r="V677" s="7">
        <v>44445.62976851852</v>
      </c>
      <c r="W677" s="4">
        <v>2</v>
      </c>
      <c r="X677" s="6">
        <v>209908</v>
      </c>
      <c r="Y677" s="1" t="s">
        <v>1516</v>
      </c>
      <c r="Z677" s="1">
        <v>1</v>
      </c>
      <c r="AA677" s="6">
        <v>209908</v>
      </c>
      <c r="AB677" s="1" t="s">
        <v>2167</v>
      </c>
      <c r="AC677" s="6">
        <v>2099.08</v>
      </c>
      <c r="AD677" s="1" t="s">
        <v>1100</v>
      </c>
      <c r="AE677" s="1" t="s">
        <v>2094</v>
      </c>
      <c r="AF677" s="1" t="s">
        <v>1186</v>
      </c>
      <c r="AG677" s="1" t="s">
        <v>1522</v>
      </c>
      <c r="AH677" s="6">
        <v>208908</v>
      </c>
      <c r="AI677" s="6">
        <v>208908</v>
      </c>
      <c r="AJ677" s="1" t="s">
        <v>2048</v>
      </c>
      <c r="AK677" s="6">
        <v>1000</v>
      </c>
      <c r="AL677" s="6">
        <v>4.7639918440459629E-3</v>
      </c>
      <c r="AM677" s="1" t="s">
        <v>2048</v>
      </c>
      <c r="AN677" s="1" t="s">
        <v>831</v>
      </c>
      <c r="AO677" s="1" t="s">
        <v>1131</v>
      </c>
      <c r="AP677" s="1" t="s">
        <v>88</v>
      </c>
      <c r="AQ677" s="6">
        <v>1000</v>
      </c>
      <c r="AR677" s="6">
        <v>4.7639918440459629E-3</v>
      </c>
      <c r="AS677" s="2" t="str">
        <f>HYPERLINK("https://auctions.prozorro.gov.ua/tenders/9b4d3894f2cc44b2b59100ad858794c0")</f>
        <v>https://auctions.prozorro.gov.ua/tenders/9b4d3894f2cc44b2b59100ad858794c0</v>
      </c>
      <c r="AT677" s="7">
        <v>44448.63720645391</v>
      </c>
      <c r="AU677" s="1" t="s">
        <v>340</v>
      </c>
      <c r="AV677" s="1" t="s">
        <v>345</v>
      </c>
      <c r="AW677" s="1" t="s">
        <v>2152</v>
      </c>
      <c r="AX677" s="7">
        <v>44463.596195568913</v>
      </c>
      <c r="AY677" s="1" t="s">
        <v>762</v>
      </c>
      <c r="AZ677" s="6">
        <v>208908</v>
      </c>
      <c r="BA677" s="1"/>
      <c r="BB677" s="5">
        <v>44561</v>
      </c>
      <c r="BC677" s="5">
        <v>44463</v>
      </c>
      <c r="BD677" s="5">
        <v>44463</v>
      </c>
      <c r="BE677" s="7">
        <v>44561</v>
      </c>
      <c r="BF677" s="1" t="s">
        <v>2170</v>
      </c>
      <c r="BG677" s="1"/>
      <c r="BH677" s="1"/>
      <c r="BI677" s="1" t="s">
        <v>833</v>
      </c>
    </row>
    <row r="678" spans="1:61" hidden="1" x14ac:dyDescent="0.25">
      <c r="A678" s="4">
        <v>673</v>
      </c>
      <c r="B678" s="2" t="str">
        <f>HYPERLINK("https://my.zakupivli.pro/remote/dispatcher/state_purchase_view/29154221", "UA-2021-08-19-002060-a")</f>
        <v>UA-2021-08-19-002060-a</v>
      </c>
      <c r="C678" s="2" t="s">
        <v>1516</v>
      </c>
      <c r="D678" s="1" t="s">
        <v>1949</v>
      </c>
      <c r="E678" s="1" t="s">
        <v>1949</v>
      </c>
      <c r="F678" s="1" t="s">
        <v>298</v>
      </c>
      <c r="G678" s="1" t="s">
        <v>963</v>
      </c>
      <c r="H678" s="1" t="s">
        <v>1184</v>
      </c>
      <c r="I678" s="1" t="s">
        <v>2094</v>
      </c>
      <c r="J678" s="1" t="s">
        <v>1145</v>
      </c>
      <c r="K678" s="1" t="s">
        <v>947</v>
      </c>
      <c r="L678" s="1" t="s">
        <v>1533</v>
      </c>
      <c r="M678" s="1" t="s">
        <v>1534</v>
      </c>
      <c r="N678" s="1" t="s">
        <v>110</v>
      </c>
      <c r="O678" s="1" t="s">
        <v>110</v>
      </c>
      <c r="P678" s="1" t="s">
        <v>110</v>
      </c>
      <c r="Q678" s="5">
        <v>44427</v>
      </c>
      <c r="R678" s="1" t="s">
        <v>326</v>
      </c>
      <c r="S678" s="1" t="s">
        <v>328</v>
      </c>
      <c r="T678" s="5">
        <v>44427</v>
      </c>
      <c r="U678" s="5">
        <v>44443</v>
      </c>
      <c r="V678" s="1" t="s">
        <v>2147</v>
      </c>
      <c r="W678" s="4">
        <v>1</v>
      </c>
      <c r="X678" s="6">
        <v>400000</v>
      </c>
      <c r="Y678" s="1" t="s">
        <v>1516</v>
      </c>
      <c r="Z678" s="1">
        <v>1</v>
      </c>
      <c r="AA678" s="6">
        <v>400000</v>
      </c>
      <c r="AB678" s="1" t="s">
        <v>2167</v>
      </c>
      <c r="AC678" s="6">
        <v>4000</v>
      </c>
      <c r="AD678" s="1" t="s">
        <v>1100</v>
      </c>
      <c r="AE678" s="1" t="s">
        <v>2094</v>
      </c>
      <c r="AF678" s="1" t="s">
        <v>1186</v>
      </c>
      <c r="AG678" s="1" t="s">
        <v>1522</v>
      </c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2"/>
      <c r="AT678" s="1"/>
      <c r="AU678" s="1"/>
      <c r="AV678" s="1"/>
      <c r="AW678" s="1" t="s">
        <v>2153</v>
      </c>
      <c r="AX678" s="7">
        <v>44443.001060421913</v>
      </c>
      <c r="AY678" s="1"/>
      <c r="AZ678" s="1"/>
      <c r="BA678" s="1"/>
      <c r="BB678" s="5">
        <v>44561</v>
      </c>
      <c r="BC678" s="1" t="s">
        <v>109</v>
      </c>
      <c r="BD678" s="1" t="s">
        <v>109</v>
      </c>
      <c r="BE678" s="1"/>
      <c r="BF678" s="1"/>
      <c r="BG678" s="1"/>
      <c r="BH678" s="1"/>
      <c r="BI678" s="1" t="s">
        <v>199</v>
      </c>
    </row>
    <row r="679" spans="1:61" hidden="1" x14ac:dyDescent="0.25">
      <c r="A679" s="4">
        <v>674</v>
      </c>
      <c r="B679" s="2" t="str">
        <f>HYPERLINK("https://my.zakupivli.pro/remote/dispatcher/state_purchase_view/29145450", "UA-2021-08-18-013669-a")</f>
        <v>UA-2021-08-18-013669-a</v>
      </c>
      <c r="C679" s="2" t="s">
        <v>1516</v>
      </c>
      <c r="D679" s="1" t="s">
        <v>1669</v>
      </c>
      <c r="E679" s="1" t="s">
        <v>1669</v>
      </c>
      <c r="F679" s="1" t="s">
        <v>298</v>
      </c>
      <c r="G679" s="1" t="s">
        <v>995</v>
      </c>
      <c r="H679" s="1" t="s">
        <v>2015</v>
      </c>
      <c r="I679" s="1" t="s">
        <v>2094</v>
      </c>
      <c r="J679" s="1" t="s">
        <v>1145</v>
      </c>
      <c r="K679" s="1" t="s">
        <v>947</v>
      </c>
      <c r="L679" s="1" t="s">
        <v>1533</v>
      </c>
      <c r="M679" s="1" t="s">
        <v>1534</v>
      </c>
      <c r="N679" s="1" t="s">
        <v>110</v>
      </c>
      <c r="O679" s="1" t="s">
        <v>110</v>
      </c>
      <c r="P679" s="1" t="s">
        <v>110</v>
      </c>
      <c r="Q679" s="5">
        <v>44426</v>
      </c>
      <c r="R679" s="1" t="s">
        <v>325</v>
      </c>
      <c r="S679" s="1" t="s">
        <v>329</v>
      </c>
      <c r="T679" s="5">
        <v>44434</v>
      </c>
      <c r="U679" s="5">
        <v>44438</v>
      </c>
      <c r="V679" s="1" t="s">
        <v>2147</v>
      </c>
      <c r="W679" s="4">
        <v>1</v>
      </c>
      <c r="X679" s="6">
        <v>167779</v>
      </c>
      <c r="Y679" s="1" t="s">
        <v>1516</v>
      </c>
      <c r="Z679" s="1">
        <v>1</v>
      </c>
      <c r="AA679" s="6">
        <v>167779</v>
      </c>
      <c r="AB679" s="1" t="s">
        <v>2167</v>
      </c>
      <c r="AC679" s="6">
        <v>838.9</v>
      </c>
      <c r="AD679" s="1" t="s">
        <v>1100</v>
      </c>
      <c r="AE679" s="1" t="s">
        <v>2094</v>
      </c>
      <c r="AF679" s="1" t="s">
        <v>1186</v>
      </c>
      <c r="AG679" s="1" t="s">
        <v>1522</v>
      </c>
      <c r="AH679" s="6">
        <v>166197.13</v>
      </c>
      <c r="AI679" s="6">
        <v>166197.13</v>
      </c>
      <c r="AJ679" s="1" t="s">
        <v>2081</v>
      </c>
      <c r="AK679" s="6">
        <v>1581.8699999999953</v>
      </c>
      <c r="AL679" s="6">
        <v>9.4282955554628126E-3</v>
      </c>
      <c r="AM679" s="1" t="s">
        <v>2081</v>
      </c>
      <c r="AN679" s="1" t="s">
        <v>890</v>
      </c>
      <c r="AO679" s="1" t="s">
        <v>1097</v>
      </c>
      <c r="AP679" s="1" t="s">
        <v>871</v>
      </c>
      <c r="AQ679" s="6">
        <v>1581.8699999999953</v>
      </c>
      <c r="AR679" s="6">
        <v>9.4282955554628126E-3</v>
      </c>
      <c r="AS679" s="2"/>
      <c r="AT679" s="7">
        <v>44439.65579251403</v>
      </c>
      <c r="AU679" s="1" t="s">
        <v>333</v>
      </c>
      <c r="AV679" s="1" t="s">
        <v>340</v>
      </c>
      <c r="AW679" s="1" t="s">
        <v>2152</v>
      </c>
      <c r="AX679" s="7">
        <v>44455.612407438217</v>
      </c>
      <c r="AY679" s="1" t="s">
        <v>1043</v>
      </c>
      <c r="AZ679" s="6">
        <v>166197.13</v>
      </c>
      <c r="BA679" s="1"/>
      <c r="BB679" s="5">
        <v>44561</v>
      </c>
      <c r="BC679" s="5">
        <v>44455</v>
      </c>
      <c r="BD679" s="5">
        <v>44455</v>
      </c>
      <c r="BE679" s="7">
        <v>44561</v>
      </c>
      <c r="BF679" s="1" t="s">
        <v>2170</v>
      </c>
      <c r="BG679" s="1"/>
      <c r="BH679" s="1"/>
      <c r="BI679" s="1" t="s">
        <v>891</v>
      </c>
    </row>
    <row r="680" spans="1:61" hidden="1" x14ac:dyDescent="0.25">
      <c r="A680" s="4">
        <v>675</v>
      </c>
      <c r="B680" s="2" t="str">
        <f>HYPERLINK("https://my.zakupivli.pro/remote/dispatcher/state_purchase_view/28827882", "UA-2021-08-06-010143-a")</f>
        <v>UA-2021-08-06-010143-a</v>
      </c>
      <c r="C680" s="2" t="s">
        <v>1516</v>
      </c>
      <c r="D680" s="1" t="s">
        <v>2020</v>
      </c>
      <c r="E680" s="1" t="s">
        <v>2020</v>
      </c>
      <c r="F680" s="1" t="s">
        <v>298</v>
      </c>
      <c r="G680" s="1" t="s">
        <v>1026</v>
      </c>
      <c r="H680" s="1" t="s">
        <v>1218</v>
      </c>
      <c r="I680" s="1" t="s">
        <v>2094</v>
      </c>
      <c r="J680" s="1" t="s">
        <v>1145</v>
      </c>
      <c r="K680" s="1" t="s">
        <v>947</v>
      </c>
      <c r="L680" s="1" t="s">
        <v>1533</v>
      </c>
      <c r="M680" s="1" t="s">
        <v>1534</v>
      </c>
      <c r="N680" s="1" t="s">
        <v>110</v>
      </c>
      <c r="O680" s="1" t="s">
        <v>110</v>
      </c>
      <c r="P680" s="1" t="s">
        <v>110</v>
      </c>
      <c r="Q680" s="5">
        <v>44414</v>
      </c>
      <c r="R680" s="1"/>
      <c r="S680" s="1"/>
      <c r="T680" s="1"/>
      <c r="U680" s="1"/>
      <c r="V680" s="1" t="s">
        <v>2146</v>
      </c>
      <c r="W680" s="4">
        <v>1</v>
      </c>
      <c r="X680" s="6">
        <v>2272</v>
      </c>
      <c r="Y680" s="1" t="s">
        <v>1516</v>
      </c>
      <c r="Z680" s="1">
        <v>1</v>
      </c>
      <c r="AA680" s="6">
        <v>2272</v>
      </c>
      <c r="AB680" s="1" t="s">
        <v>2167</v>
      </c>
      <c r="AC680" s="1" t="s">
        <v>2162</v>
      </c>
      <c r="AD680" s="1" t="s">
        <v>1100</v>
      </c>
      <c r="AE680" s="1" t="s">
        <v>1522</v>
      </c>
      <c r="AF680" s="1" t="s">
        <v>1186</v>
      </c>
      <c r="AG680" s="1" t="s">
        <v>1522</v>
      </c>
      <c r="AH680" s="6">
        <v>2272</v>
      </c>
      <c r="AI680" s="6">
        <v>2272</v>
      </c>
      <c r="AJ680" s="1" t="s">
        <v>1544</v>
      </c>
      <c r="AK680" s="1"/>
      <c r="AL680" s="1"/>
      <c r="AM680" s="1" t="s">
        <v>1544</v>
      </c>
      <c r="AN680" s="1" t="s">
        <v>278</v>
      </c>
      <c r="AO680" s="1"/>
      <c r="AP680" s="1" t="s">
        <v>18</v>
      </c>
      <c r="AQ680" s="1"/>
      <c r="AR680" s="1"/>
      <c r="AS680" s="2"/>
      <c r="AT680" s="1"/>
      <c r="AU680" s="1"/>
      <c r="AV680" s="1"/>
      <c r="AW680" s="1" t="s">
        <v>2152</v>
      </c>
      <c r="AX680" s="7">
        <v>44414.652474657283</v>
      </c>
      <c r="AY680" s="1" t="s">
        <v>157</v>
      </c>
      <c r="AZ680" s="6">
        <v>2272</v>
      </c>
      <c r="BA680" s="5">
        <v>44413</v>
      </c>
      <c r="BB680" s="5">
        <v>44561</v>
      </c>
      <c r="BC680" s="5">
        <v>44413</v>
      </c>
      <c r="BD680" s="5">
        <v>44413</v>
      </c>
      <c r="BE680" s="7">
        <v>44561</v>
      </c>
      <c r="BF680" s="1" t="s">
        <v>2170</v>
      </c>
      <c r="BG680" s="1"/>
      <c r="BH680" s="1"/>
      <c r="BI680" s="1" t="s">
        <v>108</v>
      </c>
    </row>
    <row r="681" spans="1:61" hidden="1" x14ac:dyDescent="0.25">
      <c r="A681" s="4">
        <v>676</v>
      </c>
      <c r="B681" s="2" t="str">
        <f>HYPERLINK("https://my.zakupivli.pro/remote/dispatcher/state_purchase_view/28729216", "UA-2021-08-04-002851-b")</f>
        <v>UA-2021-08-04-002851-b</v>
      </c>
      <c r="C681" s="2" t="s">
        <v>1516</v>
      </c>
      <c r="D681" s="1" t="s">
        <v>2005</v>
      </c>
      <c r="E681" s="1" t="s">
        <v>2005</v>
      </c>
      <c r="F681" s="1" t="s">
        <v>298</v>
      </c>
      <c r="G681" s="1" t="s">
        <v>212</v>
      </c>
      <c r="H681" s="1" t="s">
        <v>2015</v>
      </c>
      <c r="I681" s="1" t="s">
        <v>2094</v>
      </c>
      <c r="J681" s="1" t="s">
        <v>1145</v>
      </c>
      <c r="K681" s="1" t="s">
        <v>947</v>
      </c>
      <c r="L681" s="1" t="s">
        <v>1533</v>
      </c>
      <c r="M681" s="1" t="s">
        <v>1534</v>
      </c>
      <c r="N681" s="1" t="s">
        <v>110</v>
      </c>
      <c r="O681" s="1" t="s">
        <v>110</v>
      </c>
      <c r="P681" s="1" t="s">
        <v>110</v>
      </c>
      <c r="Q681" s="5">
        <v>44412</v>
      </c>
      <c r="R681" s="1" t="s">
        <v>322</v>
      </c>
      <c r="S681" s="1" t="s">
        <v>324</v>
      </c>
      <c r="T681" s="5">
        <v>44418</v>
      </c>
      <c r="U681" s="5">
        <v>44421</v>
      </c>
      <c r="V681" s="1" t="s">
        <v>2147</v>
      </c>
      <c r="W681" s="4">
        <v>0</v>
      </c>
      <c r="X681" s="6">
        <v>27000</v>
      </c>
      <c r="Y681" s="1" t="s">
        <v>1516</v>
      </c>
      <c r="Z681" s="1">
        <v>40</v>
      </c>
      <c r="AA681" s="6">
        <v>675</v>
      </c>
      <c r="AB681" s="1" t="s">
        <v>2173</v>
      </c>
      <c r="AC681" s="6">
        <v>135</v>
      </c>
      <c r="AD681" s="1" t="s">
        <v>1100</v>
      </c>
      <c r="AE681" s="1" t="s">
        <v>2094</v>
      </c>
      <c r="AF681" s="1" t="s">
        <v>1186</v>
      </c>
      <c r="AG681" s="1" t="s">
        <v>1522</v>
      </c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2"/>
      <c r="AT681" s="1"/>
      <c r="AU681" s="1"/>
      <c r="AV681" s="1"/>
      <c r="AW681" s="1" t="s">
        <v>2153</v>
      </c>
      <c r="AX681" s="7">
        <v>44421.000781396033</v>
      </c>
      <c r="AY681" s="1"/>
      <c r="AZ681" s="1"/>
      <c r="BA681" s="1"/>
      <c r="BB681" s="5">
        <v>44448</v>
      </c>
      <c r="BC681" s="1" t="s">
        <v>109</v>
      </c>
      <c r="BD681" s="1" t="s">
        <v>109</v>
      </c>
      <c r="BE681" s="1"/>
      <c r="BF681" s="1"/>
      <c r="BG681" s="1"/>
      <c r="BH681" s="1"/>
      <c r="BI681" s="1"/>
    </row>
    <row r="682" spans="1:61" hidden="1" x14ac:dyDescent="0.25">
      <c r="A682" s="4">
        <v>677</v>
      </c>
      <c r="B682" s="2" t="str">
        <f>HYPERLINK("https://my.zakupivli.pro/remote/dispatcher/state_purchase_view/28507331", "UA-2021-07-26-004683-b")</f>
        <v>UA-2021-07-26-004683-b</v>
      </c>
      <c r="C682" s="2" t="s">
        <v>1516</v>
      </c>
      <c r="D682" s="1" t="s">
        <v>2005</v>
      </c>
      <c r="E682" s="1" t="s">
        <v>2005</v>
      </c>
      <c r="F682" s="1" t="s">
        <v>298</v>
      </c>
      <c r="G682" s="1" t="s">
        <v>212</v>
      </c>
      <c r="H682" s="1" t="s">
        <v>2015</v>
      </c>
      <c r="I682" s="1" t="s">
        <v>2094</v>
      </c>
      <c r="J682" s="1" t="s">
        <v>1145</v>
      </c>
      <c r="K682" s="1" t="s">
        <v>947</v>
      </c>
      <c r="L682" s="1" t="s">
        <v>1533</v>
      </c>
      <c r="M682" s="1" t="s">
        <v>1534</v>
      </c>
      <c r="N682" s="1" t="s">
        <v>110</v>
      </c>
      <c r="O682" s="1" t="s">
        <v>110</v>
      </c>
      <c r="P682" s="1" t="s">
        <v>110</v>
      </c>
      <c r="Q682" s="5">
        <v>44403</v>
      </c>
      <c r="R682" s="1" t="s">
        <v>319</v>
      </c>
      <c r="S682" s="1" t="s">
        <v>320</v>
      </c>
      <c r="T682" s="5">
        <v>44407</v>
      </c>
      <c r="U682" s="5">
        <v>44412</v>
      </c>
      <c r="V682" s="1" t="s">
        <v>2147</v>
      </c>
      <c r="W682" s="4">
        <v>0</v>
      </c>
      <c r="X682" s="6">
        <v>27000</v>
      </c>
      <c r="Y682" s="1" t="s">
        <v>1516</v>
      </c>
      <c r="Z682" s="1">
        <v>40</v>
      </c>
      <c r="AA682" s="6">
        <v>675</v>
      </c>
      <c r="AB682" s="1" t="s">
        <v>2173</v>
      </c>
      <c r="AC682" s="6">
        <v>135</v>
      </c>
      <c r="AD682" s="1" t="s">
        <v>1100</v>
      </c>
      <c r="AE682" s="1" t="s">
        <v>2094</v>
      </c>
      <c r="AF682" s="1" t="s">
        <v>1186</v>
      </c>
      <c r="AG682" s="1" t="s">
        <v>1522</v>
      </c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2"/>
      <c r="AT682" s="1"/>
      <c r="AU682" s="1"/>
      <c r="AV682" s="1"/>
      <c r="AW682" s="1" t="s">
        <v>2153</v>
      </c>
      <c r="AX682" s="7">
        <v>44412.000644477375</v>
      </c>
      <c r="AY682" s="1"/>
      <c r="AZ682" s="1"/>
      <c r="BA682" s="1"/>
      <c r="BB682" s="5">
        <v>44439</v>
      </c>
      <c r="BC682" s="1" t="s">
        <v>109</v>
      </c>
      <c r="BD682" s="1" t="s">
        <v>109</v>
      </c>
      <c r="BE682" s="1"/>
      <c r="BF682" s="1"/>
      <c r="BG682" s="1"/>
      <c r="BH682" s="1"/>
      <c r="BI682" s="1"/>
    </row>
    <row r="683" spans="1:61" hidden="1" x14ac:dyDescent="0.25">
      <c r="A683" s="4">
        <v>678</v>
      </c>
      <c r="B683" s="2" t="str">
        <f>HYPERLINK("https://my.zakupivli.pro/remote/dispatcher/state_purchase_view/28327184", "UA-2021-07-19-003945-b")</f>
        <v>UA-2021-07-19-003945-b</v>
      </c>
      <c r="C683" s="2" t="s">
        <v>1516</v>
      </c>
      <c r="D683" s="1" t="s">
        <v>1479</v>
      </c>
      <c r="E683" s="1" t="s">
        <v>1479</v>
      </c>
      <c r="F683" s="1" t="s">
        <v>298</v>
      </c>
      <c r="G683" s="1" t="s">
        <v>1059</v>
      </c>
      <c r="H683" s="1" t="s">
        <v>1218</v>
      </c>
      <c r="I683" s="1" t="s">
        <v>2094</v>
      </c>
      <c r="J683" s="1" t="s">
        <v>1145</v>
      </c>
      <c r="K683" s="1" t="s">
        <v>947</v>
      </c>
      <c r="L683" s="1" t="s">
        <v>1533</v>
      </c>
      <c r="M683" s="1" t="s">
        <v>1534</v>
      </c>
      <c r="N683" s="1" t="s">
        <v>110</v>
      </c>
      <c r="O683" s="1" t="s">
        <v>110</v>
      </c>
      <c r="P683" s="1" t="s">
        <v>110</v>
      </c>
      <c r="Q683" s="5">
        <v>44396</v>
      </c>
      <c r="R683" s="1"/>
      <c r="S683" s="1"/>
      <c r="T683" s="1"/>
      <c r="U683" s="1"/>
      <c r="V683" s="1" t="s">
        <v>2146</v>
      </c>
      <c r="W683" s="4">
        <v>1</v>
      </c>
      <c r="X683" s="6">
        <v>3000</v>
      </c>
      <c r="Y683" s="1" t="s">
        <v>1516</v>
      </c>
      <c r="Z683" s="1">
        <v>2</v>
      </c>
      <c r="AA683" s="6">
        <v>1500</v>
      </c>
      <c r="AB683" s="1" t="s">
        <v>2167</v>
      </c>
      <c r="AC683" s="1" t="s">
        <v>2162</v>
      </c>
      <c r="AD683" s="1" t="s">
        <v>1100</v>
      </c>
      <c r="AE683" s="1" t="s">
        <v>1522</v>
      </c>
      <c r="AF683" s="1" t="s">
        <v>1186</v>
      </c>
      <c r="AG683" s="1" t="s">
        <v>1522</v>
      </c>
      <c r="AH683" s="6">
        <v>3000</v>
      </c>
      <c r="AI683" s="6">
        <v>1500</v>
      </c>
      <c r="AJ683" s="1" t="s">
        <v>2075</v>
      </c>
      <c r="AK683" s="1"/>
      <c r="AL683" s="1"/>
      <c r="AM683" s="1" t="s">
        <v>2075</v>
      </c>
      <c r="AN683" s="1" t="s">
        <v>901</v>
      </c>
      <c r="AO683" s="1"/>
      <c r="AP683" s="1" t="s">
        <v>82</v>
      </c>
      <c r="AQ683" s="1"/>
      <c r="AR683" s="1"/>
      <c r="AS683" s="2"/>
      <c r="AT683" s="1"/>
      <c r="AU683" s="1"/>
      <c r="AV683" s="1"/>
      <c r="AW683" s="1" t="s">
        <v>2152</v>
      </c>
      <c r="AX683" s="7">
        <v>44396.528595877062</v>
      </c>
      <c r="AY683" s="1" t="s">
        <v>249</v>
      </c>
      <c r="AZ683" s="6">
        <v>3000</v>
      </c>
      <c r="BA683" s="1"/>
      <c r="BB683" s="5">
        <v>44561</v>
      </c>
      <c r="BC683" s="5">
        <v>44391</v>
      </c>
      <c r="BD683" s="5">
        <v>44391</v>
      </c>
      <c r="BE683" s="7">
        <v>44561</v>
      </c>
      <c r="BF683" s="1" t="s">
        <v>2170</v>
      </c>
      <c r="BG683" s="1"/>
      <c r="BH683" s="1"/>
      <c r="BI683" s="1" t="s">
        <v>108</v>
      </c>
    </row>
    <row r="684" spans="1:61" hidden="1" x14ac:dyDescent="0.25">
      <c r="A684" s="4">
        <v>679</v>
      </c>
      <c r="B684" s="2" t="str">
        <f>HYPERLINK("https://my.zakupivli.pro/remote/dispatcher/state_purchase_view/28122680", "UA-2021-07-09-008017-c")</f>
        <v>UA-2021-07-09-008017-c</v>
      </c>
      <c r="C684" s="2" t="str">
        <f>HYPERLINK("https://my.zakupivli.pro/remote/dispatcher/state_purchase_lot_view/672646", "UA-2021-07-09-008017-c-L3")</f>
        <v>UA-2021-07-09-008017-c-L3</v>
      </c>
      <c r="D684" s="1" t="s">
        <v>1634</v>
      </c>
      <c r="E684" s="1" t="s">
        <v>1598</v>
      </c>
      <c r="F684" s="1" t="s">
        <v>298</v>
      </c>
      <c r="G684" s="1" t="s">
        <v>966</v>
      </c>
      <c r="H684" s="1" t="s">
        <v>1184</v>
      </c>
      <c r="I684" s="1" t="s">
        <v>2094</v>
      </c>
      <c r="J684" s="1" t="s">
        <v>1145</v>
      </c>
      <c r="K684" s="1" t="s">
        <v>947</v>
      </c>
      <c r="L684" s="1" t="s">
        <v>1533</v>
      </c>
      <c r="M684" s="1" t="s">
        <v>1533</v>
      </c>
      <c r="N684" s="1" t="s">
        <v>110</v>
      </c>
      <c r="O684" s="1" t="s">
        <v>110</v>
      </c>
      <c r="P684" s="1" t="s">
        <v>110</v>
      </c>
      <c r="Q684" s="5">
        <v>44386</v>
      </c>
      <c r="R684" s="1" t="s">
        <v>315</v>
      </c>
      <c r="S684" s="1" t="s">
        <v>317</v>
      </c>
      <c r="T684" s="5">
        <v>44386</v>
      </c>
      <c r="U684" s="5">
        <v>44404</v>
      </c>
      <c r="V684" s="7">
        <v>44404.523865740739</v>
      </c>
      <c r="W684" s="4">
        <v>2</v>
      </c>
      <c r="X684" s="6">
        <v>518611</v>
      </c>
      <c r="Y684" s="6">
        <v>118611</v>
      </c>
      <c r="Z684" s="1">
        <v>1</v>
      </c>
      <c r="AA684" s="6">
        <v>118611</v>
      </c>
      <c r="AB684" s="1" t="s">
        <v>2167</v>
      </c>
      <c r="AC684" s="6">
        <v>1186.1099999999999</v>
      </c>
      <c r="AD684" s="1" t="s">
        <v>1100</v>
      </c>
      <c r="AE684" s="1" t="s">
        <v>2094</v>
      </c>
      <c r="AF684" s="1" t="s">
        <v>1186</v>
      </c>
      <c r="AG684" s="1" t="s">
        <v>1522</v>
      </c>
      <c r="AH684" s="6">
        <v>118435.56</v>
      </c>
      <c r="AI684" s="6">
        <v>118435.56</v>
      </c>
      <c r="AJ684" s="1" t="s">
        <v>2114</v>
      </c>
      <c r="AK684" s="6">
        <v>175.44000000000233</v>
      </c>
      <c r="AL684" s="6">
        <v>1.479120823532407E-3</v>
      </c>
      <c r="AM684" s="1" t="s">
        <v>2114</v>
      </c>
      <c r="AN684" s="1" t="s">
        <v>281</v>
      </c>
      <c r="AO684" s="1" t="s">
        <v>1133</v>
      </c>
      <c r="AP684" s="1" t="s">
        <v>87</v>
      </c>
      <c r="AQ684" s="6">
        <v>175.44000000000233</v>
      </c>
      <c r="AR684" s="6">
        <v>1.479120823532407E-3</v>
      </c>
      <c r="AS684" s="2" t="str">
        <f>HYPERLINK("https://auction.openprocurement.org/tenders/5c652a4cf43d497aa070b81bddfa0469_6e8b515486b0402b9b9326499a0dcf33")</f>
        <v>https://auction.openprocurement.org/tenders/5c652a4cf43d497aa070b81bddfa0469_6e8b515486b0402b9b9326499a0dcf33</v>
      </c>
      <c r="AT684" s="7">
        <v>44405.480240044257</v>
      </c>
      <c r="AU684" s="1" t="s">
        <v>323</v>
      </c>
      <c r="AV684" s="1" t="s">
        <v>325</v>
      </c>
      <c r="AW684" s="1" t="s">
        <v>2151</v>
      </c>
      <c r="AX684" s="7">
        <v>44424.655460061629</v>
      </c>
      <c r="AY684" s="1" t="s">
        <v>699</v>
      </c>
      <c r="AZ684" s="6">
        <v>118435.56</v>
      </c>
      <c r="BA684" s="1"/>
      <c r="BB684" s="5">
        <v>44561</v>
      </c>
      <c r="BC684" s="5">
        <v>44421</v>
      </c>
      <c r="BD684" s="5">
        <v>44421</v>
      </c>
      <c r="BE684" s="7">
        <v>44561</v>
      </c>
      <c r="BF684" s="1" t="s">
        <v>2170</v>
      </c>
      <c r="BG684" s="1"/>
      <c r="BH684" s="1"/>
      <c r="BI684" s="1" t="s">
        <v>282</v>
      </c>
    </row>
    <row r="685" spans="1:61" hidden="1" x14ac:dyDescent="0.25">
      <c r="A685" s="4">
        <v>680</v>
      </c>
      <c r="B685" s="2" t="str">
        <f>HYPERLINK("https://my.zakupivli.pro/remote/dispatcher/state_purchase_view/28122680", "UA-2021-07-09-008017-c")</f>
        <v>UA-2021-07-09-008017-c</v>
      </c>
      <c r="C685" s="2" t="str">
        <f>HYPERLINK("https://my.zakupivli.pro/remote/dispatcher/state_purchase_lot_view/672645", "UA-2021-07-09-008017-c-L2")</f>
        <v>UA-2021-07-09-008017-c-L2</v>
      </c>
      <c r="D685" s="1" t="s">
        <v>1635</v>
      </c>
      <c r="E685" s="1" t="s">
        <v>1605</v>
      </c>
      <c r="F685" s="1" t="s">
        <v>298</v>
      </c>
      <c r="G685" s="1" t="s">
        <v>966</v>
      </c>
      <c r="H685" s="1" t="s">
        <v>1184</v>
      </c>
      <c r="I685" s="1" t="s">
        <v>2094</v>
      </c>
      <c r="J685" s="1" t="s">
        <v>1145</v>
      </c>
      <c r="K685" s="1" t="s">
        <v>947</v>
      </c>
      <c r="L685" s="1" t="s">
        <v>1533</v>
      </c>
      <c r="M685" s="1" t="s">
        <v>1533</v>
      </c>
      <c r="N685" s="1" t="s">
        <v>110</v>
      </c>
      <c r="O685" s="1" t="s">
        <v>110</v>
      </c>
      <c r="P685" s="1" t="s">
        <v>110</v>
      </c>
      <c r="Q685" s="5">
        <v>44386</v>
      </c>
      <c r="R685" s="1" t="s">
        <v>315</v>
      </c>
      <c r="S685" s="1" t="s">
        <v>317</v>
      </c>
      <c r="T685" s="5">
        <v>44386</v>
      </c>
      <c r="U685" s="5">
        <v>44404</v>
      </c>
      <c r="V685" s="7">
        <v>44404.505567129629</v>
      </c>
      <c r="W685" s="4">
        <v>2</v>
      </c>
      <c r="X685" s="6">
        <v>518611</v>
      </c>
      <c r="Y685" s="6">
        <v>62000</v>
      </c>
      <c r="Z685" s="1">
        <v>1</v>
      </c>
      <c r="AA685" s="6">
        <v>62000</v>
      </c>
      <c r="AB685" s="1" t="s">
        <v>2167</v>
      </c>
      <c r="AC685" s="6">
        <v>620</v>
      </c>
      <c r="AD685" s="1" t="s">
        <v>1100</v>
      </c>
      <c r="AE685" s="1" t="s">
        <v>2094</v>
      </c>
      <c r="AF685" s="1" t="s">
        <v>1186</v>
      </c>
      <c r="AG685" s="1" t="s">
        <v>1522</v>
      </c>
      <c r="AH685" s="6">
        <v>61992.41</v>
      </c>
      <c r="AI685" s="6">
        <v>61992.41</v>
      </c>
      <c r="AJ685" s="1" t="s">
        <v>2114</v>
      </c>
      <c r="AK685" s="6">
        <v>7.5899999999965075</v>
      </c>
      <c r="AL685" s="6">
        <v>1.2241935483865336E-4</v>
      </c>
      <c r="AM685" s="1" t="s">
        <v>2114</v>
      </c>
      <c r="AN685" s="1" t="s">
        <v>281</v>
      </c>
      <c r="AO685" s="1" t="s">
        <v>1133</v>
      </c>
      <c r="AP685" s="1" t="s">
        <v>87</v>
      </c>
      <c r="AQ685" s="6">
        <v>7.5899999999965075</v>
      </c>
      <c r="AR685" s="6">
        <v>1.2241935483865336E-4</v>
      </c>
      <c r="AS685" s="2" t="str">
        <f>HYPERLINK("https://auction.openprocurement.org/tenders/5c652a4cf43d497aa070b81bddfa0469_e8490503d45745f09b83cace153301b1")</f>
        <v>https://auction.openprocurement.org/tenders/5c652a4cf43d497aa070b81bddfa0469_e8490503d45745f09b83cace153301b1</v>
      </c>
      <c r="AT685" s="7">
        <v>44405.480240044257</v>
      </c>
      <c r="AU685" s="1" t="s">
        <v>323</v>
      </c>
      <c r="AV685" s="1" t="s">
        <v>325</v>
      </c>
      <c r="AW685" s="1" t="s">
        <v>2151</v>
      </c>
      <c r="AX685" s="7">
        <v>44424.639927684257</v>
      </c>
      <c r="AY685" s="1" t="s">
        <v>291</v>
      </c>
      <c r="AZ685" s="6">
        <v>61992.41</v>
      </c>
      <c r="BA685" s="1"/>
      <c r="BB685" s="5">
        <v>44561</v>
      </c>
      <c r="BC685" s="5">
        <v>44421</v>
      </c>
      <c r="BD685" s="5">
        <v>44421</v>
      </c>
      <c r="BE685" s="7">
        <v>44561</v>
      </c>
      <c r="BF685" s="1" t="s">
        <v>2170</v>
      </c>
      <c r="BG685" s="1"/>
      <c r="BH685" s="1"/>
      <c r="BI685" s="1" t="s">
        <v>282</v>
      </c>
    </row>
    <row r="686" spans="1:61" hidden="1" x14ac:dyDescent="0.25">
      <c r="A686" s="4">
        <v>681</v>
      </c>
      <c r="B686" s="2" t="str">
        <f>HYPERLINK("https://my.zakupivli.pro/remote/dispatcher/state_purchase_view/28122680", "UA-2021-07-09-008017-c")</f>
        <v>UA-2021-07-09-008017-c</v>
      </c>
      <c r="C686" s="2" t="str">
        <f>HYPERLINK("https://my.zakupivli.pro/remote/dispatcher/state_purchase_lot_view/672644", "UA-2021-07-09-008017-c-L1")</f>
        <v>UA-2021-07-09-008017-c-L1</v>
      </c>
      <c r="D686" s="1" t="s">
        <v>1636</v>
      </c>
      <c r="E686" s="1" t="s">
        <v>1639</v>
      </c>
      <c r="F686" s="1" t="s">
        <v>298</v>
      </c>
      <c r="G686" s="1" t="s">
        <v>966</v>
      </c>
      <c r="H686" s="1" t="s">
        <v>1184</v>
      </c>
      <c r="I686" s="1" t="s">
        <v>2094</v>
      </c>
      <c r="J686" s="1" t="s">
        <v>1145</v>
      </c>
      <c r="K686" s="1" t="s">
        <v>947</v>
      </c>
      <c r="L686" s="1" t="s">
        <v>1533</v>
      </c>
      <c r="M686" s="1" t="s">
        <v>1533</v>
      </c>
      <c r="N686" s="1" t="s">
        <v>110</v>
      </c>
      <c r="O686" s="1" t="s">
        <v>110</v>
      </c>
      <c r="P686" s="1" t="s">
        <v>110</v>
      </c>
      <c r="Q686" s="5">
        <v>44386</v>
      </c>
      <c r="R686" s="1" t="s">
        <v>315</v>
      </c>
      <c r="S686" s="1" t="s">
        <v>317</v>
      </c>
      <c r="T686" s="5">
        <v>44386</v>
      </c>
      <c r="U686" s="5">
        <v>44404</v>
      </c>
      <c r="V686" s="7">
        <v>44404.485706018517</v>
      </c>
      <c r="W686" s="4">
        <v>2</v>
      </c>
      <c r="X686" s="6">
        <v>518611</v>
      </c>
      <c r="Y686" s="6">
        <v>338000</v>
      </c>
      <c r="Z686" s="1">
        <v>1</v>
      </c>
      <c r="AA686" s="6">
        <v>338000</v>
      </c>
      <c r="AB686" s="1" t="s">
        <v>2167</v>
      </c>
      <c r="AC686" s="6">
        <v>3380</v>
      </c>
      <c r="AD686" s="1" t="s">
        <v>1100</v>
      </c>
      <c r="AE686" s="1" t="s">
        <v>2094</v>
      </c>
      <c r="AF686" s="1" t="s">
        <v>1186</v>
      </c>
      <c r="AG686" s="1" t="s">
        <v>1522</v>
      </c>
      <c r="AH686" s="6">
        <v>337997.91</v>
      </c>
      <c r="AI686" s="6">
        <v>337997.91</v>
      </c>
      <c r="AJ686" s="1" t="s">
        <v>2114</v>
      </c>
      <c r="AK686" s="6">
        <v>2.0900000000256114</v>
      </c>
      <c r="AL686" s="6">
        <v>6.1834319527384948E-6</v>
      </c>
      <c r="AM686" s="1" t="s">
        <v>2114</v>
      </c>
      <c r="AN686" s="1" t="s">
        <v>281</v>
      </c>
      <c r="AO686" s="1" t="s">
        <v>1133</v>
      </c>
      <c r="AP686" s="1" t="s">
        <v>87</v>
      </c>
      <c r="AQ686" s="6">
        <v>2.0900000000256114</v>
      </c>
      <c r="AR686" s="6">
        <v>6.1834319527384948E-6</v>
      </c>
      <c r="AS686" s="2" t="str">
        <f>HYPERLINK("https://auction.openprocurement.org/tenders/5c652a4cf43d497aa070b81bddfa0469_dfc98f2471044b0586ee5bdc929cec3c")</f>
        <v>https://auction.openprocurement.org/tenders/5c652a4cf43d497aa070b81bddfa0469_dfc98f2471044b0586ee5bdc929cec3c</v>
      </c>
      <c r="AT686" s="7">
        <v>44405.480240044257</v>
      </c>
      <c r="AU686" s="1" t="s">
        <v>323</v>
      </c>
      <c r="AV686" s="1" t="s">
        <v>325</v>
      </c>
      <c r="AW686" s="1" t="s">
        <v>2151</v>
      </c>
      <c r="AX686" s="7">
        <v>44424.625170363994</v>
      </c>
      <c r="AY686" s="1" t="s">
        <v>273</v>
      </c>
      <c r="AZ686" s="6">
        <v>337997.91</v>
      </c>
      <c r="BA686" s="1"/>
      <c r="BB686" s="5">
        <v>44561</v>
      </c>
      <c r="BC686" s="5">
        <v>44421</v>
      </c>
      <c r="BD686" s="5">
        <v>44421</v>
      </c>
      <c r="BE686" s="7">
        <v>44561</v>
      </c>
      <c r="BF686" s="1" t="s">
        <v>2170</v>
      </c>
      <c r="BG686" s="1"/>
      <c r="BH686" s="1"/>
      <c r="BI686" s="1" t="s">
        <v>282</v>
      </c>
    </row>
    <row r="687" spans="1:61" hidden="1" x14ac:dyDescent="0.25">
      <c r="A687" s="4">
        <v>682</v>
      </c>
      <c r="B687" s="2" t="str">
        <f>HYPERLINK("https://my.zakupivli.pro/remote/dispatcher/state_purchase_view/27829387", "UA-2021-06-29-007769-c")</f>
        <v>UA-2021-06-29-007769-c</v>
      </c>
      <c r="C687" s="2" t="s">
        <v>1516</v>
      </c>
      <c r="D687" s="1" t="s">
        <v>1638</v>
      </c>
      <c r="E687" s="1" t="s">
        <v>1637</v>
      </c>
      <c r="F687" s="1" t="s">
        <v>298</v>
      </c>
      <c r="G687" s="1" t="s">
        <v>966</v>
      </c>
      <c r="H687" s="1" t="s">
        <v>1184</v>
      </c>
      <c r="I687" s="1" t="s">
        <v>2094</v>
      </c>
      <c r="J687" s="1" t="s">
        <v>1145</v>
      </c>
      <c r="K687" s="1" t="s">
        <v>947</v>
      </c>
      <c r="L687" s="1" t="s">
        <v>1533</v>
      </c>
      <c r="M687" s="1" t="s">
        <v>1533</v>
      </c>
      <c r="N687" s="1" t="s">
        <v>110</v>
      </c>
      <c r="O687" s="1" t="s">
        <v>110</v>
      </c>
      <c r="P687" s="1" t="s">
        <v>110</v>
      </c>
      <c r="Q687" s="5">
        <v>44376</v>
      </c>
      <c r="R687" s="1" t="s">
        <v>312</v>
      </c>
      <c r="S687" s="1" t="s">
        <v>314</v>
      </c>
      <c r="T687" s="5">
        <v>44376</v>
      </c>
      <c r="U687" s="5">
        <v>44392</v>
      </c>
      <c r="V687" s="7">
        <v>44392.591643518521</v>
      </c>
      <c r="W687" s="4">
        <v>2</v>
      </c>
      <c r="X687" s="6">
        <v>780000</v>
      </c>
      <c r="Y687" s="1" t="s">
        <v>1516</v>
      </c>
      <c r="Z687" s="1">
        <v>1</v>
      </c>
      <c r="AA687" s="6">
        <v>780000</v>
      </c>
      <c r="AB687" s="1" t="s">
        <v>2167</v>
      </c>
      <c r="AC687" s="6">
        <v>7800</v>
      </c>
      <c r="AD687" s="1" t="s">
        <v>1100</v>
      </c>
      <c r="AE687" s="1" t="s">
        <v>2094</v>
      </c>
      <c r="AF687" s="1" t="s">
        <v>1186</v>
      </c>
      <c r="AG687" s="1" t="s">
        <v>1522</v>
      </c>
      <c r="AH687" s="6">
        <v>772200</v>
      </c>
      <c r="AI687" s="6">
        <v>772200</v>
      </c>
      <c r="AJ687" s="1" t="s">
        <v>2117</v>
      </c>
      <c r="AK687" s="6">
        <v>7800</v>
      </c>
      <c r="AL687" s="6">
        <v>0.01</v>
      </c>
      <c r="AM687" s="1" t="s">
        <v>2117</v>
      </c>
      <c r="AN687" s="1" t="s">
        <v>861</v>
      </c>
      <c r="AO687" s="1" t="s">
        <v>1134</v>
      </c>
      <c r="AP687" s="1" t="s">
        <v>103</v>
      </c>
      <c r="AQ687" s="6">
        <v>7800</v>
      </c>
      <c r="AR687" s="6">
        <v>0.01</v>
      </c>
      <c r="AS687" s="2" t="str">
        <f>HYPERLINK("https://auction.openprocurement.org/tenders/6b74a53b712d437d9ec0653b49694595")</f>
        <v>https://auction.openprocurement.org/tenders/6b74a53b712d437d9ec0653b49694595</v>
      </c>
      <c r="AT687" s="7">
        <v>44397.555321669017</v>
      </c>
      <c r="AU687" s="1" t="s">
        <v>321</v>
      </c>
      <c r="AV687" s="1" t="s">
        <v>324</v>
      </c>
      <c r="AW687" s="1" t="s">
        <v>2152</v>
      </c>
      <c r="AX687" s="7">
        <v>44414.585276789825</v>
      </c>
      <c r="AY687" s="1" t="s">
        <v>261</v>
      </c>
      <c r="AZ687" s="6">
        <v>772200</v>
      </c>
      <c r="BA687" s="1"/>
      <c r="BB687" s="5">
        <v>44561</v>
      </c>
      <c r="BC687" s="5">
        <v>44413</v>
      </c>
      <c r="BD687" s="5">
        <v>44413</v>
      </c>
      <c r="BE687" s="7">
        <v>44561</v>
      </c>
      <c r="BF687" s="1" t="s">
        <v>2170</v>
      </c>
      <c r="BG687" s="1"/>
      <c r="BH687" s="1"/>
      <c r="BI687" s="1" t="s">
        <v>863</v>
      </c>
    </row>
    <row r="688" spans="1:61" hidden="1" x14ac:dyDescent="0.25">
      <c r="A688" s="4">
        <v>683</v>
      </c>
      <c r="B688" s="2" t="str">
        <f>HYPERLINK("https://my.zakupivli.pro/remote/dispatcher/state_purchase_view/27635809", "UA-2021-06-18-013323-c")</f>
        <v>UA-2021-06-18-013323-c</v>
      </c>
      <c r="C688" s="2" t="str">
        <f>HYPERLINK("https://my.zakupivli.pro/remote/dispatcher/state_purchase_lot_view/668016", "UA-2021-06-18-013323-c-L1")</f>
        <v>UA-2021-06-18-013323-c-L1</v>
      </c>
      <c r="D688" s="1" t="s">
        <v>1636</v>
      </c>
      <c r="E688" s="1" t="s">
        <v>1639</v>
      </c>
      <c r="F688" s="1" t="s">
        <v>298</v>
      </c>
      <c r="G688" s="1" t="s">
        <v>966</v>
      </c>
      <c r="H688" s="1" t="s">
        <v>1184</v>
      </c>
      <c r="I688" s="1" t="s">
        <v>2094</v>
      </c>
      <c r="J688" s="1" t="s">
        <v>1145</v>
      </c>
      <c r="K688" s="1" t="s">
        <v>947</v>
      </c>
      <c r="L688" s="1" t="s">
        <v>1533</v>
      </c>
      <c r="M688" s="1" t="s">
        <v>1533</v>
      </c>
      <c r="N688" s="1" t="s">
        <v>110</v>
      </c>
      <c r="O688" s="1" t="s">
        <v>153</v>
      </c>
      <c r="P688" s="1" t="s">
        <v>110</v>
      </c>
      <c r="Q688" s="5">
        <v>44365</v>
      </c>
      <c r="R688" s="1" t="s">
        <v>309</v>
      </c>
      <c r="S688" s="1" t="s">
        <v>310</v>
      </c>
      <c r="T688" s="5">
        <v>44365</v>
      </c>
      <c r="U688" s="5">
        <v>44381</v>
      </c>
      <c r="V688" s="7">
        <v>44382.503055555557</v>
      </c>
      <c r="W688" s="4">
        <v>3</v>
      </c>
      <c r="X688" s="6">
        <v>518611</v>
      </c>
      <c r="Y688" s="6">
        <v>338000</v>
      </c>
      <c r="Z688" s="1">
        <v>1</v>
      </c>
      <c r="AA688" s="6">
        <v>338000</v>
      </c>
      <c r="AB688" s="1" t="s">
        <v>2167</v>
      </c>
      <c r="AC688" s="6">
        <v>3380</v>
      </c>
      <c r="AD688" s="1" t="s">
        <v>1100</v>
      </c>
      <c r="AE688" s="1" t="s">
        <v>2094</v>
      </c>
      <c r="AF688" s="1" t="s">
        <v>1186</v>
      </c>
      <c r="AG688" s="1" t="s">
        <v>1522</v>
      </c>
      <c r="AH688" s="6">
        <v>327867</v>
      </c>
      <c r="AI688" s="6">
        <v>327867</v>
      </c>
      <c r="AJ688" s="1" t="s">
        <v>2120</v>
      </c>
      <c r="AK688" s="6">
        <v>10133</v>
      </c>
      <c r="AL688" s="6">
        <v>2.9979289940828404E-2</v>
      </c>
      <c r="AM688" s="1"/>
      <c r="AN688" s="1"/>
      <c r="AO688" s="1"/>
      <c r="AP688" s="1"/>
      <c r="AQ688" s="1"/>
      <c r="AR688" s="1"/>
      <c r="AS688" s="2" t="str">
        <f>HYPERLINK("https://auction.openprocurement.org/tenders/ef1c75704f63404abb5e737347c4e43c_dfc98f2471044b0586ee5bdc929cec3c")</f>
        <v>https://auction.openprocurement.org/tenders/ef1c75704f63404abb5e737347c4e43c_dfc98f2471044b0586ee5bdc929cec3c</v>
      </c>
      <c r="AT688" s="7">
        <v>44385.555708444997</v>
      </c>
      <c r="AU688" s="1"/>
      <c r="AV688" s="1"/>
      <c r="AW688" s="1" t="s">
        <v>2153</v>
      </c>
      <c r="AX688" s="7">
        <v>44396.001320923169</v>
      </c>
      <c r="AY688" s="1"/>
      <c r="AZ688" s="1"/>
      <c r="BA688" s="1"/>
      <c r="BB688" s="5">
        <v>44561</v>
      </c>
      <c r="BC688" s="1" t="s">
        <v>109</v>
      </c>
      <c r="BD688" s="1" t="s">
        <v>109</v>
      </c>
      <c r="BE688" s="1"/>
      <c r="BF688" s="1"/>
      <c r="BG688" s="1"/>
      <c r="BH688" s="1"/>
      <c r="BI688" s="1" t="s">
        <v>775</v>
      </c>
    </row>
    <row r="689" spans="1:61" hidden="1" x14ac:dyDescent="0.25">
      <c r="A689" s="4">
        <v>684</v>
      </c>
      <c r="B689" s="2" t="str">
        <f>HYPERLINK("https://my.zakupivli.pro/remote/dispatcher/state_purchase_view/27635809", "UA-2021-06-18-013323-c")</f>
        <v>UA-2021-06-18-013323-c</v>
      </c>
      <c r="C689" s="2" t="str">
        <f>HYPERLINK("https://my.zakupivli.pro/remote/dispatcher/state_purchase_lot_view/668017", "UA-2021-06-18-013323-c-L2")</f>
        <v>UA-2021-06-18-013323-c-L2</v>
      </c>
      <c r="D689" s="1" t="s">
        <v>1635</v>
      </c>
      <c r="E689" s="1" t="s">
        <v>1605</v>
      </c>
      <c r="F689" s="1" t="s">
        <v>298</v>
      </c>
      <c r="G689" s="1" t="s">
        <v>966</v>
      </c>
      <c r="H689" s="1" t="s">
        <v>1184</v>
      </c>
      <c r="I689" s="1" t="s">
        <v>2094</v>
      </c>
      <c r="J689" s="1" t="s">
        <v>1145</v>
      </c>
      <c r="K689" s="1" t="s">
        <v>947</v>
      </c>
      <c r="L689" s="1" t="s">
        <v>1533</v>
      </c>
      <c r="M689" s="1" t="s">
        <v>1533</v>
      </c>
      <c r="N689" s="1" t="s">
        <v>110</v>
      </c>
      <c r="O689" s="1" t="s">
        <v>153</v>
      </c>
      <c r="P689" s="1" t="s">
        <v>110</v>
      </c>
      <c r="Q689" s="5">
        <v>44365</v>
      </c>
      <c r="R689" s="1" t="s">
        <v>309</v>
      </c>
      <c r="S689" s="1" t="s">
        <v>310</v>
      </c>
      <c r="T689" s="5">
        <v>44365</v>
      </c>
      <c r="U689" s="5">
        <v>44381</v>
      </c>
      <c r="V689" s="7">
        <v>44382.522893518515</v>
      </c>
      <c r="W689" s="4">
        <v>3</v>
      </c>
      <c r="X689" s="6">
        <v>518611</v>
      </c>
      <c r="Y689" s="6">
        <v>62000</v>
      </c>
      <c r="Z689" s="1">
        <v>1</v>
      </c>
      <c r="AA689" s="6">
        <v>62000</v>
      </c>
      <c r="AB689" s="1" t="s">
        <v>2167</v>
      </c>
      <c r="AC689" s="6">
        <v>620</v>
      </c>
      <c r="AD689" s="1" t="s">
        <v>1100</v>
      </c>
      <c r="AE689" s="1" t="s">
        <v>2094</v>
      </c>
      <c r="AF689" s="1" t="s">
        <v>1186</v>
      </c>
      <c r="AG689" s="1" t="s">
        <v>1522</v>
      </c>
      <c r="AH689" s="6">
        <v>58900</v>
      </c>
      <c r="AI689" s="6">
        <v>58900</v>
      </c>
      <c r="AJ689" s="1" t="s">
        <v>2120</v>
      </c>
      <c r="AK689" s="6">
        <v>3100</v>
      </c>
      <c r="AL689" s="6">
        <v>0.05</v>
      </c>
      <c r="AM689" s="1"/>
      <c r="AN689" s="1"/>
      <c r="AO689" s="1"/>
      <c r="AP689" s="1"/>
      <c r="AQ689" s="1"/>
      <c r="AR689" s="1"/>
      <c r="AS689" s="2" t="str">
        <f>HYPERLINK("https://auction.openprocurement.org/tenders/ef1c75704f63404abb5e737347c4e43c_e8490503d45745f09b83cace153301b1")</f>
        <v>https://auction.openprocurement.org/tenders/ef1c75704f63404abb5e737347c4e43c_e8490503d45745f09b83cace153301b1</v>
      </c>
      <c r="AT689" s="7">
        <v>44385.555708444997</v>
      </c>
      <c r="AU689" s="1"/>
      <c r="AV689" s="1"/>
      <c r="AW689" s="1" t="s">
        <v>2153</v>
      </c>
      <c r="AX689" s="7">
        <v>44396.001320923169</v>
      </c>
      <c r="AY689" s="1"/>
      <c r="AZ689" s="1"/>
      <c r="BA689" s="1"/>
      <c r="BB689" s="5">
        <v>44561</v>
      </c>
      <c r="BC689" s="1" t="s">
        <v>109</v>
      </c>
      <c r="BD689" s="1" t="s">
        <v>109</v>
      </c>
      <c r="BE689" s="1"/>
      <c r="BF689" s="1"/>
      <c r="BG689" s="1"/>
      <c r="BH689" s="1"/>
      <c r="BI689" s="1" t="s">
        <v>775</v>
      </c>
    </row>
    <row r="690" spans="1:61" hidden="1" x14ac:dyDescent="0.25">
      <c r="A690" s="4">
        <v>685</v>
      </c>
      <c r="B690" s="2" t="str">
        <f>HYPERLINK("https://my.zakupivli.pro/remote/dispatcher/state_purchase_view/27635809", "UA-2021-06-18-013323-c")</f>
        <v>UA-2021-06-18-013323-c</v>
      </c>
      <c r="C690" s="2" t="str">
        <f>HYPERLINK("https://my.zakupivli.pro/remote/dispatcher/state_purchase_lot_view/668018", "UA-2021-06-18-013323-c-L3")</f>
        <v>UA-2021-06-18-013323-c-L3</v>
      </c>
      <c r="D690" s="1" t="s">
        <v>1634</v>
      </c>
      <c r="E690" s="1" t="s">
        <v>1598</v>
      </c>
      <c r="F690" s="1" t="s">
        <v>298</v>
      </c>
      <c r="G690" s="1" t="s">
        <v>966</v>
      </c>
      <c r="H690" s="1" t="s">
        <v>1184</v>
      </c>
      <c r="I690" s="1" t="s">
        <v>2094</v>
      </c>
      <c r="J690" s="1" t="s">
        <v>1145</v>
      </c>
      <c r="K690" s="1" t="s">
        <v>947</v>
      </c>
      <c r="L690" s="1" t="s">
        <v>1533</v>
      </c>
      <c r="M690" s="1" t="s">
        <v>1533</v>
      </c>
      <c r="N690" s="1" t="s">
        <v>110</v>
      </c>
      <c r="O690" s="1" t="s">
        <v>153</v>
      </c>
      <c r="P690" s="1" t="s">
        <v>110</v>
      </c>
      <c r="Q690" s="5">
        <v>44365</v>
      </c>
      <c r="R690" s="1" t="s">
        <v>309</v>
      </c>
      <c r="S690" s="1" t="s">
        <v>310</v>
      </c>
      <c r="T690" s="5">
        <v>44365</v>
      </c>
      <c r="U690" s="5">
        <v>44381</v>
      </c>
      <c r="V690" s="7">
        <v>44382.549201388887</v>
      </c>
      <c r="W690" s="4">
        <v>3</v>
      </c>
      <c r="X690" s="6">
        <v>518611</v>
      </c>
      <c r="Y690" s="6">
        <v>118611</v>
      </c>
      <c r="Z690" s="1">
        <v>1</v>
      </c>
      <c r="AA690" s="6">
        <v>118611</v>
      </c>
      <c r="AB690" s="1" t="s">
        <v>2167</v>
      </c>
      <c r="AC690" s="6">
        <v>1186.1099999999999</v>
      </c>
      <c r="AD690" s="1" t="s">
        <v>1100</v>
      </c>
      <c r="AE690" s="1" t="s">
        <v>2094</v>
      </c>
      <c r="AF690" s="1" t="s">
        <v>1186</v>
      </c>
      <c r="AG690" s="1" t="s">
        <v>1522</v>
      </c>
      <c r="AH690" s="6">
        <v>105915</v>
      </c>
      <c r="AI690" s="6">
        <v>105915</v>
      </c>
      <c r="AJ690" s="1" t="s">
        <v>2120</v>
      </c>
      <c r="AK690" s="6">
        <v>12696</v>
      </c>
      <c r="AL690" s="6">
        <v>0.1070389761489238</v>
      </c>
      <c r="AM690" s="1"/>
      <c r="AN690" s="1"/>
      <c r="AO690" s="1"/>
      <c r="AP690" s="1"/>
      <c r="AQ690" s="1"/>
      <c r="AR690" s="1"/>
      <c r="AS690" s="2" t="str">
        <f>HYPERLINK("https://auction.openprocurement.org/tenders/ef1c75704f63404abb5e737347c4e43c_6e8b515486b0402b9b9326499a0dcf33")</f>
        <v>https://auction.openprocurement.org/tenders/ef1c75704f63404abb5e737347c4e43c_6e8b515486b0402b9b9326499a0dcf33</v>
      </c>
      <c r="AT690" s="7">
        <v>44385.555708444997</v>
      </c>
      <c r="AU690" s="1"/>
      <c r="AV690" s="1"/>
      <c r="AW690" s="1" t="s">
        <v>2153</v>
      </c>
      <c r="AX690" s="7">
        <v>44396.001320923169</v>
      </c>
      <c r="AY690" s="1"/>
      <c r="AZ690" s="1"/>
      <c r="BA690" s="1"/>
      <c r="BB690" s="5">
        <v>44561</v>
      </c>
      <c r="BC690" s="1" t="s">
        <v>109</v>
      </c>
      <c r="BD690" s="1" t="s">
        <v>109</v>
      </c>
      <c r="BE690" s="1"/>
      <c r="BF690" s="1"/>
      <c r="BG690" s="1"/>
      <c r="BH690" s="1"/>
      <c r="BI690" s="1" t="s">
        <v>775</v>
      </c>
    </row>
    <row r="691" spans="1:61" hidden="1" x14ac:dyDescent="0.25">
      <c r="A691" s="4">
        <v>686</v>
      </c>
      <c r="B691" s="2" t="str">
        <f>HYPERLINK("https://my.zakupivli.pro/remote/dispatcher/state_purchase_view/27603420", "UA-2021-06-18-003480-c")</f>
        <v>UA-2021-06-18-003480-c</v>
      </c>
      <c r="C691" s="2" t="s">
        <v>1516</v>
      </c>
      <c r="D691" s="1" t="s">
        <v>1475</v>
      </c>
      <c r="E691" s="1" t="s">
        <v>1475</v>
      </c>
      <c r="F691" s="1" t="s">
        <v>298</v>
      </c>
      <c r="G691" s="1" t="s">
        <v>804</v>
      </c>
      <c r="H691" s="1" t="s">
        <v>2015</v>
      </c>
      <c r="I691" s="1" t="s">
        <v>2094</v>
      </c>
      <c r="J691" s="1" t="s">
        <v>1145</v>
      </c>
      <c r="K691" s="1" t="s">
        <v>947</v>
      </c>
      <c r="L691" s="1" t="s">
        <v>1533</v>
      </c>
      <c r="M691" s="1" t="s">
        <v>1534</v>
      </c>
      <c r="N691" s="1" t="s">
        <v>110</v>
      </c>
      <c r="O691" s="1" t="s">
        <v>110</v>
      </c>
      <c r="P691" s="1" t="s">
        <v>110</v>
      </c>
      <c r="Q691" s="5">
        <v>44365</v>
      </c>
      <c r="R691" s="1" t="s">
        <v>309</v>
      </c>
      <c r="S691" s="1" t="s">
        <v>311</v>
      </c>
      <c r="T691" s="5">
        <v>44372</v>
      </c>
      <c r="U691" s="5">
        <v>44378</v>
      </c>
      <c r="V691" s="1" t="s">
        <v>2147</v>
      </c>
      <c r="W691" s="4">
        <v>1</v>
      </c>
      <c r="X691" s="6">
        <v>30967</v>
      </c>
      <c r="Y691" s="1" t="s">
        <v>1516</v>
      </c>
      <c r="Z691" s="1">
        <v>1253</v>
      </c>
      <c r="AA691" s="6">
        <v>24.71</v>
      </c>
      <c r="AB691" s="1" t="s">
        <v>2175</v>
      </c>
      <c r="AC691" s="6">
        <v>155</v>
      </c>
      <c r="AD691" s="1" t="s">
        <v>1100</v>
      </c>
      <c r="AE691" s="1" t="s">
        <v>2094</v>
      </c>
      <c r="AF691" s="1" t="s">
        <v>1186</v>
      </c>
      <c r="AG691" s="1" t="s">
        <v>1522</v>
      </c>
      <c r="AH691" s="6">
        <v>30704.22</v>
      </c>
      <c r="AI691" s="6">
        <v>24.504565043894655</v>
      </c>
      <c r="AJ691" s="1" t="s">
        <v>2030</v>
      </c>
      <c r="AK691" s="6">
        <v>262.77999999999884</v>
      </c>
      <c r="AL691" s="6">
        <v>8.4858074724706578E-3</v>
      </c>
      <c r="AM691" s="1" t="s">
        <v>2030</v>
      </c>
      <c r="AN691" s="1" t="s">
        <v>881</v>
      </c>
      <c r="AO691" s="1" t="s">
        <v>1109</v>
      </c>
      <c r="AP691" s="1" t="s">
        <v>50</v>
      </c>
      <c r="AQ691" s="6">
        <v>262.77999999999884</v>
      </c>
      <c r="AR691" s="6">
        <v>8.4858074724706578E-3</v>
      </c>
      <c r="AS691" s="2"/>
      <c r="AT691" s="7">
        <v>44378.589682810802</v>
      </c>
      <c r="AU691" s="1" t="s">
        <v>313</v>
      </c>
      <c r="AV691" s="1" t="s">
        <v>318</v>
      </c>
      <c r="AW691" s="1" t="s">
        <v>2152</v>
      </c>
      <c r="AX691" s="7">
        <v>44386.481359980113</v>
      </c>
      <c r="AY691" s="1" t="s">
        <v>235</v>
      </c>
      <c r="AZ691" s="6">
        <v>30704.22</v>
      </c>
      <c r="BA691" s="1"/>
      <c r="BB691" s="5">
        <v>44393</v>
      </c>
      <c r="BC691" s="5">
        <v>44386</v>
      </c>
      <c r="BD691" s="5">
        <v>44386</v>
      </c>
      <c r="BE691" s="7">
        <v>44561</v>
      </c>
      <c r="BF691" s="1" t="s">
        <v>2170</v>
      </c>
      <c r="BG691" s="1"/>
      <c r="BH691" s="1"/>
      <c r="BI691" s="1" t="s">
        <v>882</v>
      </c>
    </row>
    <row r="692" spans="1:61" hidden="1" x14ac:dyDescent="0.25">
      <c r="A692" s="4">
        <v>687</v>
      </c>
      <c r="B692" s="2" t="str">
        <f>HYPERLINK("https://my.zakupivli.pro/remote/dispatcher/state_purchase_view/27326369", "UA-2021-06-09-008917-b")</f>
        <v>UA-2021-06-09-008917-b</v>
      </c>
      <c r="C692" s="2" t="s">
        <v>1516</v>
      </c>
      <c r="D692" s="1" t="s">
        <v>1475</v>
      </c>
      <c r="E692" s="1" t="s">
        <v>1475</v>
      </c>
      <c r="F692" s="1" t="s">
        <v>298</v>
      </c>
      <c r="G692" s="1" t="s">
        <v>804</v>
      </c>
      <c r="H692" s="1" t="s">
        <v>2015</v>
      </c>
      <c r="I692" s="1" t="s">
        <v>2094</v>
      </c>
      <c r="J692" s="1" t="s">
        <v>1145</v>
      </c>
      <c r="K692" s="1" t="s">
        <v>947</v>
      </c>
      <c r="L692" s="1" t="s">
        <v>1533</v>
      </c>
      <c r="M692" s="1" t="s">
        <v>1534</v>
      </c>
      <c r="N692" s="1" t="s">
        <v>110</v>
      </c>
      <c r="O692" s="1" t="s">
        <v>110</v>
      </c>
      <c r="P692" s="1" t="s">
        <v>110</v>
      </c>
      <c r="Q692" s="5">
        <v>44356</v>
      </c>
      <c r="R692" s="1" t="s">
        <v>305</v>
      </c>
      <c r="S692" s="1" t="s">
        <v>307</v>
      </c>
      <c r="T692" s="5">
        <v>44362</v>
      </c>
      <c r="U692" s="5">
        <v>44365</v>
      </c>
      <c r="V692" s="1" t="s">
        <v>2147</v>
      </c>
      <c r="W692" s="4">
        <v>0</v>
      </c>
      <c r="X692" s="6">
        <v>30967</v>
      </c>
      <c r="Y692" s="1" t="s">
        <v>1516</v>
      </c>
      <c r="Z692" s="1">
        <v>1253</v>
      </c>
      <c r="AA692" s="6">
        <v>24.71</v>
      </c>
      <c r="AB692" s="1" t="s">
        <v>2175</v>
      </c>
      <c r="AC692" s="6">
        <v>155</v>
      </c>
      <c r="AD692" s="1" t="s">
        <v>1100</v>
      </c>
      <c r="AE692" s="1" t="s">
        <v>2094</v>
      </c>
      <c r="AF692" s="1" t="s">
        <v>1186</v>
      </c>
      <c r="AG692" s="1" t="s">
        <v>1522</v>
      </c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2"/>
      <c r="AT692" s="1"/>
      <c r="AU692" s="1"/>
      <c r="AV692" s="1"/>
      <c r="AW692" s="1" t="s">
        <v>2153</v>
      </c>
      <c r="AX692" s="7">
        <v>44365.000408696491</v>
      </c>
      <c r="AY692" s="1"/>
      <c r="AZ692" s="1"/>
      <c r="BA692" s="1"/>
      <c r="BB692" s="5">
        <v>44386</v>
      </c>
      <c r="BC692" s="1" t="s">
        <v>109</v>
      </c>
      <c r="BD692" s="1" t="s">
        <v>109</v>
      </c>
      <c r="BE692" s="1"/>
      <c r="BF692" s="1"/>
      <c r="BG692" s="1"/>
      <c r="BH692" s="1"/>
      <c r="BI692" s="1"/>
    </row>
    <row r="693" spans="1:61" hidden="1" x14ac:dyDescent="0.25">
      <c r="A693" s="4">
        <v>688</v>
      </c>
      <c r="B693" s="2" t="str">
        <f>HYPERLINK("https://my.zakupivli.pro/remote/dispatcher/state_purchase_view/27333539", "UA-2021-06-09-010767-b")</f>
        <v>UA-2021-06-09-010767-b</v>
      </c>
      <c r="C693" s="2" t="s">
        <v>1516</v>
      </c>
      <c r="D693" s="1" t="s">
        <v>2097</v>
      </c>
      <c r="E693" s="1" t="s">
        <v>2097</v>
      </c>
      <c r="F693" s="1" t="s">
        <v>298</v>
      </c>
      <c r="G693" s="1" t="s">
        <v>996</v>
      </c>
      <c r="H693" s="1" t="s">
        <v>2015</v>
      </c>
      <c r="I693" s="1" t="s">
        <v>2094</v>
      </c>
      <c r="J693" s="1" t="s">
        <v>1145</v>
      </c>
      <c r="K693" s="1" t="s">
        <v>947</v>
      </c>
      <c r="L693" s="1" t="s">
        <v>1533</v>
      </c>
      <c r="M693" s="1" t="s">
        <v>1534</v>
      </c>
      <c r="N693" s="1" t="s">
        <v>110</v>
      </c>
      <c r="O693" s="1" t="s">
        <v>110</v>
      </c>
      <c r="P693" s="1" t="s">
        <v>110</v>
      </c>
      <c r="Q693" s="5">
        <v>44356</v>
      </c>
      <c r="R693" s="1" t="s">
        <v>305</v>
      </c>
      <c r="S693" s="1" t="s">
        <v>307</v>
      </c>
      <c r="T693" s="5">
        <v>44362</v>
      </c>
      <c r="U693" s="5">
        <v>44365</v>
      </c>
      <c r="V693" s="7">
        <v>44365.580949074072</v>
      </c>
      <c r="W693" s="4">
        <v>3</v>
      </c>
      <c r="X693" s="6">
        <v>25600</v>
      </c>
      <c r="Y693" s="1" t="s">
        <v>1516</v>
      </c>
      <c r="Z693" s="1">
        <v>36</v>
      </c>
      <c r="AA693" s="6">
        <v>711.11</v>
      </c>
      <c r="AB693" s="1" t="s">
        <v>2175</v>
      </c>
      <c r="AC693" s="6">
        <v>128</v>
      </c>
      <c r="AD693" s="1" t="s">
        <v>1100</v>
      </c>
      <c r="AE693" s="1" t="s">
        <v>2094</v>
      </c>
      <c r="AF693" s="1" t="s">
        <v>1186</v>
      </c>
      <c r="AG693" s="1" t="s">
        <v>1522</v>
      </c>
      <c r="AH693" s="6">
        <v>15440</v>
      </c>
      <c r="AI693" s="6">
        <v>428.88888888888891</v>
      </c>
      <c r="AJ693" s="1" t="s">
        <v>2115</v>
      </c>
      <c r="AK693" s="6">
        <v>10160</v>
      </c>
      <c r="AL693" s="6">
        <v>0.39687499999999998</v>
      </c>
      <c r="AM693" s="1" t="s">
        <v>2127</v>
      </c>
      <c r="AN693" s="1" t="s">
        <v>787</v>
      </c>
      <c r="AO693" s="1" t="s">
        <v>1103</v>
      </c>
      <c r="AP693" s="1" t="s">
        <v>97</v>
      </c>
      <c r="AQ693" s="6">
        <v>1480</v>
      </c>
      <c r="AR693" s="6">
        <v>5.7812500000000003E-2</v>
      </c>
      <c r="AS693" s="2" t="str">
        <f>HYPERLINK("https://auctions.prozorro.gov.ua/tenders/5211143ae18d4bc4a83d208d61f3a3a8")</f>
        <v>https://auctions.prozorro.gov.ua/tenders/5211143ae18d4bc4a83d208d61f3a3a8</v>
      </c>
      <c r="AT693" s="7">
        <v>44370.629730931658</v>
      </c>
      <c r="AU693" s="1" t="s">
        <v>310</v>
      </c>
      <c r="AV693" s="1" t="s">
        <v>316</v>
      </c>
      <c r="AW693" s="1" t="s">
        <v>2152</v>
      </c>
      <c r="AX693" s="7">
        <v>44377.533247375795</v>
      </c>
      <c r="AY693" s="1" t="s">
        <v>220</v>
      </c>
      <c r="AZ693" s="6">
        <v>24120</v>
      </c>
      <c r="BA693" s="1"/>
      <c r="BB693" s="5">
        <v>44392</v>
      </c>
      <c r="BC693" s="5">
        <v>44376</v>
      </c>
      <c r="BD693" s="5">
        <v>44376</v>
      </c>
      <c r="BE693" s="7">
        <v>44561</v>
      </c>
      <c r="BF693" s="1" t="s">
        <v>2170</v>
      </c>
      <c r="BG693" s="1"/>
      <c r="BH693" s="1"/>
      <c r="BI693" s="1" t="s">
        <v>765</v>
      </c>
    </row>
    <row r="694" spans="1:61" hidden="1" x14ac:dyDescent="0.25">
      <c r="A694" s="4">
        <v>689</v>
      </c>
      <c r="B694" s="2" t="str">
        <f>HYPERLINK("https://my.zakupivli.pro/remote/dispatcher/state_purchase_view/26603087", "UA-2021-05-17-013439-b")</f>
        <v>UA-2021-05-17-013439-b</v>
      </c>
      <c r="C694" s="2" t="s">
        <v>1516</v>
      </c>
      <c r="D694" s="1" t="s">
        <v>1970</v>
      </c>
      <c r="E694" s="1" t="s">
        <v>1970</v>
      </c>
      <c r="F694" s="1" t="s">
        <v>298</v>
      </c>
      <c r="G694" s="1" t="s">
        <v>114</v>
      </c>
      <c r="H694" s="1" t="s">
        <v>2015</v>
      </c>
      <c r="I694" s="1" t="s">
        <v>2094</v>
      </c>
      <c r="J694" s="1" t="s">
        <v>1145</v>
      </c>
      <c r="K694" s="1" t="s">
        <v>947</v>
      </c>
      <c r="L694" s="1" t="s">
        <v>1533</v>
      </c>
      <c r="M694" s="1" t="s">
        <v>1534</v>
      </c>
      <c r="N694" s="1" t="s">
        <v>110</v>
      </c>
      <c r="O694" s="1" t="s">
        <v>110</v>
      </c>
      <c r="P694" s="1" t="s">
        <v>110</v>
      </c>
      <c r="Q694" s="5">
        <v>44333</v>
      </c>
      <c r="R694" s="1" t="s">
        <v>300</v>
      </c>
      <c r="S694" s="1" t="s">
        <v>302</v>
      </c>
      <c r="T694" s="5">
        <v>44337</v>
      </c>
      <c r="U694" s="5">
        <v>44342</v>
      </c>
      <c r="V694" s="7">
        <v>44342.648761574077</v>
      </c>
      <c r="W694" s="4">
        <v>3</v>
      </c>
      <c r="X694" s="6">
        <v>157880</v>
      </c>
      <c r="Y694" s="1" t="s">
        <v>1516</v>
      </c>
      <c r="Z694" s="1">
        <v>200</v>
      </c>
      <c r="AA694" s="6">
        <v>789.4</v>
      </c>
      <c r="AB694" s="1" t="s">
        <v>2175</v>
      </c>
      <c r="AC694" s="6">
        <v>789.4</v>
      </c>
      <c r="AD694" s="1" t="s">
        <v>1100</v>
      </c>
      <c r="AE694" s="1" t="s">
        <v>2094</v>
      </c>
      <c r="AF694" s="1" t="s">
        <v>1186</v>
      </c>
      <c r="AG694" s="1" t="s">
        <v>1522</v>
      </c>
      <c r="AH694" s="6">
        <v>81260</v>
      </c>
      <c r="AI694" s="6">
        <v>406.3</v>
      </c>
      <c r="AJ694" s="1" t="s">
        <v>2074</v>
      </c>
      <c r="AK694" s="6">
        <v>76620</v>
      </c>
      <c r="AL694" s="6">
        <v>0.48530529516088167</v>
      </c>
      <c r="AM694" s="1" t="s">
        <v>2079</v>
      </c>
      <c r="AN694" s="1" t="s">
        <v>844</v>
      </c>
      <c r="AO694" s="1" t="s">
        <v>1098</v>
      </c>
      <c r="AP694" s="1" t="s">
        <v>866</v>
      </c>
      <c r="AQ694" s="6">
        <v>48611</v>
      </c>
      <c r="AR694" s="6">
        <v>0.30789840385102607</v>
      </c>
      <c r="AS694" s="2" t="str">
        <f>HYPERLINK("https://auctions.prozorro.gov.ua/tenders/ca762d8e14fd49ca923fe54eea93d98b")</f>
        <v>https://auctions.prozorro.gov.ua/tenders/ca762d8e14fd49ca923fe54eea93d98b</v>
      </c>
      <c r="AT694" s="7">
        <v>44343.481570627257</v>
      </c>
      <c r="AU694" s="1" t="s">
        <v>304</v>
      </c>
      <c r="AV694" s="1" t="s">
        <v>308</v>
      </c>
      <c r="AW694" s="1" t="s">
        <v>2152</v>
      </c>
      <c r="AX694" s="7">
        <v>44354.605647749224</v>
      </c>
      <c r="AY694" s="1" t="s">
        <v>208</v>
      </c>
      <c r="AZ694" s="6">
        <v>109269</v>
      </c>
      <c r="BA694" s="1"/>
      <c r="BB694" s="5">
        <v>44377</v>
      </c>
      <c r="BC694" s="5">
        <v>44354</v>
      </c>
      <c r="BD694" s="5">
        <v>44354</v>
      </c>
      <c r="BE694" s="7">
        <v>44561</v>
      </c>
      <c r="BF694" s="1" t="s">
        <v>2170</v>
      </c>
      <c r="BG694" s="1"/>
      <c r="BH694" s="1"/>
      <c r="BI694" s="1" t="s">
        <v>956</v>
      </c>
    </row>
    <row r="695" spans="1:61" hidden="1" x14ac:dyDescent="0.25">
      <c r="A695" s="4">
        <v>690</v>
      </c>
      <c r="B695" s="2" t="str">
        <f>HYPERLINK("https://my.zakupivli.pro/remote/dispatcher/state_purchase_view/26514713", "UA-2021-05-13-003289-c")</f>
        <v>UA-2021-05-13-003289-c</v>
      </c>
      <c r="C695" s="2" t="s">
        <v>1516</v>
      </c>
      <c r="D695" s="1" t="s">
        <v>1650</v>
      </c>
      <c r="E695" s="1" t="s">
        <v>1649</v>
      </c>
      <c r="F695" s="1" t="s">
        <v>298</v>
      </c>
      <c r="G695" s="1" t="s">
        <v>1075</v>
      </c>
      <c r="H695" s="1" t="s">
        <v>2015</v>
      </c>
      <c r="I695" s="1" t="s">
        <v>2094</v>
      </c>
      <c r="J695" s="1" t="s">
        <v>1145</v>
      </c>
      <c r="K695" s="1" t="s">
        <v>947</v>
      </c>
      <c r="L695" s="1" t="s">
        <v>1533</v>
      </c>
      <c r="M695" s="1" t="s">
        <v>1534</v>
      </c>
      <c r="N695" s="1" t="s">
        <v>110</v>
      </c>
      <c r="O695" s="1" t="s">
        <v>110</v>
      </c>
      <c r="P695" s="1" t="s">
        <v>110</v>
      </c>
      <c r="Q695" s="5">
        <v>44329</v>
      </c>
      <c r="R695" s="1" t="s">
        <v>299</v>
      </c>
      <c r="S695" s="1" t="s">
        <v>301</v>
      </c>
      <c r="T695" s="5">
        <v>44335</v>
      </c>
      <c r="U695" s="5">
        <v>44340</v>
      </c>
      <c r="V695" s="1" t="s">
        <v>2147</v>
      </c>
      <c r="W695" s="4">
        <v>1</v>
      </c>
      <c r="X695" s="6">
        <v>190000</v>
      </c>
      <c r="Y695" s="1" t="s">
        <v>1516</v>
      </c>
      <c r="Z695" s="1">
        <v>1899998</v>
      </c>
      <c r="AA695" s="6">
        <v>0.1</v>
      </c>
      <c r="AB695" s="1" t="s">
        <v>2159</v>
      </c>
      <c r="AC695" s="6">
        <v>950</v>
      </c>
      <c r="AD695" s="1" t="s">
        <v>1100</v>
      </c>
      <c r="AE695" s="1" t="s">
        <v>2094</v>
      </c>
      <c r="AF695" s="1" t="s">
        <v>1186</v>
      </c>
      <c r="AG695" s="1" t="s">
        <v>1522</v>
      </c>
      <c r="AH695" s="6">
        <v>189999.8</v>
      </c>
      <c r="AI695" s="6">
        <v>9.9999999999999992E-2</v>
      </c>
      <c r="AJ695" s="1" t="s">
        <v>2031</v>
      </c>
      <c r="AK695" s="6">
        <v>0.20000000001164153</v>
      </c>
      <c r="AL695" s="6">
        <v>1.0526315790086397E-6</v>
      </c>
      <c r="AM695" s="1" t="s">
        <v>2031</v>
      </c>
      <c r="AN695" s="1" t="s">
        <v>201</v>
      </c>
      <c r="AO695" s="1" t="s">
        <v>1101</v>
      </c>
      <c r="AP695" s="1" t="s">
        <v>59</v>
      </c>
      <c r="AQ695" s="6">
        <v>0.20000000001164153</v>
      </c>
      <c r="AR695" s="6">
        <v>1.0526315790086397E-6</v>
      </c>
      <c r="AS695" s="2"/>
      <c r="AT695" s="7">
        <v>44341.503424600443</v>
      </c>
      <c r="AU695" s="1" t="s">
        <v>303</v>
      </c>
      <c r="AV695" s="1" t="s">
        <v>306</v>
      </c>
      <c r="AW695" s="1" t="s">
        <v>2152</v>
      </c>
      <c r="AX695" s="7">
        <v>44348.622165755783</v>
      </c>
      <c r="AY695" s="1" t="s">
        <v>192</v>
      </c>
      <c r="AZ695" s="6">
        <v>189999.8</v>
      </c>
      <c r="BA695" s="1"/>
      <c r="BB695" s="5">
        <v>44500</v>
      </c>
      <c r="BC695" s="5">
        <v>44347</v>
      </c>
      <c r="BD695" s="5">
        <v>44347</v>
      </c>
      <c r="BE695" s="7">
        <v>44561</v>
      </c>
      <c r="BF695" s="1" t="s">
        <v>2170</v>
      </c>
      <c r="BG695" s="1"/>
      <c r="BH695" s="1"/>
      <c r="BI695" s="1" t="s">
        <v>202</v>
      </c>
    </row>
    <row r="696" spans="1:61" hidden="1" x14ac:dyDescent="0.25">
      <c r="A696" s="1" t="s">
        <v>1469</v>
      </c>
    </row>
  </sheetData>
  <autoFilter ref="A5:BI696">
    <filterColumn colId="5">
      <filters>
        <filter val="2024"/>
      </filters>
    </filterColumn>
  </autoFilter>
  <hyperlinks>
    <hyperlink ref="A2" r:id="rId1" display="mailto:report-feedback@zakupivli.pro"/>
    <hyperlink ref="B6" r:id="rId2" display="https://my.zakupivli.pro/remote/dispatcher/state_purchase_view/52761676"/>
    <hyperlink ref="B7" r:id="rId3" display="https://my.zakupivli.pro/remote/dispatcher/state_purchase_view/52699920"/>
    <hyperlink ref="B8" r:id="rId4" display="https://my.zakupivli.pro/remote/dispatcher/state_purchase_view/52650988"/>
    <hyperlink ref="B9" r:id="rId5" display="https://my.zakupivli.pro/remote/dispatcher/state_purchase_view/52646588"/>
    <hyperlink ref="B10" r:id="rId6" display="https://my.zakupivli.pro/remote/dispatcher/state_purchase_view/52559203"/>
    <hyperlink ref="B11" r:id="rId7" display="https://my.zakupivli.pro/remote/dispatcher/state_purchase_view/52550891"/>
    <hyperlink ref="C11" r:id="rId8" display="https://my.zakupivli.pro/remote/dispatcher/state_purchase_lot_view/1355410"/>
    <hyperlink ref="B12" r:id="rId9" display="https://my.zakupivli.pro/remote/dispatcher/state_purchase_view/52546226"/>
    <hyperlink ref="C12" r:id="rId10" display="https://my.zakupivli.pro/remote/dispatcher/state_purchase_lot_view/1355145"/>
    <hyperlink ref="B13" r:id="rId11" display="https://my.zakupivli.pro/remote/dispatcher/state_purchase_view/52417153"/>
    <hyperlink ref="B14" r:id="rId12" display="https://my.zakupivli.pro/remote/dispatcher/state_purchase_view/52417717"/>
    <hyperlink ref="B15" r:id="rId13" display="https://my.zakupivli.pro/remote/dispatcher/state_purchase_view/52416394"/>
    <hyperlink ref="B16" r:id="rId14" display="https://my.zakupivli.pro/remote/dispatcher/state_purchase_view/52393295"/>
    <hyperlink ref="C16" r:id="rId15" display="https://my.zakupivli.pro/remote/dispatcher/state_purchase_lot_view/1347902"/>
    <hyperlink ref="B17" r:id="rId16" display="https://my.zakupivli.pro/remote/dispatcher/state_purchase_view/52396175"/>
    <hyperlink ref="C17" r:id="rId17" display="https://my.zakupivli.pro/remote/dispatcher/state_purchase_lot_view/1348006"/>
    <hyperlink ref="B18" r:id="rId18" display="https://my.zakupivli.pro/remote/dispatcher/state_purchase_view/52394615"/>
    <hyperlink ref="C18" r:id="rId19" display="https://my.zakupivli.pro/remote/dispatcher/state_purchase_lot_view/1347951"/>
    <hyperlink ref="B19" r:id="rId20" display="https://my.zakupivli.pro/remote/dispatcher/state_purchase_view/52389753"/>
    <hyperlink ref="B20" r:id="rId21" display="https://my.zakupivli.pro/remote/dispatcher/state_purchase_view/52388273"/>
    <hyperlink ref="B21" r:id="rId22" display="https://my.zakupivli.pro/remote/dispatcher/state_purchase_view/52377901"/>
    <hyperlink ref="B22" r:id="rId23" display="https://my.zakupivli.pro/remote/dispatcher/state_purchase_view/52363917"/>
    <hyperlink ref="C22" r:id="rId24" display="https://my.zakupivli.pro/remote/dispatcher/state_purchase_lot_view/1346302"/>
    <hyperlink ref="B23" r:id="rId25" display="https://my.zakupivli.pro/remote/dispatcher/state_purchase_view/52362109"/>
    <hyperlink ref="C23" r:id="rId26" display="https://my.zakupivli.pro/remote/dispatcher/state_purchase_lot_view/1346246"/>
    <hyperlink ref="B24" r:id="rId27" display="https://my.zakupivli.pro/remote/dispatcher/state_purchase_view/52357689"/>
    <hyperlink ref="C24" r:id="rId28" display="https://my.zakupivli.pro/remote/dispatcher/state_purchase_lot_view/1345946"/>
    <hyperlink ref="B25" r:id="rId29" display="https://my.zakupivli.pro/remote/dispatcher/state_purchase_view/52329500"/>
    <hyperlink ref="C25" r:id="rId30" display="https://my.zakupivli.pro/remote/dispatcher/state_purchase_lot_view/1344608"/>
    <hyperlink ref="B26" r:id="rId31" display="https://my.zakupivli.pro/remote/dispatcher/state_purchase_view/52175052"/>
    <hyperlink ref="C26" r:id="rId32" display="https://my.zakupivli.pro/remote/dispatcher/state_purchase_lot_view/1336905"/>
    <hyperlink ref="B27" r:id="rId33" display="https://my.zakupivli.pro/remote/dispatcher/state_purchase_view/52185654"/>
    <hyperlink ref="C27" r:id="rId34" display="https://my.zakupivli.pro/remote/dispatcher/state_purchase_lot_view/1337346"/>
    <hyperlink ref="B28" r:id="rId35" display="https://my.zakupivli.pro/remote/dispatcher/state_purchase_view/52178717"/>
    <hyperlink ref="C28" r:id="rId36" display="https://my.zakupivli.pro/remote/dispatcher/state_purchase_lot_view/1337029"/>
    <hyperlink ref="B29" r:id="rId37" display="https://my.zakupivli.pro/remote/dispatcher/state_purchase_view/52178260"/>
    <hyperlink ref="C29" r:id="rId38" display="https://my.zakupivli.pro/remote/dispatcher/state_purchase_lot_view/1337010"/>
    <hyperlink ref="B30" r:id="rId39" display="https://my.zakupivli.pro/remote/dispatcher/state_purchase_view/52166985"/>
    <hyperlink ref="C30" r:id="rId40" display="https://my.zakupivli.pro/remote/dispatcher/state_purchase_lot_view/1336448"/>
    <hyperlink ref="B31" r:id="rId41" display="https://my.zakupivli.pro/remote/dispatcher/state_purchase_view/52168431"/>
    <hyperlink ref="C31" r:id="rId42" display="https://my.zakupivli.pro/remote/dispatcher/state_purchase_lot_view/1336541"/>
    <hyperlink ref="B32" r:id="rId43" display="https://my.zakupivli.pro/remote/dispatcher/state_purchase_view/52135896"/>
    <hyperlink ref="C32" r:id="rId44" display="https://my.zakupivli.pro/remote/dispatcher/state_purchase_lot_view/1334881"/>
    <hyperlink ref="B33" r:id="rId45" display="https://my.zakupivli.pro/remote/dispatcher/state_purchase_view/52134979"/>
    <hyperlink ref="C33" r:id="rId46" display="https://my.zakupivli.pro/remote/dispatcher/state_purchase_lot_view/1334860"/>
    <hyperlink ref="B34" r:id="rId47" display="https://my.zakupivli.pro/remote/dispatcher/state_purchase_view/52135459"/>
    <hyperlink ref="C34" r:id="rId48" display="https://my.zakupivli.pro/remote/dispatcher/state_purchase_lot_view/1334864"/>
    <hyperlink ref="B35" r:id="rId49" display="https://my.zakupivli.pro/remote/dispatcher/state_purchase_view/52143626"/>
    <hyperlink ref="C35" r:id="rId50" display="https://my.zakupivli.pro/remote/dispatcher/state_purchase_lot_view/1335251"/>
    <hyperlink ref="B36" r:id="rId51" display="https://my.zakupivli.pro/remote/dispatcher/state_purchase_view/52121231"/>
    <hyperlink ref="C36" r:id="rId52" display="https://my.zakupivli.pro/remote/dispatcher/state_purchase_lot_view/1334265"/>
    <hyperlink ref="B37" r:id="rId53" display="https://my.zakupivli.pro/remote/dispatcher/state_purchase_view/52106649"/>
    <hyperlink ref="B38" r:id="rId54" display="https://my.zakupivli.pro/remote/dispatcher/state_purchase_view/52106207"/>
    <hyperlink ref="B39" r:id="rId55" display="https://my.zakupivli.pro/remote/dispatcher/state_purchase_view/52105816"/>
    <hyperlink ref="B40" r:id="rId56" display="https://my.zakupivli.pro/remote/dispatcher/state_purchase_view/52122598"/>
    <hyperlink ref="C40" r:id="rId57" display="https://my.zakupivli.pro/remote/dispatcher/state_purchase_lot_view/1334377"/>
    <hyperlink ref="B41" r:id="rId58" display="https://my.zakupivli.pro/remote/dispatcher/state_purchase_view/52082793"/>
    <hyperlink ref="B42" r:id="rId59" display="https://my.zakupivli.pro/remote/dispatcher/state_purchase_view/52071498"/>
    <hyperlink ref="B43" r:id="rId60" display="https://my.zakupivli.pro/remote/dispatcher/state_purchase_view/52070282"/>
    <hyperlink ref="B44" r:id="rId61" display="https://my.zakupivli.pro/remote/dispatcher/state_purchase_view/52012825"/>
    <hyperlink ref="C44" r:id="rId62" display="https://my.zakupivli.pro/remote/dispatcher/state_purchase_lot_view/1329625"/>
    <hyperlink ref="B45" r:id="rId63" display="https://my.zakupivli.pro/remote/dispatcher/state_purchase_view/51771737"/>
    <hyperlink ref="C45" r:id="rId64" display="https://my.zakupivli.pro/remote/dispatcher/state_purchase_lot_view/1317843"/>
    <hyperlink ref="B46" r:id="rId65" display="https://my.zakupivli.pro/remote/dispatcher/state_purchase_view/51773753"/>
    <hyperlink ref="C46" r:id="rId66" display="https://my.zakupivli.pro/remote/dispatcher/state_purchase_lot_view/1317918"/>
    <hyperlink ref="B47" r:id="rId67" display="https://my.zakupivli.pro/remote/dispatcher/state_purchase_view/51772200"/>
    <hyperlink ref="C47" r:id="rId68" display="https://my.zakupivli.pro/remote/dispatcher/state_purchase_lot_view/1317856"/>
    <hyperlink ref="B48" r:id="rId69" display="https://my.zakupivli.pro/remote/dispatcher/state_purchase_view/51767811"/>
    <hyperlink ref="C48" r:id="rId70" display="https://my.zakupivli.pro/remote/dispatcher/state_purchase_lot_view/1317714"/>
    <hyperlink ref="B49" r:id="rId71" display="https://my.zakupivli.pro/remote/dispatcher/state_purchase_view/51751903"/>
    <hyperlink ref="B50" r:id="rId72" display="https://my.zakupivli.pro/remote/dispatcher/state_purchase_view/51761295"/>
    <hyperlink ref="B51" r:id="rId73" display="https://my.zakupivli.pro/remote/dispatcher/state_purchase_view/51760874"/>
    <hyperlink ref="B52" r:id="rId74" display="https://my.zakupivli.pro/remote/dispatcher/state_purchase_view/51759874"/>
    <hyperlink ref="B53" r:id="rId75" display="https://my.zakupivli.pro/remote/dispatcher/state_purchase_view/51759370"/>
    <hyperlink ref="B54" r:id="rId76" display="https://my.zakupivli.pro/remote/dispatcher/state_purchase_view/51752166"/>
    <hyperlink ref="B55" r:id="rId77" display="https://my.zakupivli.pro/remote/dispatcher/state_purchase_view/51646928"/>
    <hyperlink ref="C55" r:id="rId78" display="https://my.zakupivli.pro/remote/dispatcher/state_purchase_lot_view/1312133"/>
    <hyperlink ref="B56" r:id="rId79" display="https://my.zakupivli.pro/remote/dispatcher/state_purchase_view/51621953"/>
    <hyperlink ref="C56" r:id="rId80" display="https://my.zakupivli.pro/remote/dispatcher/state_purchase_lot_view/1310987"/>
    <hyperlink ref="B57" r:id="rId81" display="https://my.zakupivli.pro/remote/dispatcher/state_purchase_view/51618817"/>
    <hyperlink ref="C57" r:id="rId82" display="https://my.zakupivli.pro/remote/dispatcher/state_purchase_lot_view/1310803"/>
    <hyperlink ref="B58" r:id="rId83" display="https://my.zakupivli.pro/remote/dispatcher/state_purchase_view/51620389"/>
    <hyperlink ref="C58" r:id="rId84" display="https://my.zakupivli.pro/remote/dispatcher/state_purchase_lot_view/1310892"/>
    <hyperlink ref="B59" r:id="rId85" display="https://my.zakupivli.pro/remote/dispatcher/state_purchase_view/51621455"/>
    <hyperlink ref="C59" r:id="rId86" display="https://my.zakupivli.pro/remote/dispatcher/state_purchase_lot_view/1310952"/>
    <hyperlink ref="B60" r:id="rId87" display="https://my.zakupivli.pro/remote/dispatcher/state_purchase_view/51621804"/>
    <hyperlink ref="C60" r:id="rId88" display="https://my.zakupivli.pro/remote/dispatcher/state_purchase_lot_view/1310972"/>
    <hyperlink ref="B61" r:id="rId89" display="https://my.zakupivli.pro/remote/dispatcher/state_purchase_view/51594681"/>
    <hyperlink ref="C61" r:id="rId90" display="https://my.zakupivli.pro/remote/dispatcher/state_purchase_lot_view/1309792"/>
    <hyperlink ref="AS61" r:id="rId91" display="https://auctions.prozorro.gov.ua/tenders/8b89d69be4b443ee9645cacc500bbf40_b76a294590c34180a96457621af3bc36"/>
    <hyperlink ref="B62" r:id="rId92" display="https://my.zakupivli.pro/remote/dispatcher/state_purchase_view/51591720"/>
    <hyperlink ref="C62" r:id="rId93" display="https://my.zakupivli.pro/remote/dispatcher/state_purchase_lot_view/1309611"/>
    <hyperlink ref="B63" r:id="rId94" display="https://my.zakupivli.pro/remote/dispatcher/state_purchase_view/51589219"/>
    <hyperlink ref="C63" r:id="rId95" display="https://my.zakupivli.pro/remote/dispatcher/state_purchase_lot_view/1309520"/>
    <hyperlink ref="B64" r:id="rId96" display="https://my.zakupivli.pro/remote/dispatcher/state_purchase_view/51586227"/>
    <hyperlink ref="C64" r:id="rId97" display="https://my.zakupivli.pro/remote/dispatcher/state_purchase_lot_view/1309421"/>
    <hyperlink ref="B65" r:id="rId98" display="https://my.zakupivli.pro/remote/dispatcher/state_purchase_view/51582550"/>
    <hyperlink ref="B66" r:id="rId99" display="https://my.zakupivli.pro/remote/dispatcher/state_purchase_view/51528528"/>
    <hyperlink ref="B67" r:id="rId100" display="https://my.zakupivli.pro/remote/dispatcher/state_purchase_view/51527527"/>
    <hyperlink ref="B68" r:id="rId101" display="https://my.zakupivli.pro/remote/dispatcher/state_purchase_view/51319388"/>
    <hyperlink ref="C68" r:id="rId102" display="https://my.zakupivli.pro/remote/dispatcher/state_purchase_lot_view/1297389"/>
    <hyperlink ref="B69" r:id="rId103" display="https://my.zakupivli.pro/remote/dispatcher/state_purchase_view/51314394"/>
    <hyperlink ref="C69" r:id="rId104" display="https://my.zakupivli.pro/remote/dispatcher/state_purchase_lot_view/1297138"/>
    <hyperlink ref="B70" r:id="rId105" display="https://my.zakupivli.pro/remote/dispatcher/state_purchase_view/51314002"/>
    <hyperlink ref="C70" r:id="rId106" display="https://my.zakupivli.pro/remote/dispatcher/state_purchase_lot_view/1297128"/>
    <hyperlink ref="B71" r:id="rId107" display="https://my.zakupivli.pro/remote/dispatcher/state_purchase_view/51313832"/>
    <hyperlink ref="C71" r:id="rId108" display="https://my.zakupivli.pro/remote/dispatcher/state_purchase_lot_view/1297118"/>
    <hyperlink ref="B72" r:id="rId109" display="https://my.zakupivli.pro/remote/dispatcher/state_purchase_view/51313644"/>
    <hyperlink ref="C72" r:id="rId110" display="https://my.zakupivli.pro/remote/dispatcher/state_purchase_lot_view/1297110"/>
    <hyperlink ref="B73" r:id="rId111" display="https://my.zakupivli.pro/remote/dispatcher/state_purchase_view/51312690"/>
    <hyperlink ref="C73" r:id="rId112" display="https://my.zakupivli.pro/remote/dispatcher/state_purchase_lot_view/1297082"/>
    <hyperlink ref="B74" r:id="rId113" display="https://my.zakupivli.pro/remote/dispatcher/state_purchase_view/51313126"/>
    <hyperlink ref="C74" r:id="rId114" display="https://my.zakupivli.pro/remote/dispatcher/state_purchase_lot_view/1297089"/>
    <hyperlink ref="B75" r:id="rId115" display="https://my.zakupivli.pro/remote/dispatcher/state_purchase_view/51313295"/>
    <hyperlink ref="C75" r:id="rId116" display="https://my.zakupivli.pro/remote/dispatcher/state_purchase_lot_view/1297098"/>
    <hyperlink ref="B76" r:id="rId117" display="https://my.zakupivli.pro/remote/dispatcher/state_purchase_view/51319668"/>
    <hyperlink ref="C76" r:id="rId118" display="https://my.zakupivli.pro/remote/dispatcher/state_purchase_lot_view/1297407"/>
    <hyperlink ref="B77" r:id="rId119" display="https://my.zakupivli.pro/remote/dispatcher/state_purchase_view/51262986"/>
    <hyperlink ref="C77" r:id="rId120" display="https://my.zakupivli.pro/remote/dispatcher/state_purchase_lot_view/1294990"/>
    <hyperlink ref="B78" r:id="rId121" display="https://my.zakupivli.pro/remote/dispatcher/state_purchase_view/51228078"/>
    <hyperlink ref="C78" r:id="rId122" display="https://my.zakupivli.pro/remote/dispatcher/state_purchase_lot_view/1293621"/>
    <hyperlink ref="B79" r:id="rId123" display="https://my.zakupivli.pro/remote/dispatcher/state_purchase_view/51138321"/>
    <hyperlink ref="C79" r:id="rId124" display="https://my.zakupivli.pro/remote/dispatcher/state_purchase_lot_view/1289927"/>
    <hyperlink ref="B80" r:id="rId125" display="https://my.zakupivli.pro/remote/dispatcher/state_purchase_view/51117823"/>
    <hyperlink ref="C80" r:id="rId126" display="https://my.zakupivli.pro/remote/dispatcher/state_purchase_lot_view/1289180"/>
    <hyperlink ref="B81" r:id="rId127" display="https://my.zakupivli.pro/remote/dispatcher/state_purchase_view/51113763"/>
    <hyperlink ref="C81" r:id="rId128" display="https://my.zakupivli.pro/remote/dispatcher/state_purchase_lot_view/1288932"/>
    <hyperlink ref="B82" r:id="rId129" display="https://my.zakupivli.pro/remote/dispatcher/state_purchase_view/51115562"/>
    <hyperlink ref="C82" r:id="rId130" display="https://my.zakupivli.pro/remote/dispatcher/state_purchase_lot_view/1289007"/>
    <hyperlink ref="B83" r:id="rId131" display="https://my.zakupivli.pro/remote/dispatcher/state_purchase_view/51115871"/>
    <hyperlink ref="C83" r:id="rId132" display="https://my.zakupivli.pro/remote/dispatcher/state_purchase_lot_view/1289036"/>
    <hyperlink ref="B84" r:id="rId133" display="https://my.zakupivli.pro/remote/dispatcher/state_purchase_view/51116858"/>
    <hyperlink ref="C84" r:id="rId134" display="https://my.zakupivli.pro/remote/dispatcher/state_purchase_lot_view/1289077"/>
    <hyperlink ref="B85" r:id="rId135" display="https://my.zakupivli.pro/remote/dispatcher/state_purchase_view/51117353"/>
    <hyperlink ref="C85" r:id="rId136" display="https://my.zakupivli.pro/remote/dispatcher/state_purchase_lot_view/1289123"/>
    <hyperlink ref="B86" r:id="rId137" display="https://my.zakupivli.pro/remote/dispatcher/state_purchase_view/51117614"/>
    <hyperlink ref="C86" r:id="rId138" display="https://my.zakupivli.pro/remote/dispatcher/state_purchase_lot_view/1289159"/>
    <hyperlink ref="B87" r:id="rId139" display="https://my.zakupivli.pro/remote/dispatcher/state_purchase_view/50921730"/>
    <hyperlink ref="C87" r:id="rId140" display="https://my.zakupivli.pro/remote/dispatcher/state_purchase_lot_view/1280683"/>
    <hyperlink ref="B88" r:id="rId141" display="https://my.zakupivli.pro/remote/dispatcher/state_purchase_view/50918113"/>
    <hyperlink ref="C88" r:id="rId142" display="https://my.zakupivli.pro/remote/dispatcher/state_purchase_lot_view/1280400"/>
    <hyperlink ref="B89" r:id="rId143" display="https://my.zakupivli.pro/remote/dispatcher/state_purchase_view/50889229"/>
    <hyperlink ref="C89" r:id="rId144" display="https://my.zakupivli.pro/remote/dispatcher/state_purchase_lot_view/1279157"/>
    <hyperlink ref="B90" r:id="rId145" display="https://my.zakupivli.pro/remote/dispatcher/state_purchase_view/50892354"/>
    <hyperlink ref="C90" r:id="rId146" display="https://my.zakupivli.pro/remote/dispatcher/state_purchase_lot_view/1279339"/>
    <hyperlink ref="B91" r:id="rId147" display="https://my.zakupivli.pro/remote/dispatcher/state_purchase_view/50890871"/>
    <hyperlink ref="C91" r:id="rId148" display="https://my.zakupivli.pro/remote/dispatcher/state_purchase_lot_view/1279249"/>
    <hyperlink ref="B92" r:id="rId149" display="https://my.zakupivli.pro/remote/dispatcher/state_purchase_view/50641015"/>
    <hyperlink ref="B93" r:id="rId150" display="https://my.zakupivli.pro/remote/dispatcher/state_purchase_view/50641819"/>
    <hyperlink ref="B94" r:id="rId151" display="https://my.zakupivli.pro/remote/dispatcher/state_purchase_view/50575600"/>
    <hyperlink ref="C94" r:id="rId152" display="https://my.zakupivli.pro/remote/dispatcher/state_purchase_lot_view/1264850"/>
    <hyperlink ref="B95" r:id="rId153" display="https://my.zakupivli.pro/remote/dispatcher/state_purchase_view/50551858"/>
    <hyperlink ref="B96" r:id="rId154" display="https://my.zakupivli.pro/remote/dispatcher/state_purchase_view/50389145"/>
    <hyperlink ref="B97" r:id="rId155" display="https://my.zakupivli.pro/remote/dispatcher/state_purchase_view/50345062"/>
    <hyperlink ref="C97" r:id="rId156" display="https://my.zakupivli.pro/remote/dispatcher/state_purchase_lot_view/1255071"/>
    <hyperlink ref="B98" r:id="rId157" display="https://my.zakupivli.pro/remote/dispatcher/state_purchase_view/50312590"/>
    <hyperlink ref="B99" r:id="rId158" display="https://my.zakupivli.pro/remote/dispatcher/state_purchase_view/50170791"/>
    <hyperlink ref="B100" r:id="rId159" display="https://my.zakupivli.pro/remote/dispatcher/state_purchase_view/50169401"/>
    <hyperlink ref="B101" r:id="rId160" display="https://my.zakupivli.pro/remote/dispatcher/state_purchase_view/50142660"/>
    <hyperlink ref="B102" r:id="rId161" display="https://my.zakupivli.pro/remote/dispatcher/state_purchase_view/49973533"/>
    <hyperlink ref="B103" r:id="rId162" display="https://my.zakupivli.pro/remote/dispatcher/state_purchase_view/49704925"/>
    <hyperlink ref="B104" r:id="rId163" display="https://my.zakupivli.pro/remote/dispatcher/state_purchase_view/49710974"/>
    <hyperlink ref="B105" r:id="rId164" display="https://my.zakupivli.pro/remote/dispatcher/state_purchase_view/49698268"/>
    <hyperlink ref="B106" r:id="rId165" display="https://my.zakupivli.pro/remote/dispatcher/state_purchase_view/49482798"/>
    <hyperlink ref="C106" r:id="rId166" display="https://my.zakupivli.pro/remote/dispatcher/state_purchase_lot_view/1218584"/>
    <hyperlink ref="B107" r:id="rId167" display="https://my.zakupivli.pro/remote/dispatcher/state_purchase_view/49458811"/>
    <hyperlink ref="B108" r:id="rId168" display="https://my.zakupivli.pro/remote/dispatcher/state_purchase_view/49451305"/>
    <hyperlink ref="B109" r:id="rId169" display="https://my.zakupivli.pro/remote/dispatcher/state_purchase_view/49394023"/>
    <hyperlink ref="B110" r:id="rId170" display="https://my.zakupivli.pro/remote/dispatcher/state_purchase_view/49308272"/>
    <hyperlink ref="B111" r:id="rId171" display="https://my.zakupivli.pro/remote/dispatcher/state_purchase_view/49265583"/>
    <hyperlink ref="B112" r:id="rId172" display="https://my.zakupivli.pro/remote/dispatcher/state_purchase_view/49276131"/>
    <hyperlink ref="C112" r:id="rId173" display="https://my.zakupivli.pro/remote/dispatcher/state_purchase_lot_view/1210057"/>
    <hyperlink ref="B113" r:id="rId174" display="https://my.zakupivli.pro/remote/dispatcher/state_purchase_view/49238713"/>
    <hyperlink ref="B114" r:id="rId175" display="https://my.zakupivli.pro/remote/dispatcher/state_purchase_view/49151604"/>
    <hyperlink ref="C114" r:id="rId176" display="https://my.zakupivli.pro/remote/dispatcher/state_purchase_lot_view/1204900"/>
    <hyperlink ref="B115" r:id="rId177" display="https://my.zakupivli.pro/remote/dispatcher/state_purchase_view/49015454"/>
    <hyperlink ref="C115" r:id="rId178" display="https://my.zakupivli.pro/remote/dispatcher/state_purchase_lot_view/1199912"/>
    <hyperlink ref="B116" r:id="rId179" display="https://my.zakupivli.pro/remote/dispatcher/state_purchase_view/49009480"/>
    <hyperlink ref="C116" r:id="rId180" display="https://my.zakupivli.pro/remote/dispatcher/state_purchase_lot_view/1199681"/>
    <hyperlink ref="B117" r:id="rId181" display="https://my.zakupivli.pro/remote/dispatcher/state_purchase_view/48891427"/>
    <hyperlink ref="B118" r:id="rId182" display="https://my.zakupivli.pro/remote/dispatcher/state_purchase_view/48905864"/>
    <hyperlink ref="B119" r:id="rId183" display="https://my.zakupivli.pro/remote/dispatcher/state_purchase_view/48897681"/>
    <hyperlink ref="C119" r:id="rId184" display="https://my.zakupivli.pro/remote/dispatcher/state_purchase_lot_view/1195719"/>
    <hyperlink ref="B120" r:id="rId185" display="https://my.zakupivli.pro/remote/dispatcher/state_purchase_view/48887466"/>
    <hyperlink ref="B121" r:id="rId186" display="https://my.zakupivli.pro/remote/dispatcher/state_purchase_view/48875107"/>
    <hyperlink ref="B122" r:id="rId187" display="https://my.zakupivli.pro/remote/dispatcher/state_purchase_view/48874515"/>
    <hyperlink ref="B123" r:id="rId188" display="https://my.zakupivli.pro/remote/dispatcher/state_purchase_view/48778927"/>
    <hyperlink ref="B124" r:id="rId189" display="https://my.zakupivli.pro/remote/dispatcher/state_purchase_view/48763652"/>
    <hyperlink ref="B125" r:id="rId190" display="https://my.zakupivli.pro/remote/dispatcher/state_purchase_view/48759409"/>
    <hyperlink ref="B126" r:id="rId191" display="https://my.zakupivli.pro/remote/dispatcher/state_purchase_view/48756590"/>
    <hyperlink ref="B127" r:id="rId192" display="https://my.zakupivli.pro/remote/dispatcher/state_purchase_view/48685988"/>
    <hyperlink ref="B128" r:id="rId193" display="https://my.zakupivli.pro/remote/dispatcher/state_purchase_view/48580410"/>
    <hyperlink ref="B129" r:id="rId194" display="https://my.zakupivli.pro/remote/dispatcher/state_purchase_view/48194241"/>
    <hyperlink ref="C129" r:id="rId195" display="https://my.zakupivli.pro/remote/dispatcher/state_purchase_lot_view/1170375"/>
    <hyperlink ref="B130" r:id="rId196" display="https://my.zakupivli.pro/remote/dispatcher/state_purchase_view/48202283"/>
    <hyperlink ref="C130" r:id="rId197" display="https://my.zakupivli.pro/remote/dispatcher/state_purchase_lot_view/1171064"/>
    <hyperlink ref="B131" r:id="rId198" display="https://my.zakupivli.pro/remote/dispatcher/state_purchase_view/48184347"/>
    <hyperlink ref="B132" r:id="rId199" display="https://my.zakupivli.pro/remote/dispatcher/state_purchase_view/47947834"/>
    <hyperlink ref="B133" r:id="rId200" display="https://my.zakupivli.pro/remote/dispatcher/state_purchase_view/47960175"/>
    <hyperlink ref="B134" r:id="rId201" display="https://my.zakupivli.pro/remote/dispatcher/state_purchase_view/47957616"/>
    <hyperlink ref="B135" r:id="rId202" display="https://my.zakupivli.pro/remote/dispatcher/state_purchase_view/47956201"/>
    <hyperlink ref="B136" r:id="rId203" display="https://my.zakupivli.pro/remote/dispatcher/state_purchase_view/47955223"/>
    <hyperlink ref="B137" r:id="rId204" display="https://my.zakupivli.pro/remote/dispatcher/state_purchase_view/47911056"/>
    <hyperlink ref="B138" r:id="rId205" display="https://my.zakupivli.pro/remote/dispatcher/state_purchase_view/47922268"/>
    <hyperlink ref="B139" r:id="rId206" display="https://my.zakupivli.pro/remote/dispatcher/state_purchase_view/47913903"/>
    <hyperlink ref="B140" r:id="rId207" display="https://my.zakupivli.pro/remote/dispatcher/state_purchase_view/47905785"/>
    <hyperlink ref="B141" r:id="rId208" display="https://my.zakupivli.pro/remote/dispatcher/state_purchase_view/47847514"/>
    <hyperlink ref="B142" r:id="rId209" display="https://my.zakupivli.pro/remote/dispatcher/state_purchase_view/47864423"/>
    <hyperlink ref="B143" r:id="rId210" display="https://my.zakupivli.pro/remote/dispatcher/state_purchase_view/47788776"/>
    <hyperlink ref="B144" r:id="rId211" display="https://my.zakupivli.pro/remote/dispatcher/state_purchase_view/47788476"/>
    <hyperlink ref="B145" r:id="rId212" display="https://my.zakupivli.pro/remote/dispatcher/state_purchase_view/47691872"/>
    <hyperlink ref="B146" r:id="rId213" display="https://my.zakupivli.pro/remote/dispatcher/state_purchase_view/47691330"/>
    <hyperlink ref="B147" r:id="rId214" display="https://my.zakupivli.pro/remote/dispatcher/state_purchase_view/47458358"/>
    <hyperlink ref="B148" r:id="rId215" display="https://my.zakupivli.pro/remote/dispatcher/state_purchase_view/47412461"/>
    <hyperlink ref="B149" r:id="rId216" display="https://my.zakupivli.pro/remote/dispatcher/state_purchase_view/47418811"/>
    <hyperlink ref="B150" r:id="rId217" display="https://my.zakupivli.pro/remote/dispatcher/state_purchase_view/47427602"/>
    <hyperlink ref="B151" r:id="rId218" display="https://my.zakupivli.pro/remote/dispatcher/state_purchase_view/47425747"/>
    <hyperlink ref="B152" r:id="rId219" display="https://my.zakupivli.pro/remote/dispatcher/state_purchase_view/47423630"/>
    <hyperlink ref="B153" r:id="rId220" display="https://my.zakupivli.pro/remote/dispatcher/state_purchase_view/47422090"/>
    <hyperlink ref="B154" r:id="rId221" display="https://my.zakupivli.pro/remote/dispatcher/state_purchase_view/47319195"/>
    <hyperlink ref="B155" r:id="rId222" display="https://my.zakupivli.pro/remote/dispatcher/state_purchase_view/47318777"/>
    <hyperlink ref="B156" r:id="rId223" display="https://my.zakupivli.pro/remote/dispatcher/state_purchase_view/47318550"/>
    <hyperlink ref="B157" r:id="rId224" display="https://my.zakupivli.pro/remote/dispatcher/state_purchase_view/47318318"/>
    <hyperlink ref="B158" r:id="rId225" display="https://my.zakupivli.pro/remote/dispatcher/state_purchase_view/47167856"/>
    <hyperlink ref="B159" r:id="rId226" display="https://my.zakupivli.pro/remote/dispatcher/state_purchase_view/47181063"/>
    <hyperlink ref="B160" r:id="rId227" display="https://my.zakupivli.pro/remote/dispatcher/state_purchase_view/47177834"/>
    <hyperlink ref="B161" r:id="rId228" display="https://my.zakupivli.pro/remote/dispatcher/state_purchase_view/47168969"/>
    <hyperlink ref="B162" r:id="rId229" display="https://my.zakupivli.pro/remote/dispatcher/state_purchase_view/47100846"/>
    <hyperlink ref="B163" r:id="rId230" display="https://my.zakupivli.pro/remote/dispatcher/state_purchase_view/47094885"/>
    <hyperlink ref="B164" r:id="rId231" display="https://my.zakupivli.pro/remote/dispatcher/state_purchase_view/46968047"/>
    <hyperlink ref="B165" r:id="rId232" display="https://my.zakupivli.pro/remote/dispatcher/state_purchase_view/46931344"/>
    <hyperlink ref="B166" r:id="rId233" display="https://my.zakupivli.pro/remote/dispatcher/state_purchase_view/46902922"/>
    <hyperlink ref="C166" r:id="rId234" display="https://my.zakupivli.pro/remote/dispatcher/state_purchase_lot_view/1115754"/>
    <hyperlink ref="B167" r:id="rId235" display="https://my.zakupivli.pro/remote/dispatcher/state_purchase_view/46897644"/>
    <hyperlink ref="C167" r:id="rId236" display="https://my.zakupivli.pro/remote/dispatcher/state_purchase_lot_view/1115464"/>
    <hyperlink ref="B168" r:id="rId237" display="https://my.zakupivli.pro/remote/dispatcher/state_purchase_view/46776304"/>
    <hyperlink ref="C168" r:id="rId238" display="https://my.zakupivli.pro/remote/dispatcher/state_purchase_lot_view/1110480"/>
    <hyperlink ref="B169" r:id="rId239" display="https://my.zakupivli.pro/remote/dispatcher/state_purchase_view/46776841"/>
    <hyperlink ref="C169" r:id="rId240" display="https://my.zakupivli.pro/remote/dispatcher/state_purchase_lot_view/1110567"/>
    <hyperlink ref="B170" r:id="rId241" display="https://my.zakupivli.pro/remote/dispatcher/state_purchase_view/46776571"/>
    <hyperlink ref="C170" r:id="rId242" display="https://my.zakupivli.pro/remote/dispatcher/state_purchase_lot_view/1110501"/>
    <hyperlink ref="B171" r:id="rId243" display="https://my.zakupivli.pro/remote/dispatcher/state_purchase_view/46775870"/>
    <hyperlink ref="C171" r:id="rId244" display="https://my.zakupivli.pro/remote/dispatcher/state_purchase_lot_view/1110443"/>
    <hyperlink ref="B172" r:id="rId245" display="https://my.zakupivli.pro/remote/dispatcher/state_purchase_view/46680434"/>
    <hyperlink ref="B173" r:id="rId246" display="https://my.zakupivli.pro/remote/dispatcher/state_purchase_view/46697342"/>
    <hyperlink ref="C173" r:id="rId247" display="https://my.zakupivli.pro/remote/dispatcher/state_purchase_lot_view/1107100"/>
    <hyperlink ref="B174" r:id="rId248" display="https://my.zakupivli.pro/remote/dispatcher/state_purchase_view/46565519"/>
    <hyperlink ref="B175" r:id="rId249" display="https://my.zakupivli.pro/remote/dispatcher/state_purchase_view/46489590"/>
    <hyperlink ref="C175" r:id="rId250" display="https://my.zakupivli.pro/remote/dispatcher/state_purchase_lot_view/1098458"/>
    <hyperlink ref="B176" r:id="rId251" display="https://my.zakupivli.pro/remote/dispatcher/state_purchase_view/46493215"/>
    <hyperlink ref="C176" r:id="rId252" display="https://my.zakupivli.pro/remote/dispatcher/state_purchase_lot_view/1098584"/>
    <hyperlink ref="B177" r:id="rId253" display="https://my.zakupivli.pro/remote/dispatcher/state_purchase_view/46494601"/>
    <hyperlink ref="C177" r:id="rId254" display="https://my.zakupivli.pro/remote/dispatcher/state_purchase_lot_view/1098634"/>
    <hyperlink ref="B178" r:id="rId255" display="https://my.zakupivli.pro/remote/dispatcher/state_purchase_view/46498252"/>
    <hyperlink ref="C178" r:id="rId256" display="https://my.zakupivli.pro/remote/dispatcher/state_purchase_lot_view/1098776"/>
    <hyperlink ref="B179" r:id="rId257" display="https://my.zakupivli.pro/remote/dispatcher/state_purchase_view/46500567"/>
    <hyperlink ref="C179" r:id="rId258" display="https://my.zakupivli.pro/remote/dispatcher/state_purchase_lot_view/1098865"/>
    <hyperlink ref="B180" r:id="rId259" display="https://my.zakupivli.pro/remote/dispatcher/state_purchase_view/46502040"/>
    <hyperlink ref="B181" r:id="rId260" display="https://my.zakupivli.pro/remote/dispatcher/state_purchase_view/46464598"/>
    <hyperlink ref="B182" r:id="rId261" display="https://my.zakupivli.pro/remote/dispatcher/state_purchase_view/46463171"/>
    <hyperlink ref="B183" r:id="rId262" display="https://my.zakupivli.pro/remote/dispatcher/state_purchase_view/46460778"/>
    <hyperlink ref="B184" r:id="rId263" display="https://my.zakupivli.pro/remote/dispatcher/state_purchase_view/46029962"/>
    <hyperlink ref="B185" r:id="rId264" display="https://my.zakupivli.pro/remote/dispatcher/state_purchase_view/46060839"/>
    <hyperlink ref="C185" r:id="rId265" display="https://my.zakupivli.pro/remote/dispatcher/state_purchase_lot_view/1081449"/>
    <hyperlink ref="B186" r:id="rId266" display="https://my.zakupivli.pro/remote/dispatcher/state_purchase_view/46054931"/>
    <hyperlink ref="C186" r:id="rId267" display="https://my.zakupivli.pro/remote/dispatcher/state_purchase_lot_view/1081128"/>
    <hyperlink ref="B187" r:id="rId268" display="https://my.zakupivli.pro/remote/dispatcher/state_purchase_view/46027624"/>
    <hyperlink ref="B188" r:id="rId269" display="https://my.zakupivli.pro/remote/dispatcher/state_purchase_view/46027849"/>
    <hyperlink ref="B189" r:id="rId270" display="https://my.zakupivli.pro/remote/dispatcher/state_purchase_view/46027833"/>
    <hyperlink ref="B190" r:id="rId271" display="https://my.zakupivli.pro/remote/dispatcher/state_purchase_view/46027761"/>
    <hyperlink ref="B191" r:id="rId272" display="https://my.zakupivli.pro/remote/dispatcher/state_purchase_view/46027741"/>
    <hyperlink ref="B192" r:id="rId273" display="https://my.zakupivli.pro/remote/dispatcher/state_purchase_view/46027652"/>
    <hyperlink ref="B193" r:id="rId274" display="https://my.zakupivli.pro/remote/dispatcher/state_purchase_view/46027487"/>
    <hyperlink ref="B194" r:id="rId275" display="https://my.zakupivli.pro/remote/dispatcher/state_purchase_view/46027395"/>
    <hyperlink ref="B195" r:id="rId276" display="https://my.zakupivli.pro/remote/dispatcher/state_purchase_view/46027351"/>
    <hyperlink ref="B196" r:id="rId277" display="https://my.zakupivli.pro/remote/dispatcher/state_purchase_view/46027318"/>
    <hyperlink ref="B197" r:id="rId278" display="https://my.zakupivli.pro/remote/dispatcher/state_purchase_view/46027252"/>
    <hyperlink ref="B198" r:id="rId279" display="https://my.zakupivli.pro/remote/dispatcher/state_purchase_view/46027190"/>
    <hyperlink ref="B199" r:id="rId280" display="https://my.zakupivli.pro/remote/dispatcher/state_purchase_view/45847540"/>
    <hyperlink ref="C199" r:id="rId281" display="https://my.zakupivli.pro/remote/dispatcher/state_purchase_lot_view/1072941"/>
    <hyperlink ref="B200" r:id="rId282" display="https://my.zakupivli.pro/remote/dispatcher/state_purchase_view/45797019"/>
    <hyperlink ref="B201" r:id="rId283" display="https://my.zakupivli.pro/remote/dispatcher/state_purchase_view/45764700"/>
    <hyperlink ref="B202" r:id="rId284" display="https://my.zakupivli.pro/remote/dispatcher/state_purchase_view/45765036"/>
    <hyperlink ref="B203" r:id="rId285" display="https://my.zakupivli.pro/remote/dispatcher/state_purchase_view/45760381"/>
    <hyperlink ref="B204" r:id="rId286" display="https://my.zakupivli.pro/remote/dispatcher/state_purchase_view/45730271"/>
    <hyperlink ref="B205" r:id="rId287" display="https://my.zakupivli.pro/remote/dispatcher/state_purchase_view/45727792"/>
    <hyperlink ref="B206" r:id="rId288" display="https://my.zakupivli.pro/remote/dispatcher/state_purchase_view/45727079"/>
    <hyperlink ref="B207" r:id="rId289" display="https://my.zakupivli.pro/remote/dispatcher/state_purchase_view/45727271"/>
    <hyperlink ref="B208" r:id="rId290" display="https://my.zakupivli.pro/remote/dispatcher/state_purchase_view/45607633"/>
    <hyperlink ref="C208" r:id="rId291" display="https://my.zakupivli.pro/remote/dispatcher/state_purchase_lot_view/1063278"/>
    <hyperlink ref="B209" r:id="rId292" display="https://my.zakupivli.pro/remote/dispatcher/state_purchase_view/45604830"/>
    <hyperlink ref="C209" r:id="rId293" display="https://my.zakupivli.pro/remote/dispatcher/state_purchase_lot_view/1063176"/>
    <hyperlink ref="B210" r:id="rId294" display="https://my.zakupivli.pro/remote/dispatcher/state_purchase_view/45382353"/>
    <hyperlink ref="C210" r:id="rId295" display="https://my.zakupivli.pro/remote/dispatcher/state_purchase_lot_view/1054057"/>
    <hyperlink ref="B211" r:id="rId296" display="https://my.zakupivli.pro/remote/dispatcher/state_purchase_view/45317146"/>
    <hyperlink ref="B212" r:id="rId297" display="https://my.zakupivli.pro/remote/dispatcher/state_purchase_view/45264483"/>
    <hyperlink ref="B213" r:id="rId298" display="https://my.zakupivli.pro/remote/dispatcher/state_purchase_view/45270314"/>
    <hyperlink ref="B214" r:id="rId299" display="https://my.zakupivli.pro/remote/dispatcher/state_purchase_view/45267720"/>
    <hyperlink ref="B215" r:id="rId300" display="https://my.zakupivli.pro/remote/dispatcher/state_purchase_view/45252951"/>
    <hyperlink ref="C215" r:id="rId301" display="https://my.zakupivli.pro/remote/dispatcher/state_purchase_lot_view/1049036"/>
    <hyperlink ref="B216" r:id="rId302" display="https://my.zakupivli.pro/remote/dispatcher/state_purchase_view/45253970"/>
    <hyperlink ref="C216" r:id="rId303" display="https://my.zakupivli.pro/remote/dispatcher/state_purchase_lot_view/1049087"/>
    <hyperlink ref="B217" r:id="rId304" display="https://my.zakupivli.pro/remote/dispatcher/state_purchase_view/45253334"/>
    <hyperlink ref="C217" r:id="rId305" display="https://my.zakupivli.pro/remote/dispatcher/state_purchase_lot_view/1049066"/>
    <hyperlink ref="B218" r:id="rId306" display="https://my.zakupivli.pro/remote/dispatcher/state_purchase_view/45252192"/>
    <hyperlink ref="C218" r:id="rId307" display="https://my.zakupivli.pro/remote/dispatcher/state_purchase_lot_view/1049004"/>
    <hyperlink ref="B219" r:id="rId308" display="https://my.zakupivli.pro/remote/dispatcher/state_purchase_view/45220930"/>
    <hyperlink ref="C219" r:id="rId309" display="https://my.zakupivli.pro/remote/dispatcher/state_purchase_lot_view/1047786"/>
    <hyperlink ref="B220" r:id="rId310" display="https://my.zakupivli.pro/remote/dispatcher/state_purchase_view/45221780"/>
    <hyperlink ref="C220" r:id="rId311" display="https://my.zakupivli.pro/remote/dispatcher/state_purchase_lot_view/1047847"/>
    <hyperlink ref="B221" r:id="rId312" display="https://my.zakupivli.pro/remote/dispatcher/state_purchase_view/45221597"/>
    <hyperlink ref="C221" r:id="rId313" display="https://my.zakupivli.pro/remote/dispatcher/state_purchase_lot_view/1047825"/>
    <hyperlink ref="B222" r:id="rId314" display="https://my.zakupivli.pro/remote/dispatcher/state_purchase_view/45220516"/>
    <hyperlink ref="C222" r:id="rId315" display="https://my.zakupivli.pro/remote/dispatcher/state_purchase_lot_view/1047762"/>
    <hyperlink ref="B223" r:id="rId316" display="https://my.zakupivli.pro/remote/dispatcher/state_purchase_view/45114879"/>
    <hyperlink ref="B224" r:id="rId317" display="https://my.zakupivli.pro/remote/dispatcher/state_purchase_view/45114255"/>
    <hyperlink ref="B225" r:id="rId318" display="https://my.zakupivli.pro/remote/dispatcher/state_purchase_view/45116943"/>
    <hyperlink ref="B226" r:id="rId319" display="https://my.zakupivli.pro/remote/dispatcher/state_purchase_view/45116356"/>
    <hyperlink ref="B227" r:id="rId320" display="https://my.zakupivli.pro/remote/dispatcher/state_purchase_view/45115637"/>
    <hyperlink ref="B228" r:id="rId321" display="https://my.zakupivli.pro/remote/dispatcher/state_purchase_view/45113732"/>
    <hyperlink ref="B229" r:id="rId322" display="https://my.zakupivli.pro/remote/dispatcher/state_purchase_view/45092356"/>
    <hyperlink ref="C229" r:id="rId323" display="https://my.zakupivli.pro/remote/dispatcher/state_purchase_lot_view/1042254"/>
    <hyperlink ref="B230" r:id="rId324" display="https://my.zakupivli.pro/remote/dispatcher/state_purchase_view/45090556"/>
    <hyperlink ref="C230" r:id="rId325" display="https://my.zakupivli.pro/remote/dispatcher/state_purchase_lot_view/1042130"/>
    <hyperlink ref="B231" r:id="rId326" display="https://my.zakupivli.pro/remote/dispatcher/state_purchase_view/45091036"/>
    <hyperlink ref="C231" r:id="rId327" display="https://my.zakupivli.pro/remote/dispatcher/state_purchase_lot_view/1042166"/>
    <hyperlink ref="B232" r:id="rId328" display="https://my.zakupivli.pro/remote/dispatcher/state_purchase_view/45091496"/>
    <hyperlink ref="C232" r:id="rId329" display="https://my.zakupivli.pro/remote/dispatcher/state_purchase_lot_view/1042185"/>
    <hyperlink ref="B233" r:id="rId330" display="https://my.zakupivli.pro/remote/dispatcher/state_purchase_view/45091892"/>
    <hyperlink ref="C233" r:id="rId331" display="https://my.zakupivli.pro/remote/dispatcher/state_purchase_lot_view/1042214"/>
    <hyperlink ref="B234" r:id="rId332" display="https://my.zakupivli.pro/remote/dispatcher/state_purchase_view/45092531"/>
    <hyperlink ref="C234" r:id="rId333" display="https://my.zakupivli.pro/remote/dispatcher/state_purchase_lot_view/1042270"/>
    <hyperlink ref="B235" r:id="rId334" display="https://my.zakupivli.pro/remote/dispatcher/state_purchase_view/45025825"/>
    <hyperlink ref="B236" r:id="rId335" display="https://my.zakupivli.pro/remote/dispatcher/state_purchase_view/44927613"/>
    <hyperlink ref="C236" r:id="rId336" display="https://my.zakupivli.pro/remote/dispatcher/state_purchase_lot_view/1035795"/>
    <hyperlink ref="B237" r:id="rId337" display="https://my.zakupivli.pro/remote/dispatcher/state_purchase_view/44677663"/>
    <hyperlink ref="B238" r:id="rId338" display="https://my.zakupivli.pro/remote/dispatcher/state_purchase_view/44619953"/>
    <hyperlink ref="C238" r:id="rId339" display="https://my.zakupivli.pro/remote/dispatcher/state_purchase_lot_view/1021829"/>
    <hyperlink ref="B239" r:id="rId340" display="https://my.zakupivli.pro/remote/dispatcher/state_purchase_view/44592370"/>
    <hyperlink ref="C239" r:id="rId341" display="https://my.zakupivli.pro/remote/dispatcher/state_purchase_lot_view/1020573"/>
    <hyperlink ref="B240" r:id="rId342" display="https://my.zakupivli.pro/remote/dispatcher/state_purchase_view/44595387"/>
    <hyperlink ref="C240" r:id="rId343" display="https://my.zakupivli.pro/remote/dispatcher/state_purchase_lot_view/1020684"/>
    <hyperlink ref="B241" r:id="rId344" display="https://my.zakupivli.pro/remote/dispatcher/state_purchase_view/44594819"/>
    <hyperlink ref="C241" r:id="rId345" display="https://my.zakupivli.pro/remote/dispatcher/state_purchase_lot_view/1020655"/>
    <hyperlink ref="B242" r:id="rId346" display="https://my.zakupivli.pro/remote/dispatcher/state_purchase_view/44590796"/>
    <hyperlink ref="C242" r:id="rId347" display="https://my.zakupivli.pro/remote/dispatcher/state_purchase_lot_view/1020513"/>
    <hyperlink ref="B243" r:id="rId348" display="https://my.zakupivli.pro/remote/dispatcher/state_purchase_view/44066290"/>
    <hyperlink ref="B244" r:id="rId349" display="https://my.zakupivli.pro/remote/dispatcher/state_purchase_view/44057396"/>
    <hyperlink ref="B245" r:id="rId350" display="https://my.zakupivli.pro/remote/dispatcher/state_purchase_view/44048822"/>
    <hyperlink ref="B246" r:id="rId351" display="https://my.zakupivli.pro/remote/dispatcher/state_purchase_view/44049448"/>
    <hyperlink ref="B247" r:id="rId352" display="https://my.zakupivli.pro/remote/dispatcher/state_purchase_view/44049051"/>
    <hyperlink ref="B248" r:id="rId353" display="https://my.zakupivli.pro/remote/dispatcher/state_purchase_view/43929492"/>
    <hyperlink ref="B249" r:id="rId354" display="https://my.zakupivli.pro/remote/dispatcher/state_purchase_view/43774145"/>
    <hyperlink ref="B250" r:id="rId355" display="https://my.zakupivli.pro/remote/dispatcher/state_purchase_view/43767120"/>
    <hyperlink ref="B251" r:id="rId356" display="https://my.zakupivli.pro/remote/dispatcher/state_purchase_view/43719149"/>
    <hyperlink ref="B252" r:id="rId357" display="https://my.zakupivli.pro/remote/dispatcher/state_purchase_view/43720685"/>
    <hyperlink ref="B253" r:id="rId358" display="https://my.zakupivli.pro/remote/dispatcher/state_purchase_view/43720195"/>
    <hyperlink ref="B254" r:id="rId359" display="https://my.zakupivli.pro/remote/dispatcher/state_purchase_view/43719751"/>
    <hyperlink ref="B255" r:id="rId360" display="https://my.zakupivli.pro/remote/dispatcher/state_purchase_view/43718786"/>
    <hyperlink ref="B256" r:id="rId361" display="https://my.zakupivli.pro/remote/dispatcher/state_purchase_view/43718213"/>
    <hyperlink ref="B257" r:id="rId362" display="https://my.zakupivli.pro/remote/dispatcher/state_purchase_view/43426081"/>
    <hyperlink ref="C257" r:id="rId363" display="https://my.zakupivli.pro/remote/dispatcher/state_purchase_lot_view/974078"/>
    <hyperlink ref="B258" r:id="rId364" display="https://my.zakupivli.pro/remote/dispatcher/state_purchase_view/43427664"/>
    <hyperlink ref="C258" r:id="rId365" display="https://my.zakupivli.pro/remote/dispatcher/state_purchase_lot_view/974125"/>
    <hyperlink ref="B259" r:id="rId366" display="https://my.zakupivli.pro/remote/dispatcher/state_purchase_view/43427032"/>
    <hyperlink ref="C259" r:id="rId367" display="https://my.zakupivli.pro/remote/dispatcher/state_purchase_lot_view/974101"/>
    <hyperlink ref="B260" r:id="rId368" display="https://my.zakupivli.pro/remote/dispatcher/state_purchase_view/43377330"/>
    <hyperlink ref="B261" r:id="rId369" display="https://my.zakupivli.pro/remote/dispatcher/state_purchase_view/43231268"/>
    <hyperlink ref="B262" r:id="rId370" display="https://my.zakupivli.pro/remote/dispatcher/state_purchase_view/43231168"/>
    <hyperlink ref="B263" r:id="rId371" display="https://my.zakupivli.pro/remote/dispatcher/state_purchase_view/43230960"/>
    <hyperlink ref="B264" r:id="rId372" display="https://my.zakupivli.pro/remote/dispatcher/state_purchase_view/43230890"/>
    <hyperlink ref="B265" r:id="rId373" display="https://my.zakupivli.pro/remote/dispatcher/state_purchase_view/43230712"/>
    <hyperlink ref="B266" r:id="rId374" display="https://my.zakupivli.pro/remote/dispatcher/state_purchase_view/43230577"/>
    <hyperlink ref="B267" r:id="rId375" display="https://my.zakupivli.pro/remote/dispatcher/state_purchase_view/43230513"/>
    <hyperlink ref="B268" r:id="rId376" display="https://my.zakupivli.pro/remote/dispatcher/state_purchase_view/43230193"/>
    <hyperlink ref="B269" r:id="rId377" display="https://my.zakupivli.pro/remote/dispatcher/state_purchase_view/43229474"/>
    <hyperlink ref="B270" r:id="rId378" display="https://my.zakupivli.pro/remote/dispatcher/state_purchase_view/43229212"/>
    <hyperlink ref="B271" r:id="rId379" display="https://my.zakupivli.pro/remote/dispatcher/state_purchase_view/43228882"/>
    <hyperlink ref="B272" r:id="rId380" display="https://my.zakupivli.pro/remote/dispatcher/state_purchase_view/43219724"/>
    <hyperlink ref="B273" r:id="rId381" display="https://my.zakupivli.pro/remote/dispatcher/state_purchase_view/43228051"/>
    <hyperlink ref="C273" r:id="rId382" display="https://my.zakupivli.pro/remote/dispatcher/state_purchase_lot_view/967308"/>
    <hyperlink ref="B274" r:id="rId383" display="https://my.zakupivli.pro/remote/dispatcher/state_purchase_view/43147255"/>
    <hyperlink ref="B275" r:id="rId384" display="https://my.zakupivli.pro/remote/dispatcher/state_purchase_view/43158699"/>
    <hyperlink ref="B276" r:id="rId385" display="https://my.zakupivli.pro/remote/dispatcher/state_purchase_view/43157773"/>
    <hyperlink ref="B277" r:id="rId386" display="https://my.zakupivli.pro/remote/dispatcher/state_purchase_view/43156157"/>
    <hyperlink ref="B278" r:id="rId387" display="https://my.zakupivli.pro/remote/dispatcher/state_purchase_view/43146795"/>
    <hyperlink ref="B279" r:id="rId388" display="https://my.zakupivli.pro/remote/dispatcher/state_purchase_view/43155043"/>
    <hyperlink ref="B280" r:id="rId389" display="https://my.zakupivli.pro/remote/dispatcher/state_purchase_view/42991780"/>
    <hyperlink ref="C280" r:id="rId390" display="https://my.zakupivli.pro/remote/dispatcher/state_purchase_lot_view/958978"/>
    <hyperlink ref="B281" r:id="rId391" display="https://my.zakupivli.pro/remote/dispatcher/state_purchase_view/42989234"/>
    <hyperlink ref="C281" r:id="rId392" display="https://my.zakupivli.pro/remote/dispatcher/state_purchase_lot_view/958845"/>
    <hyperlink ref="B282" r:id="rId393" display="https://my.zakupivli.pro/remote/dispatcher/state_purchase_view/42989651"/>
    <hyperlink ref="C282" r:id="rId394" display="https://my.zakupivli.pro/remote/dispatcher/state_purchase_lot_view/958864"/>
    <hyperlink ref="B283" r:id="rId395" display="https://my.zakupivli.pro/remote/dispatcher/state_purchase_view/42990241"/>
    <hyperlink ref="C283" r:id="rId396" display="https://my.zakupivli.pro/remote/dispatcher/state_purchase_lot_view/958900"/>
    <hyperlink ref="B284" r:id="rId397" display="https://my.zakupivli.pro/remote/dispatcher/state_purchase_view/42991003"/>
    <hyperlink ref="C284" r:id="rId398" display="https://my.zakupivli.pro/remote/dispatcher/state_purchase_lot_view/958930"/>
    <hyperlink ref="B285" r:id="rId399" display="https://my.zakupivli.pro/remote/dispatcher/state_purchase_view/42900920"/>
    <hyperlink ref="B286" r:id="rId400" display="https://my.zakupivli.pro/remote/dispatcher/state_purchase_view/42900763"/>
    <hyperlink ref="B287" r:id="rId401" display="https://my.zakupivli.pro/remote/dispatcher/state_purchase_view/42823242"/>
    <hyperlink ref="C287" r:id="rId402" display="https://my.zakupivli.pro/remote/dispatcher/state_purchase_lot_view/953018"/>
    <hyperlink ref="B288" r:id="rId403" display="https://my.zakupivli.pro/remote/dispatcher/state_purchase_view/42823000"/>
    <hyperlink ref="C288" r:id="rId404" display="https://my.zakupivli.pro/remote/dispatcher/state_purchase_lot_view/953012"/>
    <hyperlink ref="B289" r:id="rId405" display="https://my.zakupivli.pro/remote/dispatcher/state_purchase_view/42822846"/>
    <hyperlink ref="C289" r:id="rId406" display="https://my.zakupivli.pro/remote/dispatcher/state_purchase_lot_view/953000"/>
    <hyperlink ref="B290" r:id="rId407" display="https://my.zakupivli.pro/remote/dispatcher/state_purchase_view/42822723"/>
    <hyperlink ref="C290" r:id="rId408" display="https://my.zakupivli.pro/remote/dispatcher/state_purchase_lot_view/952991"/>
    <hyperlink ref="B291" r:id="rId409" display="https://my.zakupivli.pro/remote/dispatcher/state_purchase_view/42822083"/>
    <hyperlink ref="C291" r:id="rId410" display="https://my.zakupivli.pro/remote/dispatcher/state_purchase_lot_view/952962"/>
    <hyperlink ref="B292" r:id="rId411" display="https://my.zakupivli.pro/remote/dispatcher/state_purchase_view/42817344"/>
    <hyperlink ref="B293" r:id="rId412" display="https://my.zakupivli.pro/remote/dispatcher/state_purchase_view/42812823"/>
    <hyperlink ref="B294" r:id="rId413" display="https://my.zakupivli.pro/remote/dispatcher/state_purchase_view/42816405"/>
    <hyperlink ref="B295" r:id="rId414" display="https://my.zakupivli.pro/remote/dispatcher/state_purchase_view/42823334"/>
    <hyperlink ref="C295" r:id="rId415" display="https://my.zakupivli.pro/remote/dispatcher/state_purchase_lot_view/953021"/>
    <hyperlink ref="B296" r:id="rId416" display="https://my.zakupivli.pro/remote/dispatcher/state_purchase_view/42683833"/>
    <hyperlink ref="B297" r:id="rId417" display="https://my.zakupivli.pro/remote/dispatcher/state_purchase_view/42693731"/>
    <hyperlink ref="B298" r:id="rId418" display="https://my.zakupivli.pro/remote/dispatcher/state_purchase_view/42693204"/>
    <hyperlink ref="B299" r:id="rId419" display="https://my.zakupivli.pro/remote/dispatcher/state_purchase_view/42692239"/>
    <hyperlink ref="B300" r:id="rId420" display="https://my.zakupivli.pro/remote/dispatcher/state_purchase_view/42688982"/>
    <hyperlink ref="B301" r:id="rId421" display="https://my.zakupivli.pro/remote/dispatcher/state_purchase_view/42686730"/>
    <hyperlink ref="B302" r:id="rId422" display="https://my.zakupivli.pro/remote/dispatcher/state_purchase_view/42686234"/>
    <hyperlink ref="B303" r:id="rId423" display="https://my.zakupivli.pro/remote/dispatcher/state_purchase_view/42685670"/>
    <hyperlink ref="B304" r:id="rId424" display="https://my.zakupivli.pro/remote/dispatcher/state_purchase_view/42684633"/>
    <hyperlink ref="B305" r:id="rId425" display="https://my.zakupivli.pro/remote/dispatcher/state_purchase_view/42683353"/>
    <hyperlink ref="B306" r:id="rId426" display="https://my.zakupivli.pro/remote/dispatcher/state_purchase_view/42683014"/>
    <hyperlink ref="B307" r:id="rId427" display="https://my.zakupivli.pro/remote/dispatcher/state_purchase_view/42682772"/>
    <hyperlink ref="B308" r:id="rId428" display="https://my.zakupivli.pro/remote/dispatcher/state_purchase_view/42682456"/>
    <hyperlink ref="B309" r:id="rId429" display="https://my.zakupivli.pro/remote/dispatcher/state_purchase_view/42682083"/>
    <hyperlink ref="B310" r:id="rId430" display="https://my.zakupivli.pro/remote/dispatcher/state_purchase_view/42663600"/>
    <hyperlink ref="B311" r:id="rId431" display="https://my.zakupivli.pro/remote/dispatcher/state_purchase_view/42664261"/>
    <hyperlink ref="B312" r:id="rId432" display="https://my.zakupivli.pro/remote/dispatcher/state_purchase_view/42665049"/>
    <hyperlink ref="B313" r:id="rId433" display="https://my.zakupivli.pro/remote/dispatcher/state_purchase_view/42664928"/>
    <hyperlink ref="B314" r:id="rId434" display="https://my.zakupivli.pro/remote/dispatcher/state_purchase_view/42664749"/>
    <hyperlink ref="B315" r:id="rId435" display="https://my.zakupivli.pro/remote/dispatcher/state_purchase_view/42610153"/>
    <hyperlink ref="B316" r:id="rId436" display="https://my.zakupivli.pro/remote/dispatcher/state_purchase_view/42631367"/>
    <hyperlink ref="C316" r:id="rId437" display="https://my.zakupivli.pro/remote/dispatcher/state_purchase_lot_view/946361"/>
    <hyperlink ref="B317" r:id="rId438" display="https://my.zakupivli.pro/remote/dispatcher/state_purchase_view/42630828"/>
    <hyperlink ref="C317" r:id="rId439" display="https://my.zakupivli.pro/remote/dispatcher/state_purchase_lot_view/946314"/>
    <hyperlink ref="B318" r:id="rId440" display="https://my.zakupivli.pro/remote/dispatcher/state_purchase_view/42630203"/>
    <hyperlink ref="C318" r:id="rId441" display="https://my.zakupivli.pro/remote/dispatcher/state_purchase_lot_view/946267"/>
    <hyperlink ref="B319" r:id="rId442" display="https://my.zakupivli.pro/remote/dispatcher/state_purchase_view/42628319"/>
    <hyperlink ref="C319" r:id="rId443" display="https://my.zakupivli.pro/remote/dispatcher/state_purchase_lot_view/946173"/>
    <hyperlink ref="B320" r:id="rId444" display="https://my.zakupivli.pro/remote/dispatcher/state_purchase_view/42623706"/>
    <hyperlink ref="C320" r:id="rId445" display="https://my.zakupivli.pro/remote/dispatcher/state_purchase_lot_view/945917"/>
    <hyperlink ref="B321" r:id="rId446" display="https://my.zakupivli.pro/remote/dispatcher/state_purchase_view/42621160"/>
    <hyperlink ref="C321" r:id="rId447" display="https://my.zakupivli.pro/remote/dispatcher/state_purchase_lot_view/945801"/>
    <hyperlink ref="B322" r:id="rId448" display="https://my.zakupivli.pro/remote/dispatcher/state_purchase_view/42620542"/>
    <hyperlink ref="C322" r:id="rId449" display="https://my.zakupivli.pro/remote/dispatcher/state_purchase_lot_view/945770"/>
    <hyperlink ref="B323" r:id="rId450" display="https://my.zakupivli.pro/remote/dispatcher/state_purchase_view/42579474"/>
    <hyperlink ref="B324" r:id="rId451" display="https://my.zakupivli.pro/remote/dispatcher/state_purchase_view/42562164"/>
    <hyperlink ref="C324" r:id="rId452" display="https://my.zakupivli.pro/remote/dispatcher/state_purchase_lot_view/943569"/>
    <hyperlink ref="B325" r:id="rId453" display="https://my.zakupivli.pro/remote/dispatcher/state_purchase_view/42562698"/>
    <hyperlink ref="C325" r:id="rId454" display="https://my.zakupivli.pro/remote/dispatcher/state_purchase_lot_view/943599"/>
    <hyperlink ref="B326" r:id="rId455" display="https://my.zakupivli.pro/remote/dispatcher/state_purchase_view/42561310"/>
    <hyperlink ref="C326" r:id="rId456" display="https://my.zakupivli.pro/remote/dispatcher/state_purchase_lot_view/943531"/>
    <hyperlink ref="B327" r:id="rId457" display="https://my.zakupivli.pro/remote/dispatcher/state_purchase_view/42491892"/>
    <hyperlink ref="B328" r:id="rId458" display="https://my.zakupivli.pro/remote/dispatcher/state_purchase_view/42492099"/>
    <hyperlink ref="B329" r:id="rId459" display="https://my.zakupivli.pro/remote/dispatcher/state_purchase_view/42492353"/>
    <hyperlink ref="B330" r:id="rId460" display="https://my.zakupivli.pro/remote/dispatcher/state_purchase_view/42492582"/>
    <hyperlink ref="B331" r:id="rId461" display="https://my.zakupivli.pro/remote/dispatcher/state_purchase_view/42405535"/>
    <hyperlink ref="B332" r:id="rId462" display="https://my.zakupivli.pro/remote/dispatcher/state_purchase_view/42402489"/>
    <hyperlink ref="B333" r:id="rId463" display="https://my.zakupivli.pro/remote/dispatcher/state_purchase_view/42401381"/>
    <hyperlink ref="B334" r:id="rId464" display="https://my.zakupivli.pro/remote/dispatcher/state_purchase_view/42401022"/>
    <hyperlink ref="B335" r:id="rId465" display="https://my.zakupivli.pro/remote/dispatcher/state_purchase_view/42400827"/>
    <hyperlink ref="B336" r:id="rId466" display="https://my.zakupivli.pro/remote/dispatcher/state_purchase_view/42400575"/>
    <hyperlink ref="B337" r:id="rId467" display="https://my.zakupivli.pro/remote/dispatcher/state_purchase_view/42399478"/>
    <hyperlink ref="B338" r:id="rId468" display="https://my.zakupivli.pro/remote/dispatcher/state_purchase_view/42398222"/>
    <hyperlink ref="B339" r:id="rId469" display="https://my.zakupivli.pro/remote/dispatcher/state_purchase_view/42397908"/>
    <hyperlink ref="B340" r:id="rId470" display="https://my.zakupivli.pro/remote/dispatcher/state_purchase_view/42404606"/>
    <hyperlink ref="B341" r:id="rId471" display="https://my.zakupivli.pro/remote/dispatcher/state_purchase_view/42405120"/>
    <hyperlink ref="B342" r:id="rId472" display="https://my.zakupivli.pro/remote/dispatcher/state_purchase_view/42404279"/>
    <hyperlink ref="B343" r:id="rId473" display="https://my.zakupivli.pro/remote/dispatcher/state_purchase_view/42404147"/>
    <hyperlink ref="B344" r:id="rId474" display="https://my.zakupivli.pro/remote/dispatcher/state_purchase_view/42403164"/>
    <hyperlink ref="B345" r:id="rId475" display="https://my.zakupivli.pro/remote/dispatcher/state_purchase_view/42402828"/>
    <hyperlink ref="B346" r:id="rId476" display="https://my.zakupivli.pro/remote/dispatcher/state_purchase_view/42351262"/>
    <hyperlink ref="C346" r:id="rId477" display="https://my.zakupivli.pro/remote/dispatcher/state_purchase_lot_view/935833"/>
    <hyperlink ref="B347" r:id="rId478" display="https://my.zakupivli.pro/remote/dispatcher/state_purchase_view/42350335"/>
    <hyperlink ref="C347" r:id="rId479" display="https://my.zakupivli.pro/remote/dispatcher/state_purchase_lot_view/935766"/>
    <hyperlink ref="B348" r:id="rId480" display="https://my.zakupivli.pro/remote/dispatcher/state_purchase_view/42349630"/>
    <hyperlink ref="C348" r:id="rId481" display="https://my.zakupivli.pro/remote/dispatcher/state_purchase_lot_view/935729"/>
    <hyperlink ref="B349" r:id="rId482" display="https://my.zakupivli.pro/remote/dispatcher/state_purchase_view/42345973"/>
    <hyperlink ref="C349" r:id="rId483" display="https://my.zakupivli.pro/remote/dispatcher/state_purchase_lot_view/935571"/>
    <hyperlink ref="B350" r:id="rId484" display="https://my.zakupivli.pro/remote/dispatcher/state_purchase_view/42352720"/>
    <hyperlink ref="C350" r:id="rId485" display="https://my.zakupivli.pro/remote/dispatcher/state_purchase_lot_view/935931"/>
    <hyperlink ref="B351" r:id="rId486" display="https://my.zakupivli.pro/remote/dispatcher/state_purchase_view/42350740"/>
    <hyperlink ref="C351" r:id="rId487" display="https://my.zakupivli.pro/remote/dispatcher/state_purchase_lot_view/935793"/>
    <hyperlink ref="B352" r:id="rId488" display="https://my.zakupivli.pro/remote/dispatcher/state_purchase_view/42199942"/>
    <hyperlink ref="B353" r:id="rId489" display="https://my.zakupivli.pro/remote/dispatcher/state_purchase_view/42200373"/>
    <hyperlink ref="B354" r:id="rId490" display="https://my.zakupivli.pro/remote/dispatcher/state_purchase_view/42110344"/>
    <hyperlink ref="B355" r:id="rId491" display="https://my.zakupivli.pro/remote/dispatcher/state_purchase_view/42110224"/>
    <hyperlink ref="B356" r:id="rId492" display="https://my.zakupivli.pro/remote/dispatcher/state_purchase_view/42109000"/>
    <hyperlink ref="B357" r:id="rId493" display="https://my.zakupivli.pro/remote/dispatcher/state_purchase_view/42110057"/>
    <hyperlink ref="B358" r:id="rId494" display="https://my.zakupivli.pro/remote/dispatcher/state_purchase_view/42109803"/>
    <hyperlink ref="B359" r:id="rId495" display="https://my.zakupivli.pro/remote/dispatcher/state_purchase_view/42109704"/>
    <hyperlink ref="B360" r:id="rId496" display="https://my.zakupivli.pro/remote/dispatcher/state_purchase_view/42109573"/>
    <hyperlink ref="B361" r:id="rId497" display="https://my.zakupivli.pro/remote/dispatcher/state_purchase_view/42109337"/>
    <hyperlink ref="B362" r:id="rId498" display="https://my.zakupivli.pro/remote/dispatcher/state_purchase_view/42098962"/>
    <hyperlink ref="B363" r:id="rId499" display="https://my.zakupivli.pro/remote/dispatcher/state_purchase_view/42099537"/>
    <hyperlink ref="B364" r:id="rId500" display="https://my.zakupivli.pro/remote/dispatcher/state_purchase_view/42098234"/>
    <hyperlink ref="B365" r:id="rId501" display="https://my.zakupivli.pro/remote/dispatcher/state_purchase_view/42009559"/>
    <hyperlink ref="C365" r:id="rId502" display="https://my.zakupivli.pro/remote/dispatcher/state_purchase_lot_view/921541"/>
    <hyperlink ref="B366" r:id="rId503" display="https://my.zakupivli.pro/remote/dispatcher/state_purchase_view/41914163"/>
    <hyperlink ref="C366" r:id="rId504" display="https://my.zakupivli.pro/remote/dispatcher/state_purchase_lot_view/917388"/>
    <hyperlink ref="B367" r:id="rId505" display="https://my.zakupivli.pro/remote/dispatcher/state_purchase_view/41826578"/>
    <hyperlink ref="B368" r:id="rId506" display="https://my.zakupivli.pro/remote/dispatcher/state_purchase_view/41826992"/>
    <hyperlink ref="B369" r:id="rId507" display="https://my.zakupivli.pro/remote/dispatcher/state_purchase_view/41825889"/>
    <hyperlink ref="B370" r:id="rId508" display="https://my.zakupivli.pro/remote/dispatcher/state_purchase_view/41726815"/>
    <hyperlink ref="C370" r:id="rId509" display="https://my.zakupivli.pro/remote/dispatcher/state_purchase_lot_view/908969"/>
    <hyperlink ref="B371" r:id="rId510" display="https://my.zakupivli.pro/remote/dispatcher/state_purchase_view/41487666"/>
    <hyperlink ref="B372" r:id="rId511" display="https://my.zakupivli.pro/remote/dispatcher/state_purchase_view/41267883"/>
    <hyperlink ref="C372" r:id="rId512" display="https://my.zakupivli.pro/remote/dispatcher/state_purchase_lot_view/887514"/>
    <hyperlink ref="B373" r:id="rId513" display="https://my.zakupivli.pro/remote/dispatcher/state_purchase_view/41271854"/>
    <hyperlink ref="B374" r:id="rId514" display="https://my.zakupivli.pro/remote/dispatcher/state_purchase_view/41268839"/>
    <hyperlink ref="C374" r:id="rId515" display="https://my.zakupivli.pro/remote/dispatcher/state_purchase_lot_view/887565"/>
    <hyperlink ref="B375" r:id="rId516" display="https://my.zakupivli.pro/remote/dispatcher/state_purchase_view/41268543"/>
    <hyperlink ref="C375" r:id="rId517" display="https://my.zakupivli.pro/remote/dispatcher/state_purchase_lot_view/887556"/>
    <hyperlink ref="B376" r:id="rId518" display="https://my.zakupivli.pro/remote/dispatcher/state_purchase_view/41268294"/>
    <hyperlink ref="C376" r:id="rId519" display="https://my.zakupivli.pro/remote/dispatcher/state_purchase_lot_view/887541"/>
    <hyperlink ref="B377" r:id="rId520" display="https://my.zakupivli.pro/remote/dispatcher/state_purchase_view/41267489"/>
    <hyperlink ref="C377" r:id="rId521" display="https://my.zakupivli.pro/remote/dispatcher/state_purchase_lot_view/887504"/>
    <hyperlink ref="B378" r:id="rId522" display="https://my.zakupivli.pro/remote/dispatcher/state_purchase_view/41150042"/>
    <hyperlink ref="B379" r:id="rId523" display="https://my.zakupivli.pro/remote/dispatcher/state_purchase_view/41107887"/>
    <hyperlink ref="B380" r:id="rId524" display="https://my.zakupivli.pro/remote/dispatcher/state_purchase_view/41050537"/>
    <hyperlink ref="B381" r:id="rId525" display="https://my.zakupivli.pro/remote/dispatcher/state_purchase_view/41034116"/>
    <hyperlink ref="B382" r:id="rId526" display="https://my.zakupivli.pro/remote/dispatcher/state_purchase_view/40936250"/>
    <hyperlink ref="B383" r:id="rId527" display="https://my.zakupivli.pro/remote/dispatcher/state_purchase_view/40932830"/>
    <hyperlink ref="B384" r:id="rId528" display="https://my.zakupivli.pro/remote/dispatcher/state_purchase_view/40870817"/>
    <hyperlink ref="B385" r:id="rId529" display="https://my.zakupivli.pro/remote/dispatcher/state_purchase_view/40853405"/>
    <hyperlink ref="B386" r:id="rId530" display="https://my.zakupivli.pro/remote/dispatcher/state_purchase_view/40701918"/>
    <hyperlink ref="B387" r:id="rId531" display="https://my.zakupivli.pro/remote/dispatcher/state_purchase_view/40719941"/>
    <hyperlink ref="C387" r:id="rId532" display="https://my.zakupivli.pro/remote/dispatcher/state_purchase_lot_view/867179"/>
    <hyperlink ref="B388" r:id="rId533" display="https://my.zakupivli.pro/remote/dispatcher/state_purchase_view/40665058"/>
    <hyperlink ref="B389" r:id="rId534" display="https://my.zakupivli.pro/remote/dispatcher/state_purchase_view/40648522"/>
    <hyperlink ref="C389" r:id="rId535" display="https://my.zakupivli.pro/remote/dispatcher/state_purchase_lot_view/864653"/>
    <hyperlink ref="B390" r:id="rId536" display="https://my.zakupivli.pro/remote/dispatcher/state_purchase_view/40648708"/>
    <hyperlink ref="C390" r:id="rId537" display="https://my.zakupivli.pro/remote/dispatcher/state_purchase_lot_view/864662"/>
    <hyperlink ref="B391" r:id="rId538" display="https://my.zakupivli.pro/remote/dispatcher/state_purchase_view/40648342"/>
    <hyperlink ref="C391" r:id="rId539" display="https://my.zakupivli.pro/remote/dispatcher/state_purchase_lot_view/864643"/>
    <hyperlink ref="B392" r:id="rId540" display="https://my.zakupivli.pro/remote/dispatcher/state_purchase_view/40512237"/>
    <hyperlink ref="B393" r:id="rId541" display="https://my.zakupivli.pro/remote/dispatcher/state_purchase_view/40462944"/>
    <hyperlink ref="B394" r:id="rId542" display="https://my.zakupivli.pro/remote/dispatcher/state_purchase_view/40328335"/>
    <hyperlink ref="B395" r:id="rId543" display="https://my.zakupivli.pro/remote/dispatcher/state_purchase_view/40115935"/>
    <hyperlink ref="C395" r:id="rId544" display="https://my.zakupivli.pro/remote/dispatcher/state_purchase_lot_view/847559"/>
    <hyperlink ref="B396" r:id="rId545" display="https://my.zakupivli.pro/remote/dispatcher/state_purchase_view/39944271"/>
    <hyperlink ref="B397" r:id="rId546" display="https://my.zakupivli.pro/remote/dispatcher/state_purchase_view/39928546"/>
    <hyperlink ref="C397" r:id="rId547" display="https://my.zakupivli.pro/remote/dispatcher/state_purchase_lot_view/837022"/>
    <hyperlink ref="B398" r:id="rId548" display="https://my.zakupivli.pro/remote/dispatcher/state_purchase_view/39911736"/>
    <hyperlink ref="B399" r:id="rId549" display="https://my.zakupivli.pro/remote/dispatcher/state_purchase_view/39789670"/>
    <hyperlink ref="B400" r:id="rId550" display="https://my.zakupivli.pro/remote/dispatcher/state_purchase_view/39759825"/>
    <hyperlink ref="B401" r:id="rId551" display="https://my.zakupivli.pro/remote/dispatcher/state_purchase_view/39761460"/>
    <hyperlink ref="B402" r:id="rId552" display="https://my.zakupivli.pro/remote/dispatcher/state_purchase_view/39761363"/>
    <hyperlink ref="B403" r:id="rId553" display="https://my.zakupivli.pro/remote/dispatcher/state_purchase_view/39761092"/>
    <hyperlink ref="B404" r:id="rId554" display="https://my.zakupivli.pro/remote/dispatcher/state_purchase_view/39760400"/>
    <hyperlink ref="B405" r:id="rId555" display="https://my.zakupivli.pro/remote/dispatcher/state_purchase_view/39759361"/>
    <hyperlink ref="B406" r:id="rId556" display="https://my.zakupivli.pro/remote/dispatcher/state_purchase_view/39757964"/>
    <hyperlink ref="B407" r:id="rId557" display="https://my.zakupivli.pro/remote/dispatcher/state_purchase_view/39711261"/>
    <hyperlink ref="B408" r:id="rId558" display="https://my.zakupivli.pro/remote/dispatcher/state_purchase_view/39705920"/>
    <hyperlink ref="B409" r:id="rId559" display="https://my.zakupivli.pro/remote/dispatcher/state_purchase_view/39703070"/>
    <hyperlink ref="B410" r:id="rId560" display="https://my.zakupivli.pro/remote/dispatcher/state_purchase_view/39697115"/>
    <hyperlink ref="B411" r:id="rId561" display="https://my.zakupivli.pro/remote/dispatcher/state_purchase_view/39614264"/>
    <hyperlink ref="B412" r:id="rId562" display="https://my.zakupivli.pro/remote/dispatcher/state_purchase_view/39561927"/>
    <hyperlink ref="B413" r:id="rId563" display="https://my.zakupivli.pro/remote/dispatcher/state_purchase_view/39567168"/>
    <hyperlink ref="C413" r:id="rId564" display="https://my.zakupivli.pro/remote/dispatcher/state_purchase_lot_view/825678"/>
    <hyperlink ref="B414" r:id="rId565" display="https://my.zakupivli.pro/remote/dispatcher/state_purchase_view/39563925"/>
    <hyperlink ref="B415" r:id="rId566" display="https://my.zakupivli.pro/remote/dispatcher/state_purchase_view/39557045"/>
    <hyperlink ref="B416" r:id="rId567" display="https://my.zakupivli.pro/remote/dispatcher/state_purchase_view/39510841"/>
    <hyperlink ref="B417" r:id="rId568" display="https://my.zakupivli.pro/remote/dispatcher/state_purchase_view/39512253"/>
    <hyperlink ref="B418" r:id="rId569" display="https://my.zakupivli.pro/remote/dispatcher/state_purchase_view/39301710"/>
    <hyperlink ref="B419" r:id="rId570" display="https://my.zakupivli.pro/remote/dispatcher/state_purchase_view/39195364"/>
    <hyperlink ref="B420" r:id="rId571" display="https://my.zakupivli.pro/remote/dispatcher/state_purchase_view/39165160"/>
    <hyperlink ref="B421" r:id="rId572" display="https://my.zakupivli.pro/remote/dispatcher/state_purchase_view/39164148"/>
    <hyperlink ref="B422" r:id="rId573" display="https://my.zakupivli.pro/remote/dispatcher/state_purchase_view/39142933"/>
    <hyperlink ref="B423" r:id="rId574" display="https://my.zakupivli.pro/remote/dispatcher/state_purchase_view/39035278"/>
    <hyperlink ref="C423" r:id="rId575" display="https://my.zakupivli.pro/remote/dispatcher/state_purchase_lot_view/806992"/>
    <hyperlink ref="B424" r:id="rId576" display="https://my.zakupivli.pro/remote/dispatcher/state_purchase_view/38920836"/>
    <hyperlink ref="C424" r:id="rId577" display="https://my.zakupivli.pro/remote/dispatcher/state_purchase_lot_view/801908"/>
    <hyperlink ref="B425" r:id="rId578" display="https://my.zakupivli.pro/remote/dispatcher/state_purchase_view/38856999"/>
    <hyperlink ref="C425" r:id="rId579" display="https://my.zakupivli.pro/remote/dispatcher/state_purchase_lot_view/798736"/>
    <hyperlink ref="B426" r:id="rId580" display="https://my.zakupivli.pro/remote/dispatcher/state_purchase_view/38768636"/>
    <hyperlink ref="B427" r:id="rId581" display="https://my.zakupivli.pro/remote/dispatcher/state_purchase_view/38764282"/>
    <hyperlink ref="B428" r:id="rId582" display="https://my.zakupivli.pro/remote/dispatcher/state_purchase_view/38720854"/>
    <hyperlink ref="B429" r:id="rId583" display="https://my.zakupivli.pro/remote/dispatcher/state_purchase_view/38720540"/>
    <hyperlink ref="B430" r:id="rId584" display="https://my.zakupivli.pro/remote/dispatcher/state_purchase_view/38707682"/>
    <hyperlink ref="B431" r:id="rId585" display="https://my.zakupivli.pro/remote/dispatcher/state_purchase_view/38707475"/>
    <hyperlink ref="B432" r:id="rId586" display="https://my.zakupivli.pro/remote/dispatcher/state_purchase_view/38627447"/>
    <hyperlink ref="B433" r:id="rId587" display="https://my.zakupivli.pro/remote/dispatcher/state_purchase_view/38640502"/>
    <hyperlink ref="C433" r:id="rId588" display="https://my.zakupivli.pro/remote/dispatcher/state_purchase_lot_view/789899"/>
    <hyperlink ref="B434" r:id="rId589" display="https://my.zakupivli.pro/remote/dispatcher/state_purchase_view/38640404"/>
    <hyperlink ref="C434" r:id="rId590" display="https://my.zakupivli.pro/remote/dispatcher/state_purchase_lot_view/789897"/>
    <hyperlink ref="B435" r:id="rId591" display="https://my.zakupivli.pro/remote/dispatcher/state_purchase_view/38640375"/>
    <hyperlink ref="C435" r:id="rId592" display="https://my.zakupivli.pro/remote/dispatcher/state_purchase_lot_view/789894"/>
    <hyperlink ref="B436" r:id="rId593" display="https://my.zakupivli.pro/remote/dispatcher/state_purchase_view/38637521"/>
    <hyperlink ref="B437" r:id="rId594" display="https://my.zakupivli.pro/remote/dispatcher/state_purchase_view/38637078"/>
    <hyperlink ref="B438" r:id="rId595" display="https://my.zakupivli.pro/remote/dispatcher/state_purchase_view/38628589"/>
    <hyperlink ref="B439" r:id="rId596" display="https://my.zakupivli.pro/remote/dispatcher/state_purchase_view/38628278"/>
    <hyperlink ref="B440" r:id="rId597" display="https://my.zakupivli.pro/remote/dispatcher/state_purchase_view/38627989"/>
    <hyperlink ref="B441" r:id="rId598" display="https://my.zakupivli.pro/remote/dispatcher/state_purchase_view/38627780"/>
    <hyperlink ref="B442" r:id="rId599" display="https://my.zakupivli.pro/remote/dispatcher/state_purchase_view/38609651"/>
    <hyperlink ref="C442" r:id="rId600" display="https://my.zakupivli.pro/remote/dispatcher/state_purchase_lot_view/788601"/>
    <hyperlink ref="B443" r:id="rId601" display="https://my.zakupivli.pro/remote/dispatcher/state_purchase_view/38608200"/>
    <hyperlink ref="C443" r:id="rId602" display="https://my.zakupivli.pro/remote/dispatcher/state_purchase_lot_view/788546"/>
    <hyperlink ref="B444" r:id="rId603" display="https://my.zakupivli.pro/remote/dispatcher/state_purchase_view/38444399"/>
    <hyperlink ref="C444" r:id="rId604" display="https://my.zakupivli.pro/remote/dispatcher/state_purchase_lot_view/782009"/>
    <hyperlink ref="B445" r:id="rId605" display="https://my.zakupivli.pro/remote/dispatcher/state_purchase_view/38457473"/>
    <hyperlink ref="C445" r:id="rId606" display="https://my.zakupivli.pro/remote/dispatcher/state_purchase_lot_view/782498"/>
    <hyperlink ref="B446" r:id="rId607" display="https://my.zakupivli.pro/remote/dispatcher/state_purchase_view/38456797"/>
    <hyperlink ref="C446" r:id="rId608" display="https://my.zakupivli.pro/remote/dispatcher/state_purchase_lot_view/782452"/>
    <hyperlink ref="B447" r:id="rId609" display="https://my.zakupivli.pro/remote/dispatcher/state_purchase_view/38456268"/>
    <hyperlink ref="C447" r:id="rId610" display="https://my.zakupivli.pro/remote/dispatcher/state_purchase_lot_view/782424"/>
    <hyperlink ref="B448" r:id="rId611" display="https://my.zakupivli.pro/remote/dispatcher/state_purchase_view/38444043"/>
    <hyperlink ref="C448" r:id="rId612" display="https://my.zakupivli.pro/remote/dispatcher/state_purchase_lot_view/782000"/>
    <hyperlink ref="B449" r:id="rId613" display="https://my.zakupivli.pro/remote/dispatcher/state_purchase_view/38425368"/>
    <hyperlink ref="B450" r:id="rId614" display="https://my.zakupivli.pro/remote/dispatcher/state_purchase_view/38363288"/>
    <hyperlink ref="B451" r:id="rId615" display="https://my.zakupivli.pro/remote/dispatcher/state_purchase_view/38282075"/>
    <hyperlink ref="C451" r:id="rId616" display="https://my.zakupivli.pro/remote/dispatcher/state_purchase_lot_view/775689"/>
    <hyperlink ref="B452" r:id="rId617" display="https://my.zakupivli.pro/remote/dispatcher/state_purchase_view/38283018"/>
    <hyperlink ref="C452" r:id="rId618" display="https://my.zakupivli.pro/remote/dispatcher/state_purchase_lot_view/775738"/>
    <hyperlink ref="B453" r:id="rId619" display="https://my.zakupivli.pro/remote/dispatcher/state_purchase_view/38274652"/>
    <hyperlink ref="B454" r:id="rId620" display="https://my.zakupivli.pro/remote/dispatcher/state_purchase_view/37964434"/>
    <hyperlink ref="B455" r:id="rId621" display="https://my.zakupivli.pro/remote/dispatcher/state_purchase_view/37883170"/>
    <hyperlink ref="B456" r:id="rId622" display="https://my.zakupivli.pro/remote/dispatcher/state_purchase_view/37845039"/>
    <hyperlink ref="B457" r:id="rId623" display="https://my.zakupivli.pro/remote/dispatcher/state_purchase_view/37793247"/>
    <hyperlink ref="B458" r:id="rId624" display="https://my.zakupivli.pro/remote/dispatcher/state_purchase_view/37791693"/>
    <hyperlink ref="B459" r:id="rId625" display="https://my.zakupivli.pro/remote/dispatcher/state_purchase_view/37738901"/>
    <hyperlink ref="B460" r:id="rId626" display="https://my.zakupivli.pro/remote/dispatcher/state_purchase_view/37536859"/>
    <hyperlink ref="B461" r:id="rId627" display="https://my.zakupivli.pro/remote/dispatcher/state_purchase_view/37514958"/>
    <hyperlink ref="B462" r:id="rId628" display="https://my.zakupivli.pro/remote/dispatcher/state_purchase_view/37515033"/>
    <hyperlink ref="B463" r:id="rId629" display="https://my.zakupivli.pro/remote/dispatcher/state_purchase_view/37514942"/>
    <hyperlink ref="B464" r:id="rId630" display="https://my.zakupivli.pro/remote/dispatcher/state_purchase_view/37479770"/>
    <hyperlink ref="AS464" r:id="rId631" display="https://auctions.prozorro.gov.ua/tenders/1945e4718ab142e4bb150b66e4f68b81"/>
    <hyperlink ref="B465" r:id="rId632" display="https://my.zakupivli.pro/remote/dispatcher/state_purchase_view/37485882"/>
    <hyperlink ref="AS465" r:id="rId633" display="https://auctions.prozorro.gov.ua/tenders/353bfd6d67c44259bf28a745fcaac82a"/>
    <hyperlink ref="B466" r:id="rId634" display="https://my.zakupivli.pro/remote/dispatcher/state_purchase_view/37479535"/>
    <hyperlink ref="AS466" r:id="rId635" display="https://auctions.prozorro.gov.ua/tenders/df4d6d15d30148f1bab6902ea71a147c"/>
    <hyperlink ref="B467" r:id="rId636" display="https://my.zakupivli.pro/remote/dispatcher/state_purchase_view/37358596"/>
    <hyperlink ref="B468" r:id="rId637" display="https://my.zakupivli.pro/remote/dispatcher/state_purchase_view/37358505"/>
    <hyperlink ref="B469" r:id="rId638" display="https://my.zakupivli.pro/remote/dispatcher/state_purchase_view/37358379"/>
    <hyperlink ref="B470" r:id="rId639" display="https://my.zakupivli.pro/remote/dispatcher/state_purchase_view/37358179"/>
    <hyperlink ref="AS470" r:id="rId640" display="https://auctions.prozorro.gov.ua/tenders/75ce6a0f19ae4d5193cb0ea6d4d658ce"/>
    <hyperlink ref="B471" r:id="rId641" display="https://my.zakupivli.pro/remote/dispatcher/state_purchase_view/37358019"/>
    <hyperlink ref="AS471" r:id="rId642" display="https://auctions.prozorro.gov.ua/tenders/9528403559ef4ac9a9032bc460eb0ad1"/>
    <hyperlink ref="B472" r:id="rId643" display="https://my.zakupivli.pro/remote/dispatcher/state_purchase_view/37357896"/>
    <hyperlink ref="AS472" r:id="rId644" display="https://auctions.prozorro.gov.ua/tenders/597bfe6e05e6446c8945f1d8c7019142"/>
    <hyperlink ref="B473" r:id="rId645" display="https://my.zakupivli.pro/remote/dispatcher/state_purchase_view/37357560"/>
    <hyperlink ref="AS473" r:id="rId646" display="https://auctions.prozorro.gov.ua/tenders/e770ebd576e548e9b7e3b5dd34a0a3e4"/>
    <hyperlink ref="B474" r:id="rId647" display="https://my.zakupivli.pro/remote/dispatcher/state_purchase_view/37235138"/>
    <hyperlink ref="B475" r:id="rId648" display="https://my.zakupivli.pro/remote/dispatcher/state_purchase_view/37087834"/>
    <hyperlink ref="B476" r:id="rId649" display="https://my.zakupivli.pro/remote/dispatcher/state_purchase_view/36992885"/>
    <hyperlink ref="B477" r:id="rId650" display="https://my.zakupivli.pro/remote/dispatcher/state_purchase_view/36983596"/>
    <hyperlink ref="B478" r:id="rId651" display="https://my.zakupivli.pro/remote/dispatcher/state_purchase_view/36950850"/>
    <hyperlink ref="B479" r:id="rId652" display="https://my.zakupivli.pro/remote/dispatcher/state_purchase_view/36841254"/>
    <hyperlink ref="AS479" r:id="rId653" display="https://auctions.prozorro.gov.ua/tenders/9c3f42e7e7cf43a9a8a236e735059a3d"/>
    <hyperlink ref="B480" r:id="rId654" display="https://my.zakupivli.pro/remote/dispatcher/state_purchase_view/36763164"/>
    <hyperlink ref="B481" r:id="rId655" display="https://my.zakupivli.pro/remote/dispatcher/state_purchase_view/36762726"/>
    <hyperlink ref="B482" r:id="rId656" display="https://my.zakupivli.pro/remote/dispatcher/state_purchase_view/36342908"/>
    <hyperlink ref="B483" r:id="rId657" display="https://my.zakupivli.pro/remote/dispatcher/state_purchase_view/36270751"/>
    <hyperlink ref="B484" r:id="rId658" display="https://my.zakupivli.pro/remote/dispatcher/state_purchase_view/36246603"/>
    <hyperlink ref="B485" r:id="rId659" display="https://my.zakupivli.pro/remote/dispatcher/state_purchase_view/36134618"/>
    <hyperlink ref="B486" r:id="rId660" display="https://my.zakupivli.pro/remote/dispatcher/state_purchase_view/36009446"/>
    <hyperlink ref="B487" r:id="rId661" display="https://my.zakupivli.pro/remote/dispatcher/state_purchase_view/35984437"/>
    <hyperlink ref="B488" r:id="rId662" display="https://my.zakupivli.pro/remote/dispatcher/state_purchase_view/35896017"/>
    <hyperlink ref="B489" r:id="rId663" display="https://my.zakupivli.pro/remote/dispatcher/state_purchase_view/35516384"/>
    <hyperlink ref="B490" r:id="rId664" display="https://my.zakupivli.pro/remote/dispatcher/state_purchase_view/35489374"/>
    <hyperlink ref="B491" r:id="rId665" display="https://my.zakupivli.pro/remote/dispatcher/state_purchase_view/35243442"/>
    <hyperlink ref="B492" r:id="rId666" display="https://my.zakupivli.pro/remote/dispatcher/state_purchase_view/35016541"/>
    <hyperlink ref="B493" r:id="rId667" display="https://my.zakupivli.pro/remote/dispatcher/state_purchase_view/34985478"/>
    <hyperlink ref="B494" r:id="rId668" display="https://my.zakupivli.pro/remote/dispatcher/state_purchase_view/34782092"/>
    <hyperlink ref="B495" r:id="rId669" display="https://my.zakupivli.pro/remote/dispatcher/state_purchase_view/34790280"/>
    <hyperlink ref="B496" r:id="rId670" display="https://my.zakupivli.pro/remote/dispatcher/state_purchase_view/34780583"/>
    <hyperlink ref="B497" r:id="rId671" display="https://my.zakupivli.pro/remote/dispatcher/state_purchase_view/34711288"/>
    <hyperlink ref="B498" r:id="rId672" display="https://my.zakupivli.pro/remote/dispatcher/state_purchase_view/34712029"/>
    <hyperlink ref="B499" r:id="rId673" display="https://my.zakupivli.pro/remote/dispatcher/state_purchase_view/34708116"/>
    <hyperlink ref="B500" r:id="rId674" display="https://my.zakupivli.pro/remote/dispatcher/state_purchase_view/34599404"/>
    <hyperlink ref="B501" r:id="rId675" display="https://my.zakupivli.pro/remote/dispatcher/state_purchase_view/34589722"/>
    <hyperlink ref="B502" r:id="rId676" display="https://my.zakupivli.pro/remote/dispatcher/state_purchase_view/34430486"/>
    <hyperlink ref="AS502" r:id="rId677" display="https://auctions.prozorro.gov.ua/tenders/e5c86e712ffb4ef2aeccb60f73ba7023"/>
    <hyperlink ref="B503" r:id="rId678" display="https://my.zakupivli.pro/remote/dispatcher/state_purchase_view/34430467"/>
    <hyperlink ref="AS503" r:id="rId679" display="https://auctions.prozorro.gov.ua/tenders/fe5e36f5b3534d93bd599c77e85e32e3"/>
    <hyperlink ref="B504" r:id="rId680" display="https://my.zakupivli.pro/remote/dispatcher/state_purchase_view/34362521"/>
    <hyperlink ref="B505" r:id="rId681" display="https://my.zakupivli.pro/remote/dispatcher/state_purchase_view/34263252"/>
    <hyperlink ref="B506" r:id="rId682" display="https://my.zakupivli.pro/remote/dispatcher/state_purchase_view/34244824"/>
    <hyperlink ref="B507" r:id="rId683" display="https://my.zakupivli.pro/remote/dispatcher/state_purchase_view/33690866"/>
    <hyperlink ref="B508" r:id="rId684" display="https://my.zakupivli.pro/remote/dispatcher/state_purchase_view/33711715"/>
    <hyperlink ref="B509" r:id="rId685" display="https://my.zakupivli.pro/remote/dispatcher/state_purchase_view/33699465"/>
    <hyperlink ref="B510" r:id="rId686" display="https://my.zakupivli.pro/remote/dispatcher/state_purchase_view/33697530"/>
    <hyperlink ref="B511" r:id="rId687" display="https://my.zakupivli.pro/remote/dispatcher/state_purchase_view/33694507"/>
    <hyperlink ref="B512" r:id="rId688" display="https://my.zakupivli.pro/remote/dispatcher/state_purchase_view/33560857"/>
    <hyperlink ref="B513" r:id="rId689" display="https://my.zakupivli.pro/remote/dispatcher/state_purchase_view/33587473"/>
    <hyperlink ref="B514" r:id="rId690" display="https://my.zakupivli.pro/remote/dispatcher/state_purchase_view/33587093"/>
    <hyperlink ref="B515" r:id="rId691" display="https://my.zakupivli.pro/remote/dispatcher/state_purchase_view/33550210"/>
    <hyperlink ref="B516" r:id="rId692" display="https://my.zakupivli.pro/remote/dispatcher/state_purchase_view/33507896"/>
    <hyperlink ref="B517" r:id="rId693" display="https://my.zakupivli.pro/remote/dispatcher/state_purchase_view/33509509"/>
    <hyperlink ref="B518" r:id="rId694" display="https://my.zakupivli.pro/remote/dispatcher/state_purchase_view/33509077"/>
    <hyperlink ref="B519" r:id="rId695" display="https://my.zakupivli.pro/remote/dispatcher/state_purchase_view/33508569"/>
    <hyperlink ref="B520" r:id="rId696" display="https://my.zakupivli.pro/remote/dispatcher/state_purchase_view/33410132"/>
    <hyperlink ref="B521" r:id="rId697" display="https://my.zakupivli.pro/remote/dispatcher/state_purchase_view/33289915"/>
    <hyperlink ref="B522" r:id="rId698" display="https://my.zakupivli.pro/remote/dispatcher/state_purchase_view/33293514"/>
    <hyperlink ref="B523" r:id="rId699" display="https://my.zakupivli.pro/remote/dispatcher/state_purchase_view/33258175"/>
    <hyperlink ref="B524" r:id="rId700" display="https://my.zakupivli.pro/remote/dispatcher/state_purchase_view/33019306"/>
    <hyperlink ref="B525" r:id="rId701" display="https://my.zakupivli.pro/remote/dispatcher/state_purchase_view/33020982"/>
    <hyperlink ref="B526" r:id="rId702" display="https://my.zakupivli.pro/remote/dispatcher/state_purchase_view/32984431"/>
    <hyperlink ref="B527" r:id="rId703" display="https://my.zakupivli.pro/remote/dispatcher/state_purchase_view/32868861"/>
    <hyperlink ref="B528" r:id="rId704" display="https://my.zakupivli.pro/remote/dispatcher/state_purchase_view/32870665"/>
    <hyperlink ref="B529" r:id="rId705" display="https://my.zakupivli.pro/remote/dispatcher/state_purchase_view/32861864"/>
    <hyperlink ref="AS529" r:id="rId706" display="https://auctions.prozorro.gov.ua/tenders/c02b54f1f2b84a448fe36737c11c8979"/>
    <hyperlink ref="B530" r:id="rId707" display="https://my.zakupivli.pro/remote/dispatcher/state_purchase_view/32763613"/>
    <hyperlink ref="B531" r:id="rId708" display="https://my.zakupivli.pro/remote/dispatcher/state_purchase_view/32712043"/>
    <hyperlink ref="B532" r:id="rId709" display="https://my.zakupivli.pro/remote/dispatcher/state_purchase_view/32708214"/>
    <hyperlink ref="B533" r:id="rId710" display="https://my.zakupivli.pro/remote/dispatcher/state_purchase_view/32704997"/>
    <hyperlink ref="B534" r:id="rId711" display="https://my.zakupivli.pro/remote/dispatcher/state_purchase_view/32722662"/>
    <hyperlink ref="B535" r:id="rId712" display="https://my.zakupivli.pro/remote/dispatcher/state_purchase_view/32648160"/>
    <hyperlink ref="B536" r:id="rId713" display="https://my.zakupivli.pro/remote/dispatcher/state_purchase_view/32616407"/>
    <hyperlink ref="AS536" r:id="rId714" display="https://auctions.prozorro.gov.ua/tenders/e640c33394244180b74be75a4389044d"/>
    <hyperlink ref="B537" r:id="rId715" display="https://my.zakupivli.pro/remote/dispatcher/state_purchase_view/32601356"/>
    <hyperlink ref="B538" r:id="rId716" display="https://my.zakupivli.pro/remote/dispatcher/state_purchase_view/32647416"/>
    <hyperlink ref="B539" r:id="rId717" display="https://my.zakupivli.pro/remote/dispatcher/state_purchase_view/32583352"/>
    <hyperlink ref="AS539" r:id="rId718" display="https://auctions.prozorro.gov.ua/tenders/2cc88e29d40c4ca48ad8ad9a5fbddfd6"/>
    <hyperlink ref="B540" r:id="rId719" display="https://my.zakupivli.pro/remote/dispatcher/state_purchase_view/32583169"/>
    <hyperlink ref="AS540" r:id="rId720" display="https://auctions.prozorro.gov.ua/tenders/c468fa1b5c074e8ebd0ef75e97171f1d"/>
    <hyperlink ref="B541" r:id="rId721" display="https://my.zakupivli.pro/remote/dispatcher/state_purchase_view/32583067"/>
    <hyperlink ref="AS541" r:id="rId722" display="https://auctions.prozorro.gov.ua/tenders/7099782e4b394623a6e912401634f036"/>
    <hyperlink ref="B542" r:id="rId723" display="https://my.zakupivli.pro/remote/dispatcher/state_purchase_view/32582893"/>
    <hyperlink ref="AS542" r:id="rId724" display="https://auctions.prozorro.gov.ua/tenders/007f3632fe4947a3b2ae9a4ff6d3166b"/>
    <hyperlink ref="B543" r:id="rId725" display="https://my.zakupivli.pro/remote/dispatcher/state_purchase_view/32582659"/>
    <hyperlink ref="B544" r:id="rId726" display="https://my.zakupivli.pro/remote/dispatcher/state_purchase_view/32560867"/>
    <hyperlink ref="B545" r:id="rId727" display="https://my.zakupivli.pro/remote/dispatcher/state_purchase_view/32558844"/>
    <hyperlink ref="B546" r:id="rId728" display="https://my.zakupivli.pro/remote/dispatcher/state_purchase_view/32584557"/>
    <hyperlink ref="B547" r:id="rId729" display="https://my.zakupivli.pro/remote/dispatcher/state_purchase_view/32584006"/>
    <hyperlink ref="B548" r:id="rId730" display="https://my.zakupivli.pro/remote/dispatcher/state_purchase_view/32583922"/>
    <hyperlink ref="B549" r:id="rId731" display="https://my.zakupivli.pro/remote/dispatcher/state_purchase_view/32583838"/>
    <hyperlink ref="B550" r:id="rId732" display="https://my.zakupivli.pro/remote/dispatcher/state_purchase_view/32583759"/>
    <hyperlink ref="B551" r:id="rId733" display="https://my.zakupivli.pro/remote/dispatcher/state_purchase_view/32583618"/>
    <hyperlink ref="B552" r:id="rId734" display="https://my.zakupivli.pro/remote/dispatcher/state_purchase_view/32583514"/>
    <hyperlink ref="B553" r:id="rId735" display="https://my.zakupivli.pro/remote/dispatcher/state_purchase_view/32453209"/>
    <hyperlink ref="B554" r:id="rId736" display="https://my.zakupivli.pro/remote/dispatcher/state_purchase_view/32341872"/>
    <hyperlink ref="B555" r:id="rId737" display="https://my.zakupivli.pro/remote/dispatcher/state_purchase_view/32302995"/>
    <hyperlink ref="B556" r:id="rId738" display="https://my.zakupivli.pro/remote/dispatcher/state_purchase_view/32291133"/>
    <hyperlink ref="B557" r:id="rId739" display="https://my.zakupivli.pro/remote/dispatcher/state_purchase_view/32288477"/>
    <hyperlink ref="B558" r:id="rId740" display="https://my.zakupivli.pro/remote/dispatcher/state_purchase_view/32301453"/>
    <hyperlink ref="B559" r:id="rId741" display="https://my.zakupivli.pro/remote/dispatcher/state_purchase_view/32246655"/>
    <hyperlink ref="B560" r:id="rId742" display="https://my.zakupivli.pro/remote/dispatcher/state_purchase_view/32245489"/>
    <hyperlink ref="B561" r:id="rId743" display="https://my.zakupivli.pro/remote/dispatcher/state_purchase_view/32206544"/>
    <hyperlink ref="B562" r:id="rId744" display="https://my.zakupivli.pro/remote/dispatcher/state_purchase_view/32249397"/>
    <hyperlink ref="B563" r:id="rId745" display="https://my.zakupivli.pro/remote/dispatcher/state_purchase_view/32248038"/>
    <hyperlink ref="B564" r:id="rId746" display="https://my.zakupivli.pro/remote/dispatcher/state_purchase_view/32114791"/>
    <hyperlink ref="B565" r:id="rId747" display="https://my.zakupivli.pro/remote/dispatcher/state_purchase_view/32076733"/>
    <hyperlink ref="B566" r:id="rId748" display="https://my.zakupivli.pro/remote/dispatcher/state_purchase_view/32048128"/>
    <hyperlink ref="AS566" r:id="rId749" display="https://auctions.prozorro.gov.ua/tenders/5eb3d66bb8ee4a74afe8e3459299f242"/>
    <hyperlink ref="B567" r:id="rId750" display="https://my.zakupivli.pro/remote/dispatcher/state_purchase_view/31966856"/>
    <hyperlink ref="B568" r:id="rId751" display="https://my.zakupivli.pro/remote/dispatcher/state_purchase_view/31821634"/>
    <hyperlink ref="B569" r:id="rId752" display="https://my.zakupivli.pro/remote/dispatcher/state_purchase_view/31858345"/>
    <hyperlink ref="B570" r:id="rId753" display="https://my.zakupivli.pro/remote/dispatcher/state_purchase_view/31841674"/>
    <hyperlink ref="B571" r:id="rId754" display="https://my.zakupivli.pro/remote/dispatcher/state_purchase_view/31839163"/>
    <hyperlink ref="B572" r:id="rId755" display="https://my.zakupivli.pro/remote/dispatcher/state_purchase_view/31836209"/>
    <hyperlink ref="AS572" r:id="rId756" display="https://auctions.prozorro.gov.ua/tenders/6ab26371154947c09b380c973871c588"/>
    <hyperlink ref="B573" r:id="rId757" display="https://my.zakupivli.pro/remote/dispatcher/state_purchase_view/31828298"/>
    <hyperlink ref="B574" r:id="rId758" display="https://my.zakupivli.pro/remote/dispatcher/state_purchase_view/31805465"/>
    <hyperlink ref="B575" r:id="rId759" display="https://my.zakupivli.pro/remote/dispatcher/state_purchase_view/31806497"/>
    <hyperlink ref="B576" r:id="rId760" display="https://my.zakupivli.pro/remote/dispatcher/state_purchase_view/31801922"/>
    <hyperlink ref="B577" r:id="rId761" display="https://my.zakupivli.pro/remote/dispatcher/state_purchase_view/31726652"/>
    <hyperlink ref="B578" r:id="rId762" display="https://my.zakupivli.pro/remote/dispatcher/state_purchase_view/31734205"/>
    <hyperlink ref="B579" r:id="rId763" display="https://my.zakupivli.pro/remote/dispatcher/state_purchase_view/31719390"/>
    <hyperlink ref="B580" r:id="rId764" display="https://my.zakupivli.pro/remote/dispatcher/state_purchase_view/31701150"/>
    <hyperlink ref="B581" r:id="rId765" display="https://my.zakupivli.pro/remote/dispatcher/state_purchase_view/31689400"/>
    <hyperlink ref="B582" r:id="rId766" display="https://my.zakupivli.pro/remote/dispatcher/state_purchase_view/31702252"/>
    <hyperlink ref="B583" r:id="rId767" display="https://my.zakupivli.pro/remote/dispatcher/state_purchase_view/31605047"/>
    <hyperlink ref="B584" r:id="rId768" display="https://my.zakupivli.pro/remote/dispatcher/state_purchase_view/31647892"/>
    <hyperlink ref="B585" r:id="rId769" display="https://my.zakupivli.pro/remote/dispatcher/state_purchase_view/31598755"/>
    <hyperlink ref="B586" r:id="rId770" display="https://my.zakupivli.pro/remote/dispatcher/state_purchase_view/31597874"/>
    <hyperlink ref="B587" r:id="rId771" display="https://my.zakupivli.pro/remote/dispatcher/state_purchase_view/31507768"/>
    <hyperlink ref="B588" r:id="rId772" display="https://my.zakupivli.pro/remote/dispatcher/state_purchase_view/31495159"/>
    <hyperlink ref="B589" r:id="rId773" display="https://my.zakupivli.pro/remote/dispatcher/state_purchase_view/31488720"/>
    <hyperlink ref="B590" r:id="rId774" display="https://my.zakupivli.pro/remote/dispatcher/state_purchase_view/31437325"/>
    <hyperlink ref="B591" r:id="rId775" display="https://my.zakupivli.pro/remote/dispatcher/state_purchase_view/31405604"/>
    <hyperlink ref="B592" r:id="rId776" display="https://my.zakupivli.pro/remote/dispatcher/state_purchase_view/31356484"/>
    <hyperlink ref="C592" r:id="rId777" display="https://my.zakupivli.pro/remote/dispatcher/state_purchase_lot_view/702637"/>
    <hyperlink ref="AS592" r:id="rId778" display="https://auctions.prozorro.gov.ua/tenders/5420252f3d4248fa8e0af41814ceb84a_537cedff6f1148be95054c346f78be0a"/>
    <hyperlink ref="B593" r:id="rId779" display="https://my.zakupivli.pro/remote/dispatcher/state_purchase_view/31356746"/>
    <hyperlink ref="AS593" r:id="rId780" display="https://auctions.prozorro.gov.ua/tenders/3b310839c2c34b2a8e060bd81d8e829b"/>
    <hyperlink ref="B594" r:id="rId781" display="https://my.zakupivli.pro/remote/dispatcher/state_purchase_view/31356484"/>
    <hyperlink ref="C594" r:id="rId782" display="https://my.zakupivli.pro/remote/dispatcher/state_purchase_lot_view/702636"/>
    <hyperlink ref="AS594" r:id="rId783" display="https://auctions.prozorro.gov.ua/tenders/5420252f3d4248fa8e0af41814ceb84a_b88eb72154ad46a4a171095b4c670b0e"/>
    <hyperlink ref="B595" r:id="rId784" display="https://my.zakupivli.pro/remote/dispatcher/state_purchase_view/31356038"/>
    <hyperlink ref="AS595" r:id="rId785" display="https://auctions.prozorro.gov.ua/tenders/8c181f5efb40438aa1cb7fe00a00851d"/>
    <hyperlink ref="B596" r:id="rId786" display="https://my.zakupivli.pro/remote/dispatcher/state_purchase_view/31254683"/>
    <hyperlink ref="B597" r:id="rId787" display="https://my.zakupivli.pro/remote/dispatcher/state_purchase_view/31220418"/>
    <hyperlink ref="AS597" r:id="rId788" display="https://auctions.prozorro.gov.ua/tenders/28f89dee37c340e7a81803cff225586f"/>
    <hyperlink ref="B598" r:id="rId789" display="https://my.zakupivli.pro/remote/dispatcher/state_purchase_view/31186490"/>
    <hyperlink ref="AS598" r:id="rId790" display="https://auctions.prozorro.gov.ua/tenders/1d5adff2c4ad45279b7db7372767cc24"/>
    <hyperlink ref="B599" r:id="rId791" display="https://my.zakupivli.pro/remote/dispatcher/state_purchase_view/31190027"/>
    <hyperlink ref="B600" r:id="rId792" display="https://my.zakupivli.pro/remote/dispatcher/state_purchase_view/31189601"/>
    <hyperlink ref="B601" r:id="rId793" display="https://my.zakupivli.pro/remote/dispatcher/state_purchase_view/31189451"/>
    <hyperlink ref="B602" r:id="rId794" display="https://my.zakupivli.pro/remote/dispatcher/state_purchase_view/31189249"/>
    <hyperlink ref="B603" r:id="rId795" display="https://my.zakupivli.pro/remote/dispatcher/state_purchase_view/31188999"/>
    <hyperlink ref="B604" r:id="rId796" display="https://my.zakupivli.pro/remote/dispatcher/state_purchase_view/31188740"/>
    <hyperlink ref="B605" r:id="rId797" display="https://my.zakupivli.pro/remote/dispatcher/state_purchase_view/31187020"/>
    <hyperlink ref="AS605" r:id="rId798" display="https://auctions.prozorro.gov.ua/tenders/ecd56bd707784eb88bf3ad6484c896e8"/>
    <hyperlink ref="B606" r:id="rId799" display="https://my.zakupivli.pro/remote/dispatcher/state_purchase_view/31184632"/>
    <hyperlink ref="AS606" r:id="rId800" display="https://auctions.prozorro.gov.ua/tenders/ff815f2f53154d3bacccf0066c15b8db"/>
    <hyperlink ref="B607" r:id="rId801" display="https://my.zakupivli.pro/remote/dispatcher/state_purchase_view/31183652"/>
    <hyperlink ref="AS607" r:id="rId802" display="https://auctions.prozorro.gov.ua/tenders/059c57eb6ce64e489dfbb53b54d7e6b0"/>
    <hyperlink ref="B608" r:id="rId803" display="https://my.zakupivli.pro/remote/dispatcher/state_purchase_view/31177635"/>
    <hyperlink ref="B609" r:id="rId804" display="https://my.zakupivli.pro/remote/dispatcher/state_purchase_view/31180425"/>
    <hyperlink ref="AS609" r:id="rId805" display="https://auctions.prozorro.gov.ua/tenders/516170df6ffc4da2981959d408e302ed"/>
    <hyperlink ref="B610" r:id="rId806" display="https://my.zakupivli.pro/remote/dispatcher/state_purchase_view/31181596"/>
    <hyperlink ref="AS610" r:id="rId807" display="https://auctions.prozorro.gov.ua/tenders/e2ebbefcf0074db5abd9d4ff5a92a5c6"/>
    <hyperlink ref="B611" r:id="rId808" display="https://my.zakupivli.pro/remote/dispatcher/state_purchase_view/31182879"/>
    <hyperlink ref="AS611" r:id="rId809" display="https://auctions.prozorro.gov.ua/tenders/64696c648e054873ba2f7e5d355635bc"/>
    <hyperlink ref="B612" r:id="rId810" display="https://my.zakupivli.pro/remote/dispatcher/state_purchase_view/31065626"/>
    <hyperlink ref="AS612" r:id="rId811" display="https://auctions.prozorro.gov.ua/tenders/c8b20d26e0904e04bdf18fac98b6bb9c"/>
    <hyperlink ref="B613" r:id="rId812" display="https://my.zakupivli.pro/remote/dispatcher/state_purchase_view/31042495"/>
    <hyperlink ref="B614" r:id="rId813" display="https://my.zakupivli.pro/remote/dispatcher/state_purchase_view/31024339"/>
    <hyperlink ref="B615" r:id="rId814" display="https://my.zakupivli.pro/remote/dispatcher/state_purchase_view/31024146"/>
    <hyperlink ref="B616" r:id="rId815" display="https://my.zakupivli.pro/remote/dispatcher/state_purchase_view/31023188"/>
    <hyperlink ref="B617" r:id="rId816" display="https://my.zakupivli.pro/remote/dispatcher/state_purchase_view/31022721"/>
    <hyperlink ref="B618" r:id="rId817" display="https://my.zakupivli.pro/remote/dispatcher/state_purchase_view/30951653"/>
    <hyperlink ref="B619" r:id="rId818" display="https://my.zakupivli.pro/remote/dispatcher/state_purchase_view/30885081"/>
    <hyperlink ref="AS619" r:id="rId819" display="https://auctions.prozorro.gov.ua/tenders/0b77ad9b652b4f34a390fa9ce4ad0ffb"/>
    <hyperlink ref="B620" r:id="rId820" display="https://my.zakupivli.pro/remote/dispatcher/state_purchase_view/30885243"/>
    <hyperlink ref="AS620" r:id="rId821" display="https://auctions.prozorro.gov.ua/tenders/1ac826c2f7274de69f047ab5b93846f1"/>
    <hyperlink ref="B621" r:id="rId822" display="https://my.zakupivli.pro/remote/dispatcher/state_purchase_view/30847490"/>
    <hyperlink ref="B622" r:id="rId823" display="https://my.zakupivli.pro/remote/dispatcher/state_purchase_view/30836929"/>
    <hyperlink ref="B623" r:id="rId824" display="https://my.zakupivli.pro/remote/dispatcher/state_purchase_view/30830240"/>
    <hyperlink ref="AS623" r:id="rId825" display="https://auctions.prozorro.gov.ua/tenders/c89f5e08f7d14097a8b7710b7b45450e"/>
    <hyperlink ref="B624" r:id="rId826" display="https://my.zakupivli.pro/remote/dispatcher/state_purchase_view/30781874"/>
    <hyperlink ref="AS624" r:id="rId827" display="https://auctions.prozorro.gov.ua/tenders/67d48c0958224071948a194fcce4c401"/>
    <hyperlink ref="B625" r:id="rId828" display="https://my.zakupivli.pro/remote/dispatcher/state_purchase_view/30737197"/>
    <hyperlink ref="B626" r:id="rId829" display="https://my.zakupivli.pro/remote/dispatcher/state_purchase_view/30683006"/>
    <hyperlink ref="C626" r:id="rId830" display="https://my.zakupivli.pro/remote/dispatcher/state_purchase_lot_view/697422"/>
    <hyperlink ref="B627" r:id="rId831" display="https://my.zakupivli.pro/remote/dispatcher/state_purchase_view/30683006"/>
    <hyperlink ref="C627" r:id="rId832" display="https://my.zakupivli.pro/remote/dispatcher/state_purchase_lot_view/697423"/>
    <hyperlink ref="AS627" r:id="rId833" display="https://auctions.prozorro.gov.ua/tenders/2d4fa2d01995455091d65aa7b2af794d_537cedff6f1148be95054c346f78be0a"/>
    <hyperlink ref="B628" r:id="rId834" display="https://my.zakupivli.pro/remote/dispatcher/state_purchase_view/30681852"/>
    <hyperlink ref="AS628" r:id="rId835" display="https://auctions.prozorro.gov.ua/tenders/3fadd2becf914676a87372d57e20557a"/>
    <hyperlink ref="B629" r:id="rId836" display="https://my.zakupivli.pro/remote/dispatcher/state_purchase_view/30554193"/>
    <hyperlink ref="C629" r:id="rId837" display="https://my.zakupivli.pro/remote/dispatcher/state_purchase_lot_view/696415"/>
    <hyperlink ref="AS629" r:id="rId838" display="https://auctions.prozorro.gov.ua/tenders/1eae87fb7ad6456b8e4ca71a80175635_b88eb72154ad46a4a171095b4c670b0e"/>
    <hyperlink ref="B630" r:id="rId839" display="https://my.zakupivli.pro/remote/dispatcher/state_purchase_view/30554193"/>
    <hyperlink ref="C630" r:id="rId840" display="https://my.zakupivli.pro/remote/dispatcher/state_purchase_lot_view/696416"/>
    <hyperlink ref="AS630" r:id="rId841" display="https://auctions.prozorro.gov.ua/tenders/1eae87fb7ad6456b8e4ca71a80175635_537cedff6f1148be95054c346f78be0a"/>
    <hyperlink ref="B631" r:id="rId842" display="https://my.zakupivli.pro/remote/dispatcher/state_purchase_view/30553398"/>
    <hyperlink ref="AS631" r:id="rId843" display="https://auctions.prozorro.gov.ua/tenders/c94f7856afcf4dfcbb17a92f7f6f6adf"/>
    <hyperlink ref="B632" r:id="rId844" display="https://my.zakupivli.pro/remote/dispatcher/state_purchase_view/30466065"/>
    <hyperlink ref="AS632" r:id="rId845" display="https://auctions.prozorro.gov.ua/tenders/1eb1bd008c634e399b70dfb6d1299631"/>
    <hyperlink ref="B633" r:id="rId846" display="https://my.zakupivli.pro/remote/dispatcher/state_purchase_view/30465883"/>
    <hyperlink ref="B634" r:id="rId847" display="https://my.zakupivli.pro/remote/dispatcher/state_purchase_view/30423471"/>
    <hyperlink ref="B635" r:id="rId848" display="https://my.zakupivli.pro/remote/dispatcher/state_purchase_view/30423276"/>
    <hyperlink ref="B636" r:id="rId849" display="https://my.zakupivli.pro/remote/dispatcher/state_purchase_view/30269219"/>
    <hyperlink ref="B637" r:id="rId850" display="https://my.zakupivli.pro/remote/dispatcher/state_purchase_view/30317206"/>
    <hyperlink ref="B638" r:id="rId851" display="https://my.zakupivli.pro/remote/dispatcher/state_purchase_view/30320386"/>
    <hyperlink ref="B639" r:id="rId852" display="https://my.zakupivli.pro/remote/dispatcher/state_purchase_view/29648240"/>
    <hyperlink ref="AS639" r:id="rId853" display="https://auctions.prozorro.gov.ua/tenders/cf38578048134f63a6a4b75edfc9734b"/>
    <hyperlink ref="B640" r:id="rId854" display="https://my.zakupivli.pro/remote/dispatcher/state_purchase_view/29627335"/>
    <hyperlink ref="AS640" r:id="rId855" display="https://auctions.prozorro.gov.ua/tenders/d086a06534314096afb80ca1a967b8a9"/>
    <hyperlink ref="B641" r:id="rId856" display="https://my.zakupivli.pro/remote/dispatcher/state_purchase_view/29626884"/>
    <hyperlink ref="C641" r:id="rId857" display="https://my.zakupivli.pro/remote/dispatcher/state_purchase_lot_view/688430"/>
    <hyperlink ref="AS641" r:id="rId858" display="https://auctions.prozorro.gov.ua/tenders/cbfc5e6125e74a92a747436d59c67178_537cedff6f1148be95054c346f78be0a"/>
    <hyperlink ref="B642" r:id="rId859" display="https://my.zakupivli.pro/remote/dispatcher/state_purchase_view/29626884"/>
    <hyperlink ref="C642" r:id="rId860" display="https://my.zakupivli.pro/remote/dispatcher/state_purchase_lot_view/688429"/>
    <hyperlink ref="AS642" r:id="rId861" display="https://auctions.prozorro.gov.ua/tenders/cbfc5e6125e74a92a747436d59c67178_b88eb72154ad46a4a171095b4c670b0e"/>
    <hyperlink ref="B643" r:id="rId862" display="https://my.zakupivli.pro/remote/dispatcher/state_purchase_view/29626931"/>
    <hyperlink ref="AS643" r:id="rId863" display="https://auctions.prozorro.gov.ua/tenders/60a2722523694db59c0ce6759cdd6e54"/>
    <hyperlink ref="B644" r:id="rId864" display="https://my.zakupivli.pro/remote/dispatcher/state_purchase_view/29627198"/>
    <hyperlink ref="C644" r:id="rId865" display="https://my.zakupivli.pro/remote/dispatcher/state_purchase_lot_view/688436"/>
    <hyperlink ref="B645" r:id="rId866" display="https://my.zakupivli.pro/remote/dispatcher/state_purchase_view/29627198"/>
    <hyperlink ref="C645" r:id="rId867" display="https://my.zakupivli.pro/remote/dispatcher/state_purchase_lot_view/688437"/>
    <hyperlink ref="B646" r:id="rId868" display="https://my.zakupivli.pro/remote/dispatcher/state_purchase_view/29627233"/>
    <hyperlink ref="B647" r:id="rId869" display="https://my.zakupivli.pro/remote/dispatcher/state_purchase_view/29628068"/>
    <hyperlink ref="AS647" r:id="rId870" display="https://auctions.prozorro.gov.ua/tenders/92d4a9c6f7594bceb04eb4571f7d4e3f"/>
    <hyperlink ref="B648" r:id="rId871" display="https://my.zakupivli.pro/remote/dispatcher/state_purchase_view/29455081"/>
    <hyperlink ref="B649" r:id="rId872" display="https://my.zakupivli.pro/remote/dispatcher/state_purchase_view/29454129"/>
    <hyperlink ref="B650" r:id="rId873" display="https://my.zakupivli.pro/remote/dispatcher/state_purchase_view/29440730"/>
    <hyperlink ref="B651" r:id="rId874" display="https://my.zakupivli.pro/remote/dispatcher/state_purchase_view/29387139"/>
    <hyperlink ref="B652" r:id="rId875" display="https://my.zakupivli.pro/remote/dispatcher/state_purchase_view/29306319"/>
    <hyperlink ref="B653" r:id="rId876" display="https://my.zakupivli.pro/remote/dispatcher/state_purchase_view/29212113"/>
    <hyperlink ref="C653" r:id="rId877" display="https://my.zakupivli.pro/remote/dispatcher/state_purchase_lot_view/683867"/>
    <hyperlink ref="AS653" r:id="rId878" display="https://auctions.prozorro.gov.ua/tenders/75c2a57a0ecd4770985d0788f044c47b_18a9014f62584594898c86b070ec5988"/>
    <hyperlink ref="B654" r:id="rId879" display="https://my.zakupivli.pro/remote/dispatcher/state_purchase_view/29212113"/>
    <hyperlink ref="C654" r:id="rId880" display="https://my.zakupivli.pro/remote/dispatcher/state_purchase_lot_view/683872"/>
    <hyperlink ref="AS654" r:id="rId881" display="https://auctions.prozorro.gov.ua/tenders/75c2a57a0ecd4770985d0788f044c47b_d5afaaa2e66b4cac8d2b8c536ce2e741"/>
    <hyperlink ref="B655" r:id="rId882" display="https://my.zakupivli.pro/remote/dispatcher/state_purchase_view/29212113"/>
    <hyperlink ref="C655" r:id="rId883" display="https://my.zakupivli.pro/remote/dispatcher/state_purchase_lot_view/683868"/>
    <hyperlink ref="AS655" r:id="rId884" display="https://auctions.prozorro.gov.ua/tenders/75c2a57a0ecd4770985d0788f044c47b_a0335c2b271b4387b9b30cb72d6a5a21"/>
    <hyperlink ref="B656" r:id="rId885" display="https://my.zakupivli.pro/remote/dispatcher/state_purchase_view/29212113"/>
    <hyperlink ref="C656" r:id="rId886" display="https://my.zakupivli.pro/remote/dispatcher/state_purchase_lot_view/683873"/>
    <hyperlink ref="AS656" r:id="rId887" display="https://auctions.prozorro.gov.ua/tenders/75c2a57a0ecd4770985d0788f044c47b_5c5cd693e6e0461bb426bb170159fa71"/>
    <hyperlink ref="B657" r:id="rId888" display="https://my.zakupivli.pro/remote/dispatcher/state_purchase_view/29212113"/>
    <hyperlink ref="C657" r:id="rId889" display="https://my.zakupivli.pro/remote/dispatcher/state_purchase_lot_view/683869"/>
    <hyperlink ref="AS657" r:id="rId890" display="https://auctions.prozorro.gov.ua/tenders/75c2a57a0ecd4770985d0788f044c47b_3c96bf6946c7447f8247d838a03eccbf"/>
    <hyperlink ref="B658" r:id="rId891" display="https://my.zakupivli.pro/remote/dispatcher/state_purchase_view/29212113"/>
    <hyperlink ref="C658" r:id="rId892" display="https://my.zakupivli.pro/remote/dispatcher/state_purchase_lot_view/683871"/>
    <hyperlink ref="AS658" r:id="rId893" display="https://auctions.prozorro.gov.ua/tenders/75c2a57a0ecd4770985d0788f044c47b_6ef100036d2a4123ad1ff4cdb8904b76"/>
    <hyperlink ref="B659" r:id="rId894" display="https://my.zakupivli.pro/remote/dispatcher/state_purchase_view/29212113"/>
    <hyperlink ref="C659" r:id="rId895" display="https://my.zakupivli.pro/remote/dispatcher/state_purchase_lot_view/683875"/>
    <hyperlink ref="AS659" r:id="rId896" display="https://auctions.prozorro.gov.ua/tenders/75c2a57a0ecd4770985d0788f044c47b_cf6c0e04cb8d4675a3f4dc64fc8bc15f"/>
    <hyperlink ref="B660" r:id="rId897" display="https://my.zakupivli.pro/remote/dispatcher/state_purchase_view/29212113"/>
    <hyperlink ref="C660" r:id="rId898" display="https://my.zakupivli.pro/remote/dispatcher/state_purchase_lot_view/683878"/>
    <hyperlink ref="AS660" r:id="rId899" display="https://auctions.prozorro.gov.ua/tenders/75c2a57a0ecd4770985d0788f044c47b_bf0d400291134f94aa43671936d639c6"/>
    <hyperlink ref="B661" r:id="rId900" display="https://my.zakupivli.pro/remote/dispatcher/state_purchase_view/29212113"/>
    <hyperlink ref="C661" r:id="rId901" display="https://my.zakupivli.pro/remote/dispatcher/state_purchase_lot_view/683876"/>
    <hyperlink ref="AS661" r:id="rId902" display="https://auctions.prozorro.gov.ua/tenders/75c2a57a0ecd4770985d0788f044c47b_d96402f2ec464f0294c2f2fe6d2a574c"/>
    <hyperlink ref="B662" r:id="rId903" display="https://my.zakupivli.pro/remote/dispatcher/state_purchase_view/29208945"/>
    <hyperlink ref="C662" r:id="rId904" display="https://my.zakupivli.pro/remote/dispatcher/state_purchase_lot_view/683822"/>
    <hyperlink ref="B663" r:id="rId905" display="https://my.zakupivli.pro/remote/dispatcher/state_purchase_view/29208945"/>
    <hyperlink ref="C663" r:id="rId906" display="https://my.zakupivli.pro/remote/dispatcher/state_purchase_lot_view/683823"/>
    <hyperlink ref="B664" r:id="rId907" display="https://my.zakupivli.pro/remote/dispatcher/state_purchase_view/29212113"/>
    <hyperlink ref="C664" r:id="rId908" display="https://my.zakupivli.pro/remote/dispatcher/state_purchase_lot_view/683866"/>
    <hyperlink ref="AS664" r:id="rId909" display="https://auctions.prozorro.gov.ua/tenders/75c2a57a0ecd4770985d0788f044c47b_b88eb72154ad46a4a171095b4c670b0e"/>
    <hyperlink ref="B665" r:id="rId910" display="https://my.zakupivli.pro/remote/dispatcher/state_purchase_view/29212113"/>
    <hyperlink ref="C665" r:id="rId911" display="https://my.zakupivli.pro/remote/dispatcher/state_purchase_lot_view/683874"/>
    <hyperlink ref="AS665" r:id="rId912" display="https://auctions.prozorro.gov.ua/tenders/75c2a57a0ecd4770985d0788f044c47b_519f6208beff4829ac61d2b78fdd7a8a"/>
    <hyperlink ref="B666" r:id="rId913" display="https://my.zakupivli.pro/remote/dispatcher/state_purchase_view/29212113"/>
    <hyperlink ref="C666" r:id="rId914" display="https://my.zakupivli.pro/remote/dispatcher/state_purchase_lot_view/683877"/>
    <hyperlink ref="AS666" r:id="rId915" display="https://auctions.prozorro.gov.ua/tenders/75c2a57a0ecd4770985d0788f044c47b_6338741b8d934835aafb8d2f52c4441a"/>
    <hyperlink ref="B667" r:id="rId916" display="https://my.zakupivli.pro/remote/dispatcher/state_purchase_view/29212113"/>
    <hyperlink ref="C667" r:id="rId917" display="https://my.zakupivli.pro/remote/dispatcher/state_purchase_lot_view/683870"/>
    <hyperlink ref="AS667" r:id="rId918" display="https://auctions.prozorro.gov.ua/tenders/75c2a57a0ecd4770985d0788f044c47b_818ca922cec64914b5d285b4af1a1149"/>
    <hyperlink ref="B668" r:id="rId919" display="https://my.zakupivli.pro/remote/dispatcher/state_purchase_view/29162966"/>
    <hyperlink ref="B669" r:id="rId920" display="https://my.zakupivli.pro/remote/dispatcher/state_purchase_view/29187047"/>
    <hyperlink ref="C669" r:id="rId921" display="https://my.zakupivli.pro/remote/dispatcher/state_purchase_lot_view/683562"/>
    <hyperlink ref="B670" r:id="rId922" display="https://my.zakupivli.pro/remote/dispatcher/state_purchase_view/29187047"/>
    <hyperlink ref="C670" r:id="rId923" display="https://my.zakupivli.pro/remote/dispatcher/state_purchase_lot_view/683561"/>
    <hyperlink ref="B671" r:id="rId924" display="https://my.zakupivli.pro/remote/dispatcher/state_purchase_view/29186915"/>
    <hyperlink ref="C671" r:id="rId925" display="https://my.zakupivli.pro/remote/dispatcher/state_purchase_lot_view/683557"/>
    <hyperlink ref="B672" r:id="rId926" display="https://my.zakupivli.pro/remote/dispatcher/state_purchase_view/29186915"/>
    <hyperlink ref="C672" r:id="rId927" display="https://my.zakupivli.pro/remote/dispatcher/state_purchase_lot_view/683558"/>
    <hyperlink ref="B673" r:id="rId928" display="https://my.zakupivli.pro/remote/dispatcher/state_purchase_view/29163513"/>
    <hyperlink ref="B674" r:id="rId929" display="https://my.zakupivli.pro/remote/dispatcher/state_purchase_view/29163275"/>
    <hyperlink ref="B675" r:id="rId930" display="https://my.zakupivli.pro/remote/dispatcher/state_purchase_view/29156661"/>
    <hyperlink ref="B676" r:id="rId931" display="https://my.zakupivli.pro/remote/dispatcher/state_purchase_view/29156287"/>
    <hyperlink ref="B677" r:id="rId932" display="https://my.zakupivli.pro/remote/dispatcher/state_purchase_view/29154861"/>
    <hyperlink ref="AS677" r:id="rId933" display="https://auctions.prozorro.gov.ua/tenders/9b4d3894f2cc44b2b59100ad858794c0"/>
    <hyperlink ref="B678" r:id="rId934" display="https://my.zakupivli.pro/remote/dispatcher/state_purchase_view/29154221"/>
    <hyperlink ref="B679" r:id="rId935" display="https://my.zakupivli.pro/remote/dispatcher/state_purchase_view/29145450"/>
    <hyperlink ref="B680" r:id="rId936" display="https://my.zakupivli.pro/remote/dispatcher/state_purchase_view/28827882"/>
    <hyperlink ref="B681" r:id="rId937" display="https://my.zakupivli.pro/remote/dispatcher/state_purchase_view/28729216"/>
    <hyperlink ref="B682" r:id="rId938" display="https://my.zakupivli.pro/remote/dispatcher/state_purchase_view/28507331"/>
    <hyperlink ref="B683" r:id="rId939" display="https://my.zakupivli.pro/remote/dispatcher/state_purchase_view/28327184"/>
    <hyperlink ref="B684" r:id="rId940" display="https://my.zakupivli.pro/remote/dispatcher/state_purchase_view/28122680"/>
    <hyperlink ref="C684" r:id="rId941" display="https://my.zakupivli.pro/remote/dispatcher/state_purchase_lot_view/672646"/>
    <hyperlink ref="AS684" r:id="rId942" display="https://auction.openprocurement.org/tenders/5c652a4cf43d497aa070b81bddfa0469_6e8b515486b0402b9b9326499a0dcf33"/>
    <hyperlink ref="B685" r:id="rId943" display="https://my.zakupivli.pro/remote/dispatcher/state_purchase_view/28122680"/>
    <hyperlink ref="C685" r:id="rId944" display="https://my.zakupivli.pro/remote/dispatcher/state_purchase_lot_view/672645"/>
    <hyperlink ref="AS685" r:id="rId945" display="https://auction.openprocurement.org/tenders/5c652a4cf43d497aa070b81bddfa0469_e8490503d45745f09b83cace153301b1"/>
    <hyperlink ref="B686" r:id="rId946" display="https://my.zakupivli.pro/remote/dispatcher/state_purchase_view/28122680"/>
    <hyperlink ref="C686" r:id="rId947" display="https://my.zakupivli.pro/remote/dispatcher/state_purchase_lot_view/672644"/>
    <hyperlink ref="AS686" r:id="rId948" display="https://auction.openprocurement.org/tenders/5c652a4cf43d497aa070b81bddfa0469_dfc98f2471044b0586ee5bdc929cec3c"/>
    <hyperlink ref="B687" r:id="rId949" display="https://my.zakupivli.pro/remote/dispatcher/state_purchase_view/27829387"/>
    <hyperlink ref="AS687" r:id="rId950" display="https://auction.openprocurement.org/tenders/6b74a53b712d437d9ec0653b49694595"/>
    <hyperlink ref="B688" r:id="rId951" display="https://my.zakupivli.pro/remote/dispatcher/state_purchase_view/27635809"/>
    <hyperlink ref="C688" r:id="rId952" display="https://my.zakupivli.pro/remote/dispatcher/state_purchase_lot_view/668016"/>
    <hyperlink ref="AS688" r:id="rId953" display="https://auction.openprocurement.org/tenders/ef1c75704f63404abb5e737347c4e43c_dfc98f2471044b0586ee5bdc929cec3c"/>
    <hyperlink ref="B689" r:id="rId954" display="https://my.zakupivli.pro/remote/dispatcher/state_purchase_view/27635809"/>
    <hyperlink ref="C689" r:id="rId955" display="https://my.zakupivli.pro/remote/dispatcher/state_purchase_lot_view/668017"/>
    <hyperlink ref="AS689" r:id="rId956" display="https://auction.openprocurement.org/tenders/ef1c75704f63404abb5e737347c4e43c_e8490503d45745f09b83cace153301b1"/>
    <hyperlink ref="B690" r:id="rId957" display="https://my.zakupivli.pro/remote/dispatcher/state_purchase_view/27635809"/>
    <hyperlink ref="C690" r:id="rId958" display="https://my.zakupivli.pro/remote/dispatcher/state_purchase_lot_view/668018"/>
    <hyperlink ref="AS690" r:id="rId959" display="https://auction.openprocurement.org/tenders/ef1c75704f63404abb5e737347c4e43c_6e8b515486b0402b9b9326499a0dcf33"/>
    <hyperlink ref="B691" r:id="rId960" display="https://my.zakupivli.pro/remote/dispatcher/state_purchase_view/27603420"/>
    <hyperlink ref="B692" r:id="rId961" display="https://my.zakupivli.pro/remote/dispatcher/state_purchase_view/27326369"/>
    <hyperlink ref="B693" r:id="rId962" display="https://my.zakupivli.pro/remote/dispatcher/state_purchase_view/27333539"/>
    <hyperlink ref="AS693" r:id="rId963" display="https://auctions.prozorro.gov.ua/tenders/5211143ae18d4bc4a83d208d61f3a3a8"/>
    <hyperlink ref="B694" r:id="rId964" display="https://my.zakupivli.pro/remote/dispatcher/state_purchase_view/26603087"/>
    <hyperlink ref="AS694" r:id="rId965" display="https://auctions.prozorro.gov.ua/tenders/ca762d8e14fd49ca923fe54eea93d98b"/>
    <hyperlink ref="B695" r:id="rId966" display="https://my.zakupivli.pro/remote/dispatcher/state_purchase_view/26514713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subject/>
  <dc:creator>Unknown</dc:creator>
  <cp:keywords/>
  <dc:description/>
  <cp:lastModifiedBy>Лена</cp:lastModifiedBy>
  <dcterms:created xsi:type="dcterms:W3CDTF">2024-09-09T11:59:17Z</dcterms:created>
  <dcterms:modified xsi:type="dcterms:W3CDTF">2024-09-09T09:06:45Z</dcterms:modified>
  <cp:category/>
</cp:coreProperties>
</file>