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4000" windowHeight="9330" tabRatio="837"/>
  </bookViews>
  <sheets>
    <sheet name="Осн. фін. пок." sheetId="1" r:id="rId1"/>
    <sheet name="I. Фін результат" sheetId="2" r:id="rId2"/>
    <sheet name="ІІ. Розр. з бюджетом" sheetId="3" r:id="rId3"/>
    <sheet name="ІІІ. Рух грош. коштів" sheetId="4" r:id="rId4"/>
    <sheet name="IV. Кап. інвестиції" sheetId="5" r:id="rId5"/>
    <sheet name=" V. Коефіцієнти" sheetId="6" r:id="rId6"/>
    <sheet name="6.1. Інша інфо_1" sheetId="7" r:id="rId7"/>
    <sheet name="штатка" sheetId="8" r:id="rId8"/>
    <sheet name="6.2. Інша інфо_2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_1E3D5FB9_014E_4051_8AD5_DB0A17D05797_.wvu.PrintArea" localSheetId="5" hidden="1">' V. Коефіцієнти'!$A$1:$H$26</definedName>
    <definedName name="Z_1E3D5FB9_014E_4051_8AD5_DB0A17D05797_.wvu.PrintArea" localSheetId="6" hidden="1">'6.1. Інша інфо_1'!$A$1:$O$81</definedName>
    <definedName name="Z_1E3D5FB9_014E_4051_8AD5_DB0A17D05797_.wvu.PrintArea" localSheetId="8" hidden="1">'6.2. Інша інфо_2'!$A$1:$AE$54</definedName>
    <definedName name="Z_1E3D5FB9_014E_4051_8AD5_DB0A17D05797_.wvu.PrintArea" localSheetId="1" hidden="1">'I. Фін результат'!$A$1:$J$107</definedName>
    <definedName name="Z_1E3D5FB9_014E_4051_8AD5_DB0A17D05797_.wvu.PrintArea" localSheetId="4" hidden="1">'IV. Кап. інвестиції'!$A$1:$I$16</definedName>
    <definedName name="Z_1E3D5FB9_014E_4051_8AD5_DB0A17D05797_.wvu.PrintArea" localSheetId="2" hidden="1">'ІІ. Розр. з бюджетом'!$A$1:$I$42</definedName>
    <definedName name="Z_1E3D5FB9_014E_4051_8AD5_DB0A17D05797_.wvu.PrintArea" localSheetId="3" hidden="1">'ІІІ. Рух грош. коштів'!$A$1:$I$86</definedName>
    <definedName name="Z_1E3D5FB9_014E_4051_8AD5_DB0A17D05797_.wvu.PrintArea" localSheetId="0" hidden="1">'Осн. фін. пок.'!$A$1:$J$86</definedName>
    <definedName name="Z_1E3D5FB9_014E_4051_8AD5_DB0A17D05797_.wvu.PrintTitles" localSheetId="5" hidden="1">' V. Коефіцієнти'!$5:$5</definedName>
    <definedName name="Z_1E3D5FB9_014E_4051_8AD5_DB0A17D05797_.wvu.PrintTitles" localSheetId="1" hidden="1">'I. Фін результат'!$5:$5</definedName>
    <definedName name="Z_1E3D5FB9_014E_4051_8AD5_DB0A17D05797_.wvu.PrintTitles" localSheetId="2" hidden="1">'ІІ. Розр. з бюджетом'!$5:$5</definedName>
    <definedName name="Z_1E3D5FB9_014E_4051_8AD5_DB0A17D05797_.wvu.PrintTitles" localSheetId="3" hidden="1">'ІІІ. Рух грош. коштів'!$5:$5</definedName>
    <definedName name="Z_1E3D5FB9_014E_4051_8AD5_DB0A17D05797_.wvu.PrintTitles" localSheetId="0" hidden="1">'Осн. фін. пок.'!$35:$35</definedName>
    <definedName name="Z_43DCEB14_ADF8_4168_9283_6542A71D3CF7_.wvu.PrintArea" localSheetId="5" hidden="1">' V. Коефіцієнти'!$A$1:$H$26</definedName>
    <definedName name="Z_43DCEB14_ADF8_4168_9283_6542A71D3CF7_.wvu.PrintArea" localSheetId="6" hidden="1">'6.1. Інша інфо_1'!$A$1:$O$81</definedName>
    <definedName name="Z_43DCEB14_ADF8_4168_9283_6542A71D3CF7_.wvu.PrintArea" localSheetId="8" hidden="1">'6.2. Інша інфо_2'!$A$1:$AE$54</definedName>
    <definedName name="Z_43DCEB14_ADF8_4168_9283_6542A71D3CF7_.wvu.PrintArea" localSheetId="1" hidden="1">'I. Фін результат'!$A$1:$J$107</definedName>
    <definedName name="Z_43DCEB14_ADF8_4168_9283_6542A71D3CF7_.wvu.PrintArea" localSheetId="4" hidden="1">'IV. Кап. інвестиції'!$A$1:$I$16</definedName>
    <definedName name="Z_43DCEB14_ADF8_4168_9283_6542A71D3CF7_.wvu.PrintArea" localSheetId="2" hidden="1">'ІІ. Розр. з бюджетом'!$A$1:$I$42</definedName>
    <definedName name="Z_43DCEB14_ADF8_4168_9283_6542A71D3CF7_.wvu.PrintArea" localSheetId="3" hidden="1">'ІІІ. Рух грош. коштів'!$A$1:$I$86</definedName>
    <definedName name="Z_43DCEB14_ADF8_4168_9283_6542A71D3CF7_.wvu.PrintArea" localSheetId="0" hidden="1">'Осн. фін. пок.'!$A$1:$J$86</definedName>
    <definedName name="Z_43DCEB14_ADF8_4168_9283_6542A71D3CF7_.wvu.PrintTitles" localSheetId="5" hidden="1">' V. Коефіцієнти'!$5:$5</definedName>
    <definedName name="Z_43DCEB14_ADF8_4168_9283_6542A71D3CF7_.wvu.PrintTitles" localSheetId="1" hidden="1">'I. Фін результат'!$5:$5</definedName>
    <definedName name="Z_43DCEB14_ADF8_4168_9283_6542A71D3CF7_.wvu.PrintTitles" localSheetId="2" hidden="1">'ІІ. Розр. з бюджетом'!$5:$5</definedName>
    <definedName name="Z_43DCEB14_ADF8_4168_9283_6542A71D3CF7_.wvu.PrintTitles" localSheetId="3" hidden="1">'ІІІ. Рух грош. коштів'!$5:$5</definedName>
    <definedName name="Z_43DCEB14_ADF8_4168_9283_6542A71D3CF7_.wvu.PrintTitles" localSheetId="0" hidden="1">'Осн. фін. пок.'!$35:$35</definedName>
    <definedName name="Z_4BF2F851_A775_4F33_8DA4_C59D9D94DA9D_.wvu.PrintArea" localSheetId="5" hidden="1">' V. Коефіцієнти'!$A$1:$H$26</definedName>
    <definedName name="Z_4BF2F851_A775_4F33_8DA4_C59D9D94DA9D_.wvu.PrintArea" localSheetId="6" hidden="1">'6.1. Інша інфо_1'!$A$1:$O$81</definedName>
    <definedName name="Z_4BF2F851_A775_4F33_8DA4_C59D9D94DA9D_.wvu.PrintArea" localSheetId="8" hidden="1">'6.2. Інша інфо_2'!$A$1:$AE$54</definedName>
    <definedName name="Z_4BF2F851_A775_4F33_8DA4_C59D9D94DA9D_.wvu.PrintArea" localSheetId="1" hidden="1">'I. Фін результат'!$A$1:$J$107</definedName>
    <definedName name="Z_4BF2F851_A775_4F33_8DA4_C59D9D94DA9D_.wvu.PrintArea" localSheetId="4" hidden="1">'IV. Кап. інвестиції'!$A$1:$I$16</definedName>
    <definedName name="Z_4BF2F851_A775_4F33_8DA4_C59D9D94DA9D_.wvu.PrintArea" localSheetId="2" hidden="1">'ІІ. Розр. з бюджетом'!$A$1:$I$42</definedName>
    <definedName name="Z_4BF2F851_A775_4F33_8DA4_C59D9D94DA9D_.wvu.PrintArea" localSheetId="3" hidden="1">'ІІІ. Рух грош. коштів'!$A$1:$I$86</definedName>
    <definedName name="Z_4BF2F851_A775_4F33_8DA4_C59D9D94DA9D_.wvu.PrintArea" localSheetId="0" hidden="1">'Осн. фін. пок.'!$A$1:$J$86</definedName>
    <definedName name="Z_4BF2F851_A775_4F33_8DA4_C59D9D94DA9D_.wvu.PrintTitles" localSheetId="5" hidden="1">' V. Коефіцієнти'!$5:$5</definedName>
    <definedName name="Z_4BF2F851_A775_4F33_8DA4_C59D9D94DA9D_.wvu.PrintTitles" localSheetId="1" hidden="1">'I. Фін результат'!$5:$5</definedName>
    <definedName name="Z_4BF2F851_A775_4F33_8DA4_C59D9D94DA9D_.wvu.PrintTitles" localSheetId="2" hidden="1">'ІІ. Розр. з бюджетом'!$5:$5</definedName>
    <definedName name="Z_4BF2F851_A775_4F33_8DA4_C59D9D94DA9D_.wvu.PrintTitles" localSheetId="3" hidden="1">'ІІІ. Рух грош. коштів'!$5:$5</definedName>
    <definedName name="Z_4BF2F851_A775_4F33_8DA4_C59D9D94DA9D_.wvu.PrintTitles" localSheetId="0" hidden="1">'Осн. фін. пок.'!$35:$35</definedName>
    <definedName name="Z_6E930A10_FB87_4441_8A38_C35193B7FA1B_.wvu.PrintArea" localSheetId="5" hidden="1">' V. Коефіцієнти'!$A$1:$H$26</definedName>
    <definedName name="Z_6E930A10_FB87_4441_8A38_C35193B7FA1B_.wvu.PrintArea" localSheetId="6" hidden="1">'6.1. Інша інфо_1'!$A$1:$O$81</definedName>
    <definedName name="Z_6E930A10_FB87_4441_8A38_C35193B7FA1B_.wvu.PrintArea" localSheetId="8" hidden="1">'6.2. Інша інфо_2'!$A$1:$AE$54</definedName>
    <definedName name="Z_6E930A10_FB87_4441_8A38_C35193B7FA1B_.wvu.PrintArea" localSheetId="1" hidden="1">'I. Фін результат'!$A$1:$J$107</definedName>
    <definedName name="Z_6E930A10_FB87_4441_8A38_C35193B7FA1B_.wvu.PrintArea" localSheetId="4" hidden="1">'IV. Кап. інвестиції'!$A$1:$I$16</definedName>
    <definedName name="Z_6E930A10_FB87_4441_8A38_C35193B7FA1B_.wvu.PrintArea" localSheetId="2" hidden="1">'ІІ. Розр. з бюджетом'!$A$1:$I$42</definedName>
    <definedName name="Z_6E930A10_FB87_4441_8A38_C35193B7FA1B_.wvu.PrintArea" localSheetId="3" hidden="1">'ІІІ. Рух грош. коштів'!$A$1:$I$86</definedName>
    <definedName name="Z_6E930A10_FB87_4441_8A38_C35193B7FA1B_.wvu.PrintArea" localSheetId="0" hidden="1">'Осн. фін. пок.'!$A$1:$J$86</definedName>
    <definedName name="Z_6E930A10_FB87_4441_8A38_C35193B7FA1B_.wvu.PrintTitles" localSheetId="5" hidden="1">' V. Коефіцієнти'!$5:$5</definedName>
    <definedName name="Z_6E930A10_FB87_4441_8A38_C35193B7FA1B_.wvu.PrintTitles" localSheetId="1" hidden="1">'I. Фін результат'!$5:$5</definedName>
    <definedName name="Z_6E930A10_FB87_4441_8A38_C35193B7FA1B_.wvu.PrintTitles" localSheetId="2" hidden="1">'ІІ. Розр. з бюджетом'!$5:$5</definedName>
    <definedName name="Z_6E930A10_FB87_4441_8A38_C35193B7FA1B_.wvu.PrintTitles" localSheetId="3" hidden="1">'ІІІ. Рух грош. коштів'!$5:$5</definedName>
    <definedName name="Z_6E930A10_FB87_4441_8A38_C35193B7FA1B_.wvu.PrintTitles" localSheetId="0" hidden="1">'Осн. фін. пок.'!$35:$35</definedName>
    <definedName name="Z_F65ACDE9_A565_4614_893F_AFCB94FA629C_.wvu.PrintArea" localSheetId="5" hidden="1">' V. Коефіцієнти'!$A$1:$H$26</definedName>
    <definedName name="Z_F65ACDE9_A565_4614_893F_AFCB94FA629C_.wvu.PrintArea" localSheetId="6" hidden="1">'6.1. Інша інфо_1'!$A$1:$O$81</definedName>
    <definedName name="Z_F65ACDE9_A565_4614_893F_AFCB94FA629C_.wvu.PrintArea" localSheetId="8" hidden="1">'6.2. Інша інфо_2'!$A$1:$AE$54</definedName>
    <definedName name="Z_F65ACDE9_A565_4614_893F_AFCB94FA629C_.wvu.PrintArea" localSheetId="1" hidden="1">'I. Фін результат'!$A$1:$J$107</definedName>
    <definedName name="Z_F65ACDE9_A565_4614_893F_AFCB94FA629C_.wvu.PrintArea" localSheetId="4" hidden="1">'IV. Кап. інвестиції'!$A$1:$I$16</definedName>
    <definedName name="Z_F65ACDE9_A565_4614_893F_AFCB94FA629C_.wvu.PrintArea" localSheetId="2" hidden="1">'ІІ. Розр. з бюджетом'!$A$1:$I$42</definedName>
    <definedName name="Z_F65ACDE9_A565_4614_893F_AFCB94FA629C_.wvu.PrintArea" localSheetId="3" hidden="1">'ІІІ. Рух грош. коштів'!$A$1:$I$86</definedName>
    <definedName name="Z_F65ACDE9_A565_4614_893F_AFCB94FA629C_.wvu.PrintArea" localSheetId="0" hidden="1">'Осн. фін. пок.'!$A$1:$J$86</definedName>
    <definedName name="Z_F65ACDE9_A565_4614_893F_AFCB94FA629C_.wvu.PrintTitles" localSheetId="5" hidden="1">' V. Коефіцієнти'!$5:$5</definedName>
    <definedName name="Z_F65ACDE9_A565_4614_893F_AFCB94FA629C_.wvu.PrintTitles" localSheetId="1" hidden="1">'I. Фін результат'!$5:$5</definedName>
    <definedName name="Z_F65ACDE9_A565_4614_893F_AFCB94FA629C_.wvu.PrintTitles" localSheetId="2" hidden="1">'ІІ. Розр. з бюджетом'!$5:$5</definedName>
    <definedName name="Z_F65ACDE9_A565_4614_893F_AFCB94FA629C_.wvu.PrintTitles" localSheetId="3" hidden="1">'ІІІ. Рух грош. коштів'!$5:$5</definedName>
    <definedName name="Z_F65ACDE9_A565_4614_893F_AFCB94FA629C_.wvu.PrintTitles" localSheetId="0" hidden="1">'Осн. фін. пок.'!$35:$35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V. Коефіцієнти'!$5:$5</definedName>
    <definedName name="_xlnm.Print_Titles" localSheetId="1">'I. Фін результат'!$5:$5</definedName>
    <definedName name="_xlnm.Print_Titles" localSheetId="2">'ІІ. Розр. з бюджетом'!$5:$5</definedName>
    <definedName name="_xlnm.Print_Titles" localSheetId="3">'ІІІ. Рух грош. коштів'!$5:$5</definedName>
    <definedName name="_xlnm.Print_Titles" localSheetId="0">'Осн. фін. пок.'!$35:$35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Коефіцієнти'!$A$1:$H$26</definedName>
    <definedName name="_xlnm.Print_Area" localSheetId="6">'6.1. Інша інфо_1'!$A$1:$O$81</definedName>
    <definedName name="_xlnm.Print_Area" localSheetId="8">'6.2. Інша інфо_2'!$A$1:$AE$54</definedName>
    <definedName name="_xlnm.Print_Area" localSheetId="1">'I. Фін результат'!$A$1:$J$107</definedName>
    <definedName name="_xlnm.Print_Area" localSheetId="4">'IV. Кап. інвестиції'!$A$1:$I$16</definedName>
    <definedName name="_xlnm.Print_Area" localSheetId="2">'ІІ. Розр. з бюджетом'!$A$1:$I$42</definedName>
    <definedName name="_xlnm.Print_Area" localSheetId="3">'ІІІ. Рух грош. коштів'!$A$1:$I$86</definedName>
    <definedName name="_xlnm.Print_Area" localSheetId="0">'Осн. фін. пок.'!$A$1:$J$86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62913"/>
  <customWorkbookViews>
    <customWorkbookView name="uservika - Личное представление" guid="{F65ACDE9-A565-4614-893F-AFCB94FA629C}" mergeInterval="0" personalView="1" maximized="1" xWindow="-8" yWindow="-8" windowWidth="1616" windowHeight="876" tabRatio="837" activeSheetId="9" showComments="commIndAndComment"/>
    <customWorkbookView name="UserNEW - Личное представление" guid="{43DCEB14-ADF8-4168-9283-6542A71D3CF7}" mergeInterval="0" personalView="1" maximized="1" xWindow="1" yWindow="1" windowWidth="1600" windowHeight="670" tabRatio="837" activeSheetId="7"/>
    <customWorkbookView name="Admin - Личное представление" guid="{4BF2F851-A775-4F33-8DA4-C59D9D94DA9D}" mergeInterval="0" personalView="1" maximized="1" xWindow="1" yWindow="1" windowWidth="1366" windowHeight="538" tabRatio="837" activeSheetId="1"/>
    <customWorkbookView name="1235 - Личное представление" guid="{1E3D5FB9-014E-4051-8AD5-DB0A17D05797}" mergeInterval="0" personalView="1" maximized="1" xWindow="1" yWindow="1" windowWidth="1276" windowHeight="794" tabRatio="837" activeSheetId="1"/>
    <customWorkbookView name="USER - Личное представление" guid="{6E930A10-FB87-4441-8A38-C35193B7FA1B}" mergeInterval="0" personalView="1" maximized="1" xWindow="-9" yWindow="-9" windowWidth="1938" windowHeight="1048" tabRatio="837" activeSheetId="8"/>
  </customWorkbookViews>
</workbook>
</file>

<file path=xl/calcChain.xml><?xml version="1.0" encoding="utf-8"?>
<calcChain xmlns="http://schemas.openxmlformats.org/spreadsheetml/2006/main">
  <c r="D76" i="2" l="1"/>
  <c r="E76" i="2"/>
  <c r="F76" i="2"/>
  <c r="G76" i="2"/>
  <c r="H76" i="2"/>
  <c r="I76" i="2"/>
  <c r="E79" i="2"/>
  <c r="F79" i="2"/>
  <c r="G79" i="2"/>
  <c r="H79" i="2"/>
  <c r="G46" i="4"/>
  <c r="H46" i="4"/>
  <c r="I46" i="4"/>
  <c r="F46" i="4"/>
  <c r="I20" i="2" l="1"/>
  <c r="G9" i="2"/>
  <c r="H61" i="4"/>
  <c r="I61" i="4"/>
  <c r="G61" i="4"/>
  <c r="H39" i="4"/>
  <c r="I39" i="4"/>
  <c r="G39" i="4"/>
  <c r="F12" i="4" l="1"/>
  <c r="F61" i="4"/>
  <c r="F39" i="4"/>
  <c r="Z30" i="9" l="1"/>
  <c r="Y30" i="9"/>
  <c r="X30" i="9"/>
  <c r="W30" i="9"/>
  <c r="M7" i="9"/>
  <c r="M12" i="9" s="1"/>
  <c r="M8" i="9"/>
  <c r="M9" i="9"/>
  <c r="M10" i="9"/>
  <c r="M11" i="9"/>
  <c r="Q12" i="9"/>
  <c r="T12" i="9"/>
  <c r="W12" i="9"/>
  <c r="Z12" i="9"/>
  <c r="E62" i="4" l="1"/>
  <c r="E48" i="4"/>
  <c r="E12" i="4"/>
  <c r="E79" i="1" l="1"/>
  <c r="D79" i="1"/>
  <c r="C79" i="1"/>
  <c r="F76" i="1"/>
  <c r="E76" i="1"/>
  <c r="C76" i="1"/>
  <c r="F75" i="1"/>
  <c r="F71" i="1"/>
  <c r="E71" i="1"/>
  <c r="C71" i="1"/>
  <c r="F70" i="1"/>
  <c r="E70" i="1"/>
  <c r="C70" i="1"/>
  <c r="F69" i="1"/>
  <c r="E69" i="1"/>
  <c r="C69" i="1"/>
  <c r="G67" i="1"/>
  <c r="H67" i="1" s="1"/>
  <c r="I67" i="1" s="1"/>
  <c r="J67" i="1" s="1"/>
  <c r="D67" i="1"/>
  <c r="C67" i="1"/>
  <c r="G60" i="1"/>
  <c r="D65" i="1"/>
  <c r="C65" i="1"/>
  <c r="F64" i="1"/>
  <c r="E64" i="1"/>
  <c r="G64" i="1" s="1"/>
  <c r="H64" i="1" s="1"/>
  <c r="I64" i="1" s="1"/>
  <c r="J64" i="1" s="1"/>
  <c r="D64" i="1"/>
  <c r="C64" i="1"/>
  <c r="G63" i="1"/>
  <c r="H63" i="1" s="1"/>
  <c r="I63" i="1" s="1"/>
  <c r="J63" i="1" s="1"/>
  <c r="D63" i="1"/>
  <c r="C63" i="1"/>
  <c r="G62" i="1"/>
  <c r="H62" i="1" s="1"/>
  <c r="I62" i="1" s="1"/>
  <c r="J62" i="1" s="1"/>
  <c r="D62" i="1"/>
  <c r="C62" i="1"/>
  <c r="G61" i="1"/>
  <c r="H61" i="1" s="1"/>
  <c r="I61" i="1" s="1"/>
  <c r="J61" i="1" s="1"/>
  <c r="D61" i="1"/>
  <c r="C61" i="1"/>
  <c r="D60" i="1"/>
  <c r="C60" i="1"/>
  <c r="D58" i="1"/>
  <c r="C58" i="1"/>
  <c r="E57" i="1"/>
  <c r="G57" i="1" s="1"/>
  <c r="H57" i="1" s="1"/>
  <c r="I57" i="1" s="1"/>
  <c r="J57" i="1" s="1"/>
  <c r="D57" i="1"/>
  <c r="C57" i="1"/>
  <c r="E56" i="1"/>
  <c r="G56" i="1" s="1"/>
  <c r="H56" i="1" s="1"/>
  <c r="I56" i="1" s="1"/>
  <c r="J56" i="1" s="1"/>
  <c r="D56" i="1"/>
  <c r="C56" i="1"/>
  <c r="G55" i="1"/>
  <c r="H55" i="1" s="1"/>
  <c r="I55" i="1" s="1"/>
  <c r="J55" i="1" s="1"/>
  <c r="D55" i="1"/>
  <c r="C55" i="1"/>
  <c r="D54" i="1"/>
  <c r="C54" i="1"/>
  <c r="D53" i="1"/>
  <c r="C53" i="1"/>
  <c r="F51" i="1"/>
  <c r="E51" i="1"/>
  <c r="C51" i="1"/>
  <c r="D50" i="1"/>
  <c r="C50" i="1"/>
  <c r="D49" i="1"/>
  <c r="C49" i="1"/>
  <c r="D48" i="1"/>
  <c r="C48" i="1"/>
  <c r="E47" i="1"/>
  <c r="G47" i="1" s="1"/>
  <c r="H47" i="1" s="1"/>
  <c r="I47" i="1" s="1"/>
  <c r="J47" i="1" s="1"/>
  <c r="D47" i="1"/>
  <c r="C47" i="1"/>
  <c r="F46" i="1"/>
  <c r="E46" i="1"/>
  <c r="G46" i="1" s="1"/>
  <c r="H46" i="1" s="1"/>
  <c r="I46" i="1" s="1"/>
  <c r="J46" i="1" s="1"/>
  <c r="D46" i="1"/>
  <c r="C46" i="1"/>
  <c r="F45" i="1"/>
  <c r="E45" i="1"/>
  <c r="G45" i="1" s="1"/>
  <c r="H45" i="1" s="1"/>
  <c r="I45" i="1" s="1"/>
  <c r="J45" i="1" s="1"/>
  <c r="C45" i="1"/>
  <c r="G44" i="1"/>
  <c r="H44" i="1" s="1"/>
  <c r="I44" i="1" s="1"/>
  <c r="J44" i="1" s="1"/>
  <c r="D44" i="1"/>
  <c r="C44" i="1"/>
  <c r="D43" i="1"/>
  <c r="C43" i="1"/>
  <c r="G42" i="1"/>
  <c r="H42" i="1" s="1"/>
  <c r="I42" i="1" s="1"/>
  <c r="J42" i="1" s="1"/>
  <c r="D42" i="1"/>
  <c r="C42" i="1"/>
  <c r="F41" i="1"/>
  <c r="E41" i="1"/>
  <c r="G41" i="1" s="1"/>
  <c r="H41" i="1" s="1"/>
  <c r="I41" i="1" s="1"/>
  <c r="J41" i="1" s="1"/>
  <c r="D41" i="1"/>
  <c r="C41" i="1"/>
  <c r="E40" i="1"/>
  <c r="G40" i="1" s="1"/>
  <c r="H40" i="1" s="1"/>
  <c r="I40" i="1" s="1"/>
  <c r="J40" i="1" s="1"/>
  <c r="D40" i="1"/>
  <c r="C40" i="1"/>
  <c r="E39" i="1"/>
  <c r="D39" i="1"/>
  <c r="C39" i="1"/>
  <c r="G38" i="1"/>
  <c r="H38" i="1" s="1"/>
  <c r="I38" i="1" s="1"/>
  <c r="J38" i="1" s="1"/>
  <c r="D38" i="1"/>
  <c r="C38" i="1"/>
  <c r="G37" i="1"/>
  <c r="D37" i="1"/>
  <c r="C37" i="1"/>
  <c r="D51" i="1" l="1"/>
  <c r="D45" i="1"/>
  <c r="G65" i="1"/>
  <c r="H60" i="1" s="1"/>
  <c r="H65" i="1" s="1"/>
  <c r="I60" i="1" s="1"/>
  <c r="I65" i="1" s="1"/>
  <c r="J60" i="1" s="1"/>
  <c r="J65" i="1" s="1"/>
  <c r="H37" i="1"/>
  <c r="G39" i="1"/>
  <c r="G43" i="1" s="1"/>
  <c r="G48" i="1" s="1"/>
  <c r="G49" i="1" l="1"/>
  <c r="I37" i="1"/>
  <c r="H39" i="1"/>
  <c r="H43" i="1" s="1"/>
  <c r="H48" i="1" s="1"/>
  <c r="G50" i="1" l="1"/>
  <c r="G54" i="1"/>
  <c r="H49" i="1"/>
  <c r="J37" i="1"/>
  <c r="J39" i="1" s="1"/>
  <c r="J43" i="1" s="1"/>
  <c r="J48" i="1" s="1"/>
  <c r="I39" i="1"/>
  <c r="I43" i="1" s="1"/>
  <c r="I48" i="1" s="1"/>
  <c r="H50" i="1" l="1"/>
  <c r="H54" i="1"/>
  <c r="G51" i="1"/>
  <c r="G53" i="1"/>
  <c r="G58" i="1" s="1"/>
  <c r="I49" i="1"/>
  <c r="J49" i="1"/>
  <c r="J50" i="1" l="1"/>
  <c r="J54" i="1"/>
  <c r="I50" i="1"/>
  <c r="I54" i="1"/>
  <c r="H51" i="1"/>
  <c r="H53" i="1"/>
  <c r="H58" i="1" s="1"/>
  <c r="J19" i="7"/>
  <c r="J20" i="7"/>
  <c r="J21" i="7"/>
  <c r="J23" i="7"/>
  <c r="J24" i="7"/>
  <c r="J25" i="7"/>
  <c r="J27" i="7"/>
  <c r="L27" i="7" s="1"/>
  <c r="J28" i="7"/>
  <c r="L28" i="7" s="1"/>
  <c r="J29" i="7"/>
  <c r="J31" i="7"/>
  <c r="J32" i="7"/>
  <c r="J33" i="7"/>
  <c r="L12" i="7"/>
  <c r="N12" i="7"/>
  <c r="L13" i="7"/>
  <c r="N13" i="7"/>
  <c r="L14" i="7"/>
  <c r="N14" i="7"/>
  <c r="L15" i="7"/>
  <c r="N15" i="7"/>
  <c r="L16" i="7"/>
  <c r="N16" i="7"/>
  <c r="L17" i="7"/>
  <c r="N17" i="7"/>
  <c r="L19" i="7"/>
  <c r="N19" i="7"/>
  <c r="L20" i="7"/>
  <c r="N20" i="7"/>
  <c r="L21" i="7"/>
  <c r="N21" i="7"/>
  <c r="L23" i="7"/>
  <c r="N23" i="7"/>
  <c r="L24" i="7"/>
  <c r="N24" i="7"/>
  <c r="L25" i="7"/>
  <c r="N25" i="7"/>
  <c r="N28" i="7"/>
  <c r="L29" i="7"/>
  <c r="N29" i="7"/>
  <c r="L31" i="7"/>
  <c r="N31" i="7"/>
  <c r="L32" i="7"/>
  <c r="N32" i="7"/>
  <c r="L33" i="7"/>
  <c r="N33" i="7"/>
  <c r="G19" i="6"/>
  <c r="F19" i="6"/>
  <c r="E19" i="6" s="1"/>
  <c r="D19" i="6"/>
  <c r="G18" i="6"/>
  <c r="F18" i="6"/>
  <c r="E18" i="6" s="1"/>
  <c r="D18" i="6"/>
  <c r="G17" i="6"/>
  <c r="F17" i="6"/>
  <c r="E17" i="6" s="1"/>
  <c r="D17" i="6"/>
  <c r="G15" i="6"/>
  <c r="F15" i="6"/>
  <c r="E15" i="6"/>
  <c r="D15" i="6"/>
  <c r="G14" i="6"/>
  <c r="F14" i="6"/>
  <c r="E14" i="6" s="1"/>
  <c r="D14" i="6"/>
  <c r="G13" i="6"/>
  <c r="F13" i="6"/>
  <c r="E13" i="6" s="1"/>
  <c r="D13" i="6"/>
  <c r="G11" i="6"/>
  <c r="F11" i="6"/>
  <c r="E11" i="6" s="1"/>
  <c r="D11" i="6"/>
  <c r="G10" i="6"/>
  <c r="F10" i="6"/>
  <c r="E10" i="6"/>
  <c r="D10" i="6"/>
  <c r="G9" i="6"/>
  <c r="F9" i="6"/>
  <c r="E9" i="6" s="1"/>
  <c r="D9" i="6"/>
  <c r="G8" i="6"/>
  <c r="F8" i="6"/>
  <c r="E8" i="6" s="1"/>
  <c r="D8" i="6"/>
  <c r="G7" i="6"/>
  <c r="F7" i="6"/>
  <c r="E7" i="6" s="1"/>
  <c r="D7" i="6"/>
  <c r="I60" i="4"/>
  <c r="H60" i="4"/>
  <c r="G60" i="4"/>
  <c r="F60" i="4"/>
  <c r="F48" i="4"/>
  <c r="G48" i="4"/>
  <c r="H48" i="4"/>
  <c r="I48" i="4"/>
  <c r="I37" i="3"/>
  <c r="K32" i="2"/>
  <c r="L32" i="2"/>
  <c r="M32" i="2"/>
  <c r="N32" i="2"/>
  <c r="K33" i="2"/>
  <c r="L33" i="2"/>
  <c r="M33" i="2"/>
  <c r="N33" i="2"/>
  <c r="I46" i="2"/>
  <c r="H46" i="2"/>
  <c r="G46" i="2"/>
  <c r="F46" i="2"/>
  <c r="I102" i="2"/>
  <c r="H102" i="2"/>
  <c r="G102" i="2"/>
  <c r="F102" i="2"/>
  <c r="H99" i="2"/>
  <c r="H97" i="2" s="1"/>
  <c r="G99" i="2"/>
  <c r="G97" i="2" s="1"/>
  <c r="F99" i="2"/>
  <c r="F97" i="2" s="1"/>
  <c r="I70" i="2"/>
  <c r="H70" i="2"/>
  <c r="G70" i="2"/>
  <c r="F70" i="2"/>
  <c r="I61" i="2"/>
  <c r="H61" i="2"/>
  <c r="G61" i="2"/>
  <c r="F61" i="2"/>
  <c r="C61" i="2"/>
  <c r="D61" i="2"/>
  <c r="E61" i="2"/>
  <c r="C70" i="2"/>
  <c r="D70" i="2"/>
  <c r="E70" i="2"/>
  <c r="H20" i="2"/>
  <c r="G20" i="2"/>
  <c r="F20" i="2"/>
  <c r="I51" i="1" l="1"/>
  <c r="I53" i="1"/>
  <c r="I58" i="1" s="1"/>
  <c r="J51" i="1"/>
  <c r="J53" i="1"/>
  <c r="J58" i="1" s="1"/>
  <c r="N27" i="7"/>
  <c r="W94" i="8" l="1"/>
  <c r="W93" i="8"/>
  <c r="W89" i="8"/>
  <c r="W88" i="8"/>
  <c r="W83" i="8"/>
  <c r="W71" i="8"/>
  <c r="Z69" i="8"/>
  <c r="Y69" i="8"/>
  <c r="X69" i="8"/>
  <c r="W69" i="8"/>
  <c r="Z68" i="8"/>
  <c r="Y68" i="8"/>
  <c r="X68" i="8"/>
  <c r="W68" i="8"/>
  <c r="Z62" i="8"/>
  <c r="Z65" i="8"/>
  <c r="Y65" i="8"/>
  <c r="X65" i="8"/>
  <c r="W65" i="8"/>
  <c r="Y62" i="8"/>
  <c r="X62" i="8"/>
  <c r="W62" i="8"/>
  <c r="AF56" i="8" l="1"/>
  <c r="AE56" i="8"/>
  <c r="AD56" i="8"/>
  <c r="AC56" i="8"/>
  <c r="AB56" i="8"/>
  <c r="AA56" i="8"/>
  <c r="Z56" i="8"/>
  <c r="Y56" i="8"/>
  <c r="X56" i="8"/>
  <c r="W56" i="8"/>
  <c r="AF55" i="8"/>
  <c r="AE55" i="8"/>
  <c r="AD55" i="8"/>
  <c r="AC55" i="8"/>
  <c r="AB55" i="8"/>
  <c r="AA55" i="8"/>
  <c r="Z55" i="8"/>
  <c r="Y55" i="8"/>
  <c r="X55" i="8"/>
  <c r="W55" i="8"/>
  <c r="AD54" i="8"/>
  <c r="AE54" i="8" s="1"/>
  <c r="AC54" i="8"/>
  <c r="AF54" i="8" s="1"/>
  <c r="AB54" i="8"/>
  <c r="AA54" i="8"/>
  <c r="Z54" i="8"/>
  <c r="Y54" i="8"/>
  <c r="X54" i="8"/>
  <c r="W54" i="8"/>
  <c r="AF53" i="8"/>
  <c r="AD53" i="8"/>
  <c r="AC53" i="8"/>
  <c r="AE53" i="8" s="1"/>
  <c r="AB53" i="8"/>
  <c r="AA53" i="8"/>
  <c r="Z53" i="8"/>
  <c r="Y53" i="8"/>
  <c r="X53" i="8"/>
  <c r="W53" i="8"/>
  <c r="AD52" i="8"/>
  <c r="AE52" i="8" s="1"/>
  <c r="AC52" i="8"/>
  <c r="AF52" i="8" s="1"/>
  <c r="AB52" i="8"/>
  <c r="AA52" i="8"/>
  <c r="Z52" i="8"/>
  <c r="Y52" i="8"/>
  <c r="X52" i="8"/>
  <c r="W52" i="8"/>
  <c r="AE50" i="8"/>
  <c r="AD50" i="8"/>
  <c r="AC50" i="8"/>
  <c r="AF50" i="8" s="1"/>
  <c r="AB50" i="8"/>
  <c r="AA50" i="8"/>
  <c r="Z50" i="8"/>
  <c r="Y50" i="8"/>
  <c r="X50" i="8"/>
  <c r="W50" i="8"/>
  <c r="AD49" i="8"/>
  <c r="AE49" i="8" s="1"/>
  <c r="AC49" i="8"/>
  <c r="AF49" i="8" s="1"/>
  <c r="AB49" i="8"/>
  <c r="AA49" i="8"/>
  <c r="Z49" i="8"/>
  <c r="Y49" i="8"/>
  <c r="X49" i="8"/>
  <c r="W49" i="8"/>
  <c r="AF48" i="8"/>
  <c r="AE48" i="8"/>
  <c r="AD48" i="8"/>
  <c r="AC48" i="8"/>
  <c r="AB48" i="8"/>
  <c r="AA48" i="8"/>
  <c r="Z48" i="8"/>
  <c r="Y48" i="8"/>
  <c r="X48" i="8"/>
  <c r="W48" i="8"/>
  <c r="AE46" i="8"/>
  <c r="AD46" i="8"/>
  <c r="AC46" i="8"/>
  <c r="AF46" i="8" s="1"/>
  <c r="AB46" i="8"/>
  <c r="AA46" i="8"/>
  <c r="Z46" i="8"/>
  <c r="Y46" i="8"/>
  <c r="X46" i="8"/>
  <c r="W46" i="8"/>
  <c r="AD45" i="8"/>
  <c r="AE45" i="8" s="1"/>
  <c r="AC45" i="8"/>
  <c r="AF45" i="8" s="1"/>
  <c r="AB45" i="8"/>
  <c r="AA45" i="8"/>
  <c r="Z45" i="8"/>
  <c r="Y45" i="8"/>
  <c r="X45" i="8"/>
  <c r="W45" i="8"/>
  <c r="AD43" i="8"/>
  <c r="AE43" i="8" s="1"/>
  <c r="AC43" i="8"/>
  <c r="AF43" i="8" s="1"/>
  <c r="AB43" i="8"/>
  <c r="AA43" i="8"/>
  <c r="Z43" i="8"/>
  <c r="Y43" i="8"/>
  <c r="X43" i="8"/>
  <c r="W43" i="8"/>
  <c r="AD42" i="8"/>
  <c r="AC42" i="8"/>
  <c r="AE42" i="8" s="1"/>
  <c r="AB42" i="8"/>
  <c r="AA42" i="8"/>
  <c r="Z42" i="8"/>
  <c r="Y42" i="8"/>
  <c r="X42" i="8"/>
  <c r="W42" i="8"/>
  <c r="AD41" i="8"/>
  <c r="AE41" i="8" s="1"/>
  <c r="AC41" i="8"/>
  <c r="AF41" i="8" s="1"/>
  <c r="AB41" i="8"/>
  <c r="AA41" i="8"/>
  <c r="Z41" i="8"/>
  <c r="Y41" i="8"/>
  <c r="X41" i="8"/>
  <c r="W41" i="8"/>
  <c r="AF40" i="8"/>
  <c r="AE40" i="8"/>
  <c r="AD40" i="8"/>
  <c r="AC40" i="8"/>
  <c r="AB40" i="8"/>
  <c r="AA40" i="8"/>
  <c r="Z40" i="8"/>
  <c r="Y40" i="8"/>
  <c r="X40" i="8"/>
  <c r="W40" i="8"/>
  <c r="AF39" i="8"/>
  <c r="AF10" i="8"/>
  <c r="X10" i="8"/>
  <c r="W10" i="8"/>
  <c r="C56" i="8"/>
  <c r="AF42" i="8" l="1"/>
  <c r="U55" i="8"/>
  <c r="U54" i="8"/>
  <c r="U53" i="8"/>
  <c r="U52" i="8"/>
  <c r="U50" i="8"/>
  <c r="U49" i="8"/>
  <c r="U48" i="8"/>
  <c r="U46" i="8"/>
  <c r="U45" i="8"/>
  <c r="U43" i="8"/>
  <c r="U42" i="8"/>
  <c r="U41" i="8"/>
  <c r="U40" i="8"/>
  <c r="O55" i="8"/>
  <c r="O54" i="8"/>
  <c r="O53" i="8"/>
  <c r="O52" i="8"/>
  <c r="O50" i="8"/>
  <c r="O49" i="8"/>
  <c r="O48" i="8"/>
  <c r="O46" i="8"/>
  <c r="O45" i="8"/>
  <c r="O43" i="8"/>
  <c r="O42" i="8"/>
  <c r="O41" i="8"/>
  <c r="O40" i="8"/>
  <c r="O10" i="8"/>
  <c r="N55" i="8"/>
  <c r="M55" i="8" s="1"/>
  <c r="N42" i="8"/>
  <c r="M42" i="8" s="1"/>
  <c r="N54" i="8"/>
  <c r="M54" i="8" s="1"/>
  <c r="N53" i="8"/>
  <c r="M53" i="8" s="1"/>
  <c r="N46" i="8"/>
  <c r="M46" i="8" s="1"/>
  <c r="N43" i="8"/>
  <c r="N38" i="8"/>
  <c r="N32" i="8"/>
  <c r="N31" i="8"/>
  <c r="N19" i="8"/>
  <c r="M52" i="8"/>
  <c r="M50" i="8"/>
  <c r="M49" i="8"/>
  <c r="M48" i="8"/>
  <c r="M45" i="8"/>
  <c r="M41" i="8"/>
  <c r="M40" i="8"/>
  <c r="L56" i="8"/>
  <c r="P56" i="8"/>
  <c r="Q56" i="8"/>
  <c r="R56" i="8"/>
  <c r="S56" i="8"/>
  <c r="T56" i="8"/>
  <c r="L10" i="8"/>
  <c r="N56" i="8" l="1"/>
  <c r="M43" i="8"/>
  <c r="K28" i="8"/>
  <c r="L55" i="8"/>
  <c r="L54" i="8"/>
  <c r="L53" i="8"/>
  <c r="L52" i="8"/>
  <c r="L50" i="8"/>
  <c r="L49" i="8"/>
  <c r="L48" i="8"/>
  <c r="L46" i="8"/>
  <c r="L45" i="8"/>
  <c r="L43" i="8"/>
  <c r="L42" i="8"/>
  <c r="L41" i="8"/>
  <c r="L40" i="8"/>
  <c r="L18" i="8"/>
  <c r="E56" i="8"/>
  <c r="F56" i="8"/>
  <c r="G56" i="8"/>
  <c r="H56" i="8"/>
  <c r="I56" i="8"/>
  <c r="J56" i="8"/>
  <c r="K55" i="8"/>
  <c r="K54" i="8"/>
  <c r="K53" i="8"/>
  <c r="K52" i="8"/>
  <c r="K50" i="8"/>
  <c r="K49" i="8"/>
  <c r="K48" i="8"/>
  <c r="K46" i="8"/>
  <c r="K45" i="8"/>
  <c r="K43" i="8"/>
  <c r="K56" i="8" s="1"/>
  <c r="K42" i="8"/>
  <c r="K41" i="8"/>
  <c r="K40" i="8"/>
  <c r="E55" i="8"/>
  <c r="E54" i="8"/>
  <c r="E53" i="8"/>
  <c r="E52" i="8"/>
  <c r="E50" i="8"/>
  <c r="E49" i="8"/>
  <c r="E48" i="8"/>
  <c r="E46" i="8"/>
  <c r="E45" i="8"/>
  <c r="E43" i="8"/>
  <c r="E42" i="8"/>
  <c r="E41" i="8"/>
  <c r="E40" i="8"/>
  <c r="E21" i="8"/>
  <c r="E19" i="8"/>
  <c r="E18" i="8"/>
  <c r="E16" i="8"/>
  <c r="E10" i="8"/>
  <c r="D6" i="5" l="1"/>
  <c r="C39" i="4"/>
  <c r="M56" i="7" l="1"/>
  <c r="W87" i="8"/>
  <c r="E99" i="2"/>
  <c r="E97" i="2" s="1"/>
  <c r="D110" i="2"/>
  <c r="D99" i="2" s="1"/>
  <c r="D97" i="2" s="1"/>
  <c r="C110" i="2"/>
  <c r="E38" i="8" l="1"/>
  <c r="K38" i="8" s="1"/>
  <c r="M10" i="8"/>
  <c r="E22" i="8"/>
  <c r="D100" i="2"/>
  <c r="D101" i="2"/>
  <c r="D102" i="2"/>
  <c r="E102" i="2"/>
  <c r="F56" i="7"/>
  <c r="K22" i="8" l="1"/>
  <c r="F22" i="3" l="1"/>
  <c r="D20" i="3"/>
  <c r="D21" i="3"/>
  <c r="O32" i="9" l="1"/>
  <c r="P32" i="9"/>
  <c r="Q32" i="9"/>
  <c r="R32" i="9"/>
  <c r="E39" i="4"/>
  <c r="E21" i="4"/>
  <c r="D39" i="4"/>
  <c r="D17" i="4" l="1"/>
  <c r="E17" i="4"/>
  <c r="F17" i="4"/>
  <c r="G17" i="4"/>
  <c r="H17" i="4"/>
  <c r="I17" i="4"/>
  <c r="C17" i="4"/>
  <c r="M37" i="8" l="1"/>
  <c r="I56" i="7" l="1"/>
  <c r="M26" i="8" l="1"/>
  <c r="E39" i="8"/>
  <c r="X12" i="8" l="1"/>
  <c r="Y39" i="8"/>
  <c r="K39" i="8"/>
  <c r="K57" i="8" s="1"/>
  <c r="L39" i="8" l="1"/>
  <c r="K18" i="8" l="1"/>
  <c r="K19" i="8"/>
  <c r="E15" i="8"/>
  <c r="K15" i="8" s="1"/>
  <c r="D56" i="8"/>
  <c r="I21" i="4"/>
  <c r="H21" i="4"/>
  <c r="G21" i="4"/>
  <c r="F21" i="4"/>
  <c r="K16" i="8" l="1"/>
  <c r="L16" i="8" s="1"/>
  <c r="D8" i="3"/>
  <c r="C60" i="4"/>
  <c r="C46" i="4"/>
  <c r="C46" i="2"/>
  <c r="E46" i="2"/>
  <c r="D46" i="2"/>
  <c r="E100" i="2" l="1"/>
  <c r="E101" i="2"/>
  <c r="M35" i="8" l="1"/>
  <c r="M36" i="8"/>
  <c r="M38" i="8"/>
  <c r="M39" i="8"/>
  <c r="O39" i="8" s="1"/>
  <c r="M32" i="8"/>
  <c r="M34" i="8"/>
  <c r="M25" i="8"/>
  <c r="M24" i="8"/>
  <c r="M22" i="8"/>
  <c r="M16" i="8"/>
  <c r="M18" i="8"/>
  <c r="M19" i="8"/>
  <c r="M21" i="8"/>
  <c r="M11" i="8"/>
  <c r="M12" i="8"/>
  <c r="M13" i="8"/>
  <c r="M15" i="8"/>
  <c r="E11" i="8" l="1"/>
  <c r="E12" i="8"/>
  <c r="K12" i="8" s="1"/>
  <c r="E13" i="8"/>
  <c r="L15" i="8"/>
  <c r="L19" i="8"/>
  <c r="K21" i="8"/>
  <c r="E24" i="8"/>
  <c r="E25" i="8"/>
  <c r="E26" i="8"/>
  <c r="E28" i="8"/>
  <c r="E30" i="8"/>
  <c r="E31" i="8"/>
  <c r="E32" i="8"/>
  <c r="E34" i="8"/>
  <c r="E35" i="8"/>
  <c r="E36" i="8"/>
  <c r="E37" i="8"/>
  <c r="L38" i="8"/>
  <c r="D21" i="4"/>
  <c r="E46" i="4"/>
  <c r="K11" i="8" l="1"/>
  <c r="K34" i="8"/>
  <c r="L28" i="8"/>
  <c r="K13" i="8"/>
  <c r="L13" i="8" s="1"/>
  <c r="O13" i="8" s="1"/>
  <c r="U13" i="8" s="1"/>
  <c r="K10" i="8"/>
  <c r="K37" i="8"/>
  <c r="K26" i="8"/>
  <c r="L26" i="8" s="1"/>
  <c r="K36" i="8"/>
  <c r="W37" i="8"/>
  <c r="W26" i="8"/>
  <c r="Y10" i="8"/>
  <c r="K24" i="8"/>
  <c r="L21" i="8"/>
  <c r="O21" i="8" s="1"/>
  <c r="U21" i="8" s="1"/>
  <c r="L11" i="8"/>
  <c r="K35" i="8"/>
  <c r="K32" i="8"/>
  <c r="K31" i="8"/>
  <c r="U39" i="8"/>
  <c r="O18" i="8"/>
  <c r="U18" i="8" s="1"/>
  <c r="O38" i="8"/>
  <c r="O19" i="8"/>
  <c r="U19" i="8" s="1"/>
  <c r="O16" i="8"/>
  <c r="U16" i="8" s="1"/>
  <c r="O15" i="8"/>
  <c r="U15" i="8" s="1"/>
  <c r="D7" i="2"/>
  <c r="E7" i="2"/>
  <c r="F7" i="2"/>
  <c r="G7" i="2"/>
  <c r="H7" i="2"/>
  <c r="I7" i="2"/>
  <c r="C7" i="2"/>
  <c r="U10" i="8" l="1"/>
  <c r="K30" i="8"/>
  <c r="L30" i="8" s="1"/>
  <c r="L31" i="8"/>
  <c r="K25" i="8"/>
  <c r="L25" i="8" s="1"/>
  <c r="O25" i="8" s="1"/>
  <c r="U25" i="8" s="1"/>
  <c r="L36" i="8"/>
  <c r="O36" i="8" s="1"/>
  <c r="L24" i="8"/>
  <c r="O24" i="8" s="1"/>
  <c r="U24" i="8" s="1"/>
  <c r="L35" i="8"/>
  <c r="O35" i="8" s="1"/>
  <c r="U35" i="8" s="1"/>
  <c r="L12" i="8"/>
  <c r="O12" i="8" s="1"/>
  <c r="U12" i="8" s="1"/>
  <c r="L32" i="8"/>
  <c r="O32" i="8" s="1"/>
  <c r="U32" i="8" s="1"/>
  <c r="C87" i="2"/>
  <c r="L22" i="8"/>
  <c r="O22" i="8" s="1"/>
  <c r="U22" i="8" s="1"/>
  <c r="O11" i="8"/>
  <c r="U11" i="8" s="1"/>
  <c r="O26" i="8"/>
  <c r="U26" i="8" s="1"/>
  <c r="U38" i="8"/>
  <c r="L37" i="8" l="1"/>
  <c r="O37" i="8" s="1"/>
  <c r="L34" i="8"/>
  <c r="O34" i="8" s="1"/>
  <c r="U34" i="8" s="1"/>
  <c r="Y11" i="8" l="1"/>
  <c r="AA11" i="8"/>
  <c r="AC11" i="8"/>
  <c r="Y12" i="8"/>
  <c r="AA12" i="8"/>
  <c r="AC12" i="8"/>
  <c r="Y13" i="8"/>
  <c r="AA13" i="8"/>
  <c r="AC13" i="8"/>
  <c r="Y15" i="8"/>
  <c r="AA15" i="8"/>
  <c r="AC15" i="8"/>
  <c r="Y16" i="8"/>
  <c r="AA16" i="8"/>
  <c r="AC16" i="8"/>
  <c r="Y18" i="8"/>
  <c r="AA18" i="8"/>
  <c r="AC18" i="8"/>
  <c r="Y19" i="8"/>
  <c r="AA19" i="8"/>
  <c r="AC19" i="8"/>
  <c r="Y21" i="8"/>
  <c r="AA21" i="8"/>
  <c r="AC21" i="8"/>
  <c r="Y22" i="8"/>
  <c r="AA22" i="8"/>
  <c r="AC22" i="8"/>
  <c r="Y24" i="8"/>
  <c r="AA24" i="8"/>
  <c r="AC24" i="8"/>
  <c r="Y25" i="8"/>
  <c r="AA25" i="8"/>
  <c r="AC25" i="8"/>
  <c r="Y26" i="8"/>
  <c r="AA26" i="8"/>
  <c r="AC26" i="8"/>
  <c r="Y28" i="8"/>
  <c r="AA28" i="8"/>
  <c r="AC28" i="8"/>
  <c r="Y30" i="8"/>
  <c r="AA30" i="8"/>
  <c r="AC30" i="8"/>
  <c r="Y31" i="8"/>
  <c r="AA31" i="8"/>
  <c r="AC31" i="8"/>
  <c r="Y32" i="8"/>
  <c r="AA32" i="8"/>
  <c r="AC32" i="8"/>
  <c r="Y34" i="8"/>
  <c r="AA34" i="8"/>
  <c r="AC34" i="8"/>
  <c r="Y35" i="8"/>
  <c r="AA35" i="8"/>
  <c r="AC35" i="8"/>
  <c r="Y36" i="8"/>
  <c r="AA36" i="8"/>
  <c r="AC36" i="8"/>
  <c r="Y37" i="8"/>
  <c r="AA37" i="8"/>
  <c r="AC37" i="8"/>
  <c r="Y38" i="8"/>
  <c r="AA38" i="8"/>
  <c r="AC38" i="8"/>
  <c r="AA39" i="8"/>
  <c r="AC39" i="8"/>
  <c r="AC10" i="8"/>
  <c r="AA10" i="8"/>
  <c r="W11" i="8"/>
  <c r="W12" i="8"/>
  <c r="W13" i="8"/>
  <c r="W15" i="8"/>
  <c r="W16" i="8"/>
  <c r="W18" i="8"/>
  <c r="W19" i="8"/>
  <c r="W21" i="8"/>
  <c r="W22" i="8"/>
  <c r="W24" i="8"/>
  <c r="W25" i="8"/>
  <c r="W28" i="8"/>
  <c r="W30" i="8"/>
  <c r="W31" i="8"/>
  <c r="W32" i="8"/>
  <c r="W34" i="8"/>
  <c r="W35" i="8"/>
  <c r="W36" i="8"/>
  <c r="W38" i="8"/>
  <c r="W39" i="8"/>
  <c r="AD13" i="8"/>
  <c r="AD16" i="8"/>
  <c r="X24" i="8"/>
  <c r="X38" i="8" l="1"/>
  <c r="AD38" i="8"/>
  <c r="AE38" i="8" s="1"/>
  <c r="AD25" i="8"/>
  <c r="AE25" i="8" s="1"/>
  <c r="AD22" i="8"/>
  <c r="AE22" i="8" s="1"/>
  <c r="AF16" i="8"/>
  <c r="AF13" i="8"/>
  <c r="Z39" i="8"/>
  <c r="X39" i="8"/>
  <c r="AD19" i="8"/>
  <c r="AE19" i="8" s="1"/>
  <c r="Z10" i="8"/>
  <c r="AD11" i="8"/>
  <c r="AE11" i="8" s="1"/>
  <c r="X11" i="8"/>
  <c r="AE16" i="8"/>
  <c r="AE13" i="8"/>
  <c r="AD32" i="8"/>
  <c r="AE32" i="8" s="1"/>
  <c r="AB18" i="8"/>
  <c r="AB15" i="8"/>
  <c r="AD39" i="8"/>
  <c r="AD35" i="8"/>
  <c r="AE35" i="8" s="1"/>
  <c r="AD34" i="8"/>
  <c r="AE34" i="8" s="1"/>
  <c r="AD26" i="8"/>
  <c r="AE26" i="8" s="1"/>
  <c r="AD24" i="8"/>
  <c r="AE24" i="8" s="1"/>
  <c r="AD21" i="8"/>
  <c r="AE21" i="8" s="1"/>
  <c r="AB12" i="8"/>
  <c r="AD10" i="8"/>
  <c r="AE10" i="8" s="1"/>
  <c r="X34" i="8"/>
  <c r="X25" i="8"/>
  <c r="X22" i="8"/>
  <c r="X19" i="8"/>
  <c r="X16" i="8"/>
  <c r="X13" i="8"/>
  <c r="Z38" i="8"/>
  <c r="Z34" i="8"/>
  <c r="Z25" i="8"/>
  <c r="Z22" i="8"/>
  <c r="Z19" i="8"/>
  <c r="Z16" i="8"/>
  <c r="Z13" i="8"/>
  <c r="Z11" i="8"/>
  <c r="AB38" i="8"/>
  <c r="AB34" i="8"/>
  <c r="AB25" i="8"/>
  <c r="AB22" i="8"/>
  <c r="AB19" i="8"/>
  <c r="AB16" i="8"/>
  <c r="AB13" i="8"/>
  <c r="AB11" i="8"/>
  <c r="AD18" i="8"/>
  <c r="AE18" i="8" s="1"/>
  <c r="AD15" i="8"/>
  <c r="AE15" i="8" s="1"/>
  <c r="AD12" i="8"/>
  <c r="AE12" i="8" s="1"/>
  <c r="X35" i="8"/>
  <c r="X32" i="8"/>
  <c r="X26" i="8"/>
  <c r="X21" i="8"/>
  <c r="X18" i="8"/>
  <c r="X15" i="8"/>
  <c r="Z35" i="8"/>
  <c r="Z32" i="8"/>
  <c r="Z26" i="8"/>
  <c r="Z24" i="8"/>
  <c r="Z21" i="8"/>
  <c r="Z18" i="8"/>
  <c r="Z15" i="8"/>
  <c r="Z12" i="8"/>
  <c r="AB10" i="8"/>
  <c r="AB39" i="8"/>
  <c r="AB35" i="8"/>
  <c r="AB32" i="8"/>
  <c r="AB26" i="8"/>
  <c r="AB24" i="8"/>
  <c r="AB21" i="8"/>
  <c r="AF22" i="8" l="1"/>
  <c r="AF26" i="8"/>
  <c r="AF11" i="8"/>
  <c r="AF38" i="8"/>
  <c r="AF32" i="8"/>
  <c r="W77" i="8"/>
  <c r="W92" i="8"/>
  <c r="AF15" i="8"/>
  <c r="AF21" i="8"/>
  <c r="AF24" i="8"/>
  <c r="AF19" i="8"/>
  <c r="AF35" i="8"/>
  <c r="AF25" i="8"/>
  <c r="AF12" i="8"/>
  <c r="AF18" i="8"/>
  <c r="AF34" i="8"/>
  <c r="AE39" i="8"/>
  <c r="W82" i="8" l="1"/>
  <c r="N32" i="9"/>
  <c r="L32" i="9"/>
  <c r="K32" i="9"/>
  <c r="M32" i="9"/>
  <c r="D12" i="4"/>
  <c r="G13" i="4"/>
  <c r="G12" i="4" s="1"/>
  <c r="H13" i="4"/>
  <c r="H12" i="4" s="1"/>
  <c r="I13" i="4"/>
  <c r="I12" i="4" s="1"/>
  <c r="F13" i="4"/>
  <c r="X32" i="9" l="1"/>
  <c r="Y32" i="9"/>
  <c r="Z32" i="9"/>
  <c r="R33" i="9" l="1"/>
  <c r="N33" i="9"/>
  <c r="P33" i="9"/>
  <c r="L33" i="9"/>
  <c r="Q33" i="9"/>
  <c r="M33" i="9"/>
  <c r="L56" i="7"/>
  <c r="F113" i="2" l="1"/>
  <c r="G113" i="2"/>
  <c r="H113" i="2"/>
  <c r="I113" i="2"/>
  <c r="G112" i="2"/>
  <c r="H112" i="2"/>
  <c r="I112" i="2"/>
  <c r="F112" i="2"/>
  <c r="C21" i="4" l="1"/>
  <c r="C37" i="3"/>
  <c r="AC12" i="9" l="1"/>
  <c r="V20" i="9"/>
  <c r="V21" i="9"/>
  <c r="X22" i="9"/>
  <c r="Z22" i="9"/>
  <c r="AB22" i="9"/>
  <c r="AD22" i="9"/>
  <c r="W32" i="9"/>
  <c r="G32" i="9"/>
  <c r="H32" i="9"/>
  <c r="I32" i="9"/>
  <c r="J32" i="9"/>
  <c r="S32" i="9"/>
  <c r="T32" i="9"/>
  <c r="U32" i="9"/>
  <c r="V32" i="9"/>
  <c r="M41" i="9"/>
  <c r="M42" i="9"/>
  <c r="M43" i="9"/>
  <c r="M44" i="9"/>
  <c r="M45" i="9"/>
  <c r="M46" i="9"/>
  <c r="M47" i="9"/>
  <c r="E48" i="9"/>
  <c r="G48" i="9"/>
  <c r="I48" i="9"/>
  <c r="K48" i="9"/>
  <c r="O48" i="9"/>
  <c r="Q48" i="9"/>
  <c r="S48" i="9"/>
  <c r="O56" i="7"/>
  <c r="M57" i="7"/>
  <c r="K66" i="7"/>
  <c r="C6" i="5"/>
  <c r="E6" i="5"/>
  <c r="G6" i="5"/>
  <c r="H6" i="5"/>
  <c r="I6" i="5"/>
  <c r="F26" i="4"/>
  <c r="G26" i="4"/>
  <c r="H26" i="4"/>
  <c r="C48" i="4"/>
  <c r="D48" i="4"/>
  <c r="G22" i="3"/>
  <c r="H22" i="3"/>
  <c r="C25" i="3"/>
  <c r="D25" i="3"/>
  <c r="E25" i="3"/>
  <c r="D87" i="2"/>
  <c r="G87" i="2"/>
  <c r="C9" i="2"/>
  <c r="D9" i="2"/>
  <c r="E9" i="2"/>
  <c r="C24" i="2"/>
  <c r="D24" i="2"/>
  <c r="E24" i="2"/>
  <c r="C49" i="2"/>
  <c r="D49" i="2"/>
  <c r="E49" i="2"/>
  <c r="F49" i="2"/>
  <c r="G49" i="2"/>
  <c r="H49" i="2"/>
  <c r="I49" i="2"/>
  <c r="C56" i="2"/>
  <c r="C84" i="2" s="1"/>
  <c r="D56" i="2"/>
  <c r="D84" i="2" s="1"/>
  <c r="E56" i="2"/>
  <c r="E84" i="2" s="1"/>
  <c r="F56" i="2"/>
  <c r="G56" i="2"/>
  <c r="I56" i="2"/>
  <c r="C85" i="2"/>
  <c r="D85" i="2"/>
  <c r="E85" i="2"/>
  <c r="F85" i="2"/>
  <c r="G85" i="2"/>
  <c r="H85" i="2"/>
  <c r="I85" i="2"/>
  <c r="C86" i="2"/>
  <c r="D86" i="2"/>
  <c r="E86" i="2"/>
  <c r="F86" i="2"/>
  <c r="G86" i="2"/>
  <c r="H86" i="2"/>
  <c r="I86" i="2"/>
  <c r="E87" i="2"/>
  <c r="C92" i="2"/>
  <c r="D92" i="2"/>
  <c r="E92" i="2"/>
  <c r="F92" i="2"/>
  <c r="G92" i="2"/>
  <c r="H92" i="2"/>
  <c r="I92" i="2"/>
  <c r="C93" i="2"/>
  <c r="D93" i="2"/>
  <c r="E93" i="2"/>
  <c r="F93" i="2"/>
  <c r="G93" i="2"/>
  <c r="H93" i="2"/>
  <c r="I93" i="2"/>
  <c r="D9" i="4"/>
  <c r="F9" i="4"/>
  <c r="H9" i="4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3" i="1"/>
  <c r="B54" i="1"/>
  <c r="B56" i="1"/>
  <c r="B57" i="1"/>
  <c r="B58" i="1"/>
  <c r="B60" i="1"/>
  <c r="B61" i="1"/>
  <c r="B62" i="1"/>
  <c r="B63" i="1"/>
  <c r="B64" i="1"/>
  <c r="B65" i="1"/>
  <c r="B67" i="1"/>
  <c r="B69" i="1"/>
  <c r="B70" i="1"/>
  <c r="B71" i="1"/>
  <c r="G84" i="2" l="1"/>
  <c r="F84" i="2"/>
  <c r="I84" i="2"/>
  <c r="F6" i="5"/>
  <c r="O33" i="9"/>
  <c r="F87" i="2"/>
  <c r="I91" i="2"/>
  <c r="I9" i="4"/>
  <c r="G91" i="2"/>
  <c r="G9" i="4"/>
  <c r="E37" i="3"/>
  <c r="M48" i="9"/>
  <c r="D19" i="3"/>
  <c r="V22" i="9"/>
  <c r="H56" i="2"/>
  <c r="D19" i="2"/>
  <c r="D65" i="2" s="1"/>
  <c r="D77" i="2" s="1"/>
  <c r="D79" i="2" s="1"/>
  <c r="H91" i="2"/>
  <c r="D91" i="2"/>
  <c r="F91" i="2"/>
  <c r="E19" i="2"/>
  <c r="E65" i="2" s="1"/>
  <c r="C19" i="2"/>
  <c r="C65" i="2" s="1"/>
  <c r="C76" i="2" s="1"/>
  <c r="C79" i="2" s="1"/>
  <c r="H87" i="2"/>
  <c r="I87" i="2"/>
  <c r="E9" i="4"/>
  <c r="C9" i="4"/>
  <c r="E91" i="2"/>
  <c r="D81" i="2" l="1"/>
  <c r="D80" i="2"/>
  <c r="C81" i="2"/>
  <c r="C80" i="2"/>
  <c r="E80" i="2"/>
  <c r="E81" i="2"/>
  <c r="H84" i="2"/>
  <c r="C95" i="2"/>
  <c r="E90" i="2"/>
  <c r="E95" i="2" s="1"/>
  <c r="D26" i="4" l="1"/>
  <c r="D22" i="3"/>
  <c r="C7" i="4"/>
  <c r="D90" i="2"/>
  <c r="D95" i="2" s="1"/>
  <c r="D17" i="3"/>
  <c r="D7" i="4"/>
  <c r="E7" i="4"/>
  <c r="E16" i="4" s="1"/>
  <c r="E25" i="4" s="1"/>
  <c r="E8" i="3" l="1"/>
  <c r="E17" i="3" s="1"/>
  <c r="C22" i="3"/>
  <c r="C88" i="2"/>
  <c r="C104" i="2"/>
  <c r="C108" i="2" s="1"/>
  <c r="C26" i="4"/>
  <c r="D16" i="4"/>
  <c r="D25" i="4" s="1"/>
  <c r="D27" i="4" s="1"/>
  <c r="D65" i="4"/>
  <c r="C16" i="4"/>
  <c r="C25" i="4" s="1"/>
  <c r="E26" i="4"/>
  <c r="E27" i="4" s="1"/>
  <c r="E22" i="3"/>
  <c r="E88" i="2"/>
  <c r="D88" i="2"/>
  <c r="E65" i="4" l="1"/>
  <c r="E103" i="2"/>
  <c r="E104" i="2" s="1"/>
  <c r="E108" i="2" s="1"/>
  <c r="D103" i="2"/>
  <c r="D104" i="2" s="1"/>
  <c r="D108" i="2" s="1"/>
  <c r="E20" i="3"/>
  <c r="H7" i="3"/>
  <c r="F7" i="3"/>
  <c r="G7" i="3"/>
  <c r="I7" i="3"/>
  <c r="C27" i="4"/>
  <c r="E66" i="4"/>
  <c r="E76" i="4" s="1"/>
  <c r="E21" i="3"/>
  <c r="D38" i="3"/>
  <c r="E19" i="3" l="1"/>
  <c r="C65" i="4"/>
  <c r="C66" i="4"/>
  <c r="C20" i="3"/>
  <c r="D66" i="4"/>
  <c r="D76" i="4" s="1"/>
  <c r="C76" i="4" l="1"/>
  <c r="E38" i="3"/>
  <c r="C21" i="3"/>
  <c r="C19" i="3" s="1"/>
  <c r="C8" i="3"/>
  <c r="C17" i="3" s="1"/>
  <c r="D80" i="4"/>
  <c r="C38" i="3" l="1"/>
  <c r="C80" i="4"/>
  <c r="D81" i="4"/>
  <c r="C81" i="4" l="1"/>
  <c r="E78" i="4"/>
  <c r="E80" i="4" s="1"/>
  <c r="F78" i="4" l="1"/>
  <c r="I78" i="4"/>
  <c r="E81" i="4"/>
  <c r="G78" i="4"/>
  <c r="H78" i="4"/>
  <c r="X28" i="8" l="1"/>
  <c r="AB28" i="8"/>
  <c r="Z28" i="8"/>
  <c r="M28" i="8"/>
  <c r="AD28" i="8"/>
  <c r="O28" i="8" l="1"/>
  <c r="AF28" i="8"/>
  <c r="AE28" i="8"/>
  <c r="U28" i="8"/>
  <c r="Z31" i="8"/>
  <c r="AD31" i="8"/>
  <c r="X31" i="8"/>
  <c r="M31" i="8"/>
  <c r="AB31" i="8"/>
  <c r="X30" i="8"/>
  <c r="AB30" i="8"/>
  <c r="AD30" i="8"/>
  <c r="M30" i="8"/>
  <c r="O30" i="8" s="1"/>
  <c r="Z30" i="8"/>
  <c r="M56" i="8" l="1"/>
  <c r="M58" i="8" s="1"/>
  <c r="AF30" i="8"/>
  <c r="I117" i="2"/>
  <c r="W78" i="8"/>
  <c r="F117" i="2"/>
  <c r="AE31" i="8"/>
  <c r="AF31" i="8"/>
  <c r="H117" i="2"/>
  <c r="G117" i="2"/>
  <c r="AE30" i="8"/>
  <c r="O31" i="8"/>
  <c r="O56" i="8" s="1"/>
  <c r="U30" i="8"/>
  <c r="X36" i="8"/>
  <c r="AB36" i="8"/>
  <c r="Z36" i="8"/>
  <c r="AD36" i="8"/>
  <c r="AF36" i="8" s="1"/>
  <c r="W66" i="8" l="1"/>
  <c r="X66" i="8"/>
  <c r="Z66" i="8"/>
  <c r="Y66" i="8"/>
  <c r="U31" i="8"/>
  <c r="U36" i="8"/>
  <c r="AE36" i="8"/>
  <c r="X37" i="8"/>
  <c r="AD37" i="8"/>
  <c r="AB37" i="8"/>
  <c r="Y71" i="8" s="1"/>
  <c r="Z37" i="8"/>
  <c r="AF37" i="8" l="1"/>
  <c r="W63" i="8"/>
  <c r="W72" i="8" s="1"/>
  <c r="X71" i="8"/>
  <c r="L100" i="2" s="1"/>
  <c r="X63" i="8"/>
  <c r="X72" i="8" s="1"/>
  <c r="W79" i="8"/>
  <c r="F24" i="2"/>
  <c r="I24" i="2"/>
  <c r="L13" i="2"/>
  <c r="G13" i="2" s="1"/>
  <c r="G100" i="2" s="1"/>
  <c r="H24" i="2"/>
  <c r="G24" i="2"/>
  <c r="M13" i="2"/>
  <c r="H13" i="2" s="1"/>
  <c r="H100" i="2" s="1"/>
  <c r="K13" i="2"/>
  <c r="AE37" i="8"/>
  <c r="U37" i="8"/>
  <c r="U56" i="8" s="1"/>
  <c r="Z71" i="8" l="1"/>
  <c r="L14" i="2"/>
  <c r="G14" i="2" s="1"/>
  <c r="K14" i="2"/>
  <c r="Y63" i="8"/>
  <c r="Y72" i="8" s="1"/>
  <c r="N13" i="2"/>
  <c r="I13" i="2" s="1"/>
  <c r="M100" i="2"/>
  <c r="Z63" i="8"/>
  <c r="W84" i="8" s="1"/>
  <c r="K100" i="2"/>
  <c r="F13" i="2"/>
  <c r="L101" i="2"/>
  <c r="G101" i="2" l="1"/>
  <c r="G37" i="3" s="1"/>
  <c r="N100" i="2"/>
  <c r="Z72" i="8"/>
  <c r="N101" i="2" s="1"/>
  <c r="M14" i="2"/>
  <c r="H14" i="2" s="1"/>
  <c r="H101" i="2" s="1"/>
  <c r="H37" i="3" s="1"/>
  <c r="M101" i="2"/>
  <c r="N14" i="2"/>
  <c r="I14" i="2" s="1"/>
  <c r="H120" i="2"/>
  <c r="H36" i="3"/>
  <c r="H35" i="3" s="1"/>
  <c r="H29" i="3"/>
  <c r="H118" i="2"/>
  <c r="H119" i="2"/>
  <c r="F118" i="2"/>
  <c r="K101" i="2"/>
  <c r="F14" i="2"/>
  <c r="F101" i="2" s="1"/>
  <c r="G118" i="2"/>
  <c r="G119" i="2"/>
  <c r="G29" i="3"/>
  <c r="G36" i="3"/>
  <c r="G35" i="3" s="1"/>
  <c r="G120" i="2"/>
  <c r="L102" i="2" l="1"/>
  <c r="M102" i="2"/>
  <c r="H9" i="2"/>
  <c r="H19" i="2" s="1"/>
  <c r="H25" i="3"/>
  <c r="F37" i="3"/>
  <c r="G88" i="2"/>
  <c r="G103" i="2" s="1"/>
  <c r="G19" i="2"/>
  <c r="G65" i="2" s="1"/>
  <c r="I120" i="2"/>
  <c r="I119" i="2"/>
  <c r="I118" i="2"/>
  <c r="N102" i="2" s="1"/>
  <c r="I36" i="3"/>
  <c r="I35" i="3" s="1"/>
  <c r="I29" i="3"/>
  <c r="F9" i="2"/>
  <c r="F36" i="3"/>
  <c r="F35" i="3" s="1"/>
  <c r="K102" i="2"/>
  <c r="F29" i="3"/>
  <c r="F119" i="2"/>
  <c r="F120" i="2"/>
  <c r="G25" i="3"/>
  <c r="I9" i="2"/>
  <c r="H65" i="2" l="1"/>
  <c r="G80" i="2"/>
  <c r="G81" i="2"/>
  <c r="H88" i="2"/>
  <c r="G104" i="2"/>
  <c r="G108" i="2" s="1"/>
  <c r="F25" i="3"/>
  <c r="I19" i="2"/>
  <c r="I65" i="2" s="1"/>
  <c r="I77" i="2" s="1"/>
  <c r="I79" i="2" s="1"/>
  <c r="F19" i="2"/>
  <c r="F65" i="2" s="1"/>
  <c r="F88" i="2"/>
  <c r="F103" i="2" s="1"/>
  <c r="G90" i="2"/>
  <c r="G95" i="2" s="1"/>
  <c r="I25" i="3"/>
  <c r="H81" i="2" l="1"/>
  <c r="H80" i="2"/>
  <c r="I81" i="2"/>
  <c r="I80" i="2"/>
  <c r="F80" i="2"/>
  <c r="F81" i="2"/>
  <c r="H90" i="2"/>
  <c r="H95" i="2" s="1"/>
  <c r="H103" i="2"/>
  <c r="H104" i="2" s="1"/>
  <c r="H108" i="2" s="1"/>
  <c r="H7" i="4"/>
  <c r="H16" i="4" s="1"/>
  <c r="H25" i="4" s="1"/>
  <c r="H27" i="4" s="1"/>
  <c r="H20" i="3"/>
  <c r="F104" i="2"/>
  <c r="F108" i="2" s="1"/>
  <c r="G7" i="4"/>
  <c r="G16" i="4" s="1"/>
  <c r="G25" i="4" s="1"/>
  <c r="G27" i="4" s="1"/>
  <c r="F90" i="2"/>
  <c r="F95" i="2" s="1"/>
  <c r="H21" i="3" l="1"/>
  <c r="F7" i="4"/>
  <c r="F16" i="4" s="1"/>
  <c r="F25" i="4" s="1"/>
  <c r="F27" i="4" s="1"/>
  <c r="I90" i="2"/>
  <c r="I95" i="2" s="1"/>
  <c r="G21" i="3" l="1"/>
  <c r="G20" i="3"/>
  <c r="H8" i="3"/>
  <c r="I7" i="4"/>
  <c r="I16" i="4" s="1"/>
  <c r="I25" i="4" s="1"/>
  <c r="G65" i="4"/>
  <c r="F21" i="3" l="1"/>
  <c r="F66" i="4" s="1"/>
  <c r="F20" i="3"/>
  <c r="F65" i="4" s="1"/>
  <c r="G8" i="3"/>
  <c r="G66" i="4"/>
  <c r="G76" i="4" s="1"/>
  <c r="G80" i="4" s="1"/>
  <c r="G81" i="4" s="1"/>
  <c r="G19" i="3"/>
  <c r="G38" i="3" s="1"/>
  <c r="I22" i="3"/>
  <c r="I26" i="4"/>
  <c r="I27" i="4" s="1"/>
  <c r="I88" i="2"/>
  <c r="I103" i="2" s="1"/>
  <c r="H65" i="4"/>
  <c r="H66" i="4"/>
  <c r="F8" i="3" l="1"/>
  <c r="F17" i="3" s="1"/>
  <c r="I21" i="3"/>
  <c r="I20" i="3"/>
  <c r="G17" i="3"/>
  <c r="H17" i="3" s="1"/>
  <c r="I104" i="2"/>
  <c r="I108" i="2" s="1"/>
  <c r="F19" i="3"/>
  <c r="F38" i="3" s="1"/>
  <c r="F76" i="4"/>
  <c r="F80" i="4" s="1"/>
  <c r="F81" i="4" s="1"/>
  <c r="H76" i="4"/>
  <c r="H80" i="4" s="1"/>
  <c r="H81" i="4" s="1"/>
  <c r="I65" i="4"/>
  <c r="H19" i="3"/>
  <c r="H38" i="3" s="1"/>
  <c r="I8" i="3" l="1"/>
  <c r="I17" i="3" s="1"/>
  <c r="I66" i="4"/>
  <c r="I76" i="4" s="1"/>
  <c r="I19" i="3"/>
  <c r="I38" i="3" l="1"/>
  <c r="I80" i="4"/>
  <c r="I81" i="4" l="1"/>
</calcChain>
</file>

<file path=xl/comments1.xml><?xml version="1.0" encoding="utf-8"?>
<comments xmlns="http://schemas.openxmlformats.org/spreadsheetml/2006/main">
  <authors>
    <author>1235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  <charset val="204"/>
          </rPr>
          <t>согласно контракта 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<sst xmlns="http://schemas.openxmlformats.org/spreadsheetml/2006/main" count="839" uniqueCount="584">
  <si>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</si>
  <si>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</si>
  <si>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</si>
  <si>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</si>
  <si>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</si>
  <si>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</si>
  <si>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</si>
  <si>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</si>
  <si>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</si>
  <si>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</si>
  <si>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</si>
  <si>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</si>
  <si>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</si>
  <si>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</si>
  <si>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</si>
  <si>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</si>
  <si>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</si>
  <si>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</si>
  <si>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</si>
  <si>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</si>
  <si>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</si>
  <si>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</si>
  <si>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</si>
  <si>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</si>
  <si>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</si>
  <si>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</si>
  <si>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</si>
  <si>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</si>
  <si>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</si>
  <si>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</si>
  <si>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</si>
  <si>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</si>
  <si>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</si>
  <si>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</si>
  <si>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</si>
  <si>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</si>
  <si>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</si>
  <si>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Забезпечення</t>
  </si>
  <si>
    <t>х</t>
  </si>
  <si>
    <t>Фінансовий план поточного року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</si>
  <si>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</si>
  <si>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</si>
  <si>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</si>
  <si>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</si>
  <si>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</si>
  <si>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</si>
  <si>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</si>
  <si>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</si>
  <si>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</si>
  <si>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</si>
  <si>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</si>
  <si>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</si>
  <si>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</si>
  <si>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</si>
  <si>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</si>
  <si>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</si>
  <si>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</si>
  <si>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</si>
  <si>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</si>
  <si>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</si>
  <si>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</si>
  <si>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</si>
  <si>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</si>
  <si>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</si>
  <si>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</si>
  <si>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</si>
  <si>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</si>
  <si>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</si>
  <si>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</si>
  <si>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</si>
  <si>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План поточного року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</si>
  <si>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</si>
  <si>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</si>
  <si>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</si>
  <si>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</si>
  <si>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</si>
  <si>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</si>
  <si>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</si>
  <si>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>за минулий рік</t>
  </si>
  <si>
    <t>за плановий рік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</si>
  <si>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</si>
  <si>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</si>
  <si>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</si>
  <si>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</si>
  <si>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</si>
  <si>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</si>
  <si>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рік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</si>
  <si>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</si>
  <si>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</si>
  <si>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</si>
  <si>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</si>
  <si>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</si>
  <si>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</si>
  <si>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</si>
  <si>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Заборгованість за кредитами на початок ______ року</t>
  </si>
  <si>
    <t>Заборгованість за кредитами на кінець ______ року</t>
  </si>
  <si>
    <t>Бюджетне фінансування</t>
  </si>
  <si>
    <t>інші платежі (розшифрувати)</t>
  </si>
  <si>
    <t xml:space="preserve">      1. Дані про підприємство, персонал та фонд заробітної плати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</si>
  <si>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</si>
  <si>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</si>
  <si>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</si>
  <si>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</si>
  <si>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</si>
  <si>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</si>
  <si>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у тому числі за кварталами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</si>
  <si>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</si>
  <si>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</si>
  <si>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</si>
  <si>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</si>
  <si>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</si>
  <si>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Факт за звітний період поточного року на останню дату</t>
  </si>
  <si>
    <t>Планові показники</t>
  </si>
  <si>
    <t>Примітки</t>
  </si>
  <si>
    <t>&gt; 0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</si>
  <si>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</si>
  <si>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</si>
  <si>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</si>
  <si>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</si>
  <si>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_____________________________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</si>
  <si>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</si>
  <si>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</si>
  <si>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</si>
  <si>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</si>
  <si>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</si>
  <si>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</si>
  <si>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</si>
  <si>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</si>
  <si>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</si>
  <si>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</si>
  <si>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</si>
  <si>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</si>
  <si>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</si>
  <si>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</si>
  <si>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</si>
  <si>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</si>
  <si>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</si>
  <si>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</si>
  <si>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</si>
  <si>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</si>
  <si>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</si>
  <si>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</si>
  <si>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</si>
  <si>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</si>
  <si>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</si>
  <si>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</si>
  <si>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(найменування підприємства)</t>
  </si>
  <si>
    <t>Середньооблікова чисельність осіб, у тому числі:</t>
  </si>
  <si>
    <t>Плановий рік</t>
  </si>
  <si>
    <t>Код за ЄДРПОУ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</si>
  <si>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</si>
  <si>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</si>
  <si>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</si>
  <si>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</si>
  <si>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</si>
  <si>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</si>
  <si>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</si>
  <si>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</si>
  <si>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</si>
  <si>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</si>
  <si>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</si>
  <si>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</si>
  <si>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</si>
  <si>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</si>
  <si>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</si>
  <si>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</si>
  <si>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</si>
  <si>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</si>
  <si>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</si>
  <si>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</si>
  <si>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</si>
  <si>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</si>
  <si>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</si>
  <si>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</si>
  <si>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</si>
  <si>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</si>
  <si>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</si>
  <si>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</si>
  <si>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</si>
  <si>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</si>
  <si>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Прогноз на поточний рік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</si>
  <si>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</si>
  <si>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</si>
  <si>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</si>
  <si>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</si>
  <si>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</si>
  <si>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</si>
  <si>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</si>
  <si>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</si>
  <si>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</si>
  <si>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</si>
  <si>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</si>
  <si>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</si>
  <si>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</si>
  <si>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</si>
  <si>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</si>
  <si>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</si>
  <si>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</si>
  <si>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</si>
  <si>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</si>
  <si>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</si>
  <si>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</si>
  <si>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</si>
  <si>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</si>
  <si>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</si>
  <si>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</si>
  <si>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</si>
  <si>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</si>
  <si>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</si>
  <si>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</si>
  <si>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</si>
  <si>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</si>
  <si>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</si>
  <si>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</si>
  <si>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</si>
  <si>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</si>
  <si>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</si>
  <si>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</si>
  <si>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Усього на рік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</si>
  <si>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</si>
  <si>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</si>
  <si>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</si>
  <si>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</si>
  <si>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</si>
  <si>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</si>
  <si>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</si>
  <si>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</si>
  <si>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 xml:space="preserve">IV. Капітальні інвестиції 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</si>
  <si>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</si>
  <si>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</si>
  <si>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</si>
  <si>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</si>
  <si>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</si>
  <si>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</si>
  <si>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</si>
  <si>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</si>
  <si>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</si>
  <si>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</si>
  <si>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x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</si>
  <si>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</si>
  <si>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</si>
  <si>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</si>
  <si>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</si>
  <si>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</si>
  <si>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2120 / 2130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</si>
  <si>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</si>
  <si>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</si>
  <si>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</si>
  <si>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Пояснення та обґрунтування до запланованого рівня доходів/витрат</t>
  </si>
  <si>
    <t>Елементи операційних витрат</t>
  </si>
  <si>
    <t>тис. гривень (без ПДВ)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</si>
  <si>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</si>
  <si>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</si>
  <si>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</si>
  <si>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</si>
  <si>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</si>
  <si>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</si>
  <si>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</si>
  <si>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____________________________________________</t>
  </si>
  <si>
    <t>Коди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</si>
  <si>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</si>
  <si>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</si>
  <si>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</si>
  <si>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>плановий рік +1 рік</t>
  </si>
  <si>
    <t>плановий рік +2 роки</t>
  </si>
  <si>
    <t>плановий рік +3 роки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</si>
  <si>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</si>
  <si>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 xml:space="preserve">                (ініціали, прізвище)    </t>
  </si>
  <si>
    <t>директор</t>
  </si>
  <si>
    <t>працівники</t>
  </si>
  <si>
    <t>Найменування показника</t>
  </si>
  <si>
    <t>Інформація згідно із стратегічним планом розвитку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</si>
  <si>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</si>
  <si>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</si>
  <si>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</si>
  <si>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Усього зобов'язання і забезпечення</t>
  </si>
  <si>
    <t>Усього активи</t>
  </si>
  <si>
    <t>Доходи і витрати (деталізація)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</si>
  <si>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</si>
  <si>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</si>
  <si>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 (рядок 1100)</t>
  </si>
  <si>
    <t>плюс амортизація (рядок 1530)</t>
  </si>
  <si>
    <t>мінус операційні доходи від курсових різниць (рядок 1031)</t>
  </si>
  <si>
    <t>плюс операційні витрати від курсових різниць (рядок 1084)</t>
  </si>
  <si>
    <t>Інші операційні доходи/витрати
(рядок 1030 - рядок 1080)</t>
  </si>
  <si>
    <t>Надходження</t>
  </si>
  <si>
    <t xml:space="preserve">Надходження </t>
  </si>
  <si>
    <t>Витрати</t>
  </si>
  <si>
    <t>Ковенанти/обмежувальні коефіцієнти</t>
  </si>
  <si>
    <t>Фонд оплати праці, тис. гривень, у тому числі:</t>
  </si>
  <si>
    <t>Витрати на оплату праці, тис. гривень, у тому числі:</t>
  </si>
  <si>
    <t>Плановий рік до плану поточного року, %</t>
  </si>
  <si>
    <t>Плановий рік до факту минулого року, %</t>
  </si>
  <si>
    <t>адміністративно-управлінський персонал</t>
  </si>
  <si>
    <t>Незавершене будівництво на початок планового року</t>
  </si>
  <si>
    <t>власні кошти</t>
  </si>
  <si>
    <t>кредитні кошти</t>
  </si>
  <si>
    <t>інші джерела (зазначити джерело)</t>
  </si>
  <si>
    <t>Документ, яким затверджений титул будови, із зазначенням органу, який його погодив</t>
  </si>
  <si>
    <t>У тому числі за їх видами</t>
  </si>
  <si>
    <t xml:space="preserve">Найменування об’єктів </t>
  </si>
  <si>
    <t>Власні кошти (розшифрувати)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</si>
  <si>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</si>
  <si>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</si>
  <si>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</si>
  <si>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</si>
  <si>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Коефіцієнт відношення боргу до EBITDA
(довгострокові зобов'язання, рядок 6040 + поточні зобов'язання, рядок 6050 / EBITDA, рядок 1410)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</si>
  <si>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</si>
  <si>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</si>
  <si>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</si>
  <si>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Коефіцієнт відношення капітальних інвестицій до чистого доходу (виручки) від реалізації продукції (товарів, робіт, послуг)
(рядок 4000 / рядок 1000)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</si>
  <si>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</si>
  <si>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</si>
  <si>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</si>
  <si>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</si>
  <si>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</si>
  <si>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</si>
  <si>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</si>
  <si>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</si>
  <si>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 xml:space="preserve"> У разі збільшення витрат на оплату праці в плановому році порівняно з установленим рівнем поточного року та фактом попереднього року надаються обґрунтування. </t>
  </si>
  <si>
    <t xml:space="preserve">      2. Перелік підприємств, які включені до консолідованого (зведеного) фінансового плану</t>
  </si>
  <si>
    <t>Найменування підприємства</t>
  </si>
  <si>
    <t>Питома вага в загальному обсязі реалізації, %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</si>
  <si>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</si>
  <si>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</si>
  <si>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ціна одиниці     (вартість  продукції/     наданих послуг), гривень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</si>
  <si>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</si>
  <si>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</si>
  <si>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</si>
  <si>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</si>
  <si>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 xml:space="preserve">у тому числі </t>
  </si>
  <si>
    <t>Рік початку                і закінчення будівництва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</si>
  <si>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</si>
  <si>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</si>
  <si>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</si>
  <si>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</si>
  <si>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</si>
  <si>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</si>
  <si>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</si>
  <si>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</si>
  <si>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</si>
  <si>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</si>
  <si>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освоєння капітальних вкладень</t>
  </si>
  <si>
    <t>фінансування капітальних інвестицій (оплата грошовими коштами), усього</t>
  </si>
  <si>
    <t>М. П.</t>
  </si>
  <si>
    <t>План з повернення коштів</t>
  </si>
  <si>
    <t>мінус/плюс значні нетипові операційні доходи/витрати (розшифрувати)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</si>
  <si>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</si>
  <si>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</si>
  <si>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</si>
  <si>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</si>
  <si>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План із залучення коштів</t>
  </si>
  <si>
    <t>плановий рік
+4 роки</t>
  </si>
  <si>
    <t>Податок на додану вартість нарахований/до відшкодування
(з мінусом)</t>
  </si>
  <si>
    <t>Коефіцієнт рентабельності активів
(чистий фінансовий результат, рядок 1200 / вартість активів, рядок 6030)</t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</si>
  <si>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</si>
  <si>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</si>
  <si>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Відрахування частини чистого прибутку</t>
  </si>
  <si>
    <t>Сплата інших податків, зборів, обов'язкових платежів до державного та місцевих бюджетів</t>
  </si>
  <si>
    <t>Усього виплат</t>
  </si>
  <si>
    <t>Усього доходів (рядок 1000 + рядок 1030 + рядок 1110 + рядок 1120+ рядок 1150)</t>
  </si>
  <si>
    <t>Усього витрат (рядок 1010 + рядок 1040 + рядок 1070 + рядок 1080 + рядок 1130 + рядок 1140 + рядок 1160 + рядок 1180 + рядок 1190)</t>
  </si>
  <si>
    <t>План</t>
  </si>
  <si>
    <t>І   квартал</t>
  </si>
  <si>
    <t>півріччя</t>
  </si>
  <si>
    <t>9 місяців</t>
  </si>
  <si>
    <t>Таблиця IІ. Розрахунки з бюджетом</t>
  </si>
  <si>
    <t>Таблиця I. Формування фінансових результатів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</si>
  <si>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</si>
  <si>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15 % чистого прибутку до загального фонду міського бюджету</t>
  </si>
  <si>
    <t>Таблиця ІІІ. Рух грошових коштів</t>
  </si>
  <si>
    <t>І  квартал</t>
  </si>
  <si>
    <t>І квартал</t>
  </si>
  <si>
    <t xml:space="preserve">І квартал </t>
  </si>
  <si>
    <t>РОЗГЛЯНУТО __________________________________________</t>
  </si>
  <si>
    <t xml:space="preserve">(прізвище, ініціали та підпис керівника виконавчого органу міської ради відповідно до підпорядкованості, який розглянув фінансовий план) 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</si>
  <si>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</si>
  <si>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Одиниця виміру, тис. гривень без десяткових знаків</t>
  </si>
  <si>
    <t xml:space="preserve">                      (посада)</t>
  </si>
  <si>
    <t>військовий збір</t>
  </si>
  <si>
    <t>1000/1</t>
  </si>
  <si>
    <t>1062/1</t>
  </si>
  <si>
    <t>РКО</t>
  </si>
  <si>
    <t>1018/1</t>
  </si>
  <si>
    <t>Дохід від надання майна в оренду</t>
  </si>
  <si>
    <t>1030/1</t>
  </si>
  <si>
    <t>у тому числі за основними видами діяльності за КВЕД 81.29</t>
  </si>
  <si>
    <t>1030/2</t>
  </si>
  <si>
    <t>Бюджет, дотація</t>
  </si>
  <si>
    <t>інші адміністративні витрати (канцтовари, підписка ел. журналу)</t>
  </si>
  <si>
    <t>1080/1</t>
  </si>
  <si>
    <t>1080/2</t>
  </si>
  <si>
    <t>послуги сторонніх організацій</t>
  </si>
  <si>
    <t>ремонтне обслуговування</t>
  </si>
  <si>
    <t>ВАЗ 2109</t>
  </si>
  <si>
    <t>Москвич 2141</t>
  </si>
  <si>
    <t>Форд Транзит</t>
  </si>
  <si>
    <t xml:space="preserve">Перевезення  обслуговуючого персоналу та обладнання по проведенню спортвних заходів </t>
  </si>
  <si>
    <t>Директор  КП"ВСК"</t>
  </si>
  <si>
    <t>________</t>
  </si>
  <si>
    <t>Директор КП"ВСК"</t>
  </si>
  <si>
    <t>Директор КП "ВСК"</t>
  </si>
  <si>
    <t>Канцелярські товари,ел.журнали</t>
  </si>
  <si>
    <t xml:space="preserve">Інша діяльність у сфері спорту </t>
  </si>
  <si>
    <t>комунальні витрати</t>
  </si>
  <si>
    <t>відшкодування комунальних послуг</t>
  </si>
  <si>
    <t>1150/1</t>
  </si>
  <si>
    <t>туристичний збір</t>
  </si>
  <si>
    <t>2146/1</t>
  </si>
  <si>
    <t>Реконструкція та реставрація обєктів</t>
  </si>
  <si>
    <t>Послуга з організації та проведення спортивних змагань</t>
  </si>
  <si>
    <t xml:space="preserve">                                     (посада)</t>
  </si>
  <si>
    <t>Збільшення додаткового капіталу</t>
  </si>
  <si>
    <t>3480/1</t>
  </si>
  <si>
    <t>3050/1</t>
  </si>
  <si>
    <t>3050/2</t>
  </si>
  <si>
    <t>3060/1</t>
  </si>
  <si>
    <t>3060/2</t>
  </si>
  <si>
    <t>3310/1</t>
  </si>
  <si>
    <t>1150/2</t>
  </si>
  <si>
    <t>3470/1</t>
  </si>
  <si>
    <t>фінансування капітальних видатків</t>
  </si>
  <si>
    <t>03564217</t>
  </si>
  <si>
    <t>93.19</t>
  </si>
  <si>
    <t>Комунальне підприємство</t>
  </si>
  <si>
    <t>Інша діяльність у сфері спорту</t>
  </si>
  <si>
    <t xml:space="preserve">                           32  комунальна</t>
  </si>
  <si>
    <t>КП "Водно-спортивний комбінат" ДМР</t>
  </si>
  <si>
    <r>
      <t xml:space="preserve">                  </t>
    </r>
    <r>
      <rPr>
        <b/>
        <u/>
        <sz val="18"/>
        <rFont val="Times New Roman"/>
        <family val="1"/>
        <charset val="204"/>
      </rPr>
      <t>Директор  КП "ВСК"</t>
    </r>
  </si>
  <si>
    <t>інв</t>
  </si>
  <si>
    <t>єсв</t>
  </si>
  <si>
    <t>пдфо</t>
  </si>
  <si>
    <t>ВЗ</t>
  </si>
  <si>
    <t xml:space="preserve">         (ініціали, прізвище)  1  </t>
  </si>
  <si>
    <t xml:space="preserve">         (ініціали, прізвище)    1</t>
  </si>
  <si>
    <t>коригування суми амортизаційних відрахувань</t>
  </si>
  <si>
    <t>3030/2</t>
  </si>
  <si>
    <t>запаси</t>
  </si>
  <si>
    <t>дебіторська заборгованість</t>
  </si>
  <si>
    <t>інші оборотні активи</t>
  </si>
  <si>
    <t>3050/3</t>
  </si>
  <si>
    <t>коригування суми нерозподіленого прибутку</t>
  </si>
  <si>
    <t>3030/3</t>
  </si>
  <si>
    <t>кредиторська заборгованість</t>
  </si>
  <si>
    <t>доходи майбутніх періодів</t>
  </si>
  <si>
    <t>інші поточні зобовязання</t>
  </si>
  <si>
    <t>3060/3</t>
  </si>
  <si>
    <t>3270/1</t>
  </si>
  <si>
    <t>3270/2</t>
  </si>
  <si>
    <t>виготовлення плотів та стійок під човни</t>
  </si>
  <si>
    <t xml:space="preserve">ЗАТВЕРДЖЕНО  </t>
  </si>
  <si>
    <t>49094, м.Дніпро, Соборний  район</t>
  </si>
  <si>
    <t>м.Дніпро,  вул.Набережна Перемоги,13</t>
  </si>
  <si>
    <t xml:space="preserve">Газель А22R33-55PRO </t>
  </si>
  <si>
    <t>(дата та номер рішення виконавчого комітету міської ради)</t>
  </si>
  <si>
    <t>до Порядку складання, затвердження та контролю виконання                                          фінансових планів підприємств комунальної власності територіальної      громади міста Дніпра</t>
  </si>
  <si>
    <t>сума</t>
  </si>
  <si>
    <t>паливо</t>
  </si>
  <si>
    <t>р 1041</t>
  </si>
  <si>
    <t xml:space="preserve">         (ініціали, прізвище)  </t>
  </si>
  <si>
    <t xml:space="preserve"> цільове фінансування капітальних інвестицій, що включаються до доходів у розмірі амортизації</t>
  </si>
  <si>
    <t xml:space="preserve">             Всього:</t>
  </si>
  <si>
    <t>Комунальне підприємство  “ Водно - спортивний комбінат ” ДМР</t>
  </si>
  <si>
    <t>адм-</t>
  </si>
  <si>
    <t>себ.</t>
  </si>
  <si>
    <t>№ п/п</t>
  </si>
  <si>
    <t>Назва структурного підрозділу та посада</t>
  </si>
  <si>
    <t>Кількість штатних посад</t>
  </si>
  <si>
    <t>Посадовий оклад (грн.)</t>
  </si>
  <si>
    <t>Всего</t>
  </si>
  <si>
    <t>Доплата за нічні та святкові</t>
  </si>
  <si>
    <t>Доплата за звання-20%-10%</t>
  </si>
  <si>
    <t>Доплата за  прибирання -10%</t>
  </si>
  <si>
    <t>Фонд заробітної плати на місяць (грн.)</t>
  </si>
  <si>
    <t>Фонд заробітної плати на рік  бюджет (грн.)</t>
  </si>
  <si>
    <t>Фонд заробітної плати на рік бюджет           ( грн.)</t>
  </si>
  <si>
    <t>Доплата до с учетом квал.раб( премия -вл.кошти (грн)</t>
  </si>
  <si>
    <t>Грошова допом -вл.кошти (грн)</t>
  </si>
  <si>
    <t>Фонд заробітної плати на рік вл.кошти             ( грн.)</t>
  </si>
  <si>
    <t xml:space="preserve">Всего бюджет+вл.кошти </t>
  </si>
  <si>
    <t>Директор</t>
  </si>
  <si>
    <t>Головний бухгалтер</t>
  </si>
  <si>
    <t>Головний інженер</t>
  </si>
  <si>
    <t>Головний енергетик</t>
  </si>
  <si>
    <t>Механік</t>
  </si>
  <si>
    <t>Адміністратор системи</t>
  </si>
  <si>
    <t>Моторист</t>
  </si>
  <si>
    <t>месяц</t>
  </si>
  <si>
    <t>надбавка</t>
  </si>
  <si>
    <t>усього</t>
  </si>
  <si>
    <t>собівартість</t>
  </si>
  <si>
    <t>адміністративні</t>
  </si>
  <si>
    <t>ФОП</t>
  </si>
  <si>
    <t>ЄСВ</t>
  </si>
  <si>
    <t>фоп інвалідів с/с</t>
  </si>
  <si>
    <t>фоп інвалідів ауп</t>
  </si>
  <si>
    <t>для таб. 6.1</t>
  </si>
  <si>
    <t>Фонд оплати праці</t>
  </si>
  <si>
    <t>ауп</t>
  </si>
  <si>
    <t>Витрати з оплати праці</t>
  </si>
  <si>
    <t>Середньомісячна ЗП</t>
  </si>
  <si>
    <t>Середньомісячний дохід</t>
  </si>
  <si>
    <t>066-538-76-81, 067-650-72-71</t>
  </si>
  <si>
    <t>Електрогазозварник</t>
  </si>
  <si>
    <t>Водій автотранспортних засобів</t>
  </si>
  <si>
    <t>Прибиральник службових приміщень</t>
  </si>
  <si>
    <t>Доплата до МЗП ,індекс.замена лікар.святков.</t>
  </si>
  <si>
    <t>1062/2</t>
  </si>
  <si>
    <t>HYUNDAI  ELANTRA</t>
  </si>
  <si>
    <t>Комунальне підприємство "Водно- спортивний комбінат" Дніпровської міської ради</t>
  </si>
  <si>
    <t>2147/1</t>
  </si>
  <si>
    <t xml:space="preserve">заробітна плата та інші виплати робітникам, зайнятим у виробництві </t>
  </si>
  <si>
    <t xml:space="preserve">продукції,  виконанні робіт або наданні послуг,  які  можуть  бути </t>
  </si>
  <si>
    <t>безпосередньо віднесені до конкретного об'єкта витрат</t>
  </si>
  <si>
    <t xml:space="preserve">ПСБО 16 до складу  прямих  витрат  на  оплату  праці  включаються </t>
  </si>
  <si>
    <t xml:space="preserve"> утримання   апарату </t>
  </si>
  <si>
    <t xml:space="preserve">управління   підприємством   та   іншого    загальногосподарського </t>
  </si>
  <si>
    <t>персоналу;</t>
  </si>
  <si>
    <t xml:space="preserve">Доплата до МЗП </t>
  </si>
  <si>
    <t>списання основних засобів</t>
  </si>
  <si>
    <t>3030/1</t>
  </si>
  <si>
    <t>средняя зп</t>
  </si>
  <si>
    <t>умнож на 12</t>
  </si>
  <si>
    <t>единая формула</t>
  </si>
  <si>
    <t>Водно-лижний клуб Сентоза</t>
  </si>
  <si>
    <t>Заступник директора департаменту гуманітарної політики Дніпровської міської ради</t>
  </si>
  <si>
    <t>Рог В.А.</t>
  </si>
  <si>
    <t>М.П.</t>
  </si>
  <si>
    <t>Додаток 1</t>
  </si>
  <si>
    <t>__________________________________________________</t>
  </si>
  <si>
    <r>
      <rPr>
        <b/>
        <sz val="16"/>
        <rFont val="Times New Roman"/>
        <family val="1"/>
        <charset val="204"/>
      </rPr>
      <t xml:space="preserve">ПОГОДЖЕНО   </t>
    </r>
    <r>
      <rPr>
        <sz val="1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Заступник міського голови з питань діяльності виконавчих                     органів, директор департаменту гуманітарної політики              Дніпровської міської ради ________________ </t>
    </r>
    <r>
      <rPr>
        <b/>
        <sz val="16"/>
        <rFont val="Times New Roman"/>
        <family val="1"/>
        <charset val="204"/>
      </rPr>
      <t xml:space="preserve">Сушко К.А. </t>
    </r>
    <r>
      <rPr>
        <sz val="16"/>
        <rFont val="Times New Roman"/>
        <family val="1"/>
        <charset val="204"/>
      </rPr>
      <t xml:space="preserve">   </t>
    </r>
    <r>
      <rPr>
        <u/>
        <sz val="16"/>
        <rFont val="Times New Roman"/>
        <family val="1"/>
        <charset val="204"/>
      </rPr>
      <t xml:space="preserve">      </t>
    </r>
    <r>
      <rPr>
        <sz val="16"/>
        <rFont val="Times New Roman"/>
        <family val="1"/>
        <charset val="204"/>
      </rPr>
      <t xml:space="preserve">                                     </t>
    </r>
    <r>
      <rPr>
        <sz val="12"/>
        <rFont val="Times New Roman"/>
        <family val="1"/>
        <charset val="204"/>
      </rPr>
      <t>(прізвище та ініціали та підпис заступника міського голови за напрямом діяльності  підприємства)</t>
    </r>
  </si>
  <si>
    <t>Рік 2022</t>
  </si>
  <si>
    <t>ФІНАНСОВИЙ ПЛАН ПІДПРИЄМСТВА НА 2022 рік</t>
  </si>
  <si>
    <t>до фінансового плану на 2022 рік</t>
  </si>
  <si>
    <t>План минулого року. План 2020</t>
  </si>
  <si>
    <t>Факт минулого року.                Факт 2020</t>
  </si>
  <si>
    <t>План поточного року. План 2021</t>
  </si>
  <si>
    <t>Плановий рік 2022</t>
  </si>
  <si>
    <t>Фактичний показник за 
2020 минулий рік</t>
  </si>
  <si>
    <t>Плановий показник поточного
2021 року</t>
  </si>
  <si>
    <t>Фактичний показник поточного року за останній звітній період 
 2021 року</t>
  </si>
  <si>
    <t>Плановий 2022 рік</t>
  </si>
  <si>
    <t>ШИЛО Валерій Вталйович</t>
  </si>
  <si>
    <t>Валерій  ШИЛО</t>
  </si>
  <si>
    <t xml:space="preserve">      Загальна інформація про підприємство (резюме): Комунальне підприємство "Водно-спортивний комбінат" Дніпропетровської міської ради є комунальним унітарним комерційним підприємством, створеним відповідно до рішення Дніпровської міської ради від 27.11.1991 № 46.</t>
  </si>
  <si>
    <t>Заступник директора з водних видів спорту</t>
  </si>
  <si>
    <t>Заступник директора з адміністративно-господарчої діяльності</t>
  </si>
  <si>
    <t>Помічник директора</t>
  </si>
  <si>
    <t>Заступник головного бухгалтера</t>
  </si>
  <si>
    <t xml:space="preserve">Завідувач сектору </t>
  </si>
  <si>
    <t xml:space="preserve">Провідний бухгалтер </t>
  </si>
  <si>
    <t>Начальник відділу</t>
  </si>
  <si>
    <t>Провідний фахівець</t>
  </si>
  <si>
    <t>Звідувач сектору</t>
  </si>
  <si>
    <t>Брат медичний</t>
  </si>
  <si>
    <t>Завідувач сектору</t>
  </si>
  <si>
    <t>Інструктор-методист з фізичної культури та спорту</t>
  </si>
  <si>
    <t>Електромеханік</t>
  </si>
  <si>
    <t>Адміністратор</t>
  </si>
  <si>
    <t>Технік з експлуатації та ремонту устаткування</t>
  </si>
  <si>
    <t>Технік з експлуатації та ремонту спортивної техніки</t>
  </si>
  <si>
    <t>Начальник служби охорони</t>
  </si>
  <si>
    <t>Охоронник</t>
  </si>
  <si>
    <t>Робітник з комплексного обслуговування й ремонту будинків</t>
  </si>
  <si>
    <t>Двірник</t>
  </si>
  <si>
    <t>Фінансовий відділ</t>
  </si>
  <si>
    <t>Сектор бухобліку та звітності</t>
  </si>
  <si>
    <t>Юридичний  відділ</t>
  </si>
  <si>
    <t>Організаційно-кадровий сектор</t>
  </si>
  <si>
    <t>Медична служба</t>
  </si>
  <si>
    <t>Сектор з організації та проведення змагань та заходів</t>
  </si>
  <si>
    <t xml:space="preserve">Відділ експлуатації </t>
  </si>
  <si>
    <t>Служба охорони</t>
  </si>
  <si>
    <t>Відділ капітального будівництва</t>
  </si>
  <si>
    <t>Сектор  благоустрою</t>
  </si>
  <si>
    <t>з   01.01 2022 року.</t>
  </si>
  <si>
    <t>За клас-ність</t>
  </si>
  <si>
    <t>Індекс.</t>
  </si>
  <si>
    <t>Середньооблікова кількість штатних працівників:                     70 чоловік</t>
  </si>
  <si>
    <t>Спртивне обладнання, інвентар, меблі</t>
  </si>
  <si>
    <t>3290/1</t>
  </si>
  <si>
    <t>придбання  човнів,мебля, побутова техніка, медичне обладнання, спец техніка для обслуговування спорт компленксу, спорт інвентер обладнання</t>
  </si>
  <si>
    <t>придбання обладнання та інвентарю для спорткомплексу</t>
  </si>
  <si>
    <t>Поточний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</si>
</sst>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dd\.mm\.yyyy;@"/>
    <numFmt numFmtId="178" formatCode="_(* #,##0_);_(* \(#,##0\);_(* &quot;-&quot;??_);_(@_)"/>
    <numFmt numFmtId="179" formatCode="0.000"/>
    <numFmt numFmtId="180" formatCode="#,##0.000"/>
    <numFmt numFmtId="181" formatCode="_-* #,##0_₴_-;\-* #,##0_₴_-;_-* &quot;-&quot;??_₴_-;_-@_-"/>
  </numFmts>
  <fonts count="11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u/>
      <sz val="22"/>
      <name val="Times New Roman"/>
      <family val="1"/>
      <charset val="204"/>
    </font>
    <font>
      <u/>
      <sz val="22"/>
      <name val="Arial Cyr"/>
      <charset val="204"/>
    </font>
    <font>
      <b/>
      <u/>
      <sz val="22"/>
      <name val="Arial Cyr"/>
      <charset val="204"/>
    </font>
    <font>
      <b/>
      <u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b/>
      <sz val="18"/>
      <color rgb="FFC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3"/>
      <color rgb="FF292B2C"/>
      <name val="Consolas"/>
      <family val="3"/>
      <charset val="204"/>
    </font>
    <font>
      <b/>
      <i/>
      <sz val="10"/>
      <color rgb="FF00B0F0"/>
      <name val="Arial Cyr"/>
      <charset val="204"/>
    </font>
    <font>
      <sz val="12"/>
      <name val="Arial Cyr"/>
      <charset val="204"/>
    </font>
    <font>
      <u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54">
    <xf numFmtId="0" fontId="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2" borderId="0" applyNumberFormat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4" fillId="12" borderId="0" applyNumberFormat="0" applyBorder="0" applyAlignment="0" applyProtection="0"/>
    <xf numFmtId="0" fontId="16" fillId="12" borderId="0" applyNumberFormat="0" applyBorder="0" applyAlignment="0" applyProtection="0"/>
    <xf numFmtId="0" fontId="34" fillId="9" borderId="0" applyNumberFormat="0" applyBorder="0" applyAlignment="0" applyProtection="0"/>
    <xf numFmtId="0" fontId="16" fillId="9" borderId="0" applyNumberFormat="0" applyBorder="0" applyAlignment="0" applyProtection="0"/>
    <xf numFmtId="0" fontId="34" fillId="10" borderId="0" applyNumberFormat="0" applyBorder="0" applyAlignment="0" applyProtection="0"/>
    <xf numFmtId="0" fontId="16" fillId="10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7" fillId="3" borderId="0" applyNumberFormat="0" applyBorder="0" applyAlignment="0" applyProtection="0"/>
    <xf numFmtId="0" fontId="19" fillId="20" borderId="1" applyNumberFormat="0" applyAlignment="0" applyProtection="0"/>
    <xf numFmtId="0" fontId="24" fillId="21" borderId="2" applyNumberFormat="0" applyAlignment="0" applyProtection="0"/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168" fontId="13" fillId="0" borderId="0" applyFont="0" applyFill="0" applyBorder="0" applyAlignment="0" applyProtection="0"/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0" fontId="28" fillId="0" borderId="0" applyNumberFormat="0" applyFill="0" applyBorder="0" applyAlignment="0" applyProtection="0"/>
    <xf numFmtId="171" fontId="36" fillId="0" borderId="0" applyAlignment="0">
      <alignment wrapText="1"/>
    </xf>
    <xf numFmtId="0" fontId="31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38" fillId="22" borderId="7">
      <alignment horizontal="left" vertical="center"/>
      <protection locked="0"/>
    </xf>
    <xf numFmtId="49" fontId="38" fillId="22" borderId="7">
      <alignment horizontal="left" vertical="center"/>
    </xf>
    <xf numFmtId="4" fontId="38" fillId="22" borderId="7">
      <alignment horizontal="right" vertical="center"/>
      <protection locked="0"/>
    </xf>
    <xf numFmtId="4" fontId="38" fillId="22" borderId="7">
      <alignment horizontal="right" vertical="center"/>
    </xf>
    <xf numFmtId="4" fontId="39" fillId="22" borderId="7">
      <alignment horizontal="right" vertical="center"/>
      <protection locked="0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" fontId="40" fillId="22" borderId="3">
      <alignment horizontal="right" vertical="center"/>
      <protection locked="0"/>
    </xf>
    <xf numFmtId="4" fontId="40" fillId="22" borderId="3">
      <alignment horizontal="right" vertical="center"/>
    </xf>
    <xf numFmtId="4" fontId="42" fillId="22" borderId="3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5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5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" fontId="43" fillId="22" borderId="3">
      <alignment horizontal="right" vertical="center"/>
      <protection locked="0"/>
    </xf>
    <xf numFmtId="4" fontId="43" fillId="22" borderId="3">
      <alignment horizontal="right" vertical="center"/>
    </xf>
    <xf numFmtId="4" fontId="45" fillId="22" borderId="3">
      <alignment horizontal="right" vertical="center"/>
      <protection locked="0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" fontId="46" fillId="0" borderId="3">
      <alignment horizontal="right" vertical="center"/>
      <protection locked="0"/>
    </xf>
    <xf numFmtId="4" fontId="46" fillId="0" borderId="3">
      <alignment horizontal="right" vertical="center"/>
    </xf>
    <xf numFmtId="4" fontId="47" fillId="0" borderId="3">
      <alignment horizontal="right" vertical="center"/>
      <protection locked="0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" fontId="48" fillId="0" borderId="3">
      <alignment horizontal="right" vertical="center"/>
      <protection locked="0"/>
    </xf>
    <xf numFmtId="4" fontId="48" fillId="0" borderId="3">
      <alignment horizontal="right" vertical="center"/>
    </xf>
    <xf numFmtId="49" fontId="46" fillId="0" borderId="3">
      <alignment horizontal="left" vertical="center"/>
      <protection locked="0"/>
    </xf>
    <xf numFmtId="49" fontId="47" fillId="0" borderId="3">
      <alignment horizontal="left" vertical="center"/>
      <protection locked="0"/>
    </xf>
    <xf numFmtId="4" fontId="46" fillId="0" borderId="3">
      <alignment horizontal="right" vertical="center"/>
      <protection locked="0"/>
    </xf>
    <xf numFmtId="0" fontId="29" fillId="0" borderId="8" applyNumberFormat="0" applyFill="0" applyAlignment="0" applyProtection="0"/>
    <xf numFmtId="0" fontId="26" fillId="23" borderId="0" applyNumberFormat="0" applyBorder="0" applyAlignment="0" applyProtection="0"/>
    <xf numFmtId="0" fontId="13" fillId="0" borderId="0"/>
    <xf numFmtId="0" fontId="13" fillId="0" borderId="0"/>
    <xf numFmtId="0" fontId="13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0" fillId="26" borderId="3">
      <alignment horizontal="right" vertical="center"/>
      <protection locked="0"/>
    </xf>
    <xf numFmtId="4" fontId="50" fillId="27" borderId="3">
      <alignment horizontal="right" vertical="center"/>
      <protection locked="0"/>
    </xf>
    <xf numFmtId="4" fontId="50" fillId="28" borderId="3">
      <alignment horizontal="right" vertical="center"/>
      <protection locked="0"/>
    </xf>
    <xf numFmtId="0" fontId="18" fillId="20" borderId="10" applyNumberFormat="0" applyAlignment="0" applyProtection="0"/>
    <xf numFmtId="49" fontId="35" fillId="0" borderId="3">
      <alignment horizontal="left" vertical="center" wrapText="1"/>
      <protection locked="0"/>
    </xf>
    <xf numFmtId="49" fontId="35" fillId="0" borderId="3">
      <alignment horizontal="left" vertical="center" wrapText="1"/>
      <protection locked="0"/>
    </xf>
    <xf numFmtId="0" fontId="25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16" fillId="16" borderId="0" applyNumberFormat="0" applyBorder="0" applyAlignment="0" applyProtection="0"/>
    <xf numFmtId="0" fontId="34" fillId="17" borderId="0" applyNumberFormat="0" applyBorder="0" applyAlignment="0" applyProtection="0"/>
    <xf numFmtId="0" fontId="16" fillId="17" borderId="0" applyNumberFormat="0" applyBorder="0" applyAlignment="0" applyProtection="0"/>
    <xf numFmtId="0" fontId="34" fillId="18" borderId="0" applyNumberFormat="0" applyBorder="0" applyAlignment="0" applyProtection="0"/>
    <xf numFmtId="0" fontId="16" fillId="18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9" borderId="0" applyNumberFormat="0" applyBorder="0" applyAlignment="0" applyProtection="0"/>
    <xf numFmtId="0" fontId="16" fillId="19" borderId="0" applyNumberFormat="0" applyBorder="0" applyAlignment="0" applyProtection="0"/>
    <xf numFmtId="0" fontId="51" fillId="7" borderId="1" applyNumberFormat="0" applyAlignment="0" applyProtection="0"/>
    <xf numFmtId="0" fontId="17" fillId="7" borderId="1" applyNumberFormat="0" applyAlignment="0" applyProtection="0"/>
    <xf numFmtId="0" fontId="52" fillId="20" borderId="10" applyNumberFormat="0" applyAlignment="0" applyProtection="0"/>
    <xf numFmtId="0" fontId="18" fillId="20" borderId="10" applyNumberFormat="0" applyAlignment="0" applyProtection="0"/>
    <xf numFmtId="0" fontId="53" fillId="20" borderId="1" applyNumberFormat="0" applyAlignment="0" applyProtection="0"/>
    <xf numFmtId="0" fontId="19" fillId="20" borderId="1" applyNumberFormat="0" applyAlignment="0" applyProtection="0"/>
    <xf numFmtId="172" fontId="13" fillId="0" borderId="0" applyFont="0" applyFill="0" applyBorder="0" applyAlignment="0" applyProtection="0"/>
    <xf numFmtId="0" fontId="54" fillId="0" borderId="4" applyNumberFormat="0" applyFill="0" applyAlignment="0" applyProtection="0"/>
    <xf numFmtId="0" fontId="20" fillId="0" borderId="4" applyNumberFormat="0" applyFill="0" applyAlignment="0" applyProtection="0"/>
    <xf numFmtId="0" fontId="55" fillId="0" borderId="5" applyNumberFormat="0" applyFill="0" applyAlignment="0" applyProtection="0"/>
    <xf numFmtId="0" fontId="21" fillId="0" borderId="5" applyNumberFormat="0" applyFill="0" applyAlignment="0" applyProtection="0"/>
    <xf numFmtId="0" fontId="56" fillId="0" borderId="6" applyNumberFormat="0" applyFill="0" applyAlignment="0" applyProtection="0"/>
    <xf numFmtId="0" fontId="22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23" fillId="0" borderId="11" applyNumberFormat="0" applyFill="0" applyAlignment="0" applyProtection="0"/>
    <xf numFmtId="0" fontId="58" fillId="21" borderId="2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26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83" fillId="0" borderId="0"/>
    <xf numFmtId="0" fontId="13" fillId="0" borderId="0"/>
    <xf numFmtId="0" fontId="2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0" fillId="3" borderId="0" applyNumberFormat="0" applyBorder="0" applyAlignment="0" applyProtection="0"/>
    <xf numFmtId="0" fontId="27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25" borderId="9" applyNumberFormat="0" applyFont="0" applyAlignment="0" applyProtection="0"/>
    <xf numFmtId="0" fontId="13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8" applyNumberFormat="0" applyFill="0" applyAlignment="0" applyProtection="0"/>
    <xf numFmtId="0" fontId="29" fillId="0" borderId="8" applyNumberFormat="0" applyFill="0" applyAlignment="0" applyProtection="0"/>
    <xf numFmtId="0" fontId="3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3" fontId="66" fillId="0" borderId="0" applyFont="0" applyFill="0" applyBorder="0" applyAlignment="0" applyProtection="0"/>
    <xf numFmtId="174" fontId="6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7" fillId="4" borderId="0" applyNumberFormat="0" applyBorder="0" applyAlignment="0" applyProtection="0"/>
    <xf numFmtId="0" fontId="31" fillId="4" borderId="0" applyNumberFormat="0" applyBorder="0" applyAlignment="0" applyProtection="0"/>
    <xf numFmtId="176" fontId="68" fillId="22" borderId="12" applyFill="0" applyBorder="0">
      <alignment horizontal="center" vertical="center" wrapText="1"/>
      <protection locked="0"/>
    </xf>
    <xf numFmtId="171" fontId="69" fillId="0" borderId="0">
      <alignment wrapText="1"/>
    </xf>
    <xf numFmtId="171" fontId="36" fillId="0" borderId="0">
      <alignment wrapText="1"/>
    </xf>
    <xf numFmtId="164" fontId="2" fillId="0" borderId="0" applyFont="0" applyFill="0" applyBorder="0" applyAlignment="0" applyProtection="0"/>
  </cellStyleXfs>
  <cellXfs count="570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17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70" fontId="5" fillId="0" borderId="0" xfId="0" applyNumberFormat="1" applyFont="1" applyFill="1" applyAlignment="1">
      <alignment vertical="center"/>
    </xf>
    <xf numFmtId="0" fontId="12" fillId="0" borderId="0" xfId="0" applyFont="1" applyFill="1"/>
    <xf numFmtId="170" fontId="5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15" fillId="0" borderId="0" xfId="245" applyFont="1" applyFill="1"/>
    <xf numFmtId="0" fontId="6" fillId="0" borderId="0" xfId="0" applyFont="1" applyFill="1" applyAlignment="1">
      <alignment vertical="center"/>
    </xf>
    <xf numFmtId="0" fontId="5" fillId="0" borderId="0" xfId="245" applyFont="1" applyFill="1" applyBorder="1" applyAlignment="1">
      <alignment vertical="center" wrapText="1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3" xfId="182" applyFont="1" applyFill="1" applyBorder="1" applyAlignment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3" xfId="237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3" fontId="10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237" applyNumberFormat="1" applyFont="1" applyFill="1" applyBorder="1" applyAlignment="1">
      <alignment horizontal="left" vertical="center" wrapText="1"/>
    </xf>
    <xf numFmtId="17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29" borderId="3" xfId="0" applyNumberFormat="1" applyFont="1" applyFill="1" applyBorder="1" applyAlignment="1">
      <alignment horizontal="center" vertical="center" wrapText="1"/>
    </xf>
    <xf numFmtId="170" fontId="5" fillId="29" borderId="3" xfId="237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182" applyFont="1" applyFill="1" applyBorder="1" applyAlignment="1" applyProtection="1">
      <alignment vertical="center" wrapText="1"/>
    </xf>
    <xf numFmtId="173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182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3" xfId="245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17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 applyProtection="1">
      <alignment horizontal="left" vertical="top" wrapText="1"/>
      <protection locked="0"/>
    </xf>
    <xf numFmtId="0" fontId="70" fillId="0" borderId="0" xfId="0" applyFont="1" applyAlignment="1" applyProtection="1">
      <alignment vertical="top" wrapText="1"/>
      <protection locked="0"/>
    </xf>
    <xf numFmtId="0" fontId="71" fillId="0" borderId="0" xfId="0" applyFont="1" applyFill="1" applyBorder="1" applyAlignment="1" applyProtection="1">
      <alignment vertical="center"/>
      <protection locked="0"/>
    </xf>
    <xf numFmtId="0" fontId="71" fillId="0" borderId="0" xfId="0" applyFont="1" applyFill="1" applyBorder="1" applyAlignment="1" applyProtection="1">
      <alignment horizontal="right" vertical="center"/>
      <protection locked="0"/>
    </xf>
    <xf numFmtId="0" fontId="71" fillId="0" borderId="0" xfId="0" applyFont="1" applyFill="1" applyBorder="1" applyAlignment="1" applyProtection="1">
      <alignment horizontal="right" vertical="center" wrapText="1"/>
      <protection locked="0"/>
    </xf>
    <xf numFmtId="0" fontId="71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Alignment="1" applyProtection="1">
      <alignment horizontal="center" vertical="center"/>
      <protection locked="0"/>
    </xf>
    <xf numFmtId="0" fontId="71" fillId="0" borderId="0" xfId="0" applyFont="1" applyFill="1" applyBorder="1" applyAlignment="1" applyProtection="1">
      <alignment horizontal="center" vertical="center"/>
      <protection locked="0"/>
    </xf>
    <xf numFmtId="0" fontId="71" fillId="0" borderId="14" xfId="0" applyFont="1" applyFill="1" applyBorder="1" applyAlignment="1" applyProtection="1">
      <alignment vertical="center"/>
      <protection locked="0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71" fillId="0" borderId="15" xfId="0" applyFont="1" applyFill="1" applyBorder="1" applyAlignment="1" applyProtection="1">
      <alignment vertical="center"/>
      <protection locked="0"/>
    </xf>
    <xf numFmtId="0" fontId="71" fillId="0" borderId="16" xfId="0" applyFont="1" applyFill="1" applyBorder="1" applyAlignment="1" applyProtection="1">
      <alignment vertical="center"/>
      <protection locked="0"/>
    </xf>
    <xf numFmtId="0" fontId="71" fillId="0" borderId="3" xfId="0" applyFont="1" applyFill="1" applyBorder="1" applyAlignment="1" applyProtection="1">
      <alignment horizontal="center" vertical="center"/>
      <protection locked="0"/>
    </xf>
    <xf numFmtId="0" fontId="71" fillId="0" borderId="14" xfId="0" applyFont="1" applyFill="1" applyBorder="1" applyAlignment="1" applyProtection="1">
      <alignment horizontal="left" vertical="center" wrapText="1"/>
      <protection locked="0"/>
    </xf>
    <xf numFmtId="0" fontId="71" fillId="0" borderId="15" xfId="0" applyFont="1" applyFill="1" applyBorder="1" applyAlignment="1" applyProtection="1">
      <alignment vertical="center" wrapText="1"/>
      <protection locked="0"/>
    </xf>
    <xf numFmtId="0" fontId="71" fillId="0" borderId="16" xfId="0" applyFont="1" applyFill="1" applyBorder="1" applyAlignment="1" applyProtection="1">
      <alignment vertical="center" wrapText="1"/>
      <protection locked="0"/>
    </xf>
    <xf numFmtId="0" fontId="71" fillId="0" borderId="17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17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quotePrefix="1" applyFont="1" applyFill="1" applyBorder="1" applyAlignment="1" applyProtection="1">
      <alignment horizontal="center" vertical="center"/>
      <protection locked="0"/>
    </xf>
    <xf numFmtId="170" fontId="6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45" applyFont="1" applyFill="1" applyBorder="1" applyAlignment="1" applyProtection="1">
      <alignment horizontal="left" vertical="center" wrapText="1"/>
      <protection locked="0"/>
    </xf>
    <xf numFmtId="0" fontId="5" fillId="0" borderId="0" xfId="245" applyFont="1" applyFill="1" applyBorder="1" applyAlignment="1" applyProtection="1">
      <alignment horizontal="center" vertical="center"/>
      <protection locked="0"/>
    </xf>
    <xf numFmtId="170" fontId="5" fillId="0" borderId="0" xfId="245" applyNumberFormat="1" applyFont="1" applyFill="1" applyBorder="1" applyAlignment="1" applyProtection="1">
      <alignment horizontal="center" vertical="center" wrapText="1"/>
      <protection locked="0"/>
    </xf>
    <xf numFmtId="170" fontId="5" fillId="0" borderId="0" xfId="245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quotePrefix="1" applyFont="1" applyFill="1" applyBorder="1" applyAlignment="1" applyProtection="1">
      <alignment horizontal="center" vertical="center"/>
      <protection locked="0"/>
    </xf>
    <xf numFmtId="16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9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70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237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 shrinkToFit="1"/>
      <protection locked="0"/>
    </xf>
    <xf numFmtId="0" fontId="5" fillId="0" borderId="3" xfId="0" quotePrefix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245" applyFont="1" applyFill="1" applyBorder="1" applyAlignment="1" applyProtection="1">
      <alignment horizontal="left" vertical="center" wrapText="1"/>
      <protection locked="0"/>
    </xf>
    <xf numFmtId="0" fontId="5" fillId="0" borderId="3" xfId="245" applyFont="1" applyFill="1" applyBorder="1" applyAlignment="1" applyProtection="1">
      <alignment horizontal="center" vertical="center" wrapText="1"/>
      <protection locked="0"/>
    </xf>
    <xf numFmtId="0" fontId="4" fillId="0" borderId="3" xfId="245" applyFont="1" applyFill="1" applyBorder="1" applyAlignment="1" applyProtection="1">
      <alignment horizontal="left" vertical="center" wrapText="1"/>
      <protection locked="0"/>
    </xf>
    <xf numFmtId="0" fontId="4" fillId="0" borderId="3" xfId="245" applyFont="1" applyFill="1" applyBorder="1" applyAlignment="1" applyProtection="1">
      <alignment horizontal="center" vertical="center" wrapText="1"/>
      <protection locked="0"/>
    </xf>
    <xf numFmtId="1" fontId="5" fillId="29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29" borderId="3" xfId="0" applyNumberFormat="1" applyFont="1" applyFill="1" applyBorder="1" applyAlignment="1">
      <alignment horizontal="center" vertical="center" wrapText="1"/>
    </xf>
    <xf numFmtId="1" fontId="4" fillId="29" borderId="3" xfId="0" applyNumberFormat="1" applyFont="1" applyFill="1" applyBorder="1" applyAlignment="1">
      <alignment horizontal="center" vertical="center" wrapText="1"/>
    </xf>
    <xf numFmtId="1" fontId="84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Fill="1" applyAlignment="1">
      <alignment horizontal="right" vertical="center"/>
    </xf>
    <xf numFmtId="0" fontId="76" fillId="0" borderId="0" xfId="0" applyFont="1" applyFill="1" applyAlignment="1"/>
    <xf numFmtId="0" fontId="76" fillId="0" borderId="0" xfId="0" applyFont="1" applyFill="1" applyBorder="1" applyAlignment="1">
      <alignment horizontal="center"/>
    </xf>
    <xf numFmtId="0" fontId="76" fillId="0" borderId="0" xfId="0" applyFont="1" applyFill="1" applyBorder="1" applyAlignment="1"/>
    <xf numFmtId="170" fontId="7" fillId="0" borderId="0" xfId="0" applyNumberFormat="1" applyFont="1" applyFill="1" applyBorder="1" applyAlignment="1" applyProtection="1">
      <alignment vertical="center"/>
      <protection locked="0"/>
    </xf>
    <xf numFmtId="1" fontId="5" fillId="29" borderId="3" xfId="0" applyNumberFormat="1" applyFont="1" applyFill="1" applyBorder="1" applyAlignment="1" applyProtection="1">
      <alignment horizontal="center" vertical="center" wrapText="1"/>
    </xf>
    <xf numFmtId="4" fontId="5" fillId="29" borderId="3" xfId="237" applyNumberFormat="1" applyFont="1" applyFill="1" applyBorder="1" applyAlignment="1">
      <alignment horizontal="center" vertical="center" wrapText="1"/>
    </xf>
    <xf numFmtId="180" fontId="5" fillId="29" borderId="3" xfId="237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 applyProtection="1">
      <alignment horizontal="left" vertical="center" wrapText="1"/>
      <protection locked="0"/>
    </xf>
    <xf numFmtId="0" fontId="81" fillId="0" borderId="0" xfId="0" quotePrefix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>
      <alignment vertical="center"/>
    </xf>
    <xf numFmtId="179" fontId="5" fillId="29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170" fontId="4" fillId="0" borderId="0" xfId="0" applyNumberFormat="1" applyFont="1" applyFill="1" applyBorder="1" applyAlignment="1" applyProtection="1">
      <alignment horizontal="center" vertical="center" wrapText="1"/>
    </xf>
    <xf numFmtId="170" fontId="4" fillId="0" borderId="0" xfId="0" applyNumberFormat="1" applyFont="1" applyFill="1" applyBorder="1" applyAlignment="1" applyProtection="1">
      <alignment horizontal="right" vertical="center" wrapText="1"/>
    </xf>
    <xf numFmtId="17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170" fontId="5" fillId="0" borderId="0" xfId="0" applyNumberFormat="1" applyFont="1" applyFill="1" applyBorder="1" applyAlignment="1" applyProtection="1">
      <alignment horizontal="right" vertical="center" wrapText="1"/>
    </xf>
    <xf numFmtId="0" fontId="74" fillId="0" borderId="0" xfId="0" applyFont="1" applyFill="1" applyBorder="1" applyAlignment="1" applyProtection="1">
      <alignment horizontal="center" vertical="center" wrapText="1"/>
    </xf>
    <xf numFmtId="0" fontId="5" fillId="0" borderId="0" xfId="0" quotePrefix="1" applyFont="1" applyFill="1" applyBorder="1" applyAlignment="1" applyProtection="1">
      <alignment horizontal="center" vertical="center"/>
    </xf>
    <xf numFmtId="170" fontId="6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10" fillId="0" borderId="18" xfId="0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vertical="center" wrapText="1"/>
      <protection locked="0"/>
    </xf>
    <xf numFmtId="49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0" fontId="82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7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/>
    </xf>
    <xf numFmtId="49" fontId="5" fillId="31" borderId="3" xfId="0" applyNumberFormat="1" applyFont="1" applyFill="1" applyBorder="1" applyAlignment="1" applyProtection="1">
      <alignment horizontal="center" vertical="center" wrapText="1"/>
      <protection locked="0"/>
    </xf>
    <xf numFmtId="170" fontId="4" fillId="30" borderId="0" xfId="0" quotePrefix="1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7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5" fillId="31" borderId="3" xfId="0" applyNumberFormat="1" applyFont="1" applyFill="1" applyBorder="1" applyAlignment="1" applyProtection="1">
      <alignment horizontal="center" vertical="center" wrapText="1"/>
    </xf>
    <xf numFmtId="1" fontId="5" fillId="31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1" borderId="3" xfId="0" applyFont="1" applyFill="1" applyBorder="1" applyAlignment="1" applyProtection="1">
      <alignment horizontal="left" vertical="center" wrapText="1"/>
      <protection locked="0"/>
    </xf>
    <xf numFmtId="1" fontId="5" fillId="32" borderId="3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" fontId="5" fillId="31" borderId="3" xfId="0" applyNumberFormat="1" applyFont="1" applyFill="1" applyBorder="1" applyAlignment="1">
      <alignment horizontal="center" vertical="center" wrapText="1"/>
    </xf>
    <xf numFmtId="0" fontId="5" fillId="31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31" borderId="0" xfId="0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center" vertical="center" wrapText="1"/>
    </xf>
    <xf numFmtId="0" fontId="5" fillId="31" borderId="0" xfId="0" applyFont="1" applyFill="1" applyBorder="1" applyAlignment="1" applyProtection="1">
      <alignment horizontal="center" vertical="center"/>
      <protection locked="0"/>
    </xf>
    <xf numFmtId="0" fontId="5" fillId="31" borderId="0" xfId="0" applyFont="1" applyFill="1" applyBorder="1" applyAlignment="1" applyProtection="1">
      <alignment vertical="center"/>
      <protection locked="0"/>
    </xf>
    <xf numFmtId="170" fontId="5" fillId="31" borderId="0" xfId="0" applyNumberFormat="1" applyFont="1" applyFill="1" applyBorder="1" applyAlignment="1" applyProtection="1">
      <alignment horizontal="right" vertical="center" wrapText="1"/>
      <protection locked="0"/>
    </xf>
    <xf numFmtId="170" fontId="4" fillId="31" borderId="0" xfId="0" applyNumberFormat="1" applyFont="1" applyFill="1" applyBorder="1" applyAlignment="1" applyProtection="1">
      <alignment horizontal="center"/>
      <protection locked="0"/>
    </xf>
    <xf numFmtId="170" fontId="4" fillId="31" borderId="0" xfId="0" applyNumberFormat="1" applyFont="1" applyFill="1" applyBorder="1" applyAlignment="1" applyProtection="1">
      <alignment horizontal="center" vertical="center" wrapText="1"/>
      <protection locked="0"/>
    </xf>
    <xf numFmtId="170" fontId="5" fillId="31" borderId="0" xfId="0" applyNumberFormat="1" applyFont="1" applyFill="1" applyBorder="1" applyAlignment="1">
      <alignment horizontal="right" vertical="center" wrapText="1"/>
    </xf>
    <xf numFmtId="0" fontId="5" fillId="31" borderId="0" xfId="0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vertical="center"/>
    </xf>
    <xf numFmtId="1" fontId="5" fillId="32" borderId="3" xfId="0" applyNumberFormat="1" applyFont="1" applyFill="1" applyBorder="1" applyAlignment="1">
      <alignment horizontal="center" vertical="center" wrapText="1"/>
    </xf>
    <xf numFmtId="1" fontId="4" fillId="32" borderId="3" xfId="0" applyNumberFormat="1" applyFont="1" applyFill="1" applyBorder="1" applyAlignment="1">
      <alignment horizontal="center" vertical="center" wrapText="1"/>
    </xf>
    <xf numFmtId="170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0" fontId="5" fillId="31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9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3" fontId="89" fillId="33" borderId="0" xfId="0" applyNumberFormat="1" applyFont="1" applyFill="1" applyBorder="1" applyAlignment="1" applyProtection="1">
      <alignment horizontal="right" vertical="center" wrapText="1"/>
      <protection locked="0"/>
    </xf>
    <xf numFmtId="1" fontId="5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90" fillId="0" borderId="0" xfId="0" applyFont="1" applyFill="1" applyBorder="1" applyAlignment="1">
      <alignment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181" fontId="100" fillId="0" borderId="0" xfId="353" applyNumberFormat="1" applyFont="1" applyFill="1" applyAlignment="1">
      <alignment vertical="center"/>
    </xf>
    <xf numFmtId="181" fontId="100" fillId="0" borderId="0" xfId="353" applyNumberFormat="1" applyFont="1" applyFill="1" applyBorder="1" applyAlignment="1">
      <alignment vertical="center"/>
    </xf>
    <xf numFmtId="1" fontId="84" fillId="31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95" fillId="31" borderId="3" xfId="238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32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31" borderId="3" xfId="237" applyFont="1" applyFill="1" applyBorder="1" applyAlignment="1">
      <alignment horizontal="center" vertical="center"/>
    </xf>
    <xf numFmtId="170" fontId="84" fillId="31" borderId="3" xfId="237" applyNumberFormat="1" applyFont="1" applyFill="1" applyBorder="1" applyAlignment="1" applyProtection="1">
      <alignment horizontal="center" vertical="center" wrapText="1"/>
      <protection locked="0"/>
    </xf>
    <xf numFmtId="0" fontId="101" fillId="31" borderId="0" xfId="0" applyFont="1" applyFill="1" applyProtection="1">
      <protection locked="0"/>
    </xf>
    <xf numFmtId="0" fontId="12" fillId="31" borderId="0" xfId="0" applyFont="1" applyFill="1"/>
    <xf numFmtId="0" fontId="5" fillId="31" borderId="3" xfId="0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center" vertical="center"/>
    </xf>
    <xf numFmtId="0" fontId="12" fillId="31" borderId="0" xfId="0" applyFont="1" applyFill="1" applyProtection="1">
      <protection locked="0"/>
    </xf>
    <xf numFmtId="0" fontId="92" fillId="31" borderId="3" xfId="238" applyFont="1" applyFill="1" applyBorder="1" applyAlignment="1">
      <alignment wrapText="1"/>
    </xf>
    <xf numFmtId="0" fontId="92" fillId="31" borderId="3" xfId="238" applyFont="1" applyFill="1" applyBorder="1" applyAlignment="1">
      <alignment vertical="top" wrapText="1"/>
    </xf>
    <xf numFmtId="0" fontId="91" fillId="31" borderId="3" xfId="238" applyFont="1" applyFill="1" applyBorder="1" applyAlignment="1">
      <alignment horizontal="center"/>
    </xf>
    <xf numFmtId="0" fontId="93" fillId="31" borderId="3" xfId="238" applyFont="1" applyFill="1" applyBorder="1" applyAlignment="1">
      <alignment horizontal="center"/>
    </xf>
    <xf numFmtId="2" fontId="94" fillId="31" borderId="3" xfId="238" applyNumberFormat="1" applyFont="1" applyFill="1" applyBorder="1" applyAlignment="1">
      <alignment horizontal="center"/>
    </xf>
    <xf numFmtId="0" fontId="0" fillId="31" borderId="0" xfId="0" applyFill="1"/>
    <xf numFmtId="2" fontId="92" fillId="31" borderId="3" xfId="238" applyNumberFormat="1" applyFont="1" applyFill="1" applyBorder="1" applyAlignment="1">
      <alignment horizontal="center"/>
    </xf>
    <xf numFmtId="0" fontId="92" fillId="31" borderId="3" xfId="238" applyFont="1" applyFill="1" applyBorder="1" applyAlignment="1">
      <alignment horizontal="center" vertical="top" wrapText="1"/>
    </xf>
    <xf numFmtId="1" fontId="0" fillId="31" borderId="0" xfId="0" applyNumberFormat="1" applyFill="1"/>
    <xf numFmtId="181" fontId="0" fillId="31" borderId="0" xfId="353" applyNumberFormat="1" applyFont="1" applyFill="1"/>
    <xf numFmtId="181" fontId="0" fillId="31" borderId="0" xfId="0" applyNumberFormat="1" applyFill="1"/>
    <xf numFmtId="0" fontId="0" fillId="34" borderId="0" xfId="0" applyFill="1"/>
    <xf numFmtId="0" fontId="102" fillId="0" borderId="0" xfId="0" applyFont="1"/>
    <xf numFmtId="49" fontId="5" fillId="31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170" fontId="5" fillId="31" borderId="3" xfId="237" applyNumberFormat="1" applyFont="1" applyFill="1" applyBorder="1" applyAlignment="1">
      <alignment horizontal="center" vertical="center" wrapText="1"/>
    </xf>
    <xf numFmtId="0" fontId="0" fillId="35" borderId="0" xfId="0" applyFill="1"/>
    <xf numFmtId="181" fontId="0" fillId="35" borderId="0" xfId="0" applyNumberFormat="1" applyFill="1"/>
    <xf numFmtId="0" fontId="103" fillId="31" borderId="0" xfId="0" applyFont="1" applyFill="1"/>
    <xf numFmtId="0" fontId="96" fillId="31" borderId="3" xfId="238" applyFont="1" applyFill="1" applyBorder="1" applyAlignment="1">
      <alignment horizontal="center" vertical="center" wrapText="1"/>
    </xf>
    <xf numFmtId="0" fontId="5" fillId="31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17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31" borderId="3" xfId="237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49" fontId="4" fillId="31" borderId="3" xfId="0" applyNumberFormat="1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Border="1" applyAlignment="1" applyProtection="1">
      <alignment horizontal="left" vertical="center" wrapText="1"/>
      <protection locked="0"/>
    </xf>
    <xf numFmtId="0" fontId="82" fillId="0" borderId="3" xfId="0" applyFont="1" applyFill="1" applyBorder="1" applyAlignment="1" applyProtection="1">
      <alignment horizontal="left" vertical="center"/>
      <protection locked="0"/>
    </xf>
    <xf numFmtId="0" fontId="71" fillId="0" borderId="0" xfId="0" applyFont="1" applyFill="1" applyBorder="1" applyAlignment="1" applyProtection="1">
      <alignment vertical="center" wrapText="1"/>
      <protection locked="0"/>
    </xf>
    <xf numFmtId="1" fontId="5" fillId="32" borderId="3" xfId="0" applyNumberFormat="1" applyFont="1" applyFill="1" applyBorder="1" applyAlignment="1" applyProtection="1">
      <alignment horizontal="center" vertical="center" wrapText="1"/>
    </xf>
    <xf numFmtId="3" fontId="5" fillId="31" borderId="0" xfId="0" applyNumberFormat="1" applyFont="1" applyFill="1" applyBorder="1" applyAlignment="1" applyProtection="1">
      <alignment vertical="center"/>
      <protection locked="0"/>
    </xf>
    <xf numFmtId="0" fontId="74" fillId="0" borderId="0" xfId="0" applyFont="1" applyFill="1" applyBorder="1" applyAlignment="1" applyProtection="1">
      <alignment horizontal="center" vertical="center"/>
      <protection locked="0"/>
    </xf>
    <xf numFmtId="178" fontId="5" fillId="31" borderId="15" xfId="0" applyNumberFormat="1" applyFont="1" applyFill="1" applyBorder="1" applyAlignment="1" applyProtection="1">
      <alignment horizontal="right" vertical="center" wrapText="1"/>
    </xf>
    <xf numFmtId="178" fontId="5" fillId="31" borderId="16" xfId="0" applyNumberFormat="1" applyFont="1" applyFill="1" applyBorder="1" applyAlignment="1" applyProtection="1">
      <alignment horizontal="right" vertical="center" wrapText="1"/>
    </xf>
    <xf numFmtId="178" fontId="5" fillId="31" borderId="14" xfId="0" applyNumberFormat="1" applyFont="1" applyFill="1" applyBorder="1" applyAlignment="1" applyProtection="1">
      <alignment horizontal="right" vertical="center" wrapText="1"/>
    </xf>
    <xf numFmtId="0" fontId="97" fillId="0" borderId="3" xfId="237" applyFont="1" applyFill="1" applyBorder="1" applyAlignment="1">
      <alignment horizontal="left" wrapText="1"/>
    </xf>
    <xf numFmtId="0" fontId="97" fillId="0" borderId="3" xfId="237" applyFont="1" applyFill="1" applyBorder="1" applyAlignment="1">
      <alignment horizontal="left"/>
    </xf>
    <xf numFmtId="0" fontId="109" fillId="0" borderId="3" xfId="0" applyFont="1" applyFill="1" applyBorder="1" applyAlignment="1">
      <alignment horizontal="left" wrapText="1"/>
    </xf>
    <xf numFmtId="0" fontId="98" fillId="0" borderId="3" xfId="237" applyFont="1" applyFill="1" applyBorder="1" applyAlignment="1">
      <alignment horizontal="left" wrapText="1"/>
    </xf>
    <xf numFmtId="3" fontId="98" fillId="31" borderId="3" xfId="238" applyNumberFormat="1" applyFont="1" applyFill="1" applyBorder="1" applyAlignment="1">
      <alignment horizontal="center" vertical="center" wrapText="1"/>
    </xf>
    <xf numFmtId="0" fontId="95" fillId="0" borderId="3" xfId="238" applyFont="1" applyFill="1" applyBorder="1" applyAlignment="1">
      <alignment horizontal="center" vertical="center" wrapText="1"/>
    </xf>
    <xf numFmtId="0" fontId="108" fillId="0" borderId="23" xfId="257" applyFont="1" applyFill="1" applyBorder="1" applyAlignment="1">
      <alignment horizontal="left" wrapText="1"/>
    </xf>
    <xf numFmtId="1" fontId="95" fillId="0" borderId="3" xfId="238" applyNumberFormat="1" applyFont="1" applyFill="1" applyBorder="1" applyAlignment="1">
      <alignment horizontal="center" vertical="center" wrapText="1"/>
    </xf>
    <xf numFmtId="1" fontId="97" fillId="0" borderId="3" xfId="238" applyNumberFormat="1" applyFont="1" applyFill="1" applyBorder="1" applyAlignment="1">
      <alignment horizontal="center" vertical="center" wrapText="1"/>
    </xf>
    <xf numFmtId="1" fontId="98" fillId="0" borderId="3" xfId="238" applyNumberFormat="1" applyFont="1" applyFill="1" applyBorder="1" applyAlignment="1">
      <alignment horizontal="center" vertical="center" wrapText="1"/>
    </xf>
    <xf numFmtId="0" fontId="108" fillId="0" borderId="16" xfId="257" applyFont="1" applyFill="1" applyBorder="1" applyAlignment="1">
      <alignment horizontal="left" wrapText="1"/>
    </xf>
    <xf numFmtId="0" fontId="108" fillId="0" borderId="17" xfId="257" applyFont="1" applyFill="1" applyBorder="1" applyAlignment="1">
      <alignment horizontal="left" wrapText="1"/>
    </xf>
    <xf numFmtId="0" fontId="108" fillId="0" borderId="25" xfId="257" applyFont="1" applyFill="1" applyBorder="1" applyAlignment="1">
      <alignment horizontal="left" wrapText="1"/>
    </xf>
    <xf numFmtId="0" fontId="110" fillId="0" borderId="17" xfId="257" applyFont="1" applyFill="1" applyBorder="1" applyAlignment="1">
      <alignment horizontal="left" wrapText="1"/>
    </xf>
    <xf numFmtId="0" fontId="108" fillId="0" borderId="3" xfId="257" applyFont="1" applyFill="1" applyBorder="1" applyAlignment="1">
      <alignment horizontal="left" wrapText="1"/>
    </xf>
    <xf numFmtId="0" fontId="110" fillId="0" borderId="3" xfId="257" applyFont="1" applyFill="1" applyBorder="1" applyAlignment="1">
      <alignment horizontal="left" wrapText="1"/>
    </xf>
    <xf numFmtId="0" fontId="97" fillId="0" borderId="3" xfId="0" applyFont="1" applyFill="1" applyBorder="1" applyAlignment="1">
      <alignment horizontal="left" wrapText="1"/>
    </xf>
    <xf numFmtId="0" fontId="108" fillId="0" borderId="26" xfId="257" applyFont="1" applyFill="1" applyBorder="1" applyAlignment="1">
      <alignment horizontal="left" wrapText="1"/>
    </xf>
    <xf numFmtId="0" fontId="110" fillId="0" borderId="18" xfId="257" applyFont="1" applyFill="1" applyBorder="1" applyAlignment="1">
      <alignment horizontal="left" wrapText="1"/>
    </xf>
    <xf numFmtId="0" fontId="109" fillId="0" borderId="3" xfId="257" applyFont="1" applyFill="1" applyBorder="1" applyAlignment="1">
      <alignment horizontal="left" wrapText="1"/>
    </xf>
    <xf numFmtId="0" fontId="97" fillId="0" borderId="26" xfId="0" applyFont="1" applyFill="1" applyBorder="1" applyAlignment="1">
      <alignment wrapText="1"/>
    </xf>
    <xf numFmtId="0" fontId="98" fillId="0" borderId="18" xfId="0" applyFont="1" applyFill="1" applyBorder="1" applyAlignment="1">
      <alignment wrapText="1"/>
    </xf>
    <xf numFmtId="0" fontId="97" fillId="0" borderId="14" xfId="0" applyFont="1" applyFill="1" applyBorder="1" applyAlignment="1">
      <alignment horizontal="left" wrapText="1"/>
    </xf>
    <xf numFmtId="0" fontId="97" fillId="0" borderId="18" xfId="237" applyFont="1" applyFill="1" applyBorder="1" applyAlignment="1">
      <alignment horizontal="left" wrapText="1"/>
    </xf>
    <xf numFmtId="0" fontId="98" fillId="0" borderId="3" xfId="238" applyFont="1" applyFill="1" applyBorder="1" applyAlignment="1">
      <alignment vertical="center" wrapText="1"/>
    </xf>
    <xf numFmtId="0" fontId="97" fillId="0" borderId="26" xfId="237" applyFont="1" applyFill="1" applyBorder="1" applyAlignment="1">
      <alignment horizontal="left" wrapText="1"/>
    </xf>
    <xf numFmtId="1" fontId="92" fillId="31" borderId="3" xfId="238" applyNumberFormat="1" applyFont="1" applyFill="1" applyBorder="1" applyAlignment="1">
      <alignment horizontal="center" vertical="center" wrapText="1"/>
    </xf>
    <xf numFmtId="0" fontId="0" fillId="0" borderId="0" xfId="0" applyFill="1"/>
    <xf numFmtId="181" fontId="104" fillId="0" borderId="0" xfId="0" applyNumberFormat="1" applyFont="1" applyFill="1"/>
    <xf numFmtId="181" fontId="0" fillId="0" borderId="0" xfId="0" applyNumberFormat="1" applyFill="1"/>
    <xf numFmtId="0" fontId="0" fillId="36" borderId="0" xfId="0" applyFill="1"/>
    <xf numFmtId="0" fontId="108" fillId="37" borderId="3" xfId="257" applyFont="1" applyFill="1" applyBorder="1" applyAlignment="1">
      <alignment horizontal="left" wrapText="1"/>
    </xf>
    <xf numFmtId="0" fontId="97" fillId="37" borderId="3" xfId="237" applyFont="1" applyFill="1" applyBorder="1" applyAlignment="1">
      <alignment horizontal="left" wrapText="1"/>
    </xf>
    <xf numFmtId="0" fontId="108" fillId="37" borderId="3" xfId="257" applyFont="1" applyFill="1" applyBorder="1" applyAlignment="1">
      <alignment horizontal="left"/>
    </xf>
    <xf numFmtId="181" fontId="0" fillId="31" borderId="0" xfId="353" applyNumberFormat="1" applyFont="1" applyFill="1" applyAlignment="1">
      <alignment horizontal="right"/>
    </xf>
    <xf numFmtId="0" fontId="0" fillId="31" borderId="0" xfId="353" applyNumberFormat="1" applyFont="1" applyFill="1" applyAlignment="1">
      <alignment horizontal="right"/>
    </xf>
    <xf numFmtId="178" fontId="5" fillId="31" borderId="14" xfId="0" applyNumberFormat="1" applyFont="1" applyFill="1" applyBorder="1" applyAlignment="1" applyProtection="1">
      <alignment horizontal="center" vertical="center" wrapText="1"/>
    </xf>
    <xf numFmtId="178" fontId="5" fillId="31" borderId="16" xfId="0" applyNumberFormat="1" applyFont="1" applyFill="1" applyBorder="1" applyAlignment="1" applyProtection="1">
      <alignment horizontal="center" vertical="center" wrapText="1"/>
    </xf>
    <xf numFmtId="178" fontId="5" fillId="31" borderId="15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49" fontId="71" fillId="31" borderId="13" xfId="0" applyNumberFormat="1" applyFont="1" applyFill="1" applyBorder="1" applyAlignment="1">
      <alignment horizontal="left" vertical="center"/>
    </xf>
    <xf numFmtId="49" fontId="71" fillId="31" borderId="23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170" fontId="5" fillId="0" borderId="0" xfId="0" applyNumberFormat="1" applyFont="1" applyFill="1" applyBorder="1" applyAlignment="1" applyProtection="1">
      <alignment horizontal="center" vertical="center" wrapText="1"/>
    </xf>
    <xf numFmtId="170" fontId="5" fillId="0" borderId="0" xfId="0" quotePrefix="1" applyNumberFormat="1" applyFont="1" applyFill="1" applyBorder="1" applyAlignment="1" applyProtection="1">
      <alignment horizontal="center" vertical="center" wrapText="1"/>
    </xf>
    <xf numFmtId="0" fontId="74" fillId="0" borderId="0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237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106" fillId="0" borderId="0" xfId="0" applyFont="1" applyAlignment="1" applyProtection="1">
      <alignment horizontal="left" vertical="top" wrapText="1"/>
      <protection locked="0"/>
    </xf>
    <xf numFmtId="0" fontId="87" fillId="0" borderId="0" xfId="0" applyFont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107" fillId="0" borderId="0" xfId="0" applyFont="1" applyAlignment="1" applyProtection="1">
      <alignment horizontal="right" vertical="top" wrapText="1"/>
      <protection locked="0"/>
    </xf>
    <xf numFmtId="0" fontId="87" fillId="0" borderId="0" xfId="0" applyFont="1" applyAlignment="1" applyProtection="1">
      <alignment horizontal="right" vertical="top" wrapText="1"/>
      <protection locked="0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71" fillId="0" borderId="16" xfId="0" applyFont="1" applyFill="1" applyBorder="1" applyAlignment="1" applyProtection="1">
      <alignment horizontal="left" vertical="center" wrapText="1"/>
      <protection locked="0"/>
    </xf>
    <xf numFmtId="0" fontId="71" fillId="0" borderId="14" xfId="0" applyFont="1" applyFill="1" applyBorder="1" applyAlignment="1" applyProtection="1">
      <alignment horizontal="left" vertical="center" wrapText="1"/>
      <protection locked="0"/>
    </xf>
    <xf numFmtId="0" fontId="73" fillId="0" borderId="15" xfId="0" applyFont="1" applyBorder="1" applyAlignment="1" applyProtection="1">
      <alignment horizontal="left" vertical="center" wrapText="1"/>
      <protection locked="0"/>
    </xf>
    <xf numFmtId="0" fontId="73" fillId="0" borderId="16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88" fillId="0" borderId="0" xfId="0" applyFont="1" applyAlignment="1" applyProtection="1">
      <alignment horizontal="left" vertical="top" wrapText="1"/>
      <protection locked="0"/>
    </xf>
    <xf numFmtId="0" fontId="71" fillId="0" borderId="0" xfId="0" applyFont="1" applyFill="1" applyBorder="1" applyAlignment="1" applyProtection="1">
      <alignment horizontal="left" vertical="center" wrapText="1"/>
      <protection locked="0"/>
    </xf>
    <xf numFmtId="0" fontId="82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 shrinkToFit="1"/>
    </xf>
    <xf numFmtId="0" fontId="5" fillId="0" borderId="19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31" borderId="3" xfId="0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4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74" fillId="0" borderId="0" xfId="0" applyFont="1" applyFill="1" applyBorder="1" applyAlignment="1" applyProtection="1">
      <alignment horizontal="center" vertical="center"/>
      <protection locked="0"/>
    </xf>
    <xf numFmtId="0" fontId="10" fillId="31" borderId="3" xfId="0" applyFont="1" applyFill="1" applyBorder="1" applyAlignment="1">
      <alignment horizontal="center" vertical="center" wrapText="1" shrinkToFit="1"/>
    </xf>
    <xf numFmtId="0" fontId="10" fillId="31" borderId="3" xfId="0" applyFont="1" applyFill="1" applyBorder="1" applyAlignment="1">
      <alignment horizontal="center" vertical="center" wrapText="1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5" xfId="245" applyFont="1" applyFill="1" applyBorder="1" applyAlignment="1">
      <alignment horizontal="center" vertical="center" wrapText="1"/>
    </xf>
    <xf numFmtId="0" fontId="4" fillId="0" borderId="16" xfId="245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5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31" borderId="3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5" fillId="0" borderId="18" xfId="245" applyFont="1" applyFill="1" applyBorder="1" applyAlignment="1">
      <alignment horizontal="center" vertical="center" wrapText="1"/>
    </xf>
    <xf numFmtId="0" fontId="5" fillId="0" borderId="19" xfId="245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0" borderId="18" xfId="237" applyNumberFormat="1" applyFont="1" applyFill="1" applyBorder="1" applyAlignment="1">
      <alignment horizontal="center" vertical="center" wrapText="1"/>
    </xf>
    <xf numFmtId="0" fontId="5" fillId="0" borderId="19" xfId="237" applyNumberFormat="1" applyFont="1" applyFill="1" applyBorder="1" applyAlignment="1">
      <alignment horizontal="center" vertical="center" wrapText="1"/>
    </xf>
    <xf numFmtId="170" fontId="81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81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31" borderId="18" xfId="237" applyNumberFormat="1" applyFont="1" applyFill="1" applyBorder="1" applyAlignment="1">
      <alignment horizontal="center" vertical="center" wrapText="1"/>
    </xf>
    <xf numFmtId="0" fontId="5" fillId="31" borderId="19" xfId="237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9" fontId="4" fillId="29" borderId="14" xfId="0" applyNumberFormat="1" applyFont="1" applyFill="1" applyBorder="1" applyAlignment="1" applyProtection="1">
      <alignment horizontal="center" wrapText="1"/>
    </xf>
    <xf numFmtId="0" fontId="0" fillId="0" borderId="16" xfId="0" applyBorder="1" applyAlignment="1">
      <alignment horizontal="center" wrapText="1"/>
    </xf>
    <xf numFmtId="178" fontId="5" fillId="31" borderId="14" xfId="0" applyNumberFormat="1" applyFont="1" applyFill="1" applyBorder="1" applyAlignment="1" applyProtection="1">
      <alignment horizontal="center" vertical="center" wrapText="1"/>
    </xf>
    <xf numFmtId="178" fontId="5" fillId="31" borderId="16" xfId="0" applyNumberFormat="1" applyFont="1" applyFill="1" applyBorder="1" applyAlignment="1" applyProtection="1">
      <alignment horizontal="center" vertical="center" wrapText="1"/>
    </xf>
    <xf numFmtId="9" fontId="4" fillId="29" borderId="14" xfId="0" applyNumberFormat="1" applyFont="1" applyFill="1" applyBorder="1" applyAlignment="1" applyProtection="1">
      <alignment horizontal="center" vertical="center" wrapText="1"/>
    </xf>
    <xf numFmtId="9" fontId="4" fillId="29" borderId="16" xfId="0" applyNumberFormat="1" applyFont="1" applyFill="1" applyBorder="1" applyAlignment="1" applyProtection="1">
      <alignment horizontal="center" vertical="center" wrapText="1"/>
    </xf>
    <xf numFmtId="0" fontId="5" fillId="31" borderId="14" xfId="0" applyFont="1" applyFill="1" applyBorder="1" applyAlignment="1" applyProtection="1">
      <alignment horizontal="left" vertical="center" wrapText="1"/>
    </xf>
    <xf numFmtId="0" fontId="5" fillId="31" borderId="15" xfId="0" applyFont="1" applyFill="1" applyBorder="1" applyAlignment="1" applyProtection="1">
      <alignment horizontal="left" vertical="center" wrapText="1"/>
    </xf>
    <xf numFmtId="0" fontId="5" fillId="31" borderId="16" xfId="0" applyFont="1" applyFill="1" applyBorder="1" applyAlignment="1" applyProtection="1">
      <alignment horizontal="left" vertical="center" wrapText="1"/>
    </xf>
    <xf numFmtId="0" fontId="4" fillId="31" borderId="14" xfId="0" applyFont="1" applyFill="1" applyBorder="1" applyAlignment="1" applyProtection="1">
      <alignment horizontal="center" vertical="center" wrapText="1"/>
    </xf>
    <xf numFmtId="0" fontId="4" fillId="31" borderId="15" xfId="0" applyFont="1" applyFill="1" applyBorder="1" applyAlignment="1" applyProtection="1">
      <alignment horizontal="center" vertical="center" wrapText="1"/>
    </xf>
    <xf numFmtId="0" fontId="4" fillId="31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178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78" fontId="5" fillId="0" borderId="14" xfId="0" applyNumberFormat="1" applyFont="1" applyFill="1" applyBorder="1" applyAlignment="1" applyProtection="1">
      <alignment horizontal="center" vertical="center" wrapText="1"/>
    </xf>
    <xf numFmtId="178" fontId="5" fillId="0" borderId="16" xfId="0" applyNumberFormat="1" applyFont="1" applyFill="1" applyBorder="1" applyAlignment="1" applyProtection="1">
      <alignment horizontal="center" vertical="center" wrapText="1"/>
    </xf>
    <xf numFmtId="178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1" borderId="14" xfId="0" applyNumberFormat="1" applyFont="1" applyFill="1" applyBorder="1" applyAlignment="1">
      <alignment horizontal="center" vertical="center" wrapText="1"/>
    </xf>
    <xf numFmtId="0" fontId="5" fillId="31" borderId="1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31" borderId="14" xfId="0" applyFont="1" applyFill="1" applyBorder="1" applyAlignment="1" applyProtection="1">
      <alignment horizontal="center" vertical="center" wrapText="1"/>
      <protection locked="0"/>
    </xf>
    <xf numFmtId="0" fontId="5" fillId="31" borderId="15" xfId="0" applyFont="1" applyFill="1" applyBorder="1" applyAlignment="1" applyProtection="1">
      <alignment horizontal="center" vertical="center" wrapText="1"/>
      <protection locked="0"/>
    </xf>
    <xf numFmtId="0" fontId="5" fillId="31" borderId="16" xfId="0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5" fillId="0" borderId="16" xfId="0" applyFont="1" applyFill="1" applyBorder="1" applyAlignment="1" applyProtection="1">
      <alignment horizontal="left" vertical="center" wrapText="1"/>
    </xf>
    <xf numFmtId="9" fontId="4" fillId="29" borderId="16" xfId="0" applyNumberFormat="1" applyFont="1" applyFill="1" applyBorder="1" applyAlignment="1" applyProtection="1">
      <alignment horizontal="center" wrapText="1"/>
    </xf>
    <xf numFmtId="0" fontId="5" fillId="0" borderId="0" xfId="0" applyFont="1" applyFill="1" applyBorder="1" applyAlignment="1">
      <alignment horizontal="justify" vertical="center" wrapText="1" shrinkToFit="1"/>
    </xf>
    <xf numFmtId="178" fontId="5" fillId="0" borderId="14" xfId="0" applyNumberFormat="1" applyFont="1" applyFill="1" applyBorder="1" applyAlignment="1" applyProtection="1">
      <alignment wrapText="1"/>
    </xf>
    <xf numFmtId="178" fontId="5" fillId="0" borderId="16" xfId="0" applyNumberFormat="1" applyFont="1" applyFill="1" applyBorder="1" applyAlignment="1" applyProtection="1">
      <alignment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80" fillId="0" borderId="0" xfId="0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 applyProtection="1">
      <alignment horizontal="center" vertical="center"/>
      <protection locked="0"/>
    </xf>
    <xf numFmtId="0" fontId="5" fillId="31" borderId="3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1" fillId="0" borderId="0" xfId="0" applyFont="1" applyFill="1" applyAlignment="1">
      <alignment vertical="center" wrapText="1"/>
    </xf>
    <xf numFmtId="3" fontId="4" fillId="29" borderId="14" xfId="0" applyNumberFormat="1" applyFont="1" applyFill="1" applyBorder="1" applyAlignment="1" applyProtection="1">
      <alignment horizontal="center" vertical="center" wrapText="1"/>
    </xf>
    <xf numFmtId="3" fontId="4" fillId="29" borderId="16" xfId="0" applyNumberFormat="1" applyFont="1" applyFill="1" applyBorder="1" applyAlignment="1" applyProtection="1">
      <alignment horizontal="center" vertical="center" wrapText="1"/>
    </xf>
    <xf numFmtId="0" fontId="96" fillId="31" borderId="3" xfId="238" applyFont="1" applyFill="1" applyBorder="1" applyAlignment="1">
      <alignment horizontal="center" vertical="center" wrapText="1"/>
    </xf>
    <xf numFmtId="0" fontId="99" fillId="31" borderId="3" xfId="0" applyFont="1" applyFill="1" applyBorder="1" applyAlignment="1">
      <alignment horizontal="center" vertical="center" wrapText="1"/>
    </xf>
    <xf numFmtId="0" fontId="96" fillId="31" borderId="18" xfId="238" applyFont="1" applyFill="1" applyBorder="1" applyAlignment="1">
      <alignment horizontal="center" vertical="center" wrapText="1"/>
    </xf>
    <xf numFmtId="0" fontId="96" fillId="31" borderId="24" xfId="238" applyFont="1" applyFill="1" applyBorder="1" applyAlignment="1">
      <alignment horizontal="center" vertical="center" wrapText="1"/>
    </xf>
    <xf numFmtId="0" fontId="96" fillId="31" borderId="19" xfId="238" applyFont="1" applyFill="1" applyBorder="1" applyAlignment="1">
      <alignment horizontal="center" vertical="center" wrapText="1"/>
    </xf>
    <xf numFmtId="0" fontId="91" fillId="31" borderId="0" xfId="238" applyFont="1" applyFill="1" applyBorder="1" applyAlignment="1">
      <alignment horizontal="center"/>
    </xf>
    <xf numFmtId="0" fontId="94" fillId="31" borderId="3" xfId="238" applyFont="1" applyFill="1" applyBorder="1" applyAlignment="1">
      <alignment horizontal="center" vertical="center" wrapText="1"/>
    </xf>
    <xf numFmtId="0" fontId="2" fillId="31" borderId="24" xfId="0" applyFont="1" applyFill="1" applyBorder="1" applyAlignment="1">
      <alignment horizontal="center" vertical="center" wrapText="1"/>
    </xf>
    <xf numFmtId="49" fontId="71" fillId="31" borderId="14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0" fontId="5" fillId="29" borderId="14" xfId="0" applyNumberFormat="1" applyFont="1" applyFill="1" applyBorder="1" applyAlignment="1">
      <alignment horizontal="center" vertical="center" wrapText="1"/>
    </xf>
    <xf numFmtId="0" fontId="5" fillId="29" borderId="16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29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4" fillId="29" borderId="14" xfId="0" applyNumberFormat="1" applyFont="1" applyFill="1" applyBorder="1" applyAlignment="1">
      <alignment horizontal="center" vertical="center" wrapText="1"/>
    </xf>
    <xf numFmtId="1" fontId="4" fillId="29" borderId="15" xfId="0" applyNumberFormat="1" applyFont="1" applyFill="1" applyBorder="1" applyAlignment="1">
      <alignment horizontal="center" vertical="center" wrapText="1"/>
    </xf>
    <xf numFmtId="1" fontId="4" fillId="29" borderId="16" xfId="0" applyNumberFormat="1" applyFont="1" applyFill="1" applyBorder="1" applyAlignment="1">
      <alignment horizontal="center" vertical="center" wrapText="1"/>
    </xf>
    <xf numFmtId="1" fontId="5" fillId="31" borderId="14" xfId="0" applyNumberFormat="1" applyFont="1" applyFill="1" applyBorder="1" applyAlignment="1">
      <alignment horizontal="center" vertical="center" wrapText="1"/>
    </xf>
    <xf numFmtId="1" fontId="5" fillId="31" borderId="15" xfId="0" applyNumberFormat="1" applyFont="1" applyFill="1" applyBorder="1" applyAlignment="1">
      <alignment horizontal="center" vertical="center" wrapText="1"/>
    </xf>
    <xf numFmtId="1" fontId="5" fillId="31" borderId="16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" fontId="5" fillId="29" borderId="14" xfId="0" applyNumberFormat="1" applyFont="1" applyFill="1" applyBorder="1" applyAlignment="1">
      <alignment horizontal="center" vertical="center" wrapText="1"/>
    </xf>
    <xf numFmtId="1" fontId="5" fillId="29" borderId="15" xfId="0" applyNumberFormat="1" applyFont="1" applyFill="1" applyBorder="1" applyAlignment="1">
      <alignment horizontal="center" vertical="center" wrapText="1"/>
    </xf>
    <xf numFmtId="1" fontId="5" fillId="29" borderId="1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177" fontId="10" fillId="0" borderId="3" xfId="0" applyNumberFormat="1" applyFont="1" applyFill="1" applyBorder="1" applyAlignment="1">
      <alignment horizontal="center" vertical="center" wrapText="1"/>
    </xf>
    <xf numFmtId="0" fontId="10" fillId="29" borderId="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left" vertical="center" wrapText="1"/>
    </xf>
    <xf numFmtId="3" fontId="5" fillId="0" borderId="15" xfId="0" applyNumberFormat="1" applyFont="1" applyFill="1" applyBorder="1" applyAlignment="1">
      <alignment horizontal="left" vertical="center" wrapText="1"/>
    </xf>
    <xf numFmtId="3" fontId="5" fillId="0" borderId="16" xfId="0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7" fillId="0" borderId="0" xfId="0" applyFont="1" applyFill="1" applyBorder="1" applyAlignment="1">
      <alignment horizontal="left" vertical="center" wrapText="1"/>
    </xf>
    <xf numFmtId="0" fontId="78" fillId="0" borderId="0" xfId="0" applyFont="1" applyAlignment="1">
      <alignment horizontal="left" vertical="center"/>
    </xf>
    <xf numFmtId="0" fontId="76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</cellXfs>
  <cellStyles count="35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" xfId="353" builtinId="3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9" Type="http://schemas.openxmlformats.org/officeDocument/2006/relationships/externalLink" Target="externalLinks/externalLink20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externalLink" Target="externalLinks/externalLink3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theme" Target="theme/theme1.xml"/><Relationship Id="rId20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3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vika\Desktop\&#1060;&#1048;&#1053;-&#1055;&#1051;&#1040;&#1053;-&#1047;&#1042;&#1030;&#1058;\&#1060;&#1055;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7  інші витрат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1"/>
      <sheetName val="consolidation hq formatted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  <sheetName val="МТР Газ Україн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. фін. пок."/>
      <sheetName val="I. Фін результат"/>
      <sheetName val="ІІ. Розр. з бюджетом"/>
      <sheetName val="ІІІ. Рух грош. коштів"/>
      <sheetName val="IV. Кап. інвестиції"/>
      <sheetName val=" V. Коефіцієнти"/>
      <sheetName val="6.1. Інша інфо_1"/>
      <sheetName val="штатка"/>
      <sheetName val="6.2. Інша інфо_2"/>
    </sheetNames>
    <sheetDataSet>
      <sheetData sheetId="0">
        <row r="37">
          <cell r="C37">
            <v>2111</v>
          </cell>
          <cell r="E37">
            <v>2805</v>
          </cell>
          <cell r="F37">
            <v>2050</v>
          </cell>
        </row>
        <row r="39">
          <cell r="C39">
            <v>-3714</v>
          </cell>
          <cell r="E39">
            <v>-9327</v>
          </cell>
          <cell r="F39">
            <v>-3742</v>
          </cell>
        </row>
        <row r="44">
          <cell r="C44">
            <v>-214</v>
          </cell>
          <cell r="E44">
            <v>808</v>
          </cell>
          <cell r="F44">
            <v>26</v>
          </cell>
        </row>
        <row r="50">
          <cell r="C50">
            <v>22</v>
          </cell>
          <cell r="E50">
            <v>84</v>
          </cell>
          <cell r="F50">
            <v>35</v>
          </cell>
        </row>
        <row r="67">
          <cell r="C67">
            <v>145</v>
          </cell>
          <cell r="E67">
            <v>12695</v>
          </cell>
          <cell r="F67">
            <v>993</v>
          </cell>
        </row>
        <row r="74">
          <cell r="C74">
            <v>2137</v>
          </cell>
          <cell r="E74">
            <v>1945</v>
          </cell>
          <cell r="F74">
            <v>2137</v>
          </cell>
        </row>
        <row r="76">
          <cell r="C76">
            <v>42639</v>
          </cell>
          <cell r="E76">
            <v>42896</v>
          </cell>
          <cell r="F76">
            <v>42639</v>
          </cell>
        </row>
        <row r="77">
          <cell r="C77">
            <v>0</v>
          </cell>
        </row>
        <row r="78">
          <cell r="C78">
            <v>41053</v>
          </cell>
          <cell r="E78">
            <v>41177</v>
          </cell>
          <cell r="F78">
            <v>41053</v>
          </cell>
        </row>
        <row r="82">
          <cell r="C82">
            <v>1586</v>
          </cell>
          <cell r="E82">
            <v>1718</v>
          </cell>
          <cell r="F82">
            <v>1586</v>
          </cell>
        </row>
      </sheetData>
      <sheetData sheetId="1">
        <row r="7">
          <cell r="C7">
            <v>2111</v>
          </cell>
          <cell r="D7">
            <v>2050</v>
          </cell>
        </row>
        <row r="9">
          <cell r="C9">
            <v>5825</v>
          </cell>
          <cell r="D9">
            <v>5792</v>
          </cell>
        </row>
        <row r="19">
          <cell r="C19">
            <v>-3714</v>
          </cell>
          <cell r="D19">
            <v>-3742</v>
          </cell>
          <cell r="I19">
            <v>-9327</v>
          </cell>
        </row>
        <row r="24">
          <cell r="C24">
            <v>2896</v>
          </cell>
          <cell r="D24">
            <v>2949</v>
          </cell>
          <cell r="I24">
            <v>5322</v>
          </cell>
        </row>
        <row r="49">
          <cell r="C49">
            <v>0</v>
          </cell>
          <cell r="D49">
            <v>0</v>
          </cell>
          <cell r="E49">
            <v>0</v>
          </cell>
          <cell r="I49">
            <v>0</v>
          </cell>
        </row>
        <row r="65">
          <cell r="C65">
            <v>-214</v>
          </cell>
          <cell r="D65">
            <v>-273</v>
          </cell>
        </row>
        <row r="76">
          <cell r="C76">
            <v>32</v>
          </cell>
          <cell r="D76">
            <v>43</v>
          </cell>
        </row>
        <row r="77">
          <cell r="C77">
            <v>10</v>
          </cell>
          <cell r="D77">
            <v>8</v>
          </cell>
        </row>
        <row r="79">
          <cell r="C79">
            <v>22</v>
          </cell>
          <cell r="D79">
            <v>35</v>
          </cell>
        </row>
        <row r="84">
          <cell r="C84">
            <v>6396</v>
          </cell>
          <cell r="D84">
            <v>6418</v>
          </cell>
        </row>
        <row r="85">
          <cell r="C85">
            <v>0</v>
          </cell>
          <cell r="D85">
            <v>0</v>
          </cell>
          <cell r="E85">
            <v>0</v>
          </cell>
          <cell r="I85">
            <v>0</v>
          </cell>
        </row>
        <row r="86">
          <cell r="C86">
            <v>246</v>
          </cell>
          <cell r="D86">
            <v>316</v>
          </cell>
          <cell r="I86">
            <v>146</v>
          </cell>
        </row>
        <row r="95">
          <cell r="C95">
            <v>-214</v>
          </cell>
          <cell r="D95">
            <v>26</v>
          </cell>
        </row>
        <row r="102">
          <cell r="C102">
            <v>299</v>
          </cell>
          <cell r="E102">
            <v>299</v>
          </cell>
          <cell r="I102">
            <v>852</v>
          </cell>
        </row>
      </sheetData>
      <sheetData sheetId="2">
        <row r="9">
          <cell r="F9">
            <v>1</v>
          </cell>
        </row>
        <row r="19">
          <cell r="C19">
            <v>14</v>
          </cell>
          <cell r="D19">
            <v>23</v>
          </cell>
        </row>
        <row r="22">
          <cell r="C22">
            <v>10</v>
          </cell>
          <cell r="D22">
            <v>8</v>
          </cell>
        </row>
        <row r="23">
          <cell r="C23">
            <v>18</v>
          </cell>
          <cell r="D23">
            <v>54</v>
          </cell>
        </row>
        <row r="25">
          <cell r="C25">
            <v>959</v>
          </cell>
          <cell r="D25">
            <v>895</v>
          </cell>
          <cell r="I25">
            <v>1692</v>
          </cell>
        </row>
        <row r="37">
          <cell r="C37">
            <v>1011</v>
          </cell>
          <cell r="D37">
            <v>936</v>
          </cell>
          <cell r="I37">
            <v>1843</v>
          </cell>
        </row>
        <row r="38">
          <cell r="C38">
            <v>2012</v>
          </cell>
          <cell r="D38">
            <v>1916</v>
          </cell>
        </row>
      </sheetData>
      <sheetData sheetId="3">
        <row r="27">
          <cell r="C27">
            <v>443</v>
          </cell>
          <cell r="D27">
            <v>334</v>
          </cell>
        </row>
        <row r="48">
          <cell r="C48">
            <v>-145</v>
          </cell>
          <cell r="D48">
            <v>-1159</v>
          </cell>
        </row>
        <row r="76">
          <cell r="C76">
            <v>6</v>
          </cell>
          <cell r="D76">
            <v>977</v>
          </cell>
        </row>
        <row r="78">
          <cell r="C78">
            <v>343</v>
          </cell>
          <cell r="D78">
            <v>647</v>
          </cell>
        </row>
        <row r="80">
          <cell r="C80">
            <v>647</v>
          </cell>
          <cell r="D80">
            <v>799</v>
          </cell>
        </row>
      </sheetData>
      <sheetData sheetId="4">
        <row r="6">
          <cell r="C6">
            <v>145</v>
          </cell>
          <cell r="D6">
            <v>993</v>
          </cell>
          <cell r="E6">
            <v>993</v>
          </cell>
          <cell r="I6">
            <v>12695</v>
          </cell>
        </row>
      </sheetData>
      <sheetData sheetId="5">
        <row r="8">
          <cell r="D8">
            <v>-10.137375651350071</v>
          </cell>
          <cell r="F8">
            <v>1.2682926829268293</v>
          </cell>
          <cell r="G8">
            <v>28.805704099821746</v>
          </cell>
        </row>
        <row r="9">
          <cell r="D9">
            <v>5.1595956753207155E-4</v>
          </cell>
          <cell r="F9">
            <v>8.2084476652829574E-4</v>
          </cell>
          <cell r="G9">
            <v>1.9582245430809398E-3</v>
          </cell>
        </row>
        <row r="10">
          <cell r="D10">
            <v>1.3871374527112233E-2</v>
          </cell>
          <cell r="F10">
            <v>2.2068095838587643E-2</v>
          </cell>
          <cell r="G10">
            <v>4.8894062863795114E-2</v>
          </cell>
        </row>
        <row r="11">
          <cell r="D11">
            <v>1.0421601136901942E-2</v>
          </cell>
          <cell r="F11">
            <v>1.7073170731707318E-2</v>
          </cell>
          <cell r="G11">
            <v>2.9946524064171122E-2</v>
          </cell>
        </row>
        <row r="14">
          <cell r="D14">
            <v>3.8632986627043092E-2</v>
          </cell>
          <cell r="F14">
            <v>3.8632986627043092E-2</v>
          </cell>
          <cell r="G14">
            <v>4.1722320713019401E-2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45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255"/>
  <sheetViews>
    <sheetView tabSelected="1" view="pageBreakPreview" topLeftCell="A76" zoomScale="75" zoomScaleNormal="75" zoomScaleSheetLayoutView="75" workbookViewId="0">
      <selection activeCell="G61" sqref="G61"/>
    </sheetView>
  </sheetViews>
  <sheetFormatPr defaultColWidth="9.140625" defaultRowHeight="18.75"/>
  <cols>
    <col min="1" max="1" width="44.7109375" style="2" customWidth="1"/>
    <col min="2" max="2" width="14.42578125" style="25" customWidth="1"/>
    <col min="3" max="3" width="16.85546875" style="25" customWidth="1"/>
    <col min="4" max="4" width="14.5703125" style="25" customWidth="1"/>
    <col min="5" max="5" width="14.28515625" style="2" customWidth="1"/>
    <col min="6" max="6" width="13" style="2" customWidth="1"/>
    <col min="7" max="7" width="13.140625" style="2" customWidth="1"/>
    <col min="8" max="9" width="13.42578125" style="2" customWidth="1"/>
    <col min="10" max="10" width="13.140625" style="2" customWidth="1"/>
    <col min="11" max="11" width="9.5703125" style="2" customWidth="1"/>
    <col min="12" max="13" width="9.140625" style="2"/>
    <col min="14" max="14" width="10.5703125" style="2" customWidth="1"/>
    <col min="15" max="16384" width="9.140625" style="2"/>
  </cols>
  <sheetData>
    <row r="1" spans="1:10">
      <c r="A1" s="108"/>
      <c r="B1" s="109"/>
      <c r="C1" s="109"/>
      <c r="D1" s="109"/>
      <c r="E1" s="108" t="s">
        <v>528</v>
      </c>
      <c r="F1" s="108"/>
      <c r="G1" s="108"/>
      <c r="H1" s="108"/>
      <c r="I1" s="108"/>
      <c r="J1" s="108"/>
    </row>
    <row r="2" spans="1:10" ht="18.75" customHeight="1">
      <c r="A2" s="375" t="s">
        <v>374</v>
      </c>
      <c r="B2" s="375"/>
      <c r="C2" s="111"/>
      <c r="D2" s="112"/>
      <c r="E2" s="377" t="s">
        <v>455</v>
      </c>
      <c r="F2" s="377"/>
      <c r="G2" s="377"/>
      <c r="H2" s="377"/>
      <c r="I2" s="377"/>
      <c r="J2" s="377"/>
    </row>
    <row r="3" spans="1:10" ht="40.5" customHeight="1">
      <c r="A3" s="376" t="s">
        <v>525</v>
      </c>
      <c r="B3" s="376"/>
      <c r="C3" s="111"/>
      <c r="D3" s="113"/>
      <c r="E3" s="377"/>
      <c r="F3" s="377"/>
      <c r="G3" s="377"/>
      <c r="H3" s="377"/>
      <c r="I3" s="377"/>
      <c r="J3" s="377"/>
    </row>
    <row r="4" spans="1:10" ht="18.75" customHeight="1">
      <c r="A4" s="378" t="s">
        <v>526</v>
      </c>
      <c r="B4" s="379"/>
      <c r="C4" s="111"/>
      <c r="D4" s="113"/>
      <c r="E4" s="377"/>
      <c r="F4" s="377"/>
      <c r="G4" s="377"/>
      <c r="H4" s="377"/>
      <c r="I4" s="377"/>
      <c r="J4" s="377"/>
    </row>
    <row r="5" spans="1:10" ht="18.75" customHeight="1">
      <c r="A5" s="386" t="s">
        <v>375</v>
      </c>
      <c r="B5" s="386"/>
      <c r="C5" s="111"/>
      <c r="D5" s="114"/>
      <c r="E5" s="387" t="s">
        <v>450</v>
      </c>
      <c r="F5" s="387"/>
      <c r="G5" s="387"/>
      <c r="H5" s="387"/>
      <c r="I5" s="387"/>
      <c r="J5" s="387"/>
    </row>
    <row r="6" spans="1:10" ht="44.25" customHeight="1">
      <c r="A6" s="386"/>
      <c r="B6" s="386"/>
      <c r="C6" s="111"/>
      <c r="D6" s="114"/>
      <c r="E6" s="388" t="s">
        <v>529</v>
      </c>
      <c r="F6" s="388"/>
      <c r="G6" s="388"/>
      <c r="H6" s="388"/>
      <c r="I6" s="388"/>
      <c r="J6" s="388"/>
    </row>
    <row r="7" spans="1:10" ht="18.75" customHeight="1">
      <c r="A7" s="115" t="s">
        <v>344</v>
      </c>
      <c r="B7" s="110"/>
      <c r="C7" s="111"/>
      <c r="D7" s="114"/>
      <c r="E7" s="389" t="s">
        <v>454</v>
      </c>
      <c r="F7" s="389"/>
      <c r="G7" s="389"/>
      <c r="H7" s="389"/>
      <c r="I7" s="389"/>
      <c r="J7" s="389"/>
    </row>
    <row r="8" spans="1:10" ht="18.75" customHeight="1">
      <c r="A8" s="110"/>
      <c r="B8" s="110"/>
      <c r="C8" s="111"/>
      <c r="D8" s="114"/>
      <c r="E8" s="377"/>
      <c r="F8" s="377"/>
      <c r="G8" s="377"/>
      <c r="H8" s="377"/>
      <c r="I8" s="377"/>
      <c r="J8" s="377"/>
    </row>
    <row r="9" spans="1:10" ht="20.25">
      <c r="A9" s="110"/>
      <c r="B9" s="110"/>
      <c r="C9" s="111"/>
      <c r="D9" s="114"/>
      <c r="E9" s="112"/>
      <c r="F9" s="112"/>
      <c r="G9" s="112"/>
      <c r="H9" s="112"/>
      <c r="I9" s="112"/>
      <c r="J9" s="112"/>
    </row>
    <row r="10" spans="1:10" ht="117" customHeight="1">
      <c r="A10" s="110"/>
      <c r="B10" s="110"/>
      <c r="C10" s="111"/>
      <c r="D10" s="114"/>
      <c r="E10" s="387" t="s">
        <v>530</v>
      </c>
      <c r="F10" s="387"/>
      <c r="G10" s="387"/>
      <c r="H10" s="387"/>
      <c r="I10" s="387"/>
      <c r="J10" s="387"/>
    </row>
    <row r="11" spans="1:10" ht="20.25" customHeight="1">
      <c r="A11" s="110"/>
      <c r="B11" s="110"/>
      <c r="C11" s="111"/>
      <c r="D11" s="114"/>
      <c r="E11" s="302" t="s">
        <v>527</v>
      </c>
      <c r="F11" s="302"/>
      <c r="G11" s="304"/>
      <c r="H11" s="304"/>
      <c r="I11" s="304"/>
      <c r="J11" s="304"/>
    </row>
    <row r="12" spans="1:10" ht="19.5" customHeight="1">
      <c r="A12" s="110"/>
      <c r="B12" s="110"/>
      <c r="C12" s="111"/>
      <c r="D12" s="114"/>
      <c r="E12" s="112"/>
      <c r="F12" s="112"/>
      <c r="G12" s="221"/>
      <c r="H12" s="220"/>
      <c r="I12" s="220"/>
      <c r="J12" s="220"/>
    </row>
    <row r="13" spans="1:10" ht="19.5" customHeight="1">
      <c r="A13" s="112"/>
      <c r="B13" s="116"/>
      <c r="C13" s="116"/>
      <c r="D13" s="116"/>
      <c r="E13" s="116"/>
      <c r="F13" s="116"/>
      <c r="G13" s="117"/>
      <c r="H13" s="117"/>
      <c r="I13" s="117"/>
      <c r="J13" s="117"/>
    </row>
    <row r="14" spans="1:10" ht="19.5" customHeight="1">
      <c r="A14" s="118"/>
      <c r="B14" s="380"/>
      <c r="C14" s="380"/>
      <c r="D14" s="380"/>
      <c r="E14" s="119"/>
      <c r="F14" s="119"/>
      <c r="G14" s="120"/>
      <c r="H14" s="204"/>
      <c r="I14" s="303" t="s">
        <v>531</v>
      </c>
      <c r="J14" s="122" t="s">
        <v>259</v>
      </c>
    </row>
    <row r="15" spans="1:10" ht="16.5" customHeight="1">
      <c r="A15" s="123" t="s">
        <v>14</v>
      </c>
      <c r="B15" s="358" t="s">
        <v>427</v>
      </c>
      <c r="C15" s="358"/>
      <c r="D15" s="358"/>
      <c r="E15" s="119"/>
      <c r="F15" s="119"/>
      <c r="G15" s="124"/>
      <c r="H15" s="125"/>
      <c r="I15" s="180" t="s">
        <v>145</v>
      </c>
      <c r="J15" s="202" t="s">
        <v>422</v>
      </c>
    </row>
    <row r="16" spans="1:10" ht="16.5" customHeight="1">
      <c r="A16" s="123" t="s">
        <v>15</v>
      </c>
      <c r="B16" s="358" t="s">
        <v>424</v>
      </c>
      <c r="C16" s="358"/>
      <c r="D16" s="358"/>
      <c r="E16" s="119"/>
      <c r="F16" s="119"/>
      <c r="G16" s="120"/>
      <c r="H16" s="121"/>
      <c r="I16" s="180" t="s">
        <v>144</v>
      </c>
      <c r="J16" s="181">
        <v>150</v>
      </c>
    </row>
    <row r="17" spans="1:10" ht="18.75" customHeight="1">
      <c r="A17" s="123" t="s">
        <v>19</v>
      </c>
      <c r="B17" s="358" t="s">
        <v>451</v>
      </c>
      <c r="C17" s="358"/>
      <c r="D17" s="358"/>
      <c r="E17" s="182"/>
      <c r="F17" s="119"/>
      <c r="G17" s="120"/>
      <c r="H17" s="121"/>
      <c r="I17" s="180" t="s">
        <v>143</v>
      </c>
      <c r="J17" s="181">
        <v>1210100000</v>
      </c>
    </row>
    <row r="18" spans="1:10" ht="19.5" customHeight="1">
      <c r="A18" s="123" t="s">
        <v>376</v>
      </c>
      <c r="B18" s="380"/>
      <c r="C18" s="380"/>
      <c r="D18" s="380"/>
      <c r="E18" s="380"/>
      <c r="F18" s="380"/>
      <c r="G18" s="380"/>
      <c r="H18" s="381"/>
      <c r="I18" s="180" t="s">
        <v>9</v>
      </c>
      <c r="J18" s="181"/>
    </row>
    <row r="19" spans="1:10" ht="18" customHeight="1">
      <c r="A19" s="123" t="s">
        <v>17</v>
      </c>
      <c r="B19" s="380"/>
      <c r="C19" s="380"/>
      <c r="D19" s="380"/>
      <c r="E19" s="119"/>
      <c r="F19" s="119"/>
      <c r="G19" s="124"/>
      <c r="H19" s="125"/>
      <c r="I19" s="180" t="s">
        <v>8</v>
      </c>
      <c r="J19" s="181">
        <v>91700</v>
      </c>
    </row>
    <row r="20" spans="1:10" ht="21" customHeight="1">
      <c r="A20" s="123" t="s">
        <v>16</v>
      </c>
      <c r="B20" s="358" t="s">
        <v>425</v>
      </c>
      <c r="C20" s="358"/>
      <c r="D20" s="358"/>
      <c r="E20" s="119"/>
      <c r="F20" s="119"/>
      <c r="G20" s="124"/>
      <c r="H20" s="126"/>
      <c r="I20" s="200" t="s">
        <v>10</v>
      </c>
      <c r="J20" s="181" t="s">
        <v>423</v>
      </c>
    </row>
    <row r="21" spans="1:10" ht="20.25" customHeight="1">
      <c r="A21" s="382" t="s">
        <v>377</v>
      </c>
      <c r="B21" s="380"/>
      <c r="C21" s="380"/>
      <c r="D21" s="380"/>
      <c r="E21" s="119"/>
      <c r="F21" s="119"/>
      <c r="G21" s="380" t="s">
        <v>205</v>
      </c>
      <c r="H21" s="383"/>
      <c r="I21" s="384"/>
      <c r="J21" s="201"/>
    </row>
    <row r="22" spans="1:10" ht="18.75" customHeight="1">
      <c r="A22" s="123" t="s">
        <v>20</v>
      </c>
      <c r="B22" s="358" t="s">
        <v>426</v>
      </c>
      <c r="C22" s="358"/>
      <c r="D22" s="358"/>
      <c r="E22" s="119"/>
      <c r="F22" s="119"/>
      <c r="G22" s="380" t="s">
        <v>206</v>
      </c>
      <c r="H22" s="383"/>
      <c r="I22" s="384"/>
      <c r="J22" s="201"/>
    </row>
    <row r="23" spans="1:10" ht="18" customHeight="1">
      <c r="A23" s="392" t="s">
        <v>578</v>
      </c>
      <c r="B23" s="358"/>
      <c r="C23" s="358"/>
      <c r="D23" s="358"/>
      <c r="E23" s="119"/>
      <c r="F23" s="119"/>
      <c r="G23" s="124"/>
      <c r="H23" s="124"/>
      <c r="I23" s="124"/>
      <c r="J23" s="125"/>
    </row>
    <row r="24" spans="1:10" ht="18.75" customHeight="1">
      <c r="A24" s="123" t="s">
        <v>11</v>
      </c>
      <c r="B24" s="358" t="s">
        <v>452</v>
      </c>
      <c r="C24" s="358"/>
      <c r="D24" s="358"/>
      <c r="E24" s="358"/>
      <c r="F24" s="182"/>
      <c r="G24" s="203"/>
      <c r="H24" s="120"/>
      <c r="I24" s="120"/>
      <c r="J24" s="121"/>
    </row>
    <row r="25" spans="1:10" ht="18" customHeight="1">
      <c r="A25" s="123" t="s">
        <v>12</v>
      </c>
      <c r="B25" s="358" t="s">
        <v>502</v>
      </c>
      <c r="C25" s="358"/>
      <c r="D25" s="358"/>
      <c r="E25" s="119"/>
      <c r="F25" s="119"/>
      <c r="G25" s="124"/>
      <c r="H25" s="124"/>
      <c r="I25" s="124"/>
      <c r="J25" s="125"/>
    </row>
    <row r="26" spans="1:10" ht="21" customHeight="1">
      <c r="A26" s="123" t="s">
        <v>13</v>
      </c>
      <c r="B26" s="358" t="s">
        <v>542</v>
      </c>
      <c r="C26" s="358"/>
      <c r="D26" s="358"/>
      <c r="E26" s="119"/>
      <c r="F26" s="119"/>
      <c r="G26" s="120"/>
      <c r="H26" s="120"/>
      <c r="I26" s="120"/>
      <c r="J26" s="121"/>
    </row>
    <row r="27" spans="1:10" ht="20.100000000000001" customHeight="1">
      <c r="B27" s="2"/>
      <c r="C27" s="2"/>
      <c r="D27" s="2"/>
    </row>
    <row r="28" spans="1:10" ht="19.5" customHeight="1">
      <c r="A28" s="66"/>
      <c r="B28" s="2"/>
      <c r="D28" s="2"/>
    </row>
    <row r="29" spans="1:10">
      <c r="A29" s="385" t="s">
        <v>532</v>
      </c>
      <c r="B29" s="385"/>
      <c r="C29" s="385"/>
      <c r="D29" s="385"/>
      <c r="E29" s="385"/>
      <c r="F29" s="385"/>
      <c r="G29" s="385"/>
      <c r="H29" s="385"/>
      <c r="I29" s="385"/>
      <c r="J29" s="385"/>
    </row>
    <row r="30" spans="1:10" ht="9" customHeight="1">
      <c r="A30" s="183"/>
      <c r="B30" s="183"/>
      <c r="C30" s="183"/>
      <c r="D30" s="183"/>
      <c r="E30" s="183"/>
      <c r="F30" s="183"/>
      <c r="G30" s="183"/>
      <c r="H30" s="183"/>
      <c r="I30" s="183"/>
      <c r="J30" s="183"/>
    </row>
    <row r="31" spans="1:10">
      <c r="A31" s="385" t="s">
        <v>219</v>
      </c>
      <c r="B31" s="385"/>
      <c r="C31" s="385"/>
      <c r="D31" s="385"/>
      <c r="E31" s="385"/>
      <c r="F31" s="385"/>
      <c r="G31" s="385"/>
      <c r="H31" s="385"/>
      <c r="I31" s="385"/>
      <c r="J31" s="385"/>
    </row>
    <row r="32" spans="1:10" ht="12" customHeight="1">
      <c r="A32" s="184"/>
      <c r="B32" s="185"/>
      <c r="C32" s="186"/>
      <c r="D32" s="185"/>
      <c r="E32" s="185"/>
      <c r="F32" s="185"/>
      <c r="G32" s="185"/>
      <c r="H32" s="185"/>
      <c r="I32" s="185"/>
      <c r="J32" s="185"/>
    </row>
    <row r="33" spans="1:10" ht="41.25" customHeight="1">
      <c r="A33" s="362" t="s">
        <v>270</v>
      </c>
      <c r="B33" s="363" t="s">
        <v>18</v>
      </c>
      <c r="C33" s="370" t="s">
        <v>31</v>
      </c>
      <c r="D33" s="370" t="s">
        <v>39</v>
      </c>
      <c r="E33" s="363" t="s">
        <v>148</v>
      </c>
      <c r="F33" s="393" t="s">
        <v>180</v>
      </c>
      <c r="G33" s="364" t="s">
        <v>271</v>
      </c>
      <c r="H33" s="365"/>
      <c r="I33" s="365"/>
      <c r="J33" s="366"/>
    </row>
    <row r="34" spans="1:10" ht="54.75" customHeight="1">
      <c r="A34" s="362"/>
      <c r="B34" s="363"/>
      <c r="C34" s="371"/>
      <c r="D34" s="371"/>
      <c r="E34" s="363"/>
      <c r="F34" s="394"/>
      <c r="G34" s="97" t="s">
        <v>263</v>
      </c>
      <c r="H34" s="97" t="s">
        <v>264</v>
      </c>
      <c r="I34" s="97" t="s">
        <v>265</v>
      </c>
      <c r="J34" s="97" t="s">
        <v>352</v>
      </c>
    </row>
    <row r="35" spans="1:10" ht="20.100000000000001" customHeight="1">
      <c r="A35" s="96">
        <v>1</v>
      </c>
      <c r="B35" s="97">
        <v>2</v>
      </c>
      <c r="C35" s="97">
        <v>3</v>
      </c>
      <c r="D35" s="97">
        <v>4</v>
      </c>
      <c r="E35" s="97">
        <v>5</v>
      </c>
      <c r="F35" s="97">
        <v>6</v>
      </c>
      <c r="G35" s="97">
        <v>7</v>
      </c>
      <c r="H35" s="97">
        <v>8</v>
      </c>
      <c r="I35" s="97">
        <v>9</v>
      </c>
      <c r="J35" s="97">
        <v>10</v>
      </c>
    </row>
    <row r="36" spans="1:10" ht="24.95" customHeight="1">
      <c r="A36" s="367" t="s">
        <v>108</v>
      </c>
      <c r="B36" s="367"/>
      <c r="C36" s="367"/>
      <c r="D36" s="367"/>
      <c r="E36" s="367"/>
      <c r="F36" s="367"/>
      <c r="G36" s="367"/>
      <c r="H36" s="367"/>
      <c r="I36" s="367"/>
      <c r="J36" s="367"/>
    </row>
    <row r="37" spans="1:10" ht="37.5">
      <c r="A37" s="98" t="s">
        <v>220</v>
      </c>
      <c r="B37" s="96">
        <f>'I. Фін результат'!B7</f>
        <v>1000</v>
      </c>
      <c r="C37" s="173">
        <f>'[36]I. Фін результат'!C7</f>
        <v>2111</v>
      </c>
      <c r="D37" s="173">
        <f>'[36]I. Фін результат'!D7</f>
        <v>2050</v>
      </c>
      <c r="E37" s="173">
        <v>621</v>
      </c>
      <c r="F37" s="173">
        <v>4151</v>
      </c>
      <c r="G37" s="187">
        <f>ROUND(E37*106.2%,0)</f>
        <v>660</v>
      </c>
      <c r="H37" s="187">
        <f>ROUND(G37*105.3%,0)</f>
        <v>695</v>
      </c>
      <c r="I37" s="187">
        <f t="shared" ref="I37:J38" si="0">ROUND(H37*105.3%,0)</f>
        <v>732</v>
      </c>
      <c r="J37" s="187">
        <f t="shared" si="0"/>
        <v>771</v>
      </c>
    </row>
    <row r="38" spans="1:10" ht="37.5">
      <c r="A38" s="98" t="s">
        <v>188</v>
      </c>
      <c r="B38" s="96">
        <f>'I. Фін результат'!B9</f>
        <v>1010</v>
      </c>
      <c r="C38" s="173">
        <f>'[36]I. Фін результат'!C9</f>
        <v>5825</v>
      </c>
      <c r="D38" s="173">
        <f>'[36]I. Фін результат'!D9</f>
        <v>5792</v>
      </c>
      <c r="E38" s="173">
        <v>10548</v>
      </c>
      <c r="F38" s="173">
        <v>6724</v>
      </c>
      <c r="G38" s="187">
        <f>ROUND(E38*106.2%,0)</f>
        <v>11202</v>
      </c>
      <c r="H38" s="187">
        <f>ROUND(G38*105.3%,0)</f>
        <v>11796</v>
      </c>
      <c r="I38" s="187">
        <f t="shared" si="0"/>
        <v>12421</v>
      </c>
      <c r="J38" s="187">
        <f t="shared" si="0"/>
        <v>13079</v>
      </c>
    </row>
    <row r="39" spans="1:10" ht="20.100000000000001" customHeight="1">
      <c r="A39" s="100" t="s">
        <v>302</v>
      </c>
      <c r="B39" s="96">
        <f>'I. Фін результат'!B19</f>
        <v>1020</v>
      </c>
      <c r="C39" s="173">
        <f>'[36]I. Фін результат'!C19</f>
        <v>-3714</v>
      </c>
      <c r="D39" s="173">
        <f>'[36]I. Фін результат'!D19</f>
        <v>-3742</v>
      </c>
      <c r="E39" s="173">
        <f>'[36]I. Фін результат'!I19</f>
        <v>-9327</v>
      </c>
      <c r="F39" s="173">
        <v>-2573</v>
      </c>
      <c r="G39" s="173">
        <f>G37-G38</f>
        <v>-10542</v>
      </c>
      <c r="H39" s="173">
        <f>H37-H38</f>
        <v>-11101</v>
      </c>
      <c r="I39" s="173">
        <f>I37-I38</f>
        <v>-11689</v>
      </c>
      <c r="J39" s="173">
        <f>J37-J38</f>
        <v>-12308</v>
      </c>
    </row>
    <row r="40" spans="1:10" ht="20.100000000000001" customHeight="1">
      <c r="A40" s="98" t="s">
        <v>153</v>
      </c>
      <c r="B40" s="96">
        <f>'I. Фін результат'!B24</f>
        <v>1040</v>
      </c>
      <c r="C40" s="173">
        <f>'[36]I. Фін результат'!C24</f>
        <v>2896</v>
      </c>
      <c r="D40" s="173">
        <f>'[36]I. Фін результат'!D24</f>
        <v>2949</v>
      </c>
      <c r="E40" s="173">
        <f>'[36]I. Фін результат'!I24</f>
        <v>5322</v>
      </c>
      <c r="F40" s="173">
        <v>5507</v>
      </c>
      <c r="G40" s="187">
        <f>ROUND(E40*106.2%,0)</f>
        <v>5652</v>
      </c>
      <c r="H40" s="187">
        <f>ROUND(G40*105.3%,0)</f>
        <v>5952</v>
      </c>
      <c r="I40" s="187">
        <f t="shared" ref="I40:J42" si="1">ROUND(H40*105.3%,0)</f>
        <v>6267</v>
      </c>
      <c r="J40" s="187">
        <f t="shared" si="1"/>
        <v>6599</v>
      </c>
    </row>
    <row r="41" spans="1:10" ht="20.100000000000001" customHeight="1">
      <c r="A41" s="98" t="s">
        <v>150</v>
      </c>
      <c r="B41" s="96">
        <f>'I. Фін результат'!B49</f>
        <v>1070</v>
      </c>
      <c r="C41" s="173">
        <f>'[36]I. Фін результат'!C49</f>
        <v>0</v>
      </c>
      <c r="D41" s="173">
        <f>'[36]I. Фін результат'!D49</f>
        <v>0</v>
      </c>
      <c r="E41" s="173">
        <f>'[36]I. Фін результат'!I49</f>
        <v>0</v>
      </c>
      <c r="F41" s="173">
        <f>'[36]I. Фін результат'!E49</f>
        <v>0</v>
      </c>
      <c r="G41" s="187">
        <f>ROUND(E41*106.2%,0)</f>
        <v>0</v>
      </c>
      <c r="H41" s="187">
        <f>ROUND(G41*105.3%,0)</f>
        <v>0</v>
      </c>
      <c r="I41" s="187">
        <f t="shared" si="1"/>
        <v>0</v>
      </c>
      <c r="J41" s="187">
        <f t="shared" si="1"/>
        <v>0</v>
      </c>
    </row>
    <row r="42" spans="1:10" ht="20.100000000000001" customHeight="1">
      <c r="A42" s="98" t="s">
        <v>154</v>
      </c>
      <c r="B42" s="96">
        <f>'I. Фін результат'!B84</f>
        <v>1300</v>
      </c>
      <c r="C42" s="173">
        <f>'[36]I. Фін результат'!C84</f>
        <v>6396</v>
      </c>
      <c r="D42" s="173">
        <f>'[36]I. Фін результат'!D84</f>
        <v>6418</v>
      </c>
      <c r="E42" s="173">
        <v>15163</v>
      </c>
      <c r="F42" s="173">
        <v>7579</v>
      </c>
      <c r="G42" s="187">
        <f>ROUND(E42*106.2%,0)</f>
        <v>16103</v>
      </c>
      <c r="H42" s="187">
        <f>ROUND(G42*105.3%,0)</f>
        <v>16956</v>
      </c>
      <c r="I42" s="187">
        <f t="shared" si="1"/>
        <v>17855</v>
      </c>
      <c r="J42" s="187">
        <f t="shared" si="1"/>
        <v>18801</v>
      </c>
    </row>
    <row r="43" spans="1:10" ht="37.5">
      <c r="A43" s="101" t="s">
        <v>4</v>
      </c>
      <c r="B43" s="96">
        <f>'I. Фін результат'!B65</f>
        <v>1100</v>
      </c>
      <c r="C43" s="173">
        <f>'[36]I. Фін результат'!C65</f>
        <v>-214</v>
      </c>
      <c r="D43" s="173">
        <f>'[36]I. Фін результат'!D65</f>
        <v>-273</v>
      </c>
      <c r="E43" s="173">
        <v>-86</v>
      </c>
      <c r="F43" s="173">
        <v>501</v>
      </c>
      <c r="G43" s="173">
        <f>G39-G40-G41+G42</f>
        <v>-91</v>
      </c>
      <c r="H43" s="173">
        <f>H39-H40-H41+H42</f>
        <v>-97</v>
      </c>
      <c r="I43" s="173">
        <f>I39-I40-I41+I42</f>
        <v>-101</v>
      </c>
      <c r="J43" s="173">
        <f>J39-J40-J41+J42</f>
        <v>-106</v>
      </c>
    </row>
    <row r="44" spans="1:10" ht="20.100000000000001" customHeight="1">
      <c r="A44" s="101" t="s">
        <v>155</v>
      </c>
      <c r="B44" s="96">
        <f>'I. Фін результат'!B95</f>
        <v>1410</v>
      </c>
      <c r="C44" s="173">
        <f>'[36]I. Фін результат'!C95</f>
        <v>-214</v>
      </c>
      <c r="D44" s="173">
        <f>'[36]I. Фін результат'!D95</f>
        <v>26</v>
      </c>
      <c r="E44" s="173">
        <v>255</v>
      </c>
      <c r="F44" s="173">
        <v>295</v>
      </c>
      <c r="G44" s="187">
        <f>ROUND(E44*106.2%,0)</f>
        <v>271</v>
      </c>
      <c r="H44" s="187">
        <f>ROUND(G44*105.3%,0)</f>
        <v>285</v>
      </c>
      <c r="I44" s="187">
        <f t="shared" ref="I44:J47" si="2">ROUND(H44*105.3%,0)</f>
        <v>300</v>
      </c>
      <c r="J44" s="187">
        <f t="shared" si="2"/>
        <v>316</v>
      </c>
    </row>
    <row r="45" spans="1:10" ht="20.100000000000001" customHeight="1">
      <c r="A45" s="102" t="s">
        <v>241</v>
      </c>
      <c r="B45" s="96">
        <f>' V. Коефіцієнти'!B8</f>
        <v>5010</v>
      </c>
      <c r="C45" s="173">
        <f>'[36] V. Коефіцієнти'!D8</f>
        <v>-10.137375651350071</v>
      </c>
      <c r="D45" s="173">
        <f>D44*100/D37</f>
        <v>1.2682926829268293</v>
      </c>
      <c r="E45" s="173">
        <f>'[36] V. Коефіцієнти'!G8</f>
        <v>28.805704099821746</v>
      </c>
      <c r="F45" s="173">
        <f>'[36] V. Коефіцієнти'!F8</f>
        <v>1.2682926829268293</v>
      </c>
      <c r="G45" s="187">
        <f>ROUND(E45*106.2%,0)</f>
        <v>31</v>
      </c>
      <c r="H45" s="187">
        <f>ROUND(G45*105.3%,0)</f>
        <v>33</v>
      </c>
      <c r="I45" s="187">
        <f t="shared" si="2"/>
        <v>35</v>
      </c>
      <c r="J45" s="187">
        <f t="shared" si="2"/>
        <v>37</v>
      </c>
    </row>
    <row r="46" spans="1:10" ht="37.5">
      <c r="A46" s="102" t="s">
        <v>156</v>
      </c>
      <c r="B46" s="96">
        <f>'I. Фін результат'!B85</f>
        <v>1310</v>
      </c>
      <c r="C46" s="173">
        <f>'[36]I. Фін результат'!C85</f>
        <v>0</v>
      </c>
      <c r="D46" s="173">
        <f>'[36]I. Фін результат'!D85</f>
        <v>0</v>
      </c>
      <c r="E46" s="173">
        <f>'[36]I. Фін результат'!I85</f>
        <v>0</v>
      </c>
      <c r="F46" s="173">
        <f>'[36]I. Фін результат'!E85</f>
        <v>0</v>
      </c>
      <c r="G46" s="187">
        <f>ROUND(E46*106.2%,0)</f>
        <v>0</v>
      </c>
      <c r="H46" s="187">
        <f>ROUND(G46*105.3%,0)</f>
        <v>0</v>
      </c>
      <c r="I46" s="187">
        <f t="shared" si="2"/>
        <v>0</v>
      </c>
      <c r="J46" s="187">
        <f t="shared" si="2"/>
        <v>0</v>
      </c>
    </row>
    <row r="47" spans="1:10" ht="20.100000000000001" customHeight="1">
      <c r="A47" s="98" t="s">
        <v>246</v>
      </c>
      <c r="B47" s="96">
        <f>'I. Фін результат'!B86</f>
        <v>1320</v>
      </c>
      <c r="C47" s="173">
        <f>'[36]I. Фін результат'!C86</f>
        <v>246</v>
      </c>
      <c r="D47" s="173">
        <f>'[36]I. Фін результат'!D86</f>
        <v>316</v>
      </c>
      <c r="E47" s="173">
        <f>'[36]I. Фін результат'!I86</f>
        <v>146</v>
      </c>
      <c r="F47" s="173">
        <v>553</v>
      </c>
      <c r="G47" s="187">
        <f>ROUND(E47*106.2%,0)</f>
        <v>155</v>
      </c>
      <c r="H47" s="187">
        <f>ROUND(G47*105.3%,0)</f>
        <v>163</v>
      </c>
      <c r="I47" s="187">
        <f t="shared" si="2"/>
        <v>172</v>
      </c>
      <c r="J47" s="187">
        <f t="shared" si="2"/>
        <v>181</v>
      </c>
    </row>
    <row r="48" spans="1:10" ht="37.5">
      <c r="A48" s="101" t="s">
        <v>106</v>
      </c>
      <c r="B48" s="96">
        <f>'I. Фін результат'!B76</f>
        <v>1170</v>
      </c>
      <c r="C48" s="173">
        <f>'[36]I. Фін результат'!C76</f>
        <v>32</v>
      </c>
      <c r="D48" s="173">
        <f>'[36]I. Фін результат'!D76</f>
        <v>43</v>
      </c>
      <c r="E48" s="173">
        <v>60</v>
      </c>
      <c r="F48" s="173">
        <v>52</v>
      </c>
      <c r="G48" s="173">
        <f>G43+G46+G47</f>
        <v>64</v>
      </c>
      <c r="H48" s="173">
        <f>H43+H46+H47</f>
        <v>66</v>
      </c>
      <c r="I48" s="173">
        <f>I43+I46+I47</f>
        <v>71</v>
      </c>
      <c r="J48" s="173">
        <f>J43+J46+J47</f>
        <v>75</v>
      </c>
    </row>
    <row r="49" spans="1:10" ht="20.100000000000001" customHeight="1">
      <c r="A49" s="102" t="s">
        <v>151</v>
      </c>
      <c r="B49" s="96">
        <f>'I. Фін результат'!B77</f>
        <v>1180</v>
      </c>
      <c r="C49" s="173">
        <f>'[36]I. Фін результат'!C77</f>
        <v>10</v>
      </c>
      <c r="D49" s="173">
        <f>'[36]I. Фін результат'!D77</f>
        <v>8</v>
      </c>
      <c r="E49" s="173">
        <v>11</v>
      </c>
      <c r="F49" s="173">
        <v>9</v>
      </c>
      <c r="G49" s="187">
        <f>ROUND(G48*18%,0)</f>
        <v>12</v>
      </c>
      <c r="H49" s="187">
        <f t="shared" ref="H49:J49" si="3">ROUND(H48*18%,0)</f>
        <v>12</v>
      </c>
      <c r="I49" s="187">
        <f t="shared" si="3"/>
        <v>13</v>
      </c>
      <c r="J49" s="187">
        <f t="shared" si="3"/>
        <v>14</v>
      </c>
    </row>
    <row r="50" spans="1:10" ht="20.100000000000001" customHeight="1">
      <c r="A50" s="101" t="s">
        <v>242</v>
      </c>
      <c r="B50" s="96">
        <f>'I. Фін результат'!B79</f>
        <v>1200</v>
      </c>
      <c r="C50" s="173">
        <f>'[36]I. Фін результат'!C79</f>
        <v>22</v>
      </c>
      <c r="D50" s="173">
        <f>'[36]I. Фін результат'!D79</f>
        <v>35</v>
      </c>
      <c r="E50" s="173">
        <v>49</v>
      </c>
      <c r="F50" s="173">
        <v>43</v>
      </c>
      <c r="G50" s="173">
        <f>G48-G49</f>
        <v>52</v>
      </c>
      <c r="H50" s="173">
        <f>H48-H49</f>
        <v>54</v>
      </c>
      <c r="I50" s="173">
        <f>I48-I49</f>
        <v>58</v>
      </c>
      <c r="J50" s="173">
        <f>J48-J49</f>
        <v>61</v>
      </c>
    </row>
    <row r="51" spans="1:10" ht="20.100000000000001" customHeight="1">
      <c r="A51" s="102" t="s">
        <v>243</v>
      </c>
      <c r="B51" s="96">
        <f>' V. Коефіцієнти'!B11</f>
        <v>5040</v>
      </c>
      <c r="C51" s="173">
        <f>'[36] V. Коефіцієнти'!D11</f>
        <v>1.0421601136901942E-2</v>
      </c>
      <c r="D51" s="173">
        <f>D50*100/D37</f>
        <v>1.7073170731707317</v>
      </c>
      <c r="E51" s="173">
        <f>'[36] V. Коефіцієнти'!G11</f>
        <v>2.9946524064171122E-2</v>
      </c>
      <c r="F51" s="173">
        <f>'[36] V. Коефіцієнти'!F11</f>
        <v>1.7073170731707318E-2</v>
      </c>
      <c r="G51" s="173">
        <f>G50/G37</f>
        <v>7.8787878787878782E-2</v>
      </c>
      <c r="H51" s="173">
        <f>H50/H37</f>
        <v>7.7697841726618699E-2</v>
      </c>
      <c r="I51" s="173">
        <f>I50/I37</f>
        <v>7.9234972677595633E-2</v>
      </c>
      <c r="J51" s="173">
        <f>J50/J37</f>
        <v>7.9118028534370943E-2</v>
      </c>
    </row>
    <row r="52" spans="1:10" ht="24.95" customHeight="1">
      <c r="A52" s="369" t="s">
        <v>168</v>
      </c>
      <c r="B52" s="369"/>
      <c r="C52" s="369"/>
      <c r="D52" s="369"/>
      <c r="E52" s="369"/>
      <c r="F52" s="369"/>
      <c r="G52" s="369"/>
      <c r="H52" s="369"/>
      <c r="I52" s="369"/>
      <c r="J52" s="369"/>
    </row>
    <row r="53" spans="1:10" ht="37.5">
      <c r="A53" s="103" t="s">
        <v>357</v>
      </c>
      <c r="B53" s="96">
        <f>'ІІ. Розр. з бюджетом'!B19</f>
        <v>2100</v>
      </c>
      <c r="C53" s="173">
        <f>'[36]ІІ. Розр. з бюджетом'!C19</f>
        <v>14</v>
      </c>
      <c r="D53" s="173">
        <f>'[36]ІІ. Розр. з бюджетом'!D19</f>
        <v>23</v>
      </c>
      <c r="E53" s="173">
        <v>11</v>
      </c>
      <c r="F53" s="173">
        <v>322</v>
      </c>
      <c r="G53" s="187">
        <f>ROUND(G50*66%,0)</f>
        <v>34</v>
      </c>
      <c r="H53" s="187">
        <f t="shared" ref="H53:J53" si="4">ROUND(H50*66%,0)</f>
        <v>36</v>
      </c>
      <c r="I53" s="187">
        <f t="shared" si="4"/>
        <v>38</v>
      </c>
      <c r="J53" s="187">
        <f t="shared" si="4"/>
        <v>40</v>
      </c>
    </row>
    <row r="54" spans="1:10" ht="20.100000000000001" customHeight="1">
      <c r="A54" s="104" t="s">
        <v>167</v>
      </c>
      <c r="B54" s="96">
        <f>'ІІ. Розр. з бюджетом'!B22</f>
        <v>2110</v>
      </c>
      <c r="C54" s="173">
        <f>'[36]ІІ. Розр. з бюджетом'!C22</f>
        <v>10</v>
      </c>
      <c r="D54" s="173">
        <f>'[36]ІІ. Розр. з бюджетом'!D22</f>
        <v>8</v>
      </c>
      <c r="E54" s="173">
        <v>11</v>
      </c>
      <c r="F54" s="173">
        <v>9</v>
      </c>
      <c r="G54" s="187">
        <f>G49</f>
        <v>12</v>
      </c>
      <c r="H54" s="187">
        <f t="shared" ref="H54:J54" si="5">H49</f>
        <v>12</v>
      </c>
      <c r="I54" s="187">
        <f t="shared" si="5"/>
        <v>13</v>
      </c>
      <c r="J54" s="187">
        <f t="shared" si="5"/>
        <v>14</v>
      </c>
    </row>
    <row r="55" spans="1:10" ht="56.25">
      <c r="A55" s="104" t="s">
        <v>353</v>
      </c>
      <c r="B55" s="96" t="s">
        <v>244</v>
      </c>
      <c r="C55" s="173">
        <f>SUM('[36]ІІ. Розр. з бюджетом'!C23,'[36]ІІ. Розр. з бюджетом'!C24)</f>
        <v>18</v>
      </c>
      <c r="D55" s="173">
        <f>SUM('[36]ІІ. Розр. з бюджетом'!D23,'[36]ІІ. Розр. з бюджетом'!D24)</f>
        <v>54</v>
      </c>
      <c r="E55" s="173">
        <v>90</v>
      </c>
      <c r="F55" s="173">
        <v>794</v>
      </c>
      <c r="G55" s="187">
        <f>ROUND(E55*106.2%,0)</f>
        <v>96</v>
      </c>
      <c r="H55" s="187">
        <f>ROUND(G55*105.3%,0)</f>
        <v>101</v>
      </c>
      <c r="I55" s="187">
        <f t="shared" ref="I55:J55" si="6">ROUND(H55*105.3%,0)</f>
        <v>106</v>
      </c>
      <c r="J55" s="187">
        <f t="shared" si="6"/>
        <v>112</v>
      </c>
    </row>
    <row r="56" spans="1:10" ht="56.25">
      <c r="A56" s="103" t="s">
        <v>358</v>
      </c>
      <c r="B56" s="96">
        <f>'ІІ. Розр. з бюджетом'!B25</f>
        <v>2140</v>
      </c>
      <c r="C56" s="173">
        <f>'[36]ІІ. Розр. з бюджетом'!C25</f>
        <v>959</v>
      </c>
      <c r="D56" s="173">
        <f>'[36]ІІ. Розр. з бюджетом'!D25</f>
        <v>895</v>
      </c>
      <c r="E56" s="173">
        <f>'[36]ІІ. Розр. з бюджетом'!I25</f>
        <v>1692</v>
      </c>
      <c r="F56" s="173">
        <v>1297</v>
      </c>
      <c r="G56" s="187">
        <f t="shared" ref="G56:G57" si="7">ROUND(E56*106.2%,0)</f>
        <v>1797</v>
      </c>
      <c r="H56" s="187">
        <f t="shared" ref="H56:J57" si="8">ROUND(G56*105.3%,0)</f>
        <v>1892</v>
      </c>
      <c r="I56" s="187">
        <f t="shared" si="8"/>
        <v>1992</v>
      </c>
      <c r="J56" s="187">
        <f t="shared" si="8"/>
        <v>2098</v>
      </c>
    </row>
    <row r="57" spans="1:10" ht="55.5" customHeight="1">
      <c r="A57" s="103" t="s">
        <v>90</v>
      </c>
      <c r="B57" s="96">
        <f>'ІІ. Розр. з бюджетом'!B37</f>
        <v>2150</v>
      </c>
      <c r="C57" s="173">
        <f>'[36]ІІ. Розр. з бюджетом'!C37</f>
        <v>1011</v>
      </c>
      <c r="D57" s="173">
        <f>'[36]ІІ. Розр. з бюджетом'!D37</f>
        <v>936</v>
      </c>
      <c r="E57" s="173">
        <f>'[36]ІІ. Розр. з бюджетом'!I37</f>
        <v>1843</v>
      </c>
      <c r="F57" s="173">
        <v>1404</v>
      </c>
      <c r="G57" s="187">
        <f t="shared" si="7"/>
        <v>1957</v>
      </c>
      <c r="H57" s="187">
        <f t="shared" si="8"/>
        <v>2061</v>
      </c>
      <c r="I57" s="187">
        <f t="shared" si="8"/>
        <v>2170</v>
      </c>
      <c r="J57" s="187">
        <f t="shared" si="8"/>
        <v>2285</v>
      </c>
    </row>
    <row r="58" spans="1:10" ht="20.100000000000001" customHeight="1">
      <c r="A58" s="105" t="s">
        <v>359</v>
      </c>
      <c r="B58" s="96">
        <f>'ІІ. Розр. з бюджетом'!B38</f>
        <v>2200</v>
      </c>
      <c r="C58" s="173">
        <f>'[36]ІІ. Розр. з бюджетом'!C38</f>
        <v>2012</v>
      </c>
      <c r="D58" s="173">
        <f>'[36]ІІ. Розр. з бюджетом'!D38</f>
        <v>1916</v>
      </c>
      <c r="E58" s="173">
        <v>3668</v>
      </c>
      <c r="F58" s="173">
        <v>3826</v>
      </c>
      <c r="G58" s="173">
        <f>SUM(G53:G57)</f>
        <v>3896</v>
      </c>
      <c r="H58" s="173">
        <f>SUM(H53:H57)</f>
        <v>4102</v>
      </c>
      <c r="I58" s="173">
        <f>SUM(I53:I57)</f>
        <v>4319</v>
      </c>
      <c r="J58" s="173">
        <f>SUM(J53:J57)</f>
        <v>4549</v>
      </c>
    </row>
    <row r="59" spans="1:10" ht="24.95" customHeight="1">
      <c r="A59" s="369" t="s">
        <v>166</v>
      </c>
      <c r="B59" s="369"/>
      <c r="C59" s="369"/>
      <c r="D59" s="369"/>
      <c r="E59" s="369"/>
      <c r="F59" s="369"/>
      <c r="G59" s="369"/>
      <c r="H59" s="369"/>
      <c r="I59" s="369"/>
      <c r="J59" s="369"/>
    </row>
    <row r="60" spans="1:10" ht="20.100000000000001" customHeight="1">
      <c r="A60" s="105" t="s">
        <v>157</v>
      </c>
      <c r="B60" s="96">
        <f>'ІІІ. Рух грош. коштів'!B78</f>
        <v>3600</v>
      </c>
      <c r="C60" s="173">
        <f>'[36]ІІІ. Рух грош. коштів'!C78</f>
        <v>343</v>
      </c>
      <c r="D60" s="173">
        <f>'[36]ІІІ. Рух грош. коштів'!D78</f>
        <v>647</v>
      </c>
      <c r="E60" s="173">
        <v>794</v>
      </c>
      <c r="F60" s="173">
        <v>647</v>
      </c>
      <c r="G60" s="173">
        <f>E65</f>
        <v>919</v>
      </c>
      <c r="H60" s="173">
        <f>G65</f>
        <v>1051</v>
      </c>
      <c r="I60" s="173">
        <f>H65</f>
        <v>1190</v>
      </c>
      <c r="J60" s="173">
        <f>I65</f>
        <v>1336</v>
      </c>
    </row>
    <row r="61" spans="1:10" ht="37.5">
      <c r="A61" s="103" t="s">
        <v>158</v>
      </c>
      <c r="B61" s="96">
        <f>'ІІІ. Рух грош. коштів'!B27</f>
        <v>3090</v>
      </c>
      <c r="C61" s="173">
        <f>'[36]ІІІ. Рух грош. коштів'!C27</f>
        <v>443</v>
      </c>
      <c r="D61" s="173">
        <f>'[36]ІІІ. Рух грош. коштів'!D27</f>
        <v>334</v>
      </c>
      <c r="E61" s="173">
        <v>390</v>
      </c>
      <c r="F61" s="173">
        <v>920</v>
      </c>
      <c r="G61" s="187">
        <f>ROUND(E61*106.2%,0)</f>
        <v>414</v>
      </c>
      <c r="H61" s="187">
        <f>ROUND(G61*105.3%,0)</f>
        <v>436</v>
      </c>
      <c r="I61" s="187">
        <f t="shared" ref="I61:J61" si="9">ROUND(H61*105.3%,0)</f>
        <v>459</v>
      </c>
      <c r="J61" s="187">
        <f t="shared" si="9"/>
        <v>483</v>
      </c>
    </row>
    <row r="62" spans="1:10" ht="37.5">
      <c r="A62" s="103" t="s">
        <v>247</v>
      </c>
      <c r="B62" s="96">
        <f>'ІІІ. Рух грош. коштів'!B48</f>
        <v>3320</v>
      </c>
      <c r="C62" s="173">
        <f>'[36]ІІІ. Рух грош. коштів'!C48</f>
        <v>-145</v>
      </c>
      <c r="D62" s="173">
        <f>'[36]ІІІ. Рух грош. коштів'!D48</f>
        <v>-1159</v>
      </c>
      <c r="E62" s="173">
        <v>-11559</v>
      </c>
      <c r="F62" s="173">
        <v>-1337</v>
      </c>
      <c r="G62" s="187">
        <f t="shared" ref="G62:G63" si="10">ROUND(E62*106.2%,0)</f>
        <v>-12276</v>
      </c>
      <c r="H62" s="187">
        <f t="shared" ref="H62:J64" si="11">ROUND(G62*105.3%,0)</f>
        <v>-12927</v>
      </c>
      <c r="I62" s="187">
        <f t="shared" si="11"/>
        <v>-13612</v>
      </c>
      <c r="J62" s="187">
        <f t="shared" si="11"/>
        <v>-14333</v>
      </c>
    </row>
    <row r="63" spans="1:10" ht="37.5">
      <c r="A63" s="103" t="s">
        <v>159</v>
      </c>
      <c r="B63" s="96">
        <f>'ІІІ. Рух грош. коштів'!B76</f>
        <v>3580</v>
      </c>
      <c r="C63" s="173">
        <f>'[36]ІІІ. Рух грош. коштів'!C76</f>
        <v>6</v>
      </c>
      <c r="D63" s="173">
        <f>'[36]ІІІ. Рух грош. коштів'!D76</f>
        <v>977</v>
      </c>
      <c r="E63" s="173">
        <v>11294</v>
      </c>
      <c r="F63" s="173">
        <v>564</v>
      </c>
      <c r="G63" s="187">
        <f t="shared" si="10"/>
        <v>11994</v>
      </c>
      <c r="H63" s="187">
        <f t="shared" si="11"/>
        <v>12630</v>
      </c>
      <c r="I63" s="187">
        <f t="shared" si="11"/>
        <v>13299</v>
      </c>
      <c r="J63" s="187">
        <f t="shared" si="11"/>
        <v>14004</v>
      </c>
    </row>
    <row r="64" spans="1:10" ht="37.5">
      <c r="A64" s="103" t="s">
        <v>183</v>
      </c>
      <c r="B64" s="96">
        <f>'ІІІ. Рух грош. коштів'!B79</f>
        <v>3610</v>
      </c>
      <c r="C64" s="173">
        <f>'[36]ІІІ. Рух грош. коштів'!C79</f>
        <v>0</v>
      </c>
      <c r="D64" s="173">
        <f>'[36]ІІІ. Рух грош. коштів'!D79</f>
        <v>0</v>
      </c>
      <c r="E64" s="173">
        <f>'[36]ІІІ. Рух грош. коштів'!I79</f>
        <v>0</v>
      </c>
      <c r="F64" s="173">
        <f>'[36]ІІІ. Рух грош. коштів'!E79</f>
        <v>0</v>
      </c>
      <c r="G64" s="187">
        <f>ROUND(E64*106.2%,0)</f>
        <v>0</v>
      </c>
      <c r="H64" s="187">
        <f>ROUND(G64*105.3%,0)</f>
        <v>0</v>
      </c>
      <c r="I64" s="187">
        <f t="shared" si="11"/>
        <v>0</v>
      </c>
      <c r="J64" s="187">
        <f t="shared" si="11"/>
        <v>0</v>
      </c>
    </row>
    <row r="65" spans="1:10" ht="20.100000000000001" customHeight="1">
      <c r="A65" s="105" t="s">
        <v>160</v>
      </c>
      <c r="B65" s="96">
        <f>'ІІІ. Рух грош. коштів'!B80</f>
        <v>3620</v>
      </c>
      <c r="C65" s="173">
        <f>'[36]ІІІ. Рух грош. коштів'!C80</f>
        <v>647</v>
      </c>
      <c r="D65" s="173">
        <f>'[36]ІІІ. Рух грош. коштів'!D80</f>
        <v>799</v>
      </c>
      <c r="E65" s="173">
        <v>919</v>
      </c>
      <c r="F65" s="173">
        <v>794</v>
      </c>
      <c r="G65" s="173">
        <f>SUM(G60:G64)</f>
        <v>1051</v>
      </c>
      <c r="H65" s="173">
        <f>SUM(H60:H64)</f>
        <v>1190</v>
      </c>
      <c r="I65" s="173">
        <f>SUM(I60:I64)</f>
        <v>1336</v>
      </c>
      <c r="J65" s="173">
        <f>SUM(J60:J64)</f>
        <v>1490</v>
      </c>
    </row>
    <row r="66" spans="1:10" ht="24.95" customHeight="1">
      <c r="A66" s="372"/>
      <c r="B66" s="373"/>
      <c r="C66" s="373"/>
      <c r="D66" s="373"/>
      <c r="E66" s="373"/>
      <c r="F66" s="373"/>
      <c r="G66" s="373"/>
      <c r="H66" s="373"/>
      <c r="I66" s="373"/>
      <c r="J66" s="374"/>
    </row>
    <row r="67" spans="1:10" ht="20.100000000000001" customHeight="1">
      <c r="A67" s="103" t="s">
        <v>226</v>
      </c>
      <c r="B67" s="96">
        <f>'IV. Кап. інвестиції'!B6</f>
        <v>4000</v>
      </c>
      <c r="C67" s="173">
        <f>'[36]IV. Кап. інвестиції'!C6</f>
        <v>145</v>
      </c>
      <c r="D67" s="173">
        <f>'[36]IV. Кап. інвестиції'!D6</f>
        <v>993</v>
      </c>
      <c r="E67" s="173">
        <v>9632</v>
      </c>
      <c r="F67" s="173">
        <v>1114</v>
      </c>
      <c r="G67" s="187">
        <f>ROUND(E67*106.2%,0)</f>
        <v>10229</v>
      </c>
      <c r="H67" s="187">
        <f>ROUND(G67*105.3%,0)</f>
        <v>10771</v>
      </c>
      <c r="I67" s="187">
        <f t="shared" ref="I67:J67" si="12">ROUND(H67*105.3%,0)</f>
        <v>11342</v>
      </c>
      <c r="J67" s="187">
        <f t="shared" si="12"/>
        <v>11943</v>
      </c>
    </row>
    <row r="68" spans="1:10" ht="24.95" customHeight="1">
      <c r="A68" s="368" t="s">
        <v>229</v>
      </c>
      <c r="B68" s="368"/>
      <c r="C68" s="368"/>
      <c r="D68" s="368"/>
      <c r="E68" s="368"/>
      <c r="F68" s="368"/>
      <c r="G68" s="368"/>
      <c r="H68" s="368"/>
      <c r="I68" s="368"/>
      <c r="J68" s="368"/>
    </row>
    <row r="69" spans="1:10" ht="20.100000000000001" customHeight="1">
      <c r="A69" s="103" t="s">
        <v>186</v>
      </c>
      <c r="B69" s="96">
        <f>' V. Коефіцієнти'!B9</f>
        <v>5020</v>
      </c>
      <c r="C69" s="179">
        <f>'[36] V. Коефіцієнти'!D9</f>
        <v>5.1595956753207155E-4</v>
      </c>
      <c r="D69" s="179">
        <v>4.0000000000000001E-3</v>
      </c>
      <c r="E69" s="179">
        <f>'[36] V. Коефіцієнти'!G9</f>
        <v>1.9582245430809398E-3</v>
      </c>
      <c r="F69" s="179">
        <f>'[36] V. Коефіцієнти'!F9</f>
        <v>8.2084476652829574E-4</v>
      </c>
      <c r="G69" s="99" t="s">
        <v>238</v>
      </c>
      <c r="H69" s="99" t="s">
        <v>238</v>
      </c>
      <c r="I69" s="99" t="s">
        <v>238</v>
      </c>
      <c r="J69" s="99" t="s">
        <v>238</v>
      </c>
    </row>
    <row r="70" spans="1:10" ht="37.5">
      <c r="A70" s="103" t="s">
        <v>182</v>
      </c>
      <c r="B70" s="96">
        <f>' V. Коефіцієнти'!B10</f>
        <v>5030</v>
      </c>
      <c r="C70" s="179">
        <f>'[36] V. Коефіцієнти'!D10</f>
        <v>1.3871374527112233E-2</v>
      </c>
      <c r="D70" s="179">
        <v>0.121</v>
      </c>
      <c r="E70" s="179">
        <f>'[36] V. Коефіцієнти'!G10</f>
        <v>4.8894062863795114E-2</v>
      </c>
      <c r="F70" s="179">
        <f>'[36] V. Коефіцієнти'!F10</f>
        <v>2.2068095838587643E-2</v>
      </c>
      <c r="G70" s="99" t="s">
        <v>238</v>
      </c>
      <c r="H70" s="99" t="s">
        <v>238</v>
      </c>
      <c r="I70" s="99" t="s">
        <v>238</v>
      </c>
      <c r="J70" s="99" t="s">
        <v>238</v>
      </c>
    </row>
    <row r="71" spans="1:10" ht="20.100000000000001" customHeight="1">
      <c r="A71" s="103" t="s">
        <v>245</v>
      </c>
      <c r="B71" s="96">
        <f>' V. Коефіцієнти'!B14</f>
        <v>5110</v>
      </c>
      <c r="C71" s="179">
        <f>'[36] V. Коефіцієнти'!D14</f>
        <v>3.8632986627043092E-2</v>
      </c>
      <c r="D71" s="179">
        <v>3.3000000000000002E-2</v>
      </c>
      <c r="E71" s="179">
        <f>'[36] V. Коефіцієнти'!G14</f>
        <v>4.1722320713019401E-2</v>
      </c>
      <c r="F71" s="179">
        <f>'[36] V. Коефіцієнти'!F14</f>
        <v>3.8632986627043092E-2</v>
      </c>
      <c r="G71" s="99" t="s">
        <v>238</v>
      </c>
      <c r="H71" s="99" t="s">
        <v>238</v>
      </c>
      <c r="I71" s="99" t="s">
        <v>238</v>
      </c>
      <c r="J71" s="99" t="s">
        <v>238</v>
      </c>
    </row>
    <row r="72" spans="1:10" ht="24.95" customHeight="1">
      <c r="A72" s="369" t="s">
        <v>228</v>
      </c>
      <c r="B72" s="369"/>
      <c r="C72" s="369"/>
      <c r="D72" s="369"/>
      <c r="E72" s="369"/>
      <c r="F72" s="369"/>
      <c r="G72" s="369"/>
      <c r="H72" s="369"/>
      <c r="I72" s="369"/>
      <c r="J72" s="369"/>
    </row>
    <row r="73" spans="1:10" ht="20.100000000000001" customHeight="1">
      <c r="A73" s="103" t="s">
        <v>161</v>
      </c>
      <c r="B73" s="96">
        <v>6000</v>
      </c>
      <c r="C73" s="216">
        <v>40502</v>
      </c>
      <c r="D73" s="216">
        <v>40951</v>
      </c>
      <c r="E73" s="305">
        <v>40951</v>
      </c>
      <c r="F73" s="216">
        <v>40502</v>
      </c>
      <c r="G73" s="106" t="s">
        <v>238</v>
      </c>
      <c r="H73" s="106" t="s">
        <v>238</v>
      </c>
      <c r="I73" s="106" t="s">
        <v>238</v>
      </c>
      <c r="J73" s="106" t="s">
        <v>238</v>
      </c>
    </row>
    <row r="74" spans="1:10" ht="20.100000000000001" customHeight="1">
      <c r="A74" s="103" t="s">
        <v>162</v>
      </c>
      <c r="B74" s="96">
        <v>6010</v>
      </c>
      <c r="C74" s="216">
        <v>2137</v>
      </c>
      <c r="D74" s="216">
        <v>1945</v>
      </c>
      <c r="E74" s="305">
        <v>1945</v>
      </c>
      <c r="F74" s="216">
        <v>2137</v>
      </c>
      <c r="G74" s="106" t="s">
        <v>238</v>
      </c>
      <c r="H74" s="106" t="s">
        <v>238</v>
      </c>
      <c r="I74" s="106" t="s">
        <v>238</v>
      </c>
      <c r="J74" s="106" t="s">
        <v>238</v>
      </c>
    </row>
    <row r="75" spans="1:10" ht="37.5">
      <c r="A75" s="103" t="s">
        <v>272</v>
      </c>
      <c r="B75" s="96">
        <v>6020</v>
      </c>
      <c r="C75" s="216">
        <v>647</v>
      </c>
      <c r="D75" s="216">
        <v>793</v>
      </c>
      <c r="E75" s="305">
        <v>793</v>
      </c>
      <c r="F75" s="216">
        <f t="shared" ref="F75" si="13">F65</f>
        <v>794</v>
      </c>
      <c r="G75" s="106" t="s">
        <v>238</v>
      </c>
      <c r="H75" s="106" t="s">
        <v>238</v>
      </c>
      <c r="I75" s="106" t="s">
        <v>238</v>
      </c>
      <c r="J75" s="106" t="s">
        <v>238</v>
      </c>
    </row>
    <row r="76" spans="1:10" s="5" customFormat="1" ht="20.100000000000001" customHeight="1">
      <c r="A76" s="105" t="s">
        <v>276</v>
      </c>
      <c r="B76" s="96">
        <v>6030</v>
      </c>
      <c r="C76" s="216">
        <f>C73+C74</f>
        <v>42639</v>
      </c>
      <c r="D76" s="216">
        <v>42895</v>
      </c>
      <c r="E76" s="305">
        <f>E73+E74</f>
        <v>42896</v>
      </c>
      <c r="F76" s="216">
        <f>F73+F74</f>
        <v>42639</v>
      </c>
      <c r="G76" s="106" t="s">
        <v>238</v>
      </c>
      <c r="H76" s="106" t="s">
        <v>238</v>
      </c>
      <c r="I76" s="106" t="s">
        <v>238</v>
      </c>
      <c r="J76" s="106" t="s">
        <v>238</v>
      </c>
    </row>
    <row r="77" spans="1:10" ht="37.5">
      <c r="A77" s="103" t="s">
        <v>184</v>
      </c>
      <c r="B77" s="96">
        <v>6040</v>
      </c>
      <c r="C77" s="216">
        <v>0</v>
      </c>
      <c r="D77" s="216"/>
      <c r="E77" s="305"/>
      <c r="F77" s="216"/>
      <c r="G77" s="106" t="s">
        <v>238</v>
      </c>
      <c r="H77" s="106" t="s">
        <v>238</v>
      </c>
      <c r="I77" s="106" t="s">
        <v>238</v>
      </c>
      <c r="J77" s="106" t="s">
        <v>238</v>
      </c>
    </row>
    <row r="78" spans="1:10" ht="20.100000000000001" customHeight="1">
      <c r="A78" s="103" t="s">
        <v>185</v>
      </c>
      <c r="B78" s="96">
        <v>6050</v>
      </c>
      <c r="C78" s="216">
        <v>41053</v>
      </c>
      <c r="D78" s="216">
        <v>41177</v>
      </c>
      <c r="E78" s="305">
        <v>41177</v>
      </c>
      <c r="F78" s="216">
        <v>41053</v>
      </c>
      <c r="G78" s="106" t="s">
        <v>238</v>
      </c>
      <c r="H78" s="106" t="s">
        <v>238</v>
      </c>
      <c r="I78" s="106" t="s">
        <v>238</v>
      </c>
      <c r="J78" s="106" t="s">
        <v>238</v>
      </c>
    </row>
    <row r="79" spans="1:10" s="5" customFormat="1" ht="37.5">
      <c r="A79" s="105" t="s">
        <v>275</v>
      </c>
      <c r="B79" s="96">
        <v>6060</v>
      </c>
      <c r="C79" s="216">
        <f>SUM(C77:C78)</f>
        <v>41053</v>
      </c>
      <c r="D79" s="216">
        <f>SUM(D77:D78)</f>
        <v>41177</v>
      </c>
      <c r="E79" s="305">
        <f>SUM(E77:E78)</f>
        <v>41177</v>
      </c>
      <c r="F79" s="216">
        <v>41053</v>
      </c>
      <c r="G79" s="106" t="s">
        <v>238</v>
      </c>
      <c r="H79" s="106" t="s">
        <v>238</v>
      </c>
      <c r="I79" s="106" t="s">
        <v>238</v>
      </c>
      <c r="J79" s="106" t="s">
        <v>238</v>
      </c>
    </row>
    <row r="80" spans="1:10" ht="44.25" customHeight="1">
      <c r="A80" s="103" t="s">
        <v>273</v>
      </c>
      <c r="B80" s="96">
        <v>6070</v>
      </c>
      <c r="C80" s="216">
        <v>0</v>
      </c>
      <c r="D80" s="216">
        <v>0</v>
      </c>
      <c r="E80" s="305">
        <v>0</v>
      </c>
      <c r="F80" s="216">
        <v>0</v>
      </c>
      <c r="G80" s="106" t="s">
        <v>238</v>
      </c>
      <c r="H80" s="106" t="s">
        <v>238</v>
      </c>
      <c r="I80" s="106" t="s">
        <v>238</v>
      </c>
      <c r="J80" s="106" t="s">
        <v>238</v>
      </c>
    </row>
    <row r="81" spans="1:10" ht="20.100000000000001" customHeight="1">
      <c r="A81" s="103" t="s">
        <v>274</v>
      </c>
      <c r="B81" s="96">
        <v>6080</v>
      </c>
      <c r="C81" s="216">
        <v>0</v>
      </c>
      <c r="D81" s="216">
        <v>0</v>
      </c>
      <c r="E81" s="305">
        <v>0</v>
      </c>
      <c r="F81" s="216">
        <v>0</v>
      </c>
      <c r="G81" s="106" t="s">
        <v>238</v>
      </c>
      <c r="H81" s="106" t="s">
        <v>238</v>
      </c>
      <c r="I81" s="106" t="s">
        <v>238</v>
      </c>
      <c r="J81" s="106" t="s">
        <v>238</v>
      </c>
    </row>
    <row r="82" spans="1:10" s="5" customFormat="1" ht="20.100000000000001" customHeight="1">
      <c r="A82" s="105" t="s">
        <v>163</v>
      </c>
      <c r="B82" s="96">
        <v>6090</v>
      </c>
      <c r="C82" s="216">
        <v>1586</v>
      </c>
      <c r="D82" s="216">
        <v>1718</v>
      </c>
      <c r="E82" s="305">
        <v>1718</v>
      </c>
      <c r="F82" s="216">
        <v>1586</v>
      </c>
      <c r="G82" s="106" t="s">
        <v>238</v>
      </c>
      <c r="H82" s="106" t="s">
        <v>238</v>
      </c>
      <c r="I82" s="106" t="s">
        <v>238</v>
      </c>
      <c r="J82" s="106" t="s">
        <v>238</v>
      </c>
    </row>
    <row r="83" spans="1:10" s="5" customFormat="1" ht="48" customHeight="1">
      <c r="A83" s="188"/>
      <c r="B83" s="189"/>
      <c r="C83" s="190"/>
      <c r="D83" s="191"/>
      <c r="E83" s="191"/>
      <c r="F83" s="191"/>
      <c r="G83" s="192"/>
      <c r="H83" s="192"/>
      <c r="I83" s="192"/>
      <c r="J83" s="192"/>
    </row>
    <row r="84" spans="1:10" ht="24.95" customHeight="1">
      <c r="A84" s="193"/>
      <c r="B84" s="189"/>
      <c r="C84" s="192"/>
      <c r="D84" s="194"/>
      <c r="E84" s="194"/>
      <c r="F84" s="194"/>
      <c r="G84" s="194"/>
      <c r="H84" s="194"/>
      <c r="I84" s="194"/>
      <c r="J84" s="194"/>
    </row>
    <row r="85" spans="1:10" ht="26.25" customHeight="1">
      <c r="A85" s="195" t="s">
        <v>398</v>
      </c>
      <c r="B85" s="196"/>
      <c r="C85" s="359" t="s">
        <v>399</v>
      </c>
      <c r="D85" s="360"/>
      <c r="E85" s="197"/>
      <c r="F85" s="197"/>
      <c r="G85" s="361" t="s">
        <v>543</v>
      </c>
      <c r="H85" s="361"/>
      <c r="I85" s="361"/>
      <c r="J85" s="184"/>
    </row>
    <row r="86" spans="1:10" s="1" customFormat="1" ht="21" customHeight="1">
      <c r="A86" s="198" t="s">
        <v>378</v>
      </c>
      <c r="B86" s="184"/>
      <c r="C86" s="390" t="s">
        <v>84</v>
      </c>
      <c r="D86" s="390"/>
      <c r="E86" s="185"/>
      <c r="F86" s="185"/>
      <c r="G86" s="391" t="s">
        <v>115</v>
      </c>
      <c r="H86" s="391"/>
      <c r="I86" s="391"/>
      <c r="J86" s="199">
        <v>1</v>
      </c>
    </row>
    <row r="88" spans="1:10">
      <c r="A88" s="50"/>
    </row>
    <row r="89" spans="1:10">
      <c r="A89" s="50"/>
    </row>
    <row r="90" spans="1:10">
      <c r="A90" s="50"/>
    </row>
    <row r="91" spans="1:10" s="25" customFormat="1">
      <c r="A91" s="50"/>
      <c r="E91" s="2"/>
      <c r="F91" s="2"/>
      <c r="G91" s="2"/>
      <c r="H91" s="2"/>
      <c r="I91" s="2"/>
      <c r="J91" s="2"/>
    </row>
    <row r="92" spans="1:10" s="25" customFormat="1">
      <c r="A92" s="50"/>
      <c r="E92" s="2"/>
      <c r="F92" s="2"/>
      <c r="G92" s="2"/>
      <c r="H92" s="2"/>
      <c r="I92" s="2"/>
      <c r="J92" s="2"/>
    </row>
    <row r="93" spans="1:10" s="25" customFormat="1">
      <c r="A93" s="50"/>
      <c r="E93" s="2"/>
      <c r="F93" s="2"/>
      <c r="G93" s="2"/>
      <c r="H93" s="2"/>
      <c r="I93" s="2"/>
      <c r="J93" s="2"/>
    </row>
    <row r="94" spans="1:10" s="25" customFormat="1">
      <c r="A94" s="50"/>
      <c r="E94" s="2"/>
      <c r="F94" s="2"/>
      <c r="G94" s="2"/>
      <c r="H94" s="2"/>
      <c r="I94" s="2"/>
      <c r="J94" s="2"/>
    </row>
    <row r="95" spans="1:10" s="25" customFormat="1">
      <c r="A95" s="50"/>
      <c r="E95" s="2"/>
      <c r="F95" s="2"/>
      <c r="G95" s="2"/>
      <c r="H95" s="2"/>
      <c r="I95" s="2"/>
      <c r="J95" s="2"/>
    </row>
    <row r="96" spans="1:10" s="25" customFormat="1">
      <c r="A96" s="50"/>
      <c r="E96" s="2"/>
      <c r="F96" s="2"/>
      <c r="G96" s="2"/>
      <c r="H96" s="2"/>
      <c r="I96" s="2"/>
      <c r="J96" s="2"/>
    </row>
    <row r="97" spans="1:10" s="25" customFormat="1">
      <c r="A97" s="50"/>
      <c r="E97" s="2"/>
      <c r="F97" s="2"/>
      <c r="G97" s="2"/>
      <c r="H97" s="2"/>
      <c r="I97" s="2"/>
      <c r="J97" s="2"/>
    </row>
    <row r="98" spans="1:10" s="25" customFormat="1">
      <c r="A98" s="50"/>
      <c r="E98" s="2"/>
      <c r="F98" s="2"/>
      <c r="G98" s="2"/>
      <c r="H98" s="2"/>
      <c r="I98" s="2"/>
      <c r="J98" s="2"/>
    </row>
    <row r="99" spans="1:10" s="25" customFormat="1">
      <c r="A99" s="50"/>
      <c r="E99" s="2"/>
      <c r="F99" s="2"/>
      <c r="G99" s="2"/>
      <c r="H99" s="2"/>
      <c r="I99" s="2"/>
      <c r="J99" s="2"/>
    </row>
    <row r="100" spans="1:10" s="25" customFormat="1">
      <c r="A100" s="50"/>
      <c r="E100" s="2"/>
      <c r="F100" s="2"/>
      <c r="G100" s="2"/>
      <c r="H100" s="2"/>
      <c r="I100" s="2"/>
      <c r="J100" s="2"/>
    </row>
    <row r="101" spans="1:10" s="25" customFormat="1">
      <c r="A101" s="50"/>
      <c r="E101" s="2"/>
      <c r="F101" s="2"/>
      <c r="G101" s="2"/>
      <c r="H101" s="2"/>
      <c r="I101" s="2"/>
      <c r="J101" s="2"/>
    </row>
    <row r="102" spans="1:10" s="25" customFormat="1">
      <c r="A102" s="50"/>
      <c r="E102" s="2"/>
      <c r="F102" s="2"/>
      <c r="G102" s="2"/>
      <c r="H102" s="2"/>
      <c r="I102" s="2"/>
      <c r="J102" s="2"/>
    </row>
    <row r="103" spans="1:10" s="25" customFormat="1">
      <c r="A103" s="50"/>
      <c r="E103" s="2"/>
      <c r="F103" s="2"/>
      <c r="G103" s="2"/>
      <c r="H103" s="2"/>
      <c r="I103" s="2"/>
      <c r="J103" s="2"/>
    </row>
    <row r="104" spans="1:10" s="25" customFormat="1">
      <c r="A104" s="50"/>
      <c r="E104" s="2"/>
      <c r="F104" s="2"/>
      <c r="G104" s="2"/>
      <c r="H104" s="2"/>
      <c r="I104" s="2"/>
      <c r="J104" s="2"/>
    </row>
    <row r="105" spans="1:10" s="25" customFormat="1">
      <c r="A105" s="50"/>
      <c r="E105" s="2"/>
      <c r="F105" s="2"/>
      <c r="G105" s="2"/>
      <c r="H105" s="2"/>
      <c r="I105" s="2"/>
      <c r="J105" s="2"/>
    </row>
    <row r="106" spans="1:10" s="25" customFormat="1">
      <c r="A106" s="50"/>
      <c r="E106" s="2"/>
      <c r="F106" s="2"/>
      <c r="G106" s="2"/>
      <c r="H106" s="2"/>
      <c r="I106" s="2"/>
      <c r="J106" s="2"/>
    </row>
    <row r="107" spans="1:10" s="25" customFormat="1">
      <c r="A107" s="50"/>
      <c r="E107" s="2"/>
      <c r="F107" s="2"/>
      <c r="G107" s="2"/>
      <c r="H107" s="2"/>
      <c r="I107" s="2"/>
      <c r="J107" s="2"/>
    </row>
    <row r="108" spans="1:10" s="25" customFormat="1">
      <c r="A108" s="50"/>
      <c r="E108" s="2"/>
      <c r="F108" s="2"/>
      <c r="G108" s="2"/>
      <c r="H108" s="2"/>
      <c r="I108" s="2"/>
      <c r="J108" s="2"/>
    </row>
    <row r="109" spans="1:10" s="25" customFormat="1">
      <c r="A109" s="50"/>
      <c r="E109" s="2"/>
      <c r="F109" s="2"/>
      <c r="G109" s="2"/>
      <c r="H109" s="2"/>
      <c r="I109" s="2"/>
      <c r="J109" s="2"/>
    </row>
    <row r="110" spans="1:10" s="25" customFormat="1">
      <c r="A110" s="50"/>
      <c r="E110" s="2"/>
      <c r="F110" s="2"/>
      <c r="G110" s="2"/>
      <c r="H110" s="2"/>
      <c r="I110" s="2"/>
      <c r="J110" s="2"/>
    </row>
    <row r="111" spans="1:10" s="25" customFormat="1">
      <c r="A111" s="50"/>
      <c r="E111" s="2"/>
      <c r="F111" s="2"/>
      <c r="G111" s="2"/>
      <c r="H111" s="2"/>
      <c r="I111" s="2"/>
      <c r="J111" s="2"/>
    </row>
    <row r="112" spans="1:10" s="25" customFormat="1">
      <c r="A112" s="50"/>
      <c r="E112" s="2"/>
      <c r="F112" s="2"/>
      <c r="G112" s="2"/>
      <c r="H112" s="2"/>
      <c r="I112" s="2"/>
      <c r="J112" s="2"/>
    </row>
    <row r="113" spans="1:10" s="25" customFormat="1">
      <c r="A113" s="50"/>
      <c r="E113" s="2"/>
      <c r="F113" s="2"/>
      <c r="G113" s="2"/>
      <c r="H113" s="2"/>
      <c r="I113" s="2"/>
      <c r="J113" s="2"/>
    </row>
    <row r="114" spans="1:10" s="25" customFormat="1">
      <c r="A114" s="50"/>
      <c r="E114" s="2"/>
      <c r="F114" s="2"/>
      <c r="G114" s="2"/>
      <c r="H114" s="2"/>
      <c r="I114" s="2"/>
      <c r="J114" s="2"/>
    </row>
    <row r="115" spans="1:10" s="25" customFormat="1">
      <c r="A115" s="50"/>
      <c r="E115" s="2"/>
      <c r="F115" s="2"/>
      <c r="G115" s="2"/>
      <c r="H115" s="2"/>
      <c r="I115" s="2"/>
      <c r="J115" s="2"/>
    </row>
    <row r="116" spans="1:10" s="25" customFormat="1">
      <c r="A116" s="50"/>
      <c r="E116" s="2"/>
      <c r="F116" s="2"/>
      <c r="G116" s="2"/>
      <c r="H116" s="2"/>
      <c r="I116" s="2"/>
      <c r="J116" s="2"/>
    </row>
    <row r="117" spans="1:10" s="25" customFormat="1">
      <c r="A117" s="50"/>
      <c r="E117" s="2"/>
      <c r="F117" s="2"/>
      <c r="G117" s="2"/>
      <c r="H117" s="2"/>
      <c r="I117" s="2"/>
      <c r="J117" s="2"/>
    </row>
    <row r="118" spans="1:10" s="25" customFormat="1">
      <c r="A118" s="50"/>
      <c r="E118" s="2"/>
      <c r="F118" s="2"/>
      <c r="G118" s="2"/>
      <c r="H118" s="2"/>
      <c r="I118" s="2"/>
      <c r="J118" s="2"/>
    </row>
    <row r="119" spans="1:10" s="25" customFormat="1">
      <c r="A119" s="50"/>
      <c r="E119" s="2"/>
      <c r="F119" s="2"/>
      <c r="G119" s="2"/>
      <c r="H119" s="2"/>
      <c r="I119" s="2"/>
      <c r="J119" s="2"/>
    </row>
    <row r="120" spans="1:10" s="25" customFormat="1">
      <c r="A120" s="50"/>
      <c r="E120" s="2"/>
      <c r="F120" s="2"/>
      <c r="G120" s="2"/>
      <c r="H120" s="2"/>
      <c r="I120" s="2"/>
      <c r="J120" s="2"/>
    </row>
    <row r="121" spans="1:10" s="25" customFormat="1">
      <c r="A121" s="50"/>
      <c r="E121" s="2"/>
      <c r="F121" s="2"/>
      <c r="G121" s="2"/>
      <c r="H121" s="2"/>
      <c r="I121" s="2"/>
      <c r="J121" s="2"/>
    </row>
    <row r="122" spans="1:10" s="25" customFormat="1">
      <c r="A122" s="50"/>
      <c r="E122" s="2"/>
      <c r="F122" s="2"/>
      <c r="G122" s="2"/>
      <c r="H122" s="2"/>
      <c r="I122" s="2"/>
      <c r="J122" s="2"/>
    </row>
    <row r="123" spans="1:10" s="25" customFormat="1">
      <c r="A123" s="50"/>
      <c r="E123" s="2"/>
      <c r="F123" s="2"/>
      <c r="G123" s="2"/>
      <c r="H123" s="2"/>
      <c r="I123" s="2"/>
      <c r="J123" s="2"/>
    </row>
    <row r="124" spans="1:10" s="25" customFormat="1">
      <c r="A124" s="50"/>
      <c r="E124" s="2"/>
      <c r="F124" s="2"/>
      <c r="G124" s="2"/>
      <c r="H124" s="2"/>
      <c r="I124" s="2"/>
      <c r="J124" s="2"/>
    </row>
    <row r="125" spans="1:10" s="25" customFormat="1">
      <c r="A125" s="50"/>
      <c r="E125" s="2"/>
      <c r="F125" s="2"/>
      <c r="G125" s="2"/>
      <c r="H125" s="2"/>
      <c r="I125" s="2"/>
      <c r="J125" s="2"/>
    </row>
    <row r="126" spans="1:10" s="25" customFormat="1">
      <c r="A126" s="50"/>
      <c r="E126" s="2"/>
      <c r="F126" s="2"/>
      <c r="G126" s="2"/>
      <c r="H126" s="2"/>
      <c r="I126" s="2"/>
      <c r="J126" s="2"/>
    </row>
    <row r="127" spans="1:10" s="25" customFormat="1">
      <c r="A127" s="50"/>
      <c r="E127" s="2"/>
      <c r="F127" s="2"/>
      <c r="G127" s="2"/>
      <c r="H127" s="2"/>
      <c r="I127" s="2"/>
      <c r="J127" s="2"/>
    </row>
    <row r="128" spans="1:10" s="25" customFormat="1">
      <c r="A128" s="50"/>
      <c r="E128" s="2"/>
      <c r="F128" s="2"/>
      <c r="G128" s="2"/>
      <c r="H128" s="2"/>
      <c r="I128" s="2"/>
      <c r="J128" s="2"/>
    </row>
    <row r="129" spans="1:10" s="25" customFormat="1">
      <c r="A129" s="50"/>
      <c r="E129" s="2"/>
      <c r="F129" s="2"/>
      <c r="G129" s="2"/>
      <c r="H129" s="2"/>
      <c r="I129" s="2"/>
      <c r="J129" s="2"/>
    </row>
    <row r="130" spans="1:10" s="25" customFormat="1">
      <c r="A130" s="50"/>
      <c r="E130" s="2"/>
      <c r="F130" s="2"/>
      <c r="G130" s="2"/>
      <c r="H130" s="2"/>
      <c r="I130" s="2"/>
      <c r="J130" s="2"/>
    </row>
    <row r="131" spans="1:10" s="25" customFormat="1">
      <c r="A131" s="50"/>
      <c r="E131" s="2"/>
      <c r="F131" s="2"/>
      <c r="G131" s="2"/>
      <c r="H131" s="2"/>
      <c r="I131" s="2"/>
      <c r="J131" s="2"/>
    </row>
    <row r="132" spans="1:10" s="25" customFormat="1">
      <c r="A132" s="50"/>
      <c r="E132" s="2"/>
      <c r="F132" s="2"/>
      <c r="G132" s="2"/>
      <c r="H132" s="2"/>
      <c r="I132" s="2"/>
      <c r="J132" s="2"/>
    </row>
    <row r="133" spans="1:10" s="25" customFormat="1">
      <c r="A133" s="50"/>
      <c r="E133" s="2"/>
      <c r="F133" s="2"/>
      <c r="G133" s="2"/>
      <c r="H133" s="2"/>
      <c r="I133" s="2"/>
      <c r="J133" s="2"/>
    </row>
    <row r="134" spans="1:10" s="25" customFormat="1">
      <c r="A134" s="50"/>
      <c r="E134" s="2"/>
      <c r="F134" s="2"/>
      <c r="G134" s="2"/>
      <c r="H134" s="2"/>
      <c r="I134" s="2"/>
      <c r="J134" s="2"/>
    </row>
    <row r="135" spans="1:10" s="25" customFormat="1">
      <c r="A135" s="50"/>
      <c r="E135" s="2"/>
      <c r="F135" s="2"/>
      <c r="G135" s="2"/>
      <c r="H135" s="2"/>
      <c r="I135" s="2"/>
      <c r="J135" s="2"/>
    </row>
    <row r="136" spans="1:10" s="25" customFormat="1">
      <c r="A136" s="50"/>
      <c r="E136" s="2"/>
      <c r="F136" s="2"/>
      <c r="G136" s="2"/>
      <c r="H136" s="2"/>
      <c r="I136" s="2"/>
      <c r="J136" s="2"/>
    </row>
    <row r="137" spans="1:10" s="25" customFormat="1">
      <c r="A137" s="50"/>
      <c r="E137" s="2"/>
      <c r="F137" s="2"/>
      <c r="G137" s="2"/>
      <c r="H137" s="2"/>
      <c r="I137" s="2"/>
      <c r="J137" s="2"/>
    </row>
    <row r="138" spans="1:10" s="25" customFormat="1">
      <c r="A138" s="50"/>
      <c r="E138" s="2"/>
      <c r="F138" s="2"/>
      <c r="G138" s="2"/>
      <c r="H138" s="2"/>
      <c r="I138" s="2"/>
      <c r="J138" s="2"/>
    </row>
    <row r="139" spans="1:10" s="25" customFormat="1">
      <c r="A139" s="50"/>
      <c r="E139" s="2"/>
      <c r="F139" s="2"/>
      <c r="G139" s="2"/>
      <c r="H139" s="2"/>
      <c r="I139" s="2"/>
      <c r="J139" s="2"/>
    </row>
    <row r="140" spans="1:10" s="25" customFormat="1">
      <c r="A140" s="50"/>
      <c r="E140" s="2"/>
      <c r="F140" s="2"/>
      <c r="G140" s="2"/>
      <c r="H140" s="2"/>
      <c r="I140" s="2"/>
      <c r="J140" s="2"/>
    </row>
    <row r="141" spans="1:10" s="25" customFormat="1">
      <c r="A141" s="50"/>
      <c r="E141" s="2"/>
      <c r="F141" s="2"/>
      <c r="G141" s="2"/>
      <c r="H141" s="2"/>
      <c r="I141" s="2"/>
      <c r="J141" s="2"/>
    </row>
    <row r="142" spans="1:10" s="25" customFormat="1">
      <c r="A142" s="50"/>
      <c r="E142" s="2"/>
      <c r="F142" s="2"/>
      <c r="G142" s="2"/>
      <c r="H142" s="2"/>
      <c r="I142" s="2"/>
      <c r="J142" s="2"/>
    </row>
    <row r="143" spans="1:10" s="25" customFormat="1">
      <c r="A143" s="50"/>
      <c r="E143" s="2"/>
      <c r="F143" s="2"/>
      <c r="G143" s="2"/>
      <c r="H143" s="2"/>
      <c r="I143" s="2"/>
      <c r="J143" s="2"/>
    </row>
    <row r="144" spans="1:10" s="25" customFormat="1">
      <c r="A144" s="50"/>
      <c r="E144" s="2"/>
      <c r="F144" s="2"/>
      <c r="G144" s="2"/>
      <c r="H144" s="2"/>
      <c r="I144" s="2"/>
      <c r="J144" s="2"/>
    </row>
    <row r="145" spans="1:10" s="25" customFormat="1">
      <c r="A145" s="50"/>
      <c r="E145" s="2"/>
      <c r="F145" s="2"/>
      <c r="G145" s="2"/>
      <c r="H145" s="2"/>
      <c r="I145" s="2"/>
      <c r="J145" s="2"/>
    </row>
    <row r="146" spans="1:10" s="25" customFormat="1">
      <c r="A146" s="50"/>
      <c r="E146" s="2"/>
      <c r="F146" s="2"/>
      <c r="G146" s="2"/>
      <c r="H146" s="2"/>
      <c r="I146" s="2"/>
      <c r="J146" s="2"/>
    </row>
    <row r="147" spans="1:10" s="25" customFormat="1">
      <c r="A147" s="50"/>
      <c r="E147" s="2"/>
      <c r="F147" s="2"/>
      <c r="G147" s="2"/>
      <c r="H147" s="2"/>
      <c r="I147" s="2"/>
      <c r="J147" s="2"/>
    </row>
    <row r="148" spans="1:10" s="25" customFormat="1">
      <c r="A148" s="50"/>
      <c r="E148" s="2"/>
      <c r="F148" s="2"/>
      <c r="G148" s="2"/>
      <c r="H148" s="2"/>
      <c r="I148" s="2"/>
      <c r="J148" s="2"/>
    </row>
    <row r="149" spans="1:10" s="25" customFormat="1">
      <c r="A149" s="50"/>
      <c r="E149" s="2"/>
      <c r="F149" s="2"/>
      <c r="G149" s="2"/>
      <c r="H149" s="2"/>
      <c r="I149" s="2"/>
      <c r="J149" s="2"/>
    </row>
    <row r="150" spans="1:10" s="25" customFormat="1">
      <c r="A150" s="50"/>
      <c r="E150" s="2"/>
      <c r="F150" s="2"/>
      <c r="G150" s="2"/>
      <c r="H150" s="2"/>
      <c r="I150" s="2"/>
      <c r="J150" s="2"/>
    </row>
    <row r="151" spans="1:10" s="25" customFormat="1">
      <c r="A151" s="50"/>
      <c r="E151" s="2"/>
      <c r="F151" s="2"/>
      <c r="G151" s="2"/>
      <c r="H151" s="2"/>
      <c r="I151" s="2"/>
      <c r="J151" s="2"/>
    </row>
    <row r="152" spans="1:10" s="25" customFormat="1">
      <c r="A152" s="50"/>
      <c r="E152" s="2"/>
      <c r="F152" s="2"/>
      <c r="G152" s="2"/>
      <c r="H152" s="2"/>
      <c r="I152" s="2"/>
      <c r="J152" s="2"/>
    </row>
    <row r="153" spans="1:10" s="25" customFormat="1">
      <c r="A153" s="50"/>
      <c r="E153" s="2"/>
      <c r="F153" s="2"/>
      <c r="G153" s="2"/>
      <c r="H153" s="2"/>
      <c r="I153" s="2"/>
      <c r="J153" s="2"/>
    </row>
    <row r="154" spans="1:10" s="25" customFormat="1">
      <c r="A154" s="50"/>
      <c r="E154" s="2"/>
      <c r="F154" s="2"/>
      <c r="G154" s="2"/>
      <c r="H154" s="2"/>
      <c r="I154" s="2"/>
      <c r="J154" s="2"/>
    </row>
    <row r="155" spans="1:10" s="25" customFormat="1">
      <c r="A155" s="50"/>
      <c r="E155" s="2"/>
      <c r="F155" s="2"/>
      <c r="G155" s="2"/>
      <c r="H155" s="2"/>
      <c r="I155" s="2"/>
      <c r="J155" s="2"/>
    </row>
    <row r="156" spans="1:10" s="25" customFormat="1">
      <c r="A156" s="50"/>
      <c r="E156" s="2"/>
      <c r="F156" s="2"/>
      <c r="G156" s="2"/>
      <c r="H156" s="2"/>
      <c r="I156" s="2"/>
      <c r="J156" s="2"/>
    </row>
    <row r="157" spans="1:10" s="25" customFormat="1">
      <c r="A157" s="50"/>
      <c r="E157" s="2"/>
      <c r="F157" s="2"/>
      <c r="G157" s="2"/>
      <c r="H157" s="2"/>
      <c r="I157" s="2"/>
      <c r="J157" s="2"/>
    </row>
    <row r="158" spans="1:10" s="25" customFormat="1">
      <c r="A158" s="50"/>
      <c r="E158" s="2"/>
      <c r="F158" s="2"/>
      <c r="G158" s="2"/>
      <c r="H158" s="2"/>
      <c r="I158" s="2"/>
      <c r="J158" s="2"/>
    </row>
    <row r="159" spans="1:10" s="25" customFormat="1">
      <c r="A159" s="50"/>
      <c r="E159" s="2"/>
      <c r="F159" s="2"/>
      <c r="G159" s="2"/>
      <c r="H159" s="2"/>
      <c r="I159" s="2"/>
      <c r="J159" s="2"/>
    </row>
    <row r="160" spans="1:10" s="25" customFormat="1">
      <c r="A160" s="50"/>
      <c r="E160" s="2"/>
      <c r="F160" s="2"/>
      <c r="G160" s="2"/>
      <c r="H160" s="2"/>
      <c r="I160" s="2"/>
      <c r="J160" s="2"/>
    </row>
    <row r="161" spans="1:10" s="25" customFormat="1">
      <c r="A161" s="50"/>
      <c r="E161" s="2"/>
      <c r="F161" s="2"/>
      <c r="G161" s="2"/>
      <c r="H161" s="2"/>
      <c r="I161" s="2"/>
      <c r="J161" s="2"/>
    </row>
    <row r="162" spans="1:10" s="25" customFormat="1">
      <c r="A162" s="50"/>
      <c r="E162" s="2"/>
      <c r="F162" s="2"/>
      <c r="G162" s="2"/>
      <c r="H162" s="2"/>
      <c r="I162" s="2"/>
      <c r="J162" s="2"/>
    </row>
    <row r="163" spans="1:10" s="25" customFormat="1">
      <c r="A163" s="50"/>
      <c r="E163" s="2"/>
      <c r="F163" s="2"/>
      <c r="G163" s="2"/>
      <c r="H163" s="2"/>
      <c r="I163" s="2"/>
      <c r="J163" s="2"/>
    </row>
    <row r="164" spans="1:10" s="25" customFormat="1">
      <c r="A164" s="50"/>
      <c r="E164" s="2"/>
      <c r="F164" s="2"/>
      <c r="G164" s="2"/>
      <c r="H164" s="2"/>
      <c r="I164" s="2"/>
      <c r="J164" s="2"/>
    </row>
    <row r="165" spans="1:10" s="25" customFormat="1">
      <c r="A165" s="50"/>
      <c r="E165" s="2"/>
      <c r="F165" s="2"/>
      <c r="G165" s="2"/>
      <c r="H165" s="2"/>
      <c r="I165" s="2"/>
      <c r="J165" s="2"/>
    </row>
    <row r="166" spans="1:10" s="25" customFormat="1">
      <c r="A166" s="50"/>
      <c r="E166" s="2"/>
      <c r="F166" s="2"/>
      <c r="G166" s="2"/>
      <c r="H166" s="2"/>
      <c r="I166" s="2"/>
      <c r="J166" s="2"/>
    </row>
    <row r="167" spans="1:10" s="25" customFormat="1">
      <c r="A167" s="50"/>
      <c r="E167" s="2"/>
      <c r="F167" s="2"/>
      <c r="G167" s="2"/>
      <c r="H167" s="2"/>
      <c r="I167" s="2"/>
      <c r="J167" s="2"/>
    </row>
    <row r="168" spans="1:10" s="25" customFormat="1">
      <c r="A168" s="50"/>
      <c r="E168" s="2"/>
      <c r="F168" s="2"/>
      <c r="G168" s="2"/>
      <c r="H168" s="2"/>
      <c r="I168" s="2"/>
      <c r="J168" s="2"/>
    </row>
    <row r="169" spans="1:10" s="25" customFormat="1">
      <c r="A169" s="50"/>
      <c r="E169" s="2"/>
      <c r="F169" s="2"/>
      <c r="G169" s="2"/>
      <c r="H169" s="2"/>
      <c r="I169" s="2"/>
      <c r="J169" s="2"/>
    </row>
    <row r="170" spans="1:10" s="25" customFormat="1">
      <c r="A170" s="50"/>
      <c r="E170" s="2"/>
      <c r="F170" s="2"/>
      <c r="G170" s="2"/>
      <c r="H170" s="2"/>
      <c r="I170" s="2"/>
      <c r="J170" s="2"/>
    </row>
    <row r="171" spans="1:10" s="25" customFormat="1">
      <c r="A171" s="50"/>
      <c r="E171" s="2"/>
      <c r="F171" s="2"/>
      <c r="G171" s="2"/>
      <c r="H171" s="2"/>
      <c r="I171" s="2"/>
      <c r="J171" s="2"/>
    </row>
    <row r="172" spans="1:10" s="25" customFormat="1">
      <c r="A172" s="50"/>
      <c r="E172" s="2"/>
      <c r="F172" s="2"/>
      <c r="G172" s="2"/>
      <c r="H172" s="2"/>
      <c r="I172" s="2"/>
      <c r="J172" s="2"/>
    </row>
    <row r="173" spans="1:10" s="25" customFormat="1">
      <c r="A173" s="50"/>
      <c r="E173" s="2"/>
      <c r="F173" s="2"/>
      <c r="G173" s="2"/>
      <c r="H173" s="2"/>
      <c r="I173" s="2"/>
      <c r="J173" s="2"/>
    </row>
    <row r="174" spans="1:10" s="25" customFormat="1">
      <c r="A174" s="50"/>
      <c r="E174" s="2"/>
      <c r="F174" s="2"/>
      <c r="G174" s="2"/>
      <c r="H174" s="2"/>
      <c r="I174" s="2"/>
      <c r="J174" s="2"/>
    </row>
    <row r="175" spans="1:10" s="25" customFormat="1">
      <c r="A175" s="50"/>
      <c r="E175" s="2"/>
      <c r="F175" s="2"/>
      <c r="G175" s="2"/>
      <c r="H175" s="2"/>
      <c r="I175" s="2"/>
      <c r="J175" s="2"/>
    </row>
    <row r="176" spans="1:10" s="25" customFormat="1">
      <c r="A176" s="50"/>
      <c r="E176" s="2"/>
      <c r="F176" s="2"/>
      <c r="G176" s="2"/>
      <c r="H176" s="2"/>
      <c r="I176" s="2"/>
      <c r="J176" s="2"/>
    </row>
    <row r="177" spans="1:10" s="25" customFormat="1">
      <c r="A177" s="50"/>
      <c r="E177" s="2"/>
      <c r="F177" s="2"/>
      <c r="G177" s="2"/>
      <c r="H177" s="2"/>
      <c r="I177" s="2"/>
      <c r="J177" s="2"/>
    </row>
    <row r="178" spans="1:10" s="25" customFormat="1">
      <c r="A178" s="50"/>
      <c r="E178" s="2"/>
      <c r="F178" s="2"/>
      <c r="G178" s="2"/>
      <c r="H178" s="2"/>
      <c r="I178" s="2"/>
      <c r="J178" s="2"/>
    </row>
    <row r="179" spans="1:10" s="25" customFormat="1">
      <c r="A179" s="50"/>
      <c r="E179" s="2"/>
      <c r="F179" s="2"/>
      <c r="G179" s="2"/>
      <c r="H179" s="2"/>
      <c r="I179" s="2"/>
      <c r="J179" s="2"/>
    </row>
    <row r="180" spans="1:10" s="25" customFormat="1">
      <c r="A180" s="50"/>
      <c r="E180" s="2"/>
      <c r="F180" s="2"/>
      <c r="G180" s="2"/>
      <c r="H180" s="2"/>
      <c r="I180" s="2"/>
      <c r="J180" s="2"/>
    </row>
    <row r="181" spans="1:10" s="25" customFormat="1">
      <c r="A181" s="50"/>
      <c r="E181" s="2"/>
      <c r="F181" s="2"/>
      <c r="G181" s="2"/>
      <c r="H181" s="2"/>
      <c r="I181" s="2"/>
      <c r="J181" s="2"/>
    </row>
    <row r="182" spans="1:10" s="25" customFormat="1">
      <c r="A182" s="50"/>
      <c r="E182" s="2"/>
      <c r="F182" s="2"/>
      <c r="G182" s="2"/>
      <c r="H182" s="2"/>
      <c r="I182" s="2"/>
      <c r="J182" s="2"/>
    </row>
    <row r="183" spans="1:10" s="25" customFormat="1">
      <c r="A183" s="50"/>
      <c r="E183" s="2"/>
      <c r="F183" s="2"/>
      <c r="G183" s="2"/>
      <c r="H183" s="2"/>
      <c r="I183" s="2"/>
      <c r="J183" s="2"/>
    </row>
    <row r="184" spans="1:10" s="25" customFormat="1">
      <c r="A184" s="50"/>
      <c r="E184" s="2"/>
      <c r="F184" s="2"/>
      <c r="G184" s="2"/>
      <c r="H184" s="2"/>
      <c r="I184" s="2"/>
      <c r="J184" s="2"/>
    </row>
    <row r="185" spans="1:10" s="25" customFormat="1">
      <c r="A185" s="50"/>
      <c r="E185" s="2"/>
      <c r="F185" s="2"/>
      <c r="G185" s="2"/>
      <c r="H185" s="2"/>
      <c r="I185" s="2"/>
      <c r="J185" s="2"/>
    </row>
    <row r="186" spans="1:10" s="25" customFormat="1">
      <c r="A186" s="50"/>
      <c r="E186" s="2"/>
      <c r="F186" s="2"/>
      <c r="G186" s="2"/>
      <c r="H186" s="2"/>
      <c r="I186" s="2"/>
      <c r="J186" s="2"/>
    </row>
    <row r="187" spans="1:10" s="25" customFormat="1">
      <c r="A187" s="50"/>
      <c r="E187" s="2"/>
      <c r="F187" s="2"/>
      <c r="G187" s="2"/>
      <c r="H187" s="2"/>
      <c r="I187" s="2"/>
      <c r="J187" s="2"/>
    </row>
    <row r="188" spans="1:10" s="25" customFormat="1">
      <c r="A188" s="50"/>
      <c r="E188" s="2"/>
      <c r="F188" s="2"/>
      <c r="G188" s="2"/>
      <c r="H188" s="2"/>
      <c r="I188" s="2"/>
      <c r="J188" s="2"/>
    </row>
    <row r="189" spans="1:10" s="25" customFormat="1">
      <c r="A189" s="50"/>
      <c r="E189" s="2"/>
      <c r="F189" s="2"/>
      <c r="G189" s="2"/>
      <c r="H189" s="2"/>
      <c r="I189" s="2"/>
      <c r="J189" s="2"/>
    </row>
    <row r="190" spans="1:10" s="25" customFormat="1">
      <c r="A190" s="50"/>
      <c r="E190" s="2"/>
      <c r="F190" s="2"/>
      <c r="G190" s="2"/>
      <c r="H190" s="2"/>
      <c r="I190" s="2"/>
      <c r="J190" s="2"/>
    </row>
    <row r="191" spans="1:10" s="25" customFormat="1">
      <c r="A191" s="50"/>
      <c r="E191" s="2"/>
      <c r="F191" s="2"/>
      <c r="G191" s="2"/>
      <c r="H191" s="2"/>
      <c r="I191" s="2"/>
      <c r="J191" s="2"/>
    </row>
    <row r="192" spans="1:10" s="25" customFormat="1">
      <c r="A192" s="50"/>
      <c r="E192" s="2"/>
      <c r="F192" s="2"/>
      <c r="G192" s="2"/>
      <c r="H192" s="2"/>
      <c r="I192" s="2"/>
      <c r="J192" s="2"/>
    </row>
    <row r="193" spans="1:10" s="25" customFormat="1">
      <c r="A193" s="50"/>
      <c r="E193" s="2"/>
      <c r="F193" s="2"/>
      <c r="G193" s="2"/>
      <c r="H193" s="2"/>
      <c r="I193" s="2"/>
      <c r="J193" s="2"/>
    </row>
    <row r="194" spans="1:10" s="25" customFormat="1">
      <c r="A194" s="50"/>
      <c r="E194" s="2"/>
      <c r="F194" s="2"/>
      <c r="G194" s="2"/>
      <c r="H194" s="2"/>
      <c r="I194" s="2"/>
      <c r="J194" s="2"/>
    </row>
    <row r="195" spans="1:10" s="25" customFormat="1">
      <c r="A195" s="50"/>
      <c r="E195" s="2"/>
      <c r="F195" s="2"/>
      <c r="G195" s="2"/>
      <c r="H195" s="2"/>
      <c r="I195" s="2"/>
      <c r="J195" s="2"/>
    </row>
    <row r="196" spans="1:10" s="25" customFormat="1">
      <c r="A196" s="50"/>
      <c r="E196" s="2"/>
      <c r="F196" s="2"/>
      <c r="G196" s="2"/>
      <c r="H196" s="2"/>
      <c r="I196" s="2"/>
      <c r="J196" s="2"/>
    </row>
    <row r="197" spans="1:10" s="25" customFormat="1">
      <c r="A197" s="50"/>
      <c r="E197" s="2"/>
      <c r="F197" s="2"/>
      <c r="G197" s="2"/>
      <c r="H197" s="2"/>
      <c r="I197" s="2"/>
      <c r="J197" s="2"/>
    </row>
    <row r="198" spans="1:10" s="25" customFormat="1">
      <c r="A198" s="50"/>
      <c r="E198" s="2"/>
      <c r="F198" s="2"/>
      <c r="G198" s="2"/>
      <c r="H198" s="2"/>
      <c r="I198" s="2"/>
      <c r="J198" s="2"/>
    </row>
    <row r="199" spans="1:10" s="25" customFormat="1">
      <c r="A199" s="50"/>
      <c r="E199" s="2"/>
      <c r="F199" s="2"/>
      <c r="G199" s="2"/>
      <c r="H199" s="2"/>
      <c r="I199" s="2"/>
      <c r="J199" s="2"/>
    </row>
    <row r="200" spans="1:10" s="25" customFormat="1">
      <c r="A200" s="50"/>
      <c r="E200" s="2"/>
      <c r="F200" s="2"/>
      <c r="G200" s="2"/>
      <c r="H200" s="2"/>
      <c r="I200" s="2"/>
      <c r="J200" s="2"/>
    </row>
    <row r="201" spans="1:10" s="25" customFormat="1">
      <c r="A201" s="50"/>
      <c r="E201" s="2"/>
      <c r="F201" s="2"/>
      <c r="G201" s="2"/>
      <c r="H201" s="2"/>
      <c r="I201" s="2"/>
      <c r="J201" s="2"/>
    </row>
    <row r="202" spans="1:10" s="25" customFormat="1">
      <c r="A202" s="50"/>
      <c r="E202" s="2"/>
      <c r="F202" s="2"/>
      <c r="G202" s="2"/>
      <c r="H202" s="2"/>
      <c r="I202" s="2"/>
      <c r="J202" s="2"/>
    </row>
    <row r="203" spans="1:10" s="25" customFormat="1">
      <c r="A203" s="50"/>
      <c r="E203" s="2"/>
      <c r="F203" s="2"/>
      <c r="G203" s="2"/>
      <c r="H203" s="2"/>
      <c r="I203" s="2"/>
      <c r="J203" s="2"/>
    </row>
    <row r="204" spans="1:10" s="25" customFormat="1">
      <c r="A204" s="50"/>
      <c r="E204" s="2"/>
      <c r="F204" s="2"/>
      <c r="G204" s="2"/>
      <c r="H204" s="2"/>
      <c r="I204" s="2"/>
      <c r="J204" s="2"/>
    </row>
    <row r="205" spans="1:10" s="25" customFormat="1">
      <c r="A205" s="50"/>
      <c r="E205" s="2"/>
      <c r="F205" s="2"/>
      <c r="G205" s="2"/>
      <c r="H205" s="2"/>
      <c r="I205" s="2"/>
      <c r="J205" s="2"/>
    </row>
    <row r="206" spans="1:10" s="25" customFormat="1">
      <c r="A206" s="50"/>
      <c r="E206" s="2"/>
      <c r="F206" s="2"/>
      <c r="G206" s="2"/>
      <c r="H206" s="2"/>
      <c r="I206" s="2"/>
      <c r="J206" s="2"/>
    </row>
    <row r="207" spans="1:10" s="25" customFormat="1">
      <c r="A207" s="50"/>
      <c r="E207" s="2"/>
      <c r="F207" s="2"/>
      <c r="G207" s="2"/>
      <c r="H207" s="2"/>
      <c r="I207" s="2"/>
      <c r="J207" s="2"/>
    </row>
    <row r="208" spans="1:10" s="25" customFormat="1">
      <c r="A208" s="50"/>
      <c r="E208" s="2"/>
      <c r="F208" s="2"/>
      <c r="G208" s="2"/>
      <c r="H208" s="2"/>
      <c r="I208" s="2"/>
      <c r="J208" s="2"/>
    </row>
    <row r="209" spans="1:10" s="25" customFormat="1">
      <c r="A209" s="50"/>
      <c r="E209" s="2"/>
      <c r="F209" s="2"/>
      <c r="G209" s="2"/>
      <c r="H209" s="2"/>
      <c r="I209" s="2"/>
      <c r="J209" s="2"/>
    </row>
    <row r="210" spans="1:10" s="25" customFormat="1">
      <c r="A210" s="50"/>
      <c r="E210" s="2"/>
      <c r="F210" s="2"/>
      <c r="G210" s="2"/>
      <c r="H210" s="2"/>
      <c r="I210" s="2"/>
      <c r="J210" s="2"/>
    </row>
    <row r="211" spans="1:10" s="25" customFormat="1">
      <c r="A211" s="50"/>
      <c r="E211" s="2"/>
      <c r="F211" s="2"/>
      <c r="G211" s="2"/>
      <c r="H211" s="2"/>
      <c r="I211" s="2"/>
      <c r="J211" s="2"/>
    </row>
    <row r="212" spans="1:10" s="25" customFormat="1">
      <c r="A212" s="50"/>
      <c r="E212" s="2"/>
      <c r="F212" s="2"/>
      <c r="G212" s="2"/>
      <c r="H212" s="2"/>
      <c r="I212" s="2"/>
      <c r="J212" s="2"/>
    </row>
    <row r="213" spans="1:10" s="25" customFormat="1">
      <c r="A213" s="50"/>
      <c r="E213" s="2"/>
      <c r="F213" s="2"/>
      <c r="G213" s="2"/>
      <c r="H213" s="2"/>
      <c r="I213" s="2"/>
      <c r="J213" s="2"/>
    </row>
    <row r="214" spans="1:10" s="25" customFormat="1">
      <c r="A214" s="50"/>
      <c r="E214" s="2"/>
      <c r="F214" s="2"/>
      <c r="G214" s="2"/>
      <c r="H214" s="2"/>
      <c r="I214" s="2"/>
      <c r="J214" s="2"/>
    </row>
    <row r="215" spans="1:10" s="25" customFormat="1">
      <c r="A215" s="50"/>
      <c r="E215" s="2"/>
      <c r="F215" s="2"/>
      <c r="G215" s="2"/>
      <c r="H215" s="2"/>
      <c r="I215" s="2"/>
      <c r="J215" s="2"/>
    </row>
    <row r="216" spans="1:10" s="25" customFormat="1">
      <c r="A216" s="50"/>
      <c r="E216" s="2"/>
      <c r="F216" s="2"/>
      <c r="G216" s="2"/>
      <c r="H216" s="2"/>
      <c r="I216" s="2"/>
      <c r="J216" s="2"/>
    </row>
    <row r="217" spans="1:10" s="25" customFormat="1">
      <c r="A217" s="50"/>
      <c r="E217" s="2"/>
      <c r="F217" s="2"/>
      <c r="G217" s="2"/>
      <c r="H217" s="2"/>
      <c r="I217" s="2"/>
      <c r="J217" s="2"/>
    </row>
    <row r="218" spans="1:10" s="25" customFormat="1">
      <c r="A218" s="50"/>
      <c r="E218" s="2"/>
      <c r="F218" s="2"/>
      <c r="G218" s="2"/>
      <c r="H218" s="2"/>
      <c r="I218" s="2"/>
      <c r="J218" s="2"/>
    </row>
    <row r="219" spans="1:10" s="25" customFormat="1">
      <c r="A219" s="50"/>
      <c r="E219" s="2"/>
      <c r="F219" s="2"/>
      <c r="G219" s="2"/>
      <c r="H219" s="2"/>
      <c r="I219" s="2"/>
      <c r="J219" s="2"/>
    </row>
    <row r="220" spans="1:10" s="25" customFormat="1">
      <c r="A220" s="50"/>
      <c r="E220" s="2"/>
      <c r="F220" s="2"/>
      <c r="G220" s="2"/>
      <c r="H220" s="2"/>
      <c r="I220" s="2"/>
      <c r="J220" s="2"/>
    </row>
    <row r="221" spans="1:10" s="25" customFormat="1">
      <c r="A221" s="50"/>
      <c r="E221" s="2"/>
      <c r="F221" s="2"/>
      <c r="G221" s="2"/>
      <c r="H221" s="2"/>
      <c r="I221" s="2"/>
      <c r="J221" s="2"/>
    </row>
    <row r="222" spans="1:10" s="25" customFormat="1">
      <c r="A222" s="50"/>
      <c r="E222" s="2"/>
      <c r="F222" s="2"/>
      <c r="G222" s="2"/>
      <c r="H222" s="2"/>
      <c r="I222" s="2"/>
      <c r="J222" s="2"/>
    </row>
    <row r="223" spans="1:10" s="25" customFormat="1">
      <c r="A223" s="50"/>
      <c r="E223" s="2"/>
      <c r="F223" s="2"/>
      <c r="G223" s="2"/>
      <c r="H223" s="2"/>
      <c r="I223" s="2"/>
      <c r="J223" s="2"/>
    </row>
    <row r="224" spans="1:10" s="25" customFormat="1">
      <c r="A224" s="50"/>
      <c r="E224" s="2"/>
      <c r="F224" s="2"/>
      <c r="G224" s="2"/>
      <c r="H224" s="2"/>
      <c r="I224" s="2"/>
      <c r="J224" s="2"/>
    </row>
    <row r="225" spans="1:10" s="25" customFormat="1">
      <c r="A225" s="50"/>
      <c r="E225" s="2"/>
      <c r="F225" s="2"/>
      <c r="G225" s="2"/>
      <c r="H225" s="2"/>
      <c r="I225" s="2"/>
      <c r="J225" s="2"/>
    </row>
    <row r="226" spans="1:10" s="25" customFormat="1">
      <c r="A226" s="50"/>
      <c r="E226" s="2"/>
      <c r="F226" s="2"/>
      <c r="G226" s="2"/>
      <c r="H226" s="2"/>
      <c r="I226" s="2"/>
      <c r="J226" s="2"/>
    </row>
    <row r="227" spans="1:10" s="25" customFormat="1">
      <c r="A227" s="50"/>
      <c r="E227" s="2"/>
      <c r="F227" s="2"/>
      <c r="G227" s="2"/>
      <c r="H227" s="2"/>
      <c r="I227" s="2"/>
      <c r="J227" s="2"/>
    </row>
    <row r="228" spans="1:10" s="25" customFormat="1">
      <c r="A228" s="50"/>
      <c r="E228" s="2"/>
      <c r="F228" s="2"/>
      <c r="G228" s="2"/>
      <c r="H228" s="2"/>
      <c r="I228" s="2"/>
      <c r="J228" s="2"/>
    </row>
    <row r="229" spans="1:10" s="25" customFormat="1">
      <c r="A229" s="50"/>
      <c r="E229" s="2"/>
      <c r="F229" s="2"/>
      <c r="G229" s="2"/>
      <c r="H229" s="2"/>
      <c r="I229" s="2"/>
      <c r="J229" s="2"/>
    </row>
    <row r="230" spans="1:10" s="25" customFormat="1">
      <c r="A230" s="50"/>
      <c r="E230" s="2"/>
      <c r="F230" s="2"/>
      <c r="G230" s="2"/>
      <c r="H230" s="2"/>
      <c r="I230" s="2"/>
      <c r="J230" s="2"/>
    </row>
    <row r="231" spans="1:10" s="25" customFormat="1">
      <c r="A231" s="50"/>
      <c r="E231" s="2"/>
      <c r="F231" s="2"/>
      <c r="G231" s="2"/>
      <c r="H231" s="2"/>
      <c r="I231" s="2"/>
      <c r="J231" s="2"/>
    </row>
    <row r="232" spans="1:10" s="25" customFormat="1">
      <c r="A232" s="50"/>
      <c r="E232" s="2"/>
      <c r="F232" s="2"/>
      <c r="G232" s="2"/>
      <c r="H232" s="2"/>
      <c r="I232" s="2"/>
      <c r="J232" s="2"/>
    </row>
    <row r="233" spans="1:10" s="25" customFormat="1">
      <c r="A233" s="50"/>
      <c r="E233" s="2"/>
      <c r="F233" s="2"/>
      <c r="G233" s="2"/>
      <c r="H233" s="2"/>
      <c r="I233" s="2"/>
      <c r="J233" s="2"/>
    </row>
    <row r="234" spans="1:10" s="25" customFormat="1">
      <c r="A234" s="50"/>
      <c r="E234" s="2"/>
      <c r="F234" s="2"/>
      <c r="G234" s="2"/>
      <c r="H234" s="2"/>
      <c r="I234" s="2"/>
      <c r="J234" s="2"/>
    </row>
    <row r="235" spans="1:10" s="25" customFormat="1">
      <c r="A235" s="50"/>
      <c r="E235" s="2"/>
      <c r="F235" s="2"/>
      <c r="G235" s="2"/>
      <c r="H235" s="2"/>
      <c r="I235" s="2"/>
      <c r="J235" s="2"/>
    </row>
    <row r="236" spans="1:10" s="25" customFormat="1">
      <c r="A236" s="50"/>
      <c r="E236" s="2"/>
      <c r="F236" s="2"/>
      <c r="G236" s="2"/>
      <c r="H236" s="2"/>
      <c r="I236" s="2"/>
      <c r="J236" s="2"/>
    </row>
    <row r="237" spans="1:10" s="25" customFormat="1">
      <c r="A237" s="50"/>
      <c r="E237" s="2"/>
      <c r="F237" s="2"/>
      <c r="G237" s="2"/>
      <c r="H237" s="2"/>
      <c r="I237" s="2"/>
      <c r="J237" s="2"/>
    </row>
    <row r="238" spans="1:10" s="25" customFormat="1">
      <c r="A238" s="50"/>
      <c r="E238" s="2"/>
      <c r="F238" s="2"/>
      <c r="G238" s="2"/>
      <c r="H238" s="2"/>
      <c r="I238" s="2"/>
      <c r="J238" s="2"/>
    </row>
    <row r="239" spans="1:10" s="25" customFormat="1">
      <c r="A239" s="50"/>
      <c r="E239" s="2"/>
      <c r="F239" s="2"/>
      <c r="G239" s="2"/>
      <c r="H239" s="2"/>
      <c r="I239" s="2"/>
      <c r="J239" s="2"/>
    </row>
    <row r="240" spans="1:10" s="25" customFormat="1">
      <c r="A240" s="50"/>
      <c r="E240" s="2"/>
      <c r="F240" s="2"/>
      <c r="G240" s="2"/>
      <c r="H240" s="2"/>
      <c r="I240" s="2"/>
      <c r="J240" s="2"/>
    </row>
    <row r="241" spans="1:10" s="25" customFormat="1">
      <c r="A241" s="50"/>
      <c r="E241" s="2"/>
      <c r="F241" s="2"/>
      <c r="G241" s="2"/>
      <c r="H241" s="2"/>
      <c r="I241" s="2"/>
      <c r="J241" s="2"/>
    </row>
    <row r="242" spans="1:10" s="25" customFormat="1">
      <c r="A242" s="50"/>
      <c r="E242" s="2"/>
      <c r="F242" s="2"/>
      <c r="G242" s="2"/>
      <c r="H242" s="2"/>
      <c r="I242" s="2"/>
      <c r="J242" s="2"/>
    </row>
    <row r="243" spans="1:10" s="25" customFormat="1">
      <c r="A243" s="50"/>
      <c r="E243" s="2"/>
      <c r="F243" s="2"/>
      <c r="G243" s="2"/>
      <c r="H243" s="2"/>
      <c r="I243" s="2"/>
      <c r="J243" s="2"/>
    </row>
    <row r="244" spans="1:10" s="25" customFormat="1">
      <c r="A244" s="50"/>
      <c r="E244" s="2"/>
      <c r="F244" s="2"/>
      <c r="G244" s="2"/>
      <c r="H244" s="2"/>
      <c r="I244" s="2"/>
      <c r="J244" s="2"/>
    </row>
    <row r="245" spans="1:10" s="25" customFormat="1">
      <c r="A245" s="50"/>
      <c r="E245" s="2"/>
      <c r="F245" s="2"/>
      <c r="G245" s="2"/>
      <c r="H245" s="2"/>
      <c r="I245" s="2"/>
      <c r="J245" s="2"/>
    </row>
    <row r="246" spans="1:10" s="25" customFormat="1">
      <c r="A246" s="50"/>
      <c r="E246" s="2"/>
      <c r="F246" s="2"/>
      <c r="G246" s="2"/>
      <c r="H246" s="2"/>
      <c r="I246" s="2"/>
      <c r="J246" s="2"/>
    </row>
    <row r="247" spans="1:10" s="25" customFormat="1">
      <c r="A247" s="50"/>
      <c r="E247" s="2"/>
      <c r="F247" s="2"/>
      <c r="G247" s="2"/>
      <c r="H247" s="2"/>
      <c r="I247" s="2"/>
      <c r="J247" s="2"/>
    </row>
    <row r="248" spans="1:10" s="25" customFormat="1">
      <c r="A248" s="50"/>
      <c r="E248" s="2"/>
      <c r="F248" s="2"/>
      <c r="G248" s="2"/>
      <c r="H248" s="2"/>
      <c r="I248" s="2"/>
      <c r="J248" s="2"/>
    </row>
    <row r="249" spans="1:10" s="25" customFormat="1">
      <c r="A249" s="50"/>
      <c r="E249" s="2"/>
      <c r="F249" s="2"/>
      <c r="G249" s="2"/>
      <c r="H249" s="2"/>
      <c r="I249" s="2"/>
      <c r="J249" s="2"/>
    </row>
    <row r="250" spans="1:10" s="25" customFormat="1">
      <c r="A250" s="50"/>
      <c r="E250" s="2"/>
      <c r="F250" s="2"/>
      <c r="G250" s="2"/>
      <c r="H250" s="2"/>
      <c r="I250" s="2"/>
      <c r="J250" s="2"/>
    </row>
    <row r="251" spans="1:10" s="25" customFormat="1">
      <c r="A251" s="50"/>
      <c r="E251" s="2"/>
      <c r="F251" s="2"/>
      <c r="G251" s="2"/>
      <c r="H251" s="2"/>
      <c r="I251" s="2"/>
      <c r="J251" s="2"/>
    </row>
    <row r="252" spans="1:10" s="25" customFormat="1">
      <c r="A252" s="50"/>
      <c r="E252" s="2"/>
      <c r="F252" s="2"/>
      <c r="G252" s="2"/>
      <c r="H252" s="2"/>
      <c r="I252" s="2"/>
      <c r="J252" s="2"/>
    </row>
    <row r="253" spans="1:10" s="25" customFormat="1">
      <c r="A253" s="50"/>
      <c r="E253" s="2"/>
      <c r="F253" s="2"/>
      <c r="G253" s="2"/>
      <c r="H253" s="2"/>
      <c r="I253" s="2"/>
      <c r="J253" s="2"/>
    </row>
    <row r="254" spans="1:10" s="25" customFormat="1">
      <c r="A254" s="50"/>
      <c r="E254" s="2"/>
      <c r="F254" s="2"/>
      <c r="G254" s="2"/>
      <c r="H254" s="2"/>
      <c r="I254" s="2"/>
      <c r="J254" s="2"/>
    </row>
    <row r="255" spans="1:10" s="25" customFormat="1">
      <c r="A255" s="50"/>
      <c r="E255" s="2"/>
      <c r="F255" s="2"/>
      <c r="G255" s="2"/>
      <c r="H255" s="2"/>
      <c r="I255" s="2"/>
      <c r="J255" s="2"/>
    </row>
  </sheetData>
  <sheetProtection formatCells="0" formatColumns="0" formatRows="0" insertColumns="0" insertRows="0" insertHyperlinks="0" deleteColumns="0" deleteRows="0" sort="0" autoFilter="0" pivotTables="0"/>
  <customSheetViews>
    <customSheetView guid="{F65ACDE9-A565-4614-893F-AFCB94FA629C}" scale="75" showPageBreaks="1" printArea="1" view="pageBreakPreview" topLeftCell="A11">
      <selection activeCell="A23" sqref="A23:D23"/>
      <pageMargins left="0.78740157480314965" right="0.39370078740157483" top="0.59055118110236227" bottom="0.59055118110236227" header="0.39370078740157483" footer="0.19685039370078741"/>
      <pageSetup paperSize="9" scale="50" orientation="portrait" r:id="rId1"/>
      <headerFooter alignWithMargins="0"/>
    </customSheetView>
    <customSheetView guid="{43DCEB14-ADF8-4168-9283-6542A71D3CF7}" scale="90" showPageBreaks="1" printArea="1" view="pageBreakPreview" topLeftCell="A82">
      <selection activeCell="G13" sqref="G13"/>
      <pageMargins left="0.78740157480314965" right="0.39370078740157483" top="0.59055118110236227" bottom="0.59055118110236227" header="0.39370078740157483" footer="0.19685039370078741"/>
      <pageSetup paperSize="9" scale="50" orientation="portrait" r:id="rId2"/>
      <headerFooter alignWithMargins="0"/>
    </customSheetView>
    <customSheetView guid="{4BF2F851-A775-4F33-8DA4-C59D9D94DA9D}" scale="80" showPageBreaks="1" printArea="1" view="pageBreakPreview" topLeftCell="A70">
      <selection activeCell="E76" sqref="E76"/>
      <pageMargins left="0.78740157480314965" right="0.39370078740157483" top="0.59055118110236227" bottom="0.59055118110236227" header="0.39370078740157483" footer="0.19685039370078741"/>
      <pageSetup paperSize="9" scale="50" orientation="portrait" r:id="rId3"/>
      <headerFooter alignWithMargins="0"/>
    </customSheetView>
    <customSheetView guid="{1E3D5FB9-014E-4051-8AD5-DB0A17D05797}" scale="75" showPageBreaks="1" printArea="1" view="pageBreakPreview" topLeftCell="A13">
      <selection activeCell="E82" sqref="E79:E82"/>
      <pageMargins left="0.78740157480314965" right="0.39370078740157483" top="0.59055118110236227" bottom="0.59055118110236227" header="0.39370078740157483" footer="0.19685039370078741"/>
      <pageSetup paperSize="9" scale="50" orientation="portrait" r:id="rId4"/>
      <headerFooter alignWithMargins="0"/>
    </customSheetView>
    <customSheetView guid="{6E930A10-FB87-4441-8A38-C35193B7FA1B}" scale="75" showPageBreaks="1" printArea="1" view="pageBreakPreview" topLeftCell="A28">
      <selection activeCell="H44" sqref="H44"/>
      <pageMargins left="0.78740157480314965" right="0.39370078740157483" top="0.59055118110236227" bottom="0.59055118110236227" header="0.39370078740157483" footer="0.19685039370078741"/>
      <pageSetup paperSize="9" scale="50" orientation="portrait" r:id="rId5"/>
      <headerFooter alignWithMargins="0"/>
    </customSheetView>
  </customSheetViews>
  <mergeCells count="44">
    <mergeCell ref="C86:D86"/>
    <mergeCell ref="G86:I86"/>
    <mergeCell ref="B22:D22"/>
    <mergeCell ref="G22:I22"/>
    <mergeCell ref="E8:J8"/>
    <mergeCell ref="E10:J10"/>
    <mergeCell ref="B14:D14"/>
    <mergeCell ref="B15:D15"/>
    <mergeCell ref="B16:D16"/>
    <mergeCell ref="B17:D17"/>
    <mergeCell ref="B19:D19"/>
    <mergeCell ref="A72:J72"/>
    <mergeCell ref="A52:J52"/>
    <mergeCell ref="A23:D23"/>
    <mergeCell ref="B25:D25"/>
    <mergeCell ref="F33:F34"/>
    <mergeCell ref="A2:B2"/>
    <mergeCell ref="A3:B3"/>
    <mergeCell ref="E2:J4"/>
    <mergeCell ref="A4:B4"/>
    <mergeCell ref="C33:C34"/>
    <mergeCell ref="B18:H18"/>
    <mergeCell ref="B20:D20"/>
    <mergeCell ref="A21:D21"/>
    <mergeCell ref="G21:I21"/>
    <mergeCell ref="A31:J31"/>
    <mergeCell ref="A29:J29"/>
    <mergeCell ref="B26:D26"/>
    <mergeCell ref="A5:B6"/>
    <mergeCell ref="E5:J5"/>
    <mergeCell ref="E6:J6"/>
    <mergeCell ref="E7:J7"/>
    <mergeCell ref="B24:E24"/>
    <mergeCell ref="C85:D85"/>
    <mergeCell ref="G85:I85"/>
    <mergeCell ref="A33:A34"/>
    <mergeCell ref="B33:B34"/>
    <mergeCell ref="E33:E34"/>
    <mergeCell ref="G33:J33"/>
    <mergeCell ref="A36:J36"/>
    <mergeCell ref="A68:J68"/>
    <mergeCell ref="A59:J59"/>
    <mergeCell ref="D33:D34"/>
    <mergeCell ref="A66:J66"/>
  </mergeCells>
  <phoneticPr fontId="3" type="noConversion"/>
  <pageMargins left="0.78740157480314965" right="0.39370078740157483" top="0.59055118110236227" bottom="0.59055118110236227" header="0.39370078740157483" footer="0.19685039370078741"/>
  <pageSetup paperSize="9" scale="50" orientation="portrait" r:id="rId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N332"/>
  <sheetViews>
    <sheetView view="pageBreakPreview" topLeftCell="A88" zoomScale="65" zoomScaleNormal="65" zoomScaleSheetLayoutView="65" workbookViewId="0">
      <selection activeCell="J79" sqref="J79"/>
    </sheetView>
  </sheetViews>
  <sheetFormatPr defaultColWidth="9.140625" defaultRowHeight="18.75"/>
  <cols>
    <col min="1" max="1" width="48.42578125" style="2" customWidth="1"/>
    <col min="2" max="2" width="14.85546875" style="25" customWidth="1"/>
    <col min="3" max="3" width="13.42578125" style="25" customWidth="1"/>
    <col min="4" max="4" width="13.7109375" style="25" customWidth="1"/>
    <col min="5" max="5" width="15.5703125" style="239" customWidth="1"/>
    <col min="6" max="6" width="13" style="2" customWidth="1"/>
    <col min="7" max="7" width="13.85546875" style="2" customWidth="1"/>
    <col min="8" max="9" width="13.140625" style="2" customWidth="1"/>
    <col min="10" max="10" width="21" style="2" customWidth="1"/>
    <col min="11" max="12" width="11.5703125" style="2" customWidth="1"/>
    <col min="13" max="13" width="12.7109375" style="2" customWidth="1"/>
    <col min="14" max="14" width="12" style="2" customWidth="1"/>
    <col min="15" max="16384" width="9.140625" style="2"/>
  </cols>
  <sheetData>
    <row r="1" spans="1:14">
      <c r="A1" s="395" t="s">
        <v>367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14">
      <c r="A2" s="42"/>
      <c r="B2" s="53"/>
      <c r="C2" s="42"/>
      <c r="D2" s="42"/>
      <c r="E2" s="231"/>
      <c r="F2" s="42"/>
      <c r="G2" s="42"/>
      <c r="H2" s="42"/>
      <c r="I2" s="42"/>
    </row>
    <row r="3" spans="1:14" ht="36" customHeight="1">
      <c r="A3" s="402" t="s">
        <v>270</v>
      </c>
      <c r="B3" s="398" t="s">
        <v>18</v>
      </c>
      <c r="C3" s="403" t="s">
        <v>31</v>
      </c>
      <c r="D3" s="408" t="s">
        <v>39</v>
      </c>
      <c r="E3" s="407" t="s">
        <v>180</v>
      </c>
      <c r="F3" s="398" t="s">
        <v>362</v>
      </c>
      <c r="G3" s="398"/>
      <c r="H3" s="398"/>
      <c r="I3" s="398"/>
      <c r="J3" s="398" t="s">
        <v>248</v>
      </c>
    </row>
    <row r="4" spans="1:14" ht="57.75" customHeight="1">
      <c r="A4" s="402"/>
      <c r="B4" s="398"/>
      <c r="C4" s="403"/>
      <c r="D4" s="408"/>
      <c r="E4" s="407"/>
      <c r="F4" s="13" t="s">
        <v>363</v>
      </c>
      <c r="G4" s="13" t="s">
        <v>364</v>
      </c>
      <c r="H4" s="13" t="s">
        <v>365</v>
      </c>
      <c r="I4" s="13" t="s">
        <v>86</v>
      </c>
      <c r="J4" s="398"/>
    </row>
    <row r="5" spans="1:14" ht="23.25" customHeight="1">
      <c r="A5" s="6">
        <v>1</v>
      </c>
      <c r="B5" s="7">
        <v>2</v>
      </c>
      <c r="C5" s="7">
        <v>3</v>
      </c>
      <c r="D5" s="7">
        <v>4</v>
      </c>
      <c r="E5" s="232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</row>
    <row r="6" spans="1:14" s="5" customFormat="1" ht="20.100000000000001" customHeight="1">
      <c r="A6" s="399" t="s">
        <v>277</v>
      </c>
      <c r="B6" s="400"/>
      <c r="C6" s="400"/>
      <c r="D6" s="400"/>
      <c r="E6" s="400"/>
      <c r="F6" s="400"/>
      <c r="G6" s="400"/>
      <c r="H6" s="400"/>
      <c r="I6" s="400"/>
      <c r="J6" s="401"/>
    </row>
    <row r="7" spans="1:14" s="5" customFormat="1" ht="42" customHeight="1">
      <c r="A7" s="72" t="s">
        <v>121</v>
      </c>
      <c r="B7" s="9">
        <v>1000</v>
      </c>
      <c r="C7" s="219">
        <f>C8</f>
        <v>2111</v>
      </c>
      <c r="D7" s="219">
        <f t="shared" ref="D7:I7" si="0">D8</f>
        <v>2050</v>
      </c>
      <c r="E7" s="219">
        <f t="shared" si="0"/>
        <v>4151</v>
      </c>
      <c r="F7" s="219">
        <f t="shared" si="0"/>
        <v>219</v>
      </c>
      <c r="G7" s="219">
        <f t="shared" si="0"/>
        <v>419</v>
      </c>
      <c r="H7" s="219">
        <f t="shared" si="0"/>
        <v>610</v>
      </c>
      <c r="I7" s="219">
        <f t="shared" si="0"/>
        <v>621</v>
      </c>
      <c r="J7" s="135"/>
    </row>
    <row r="8" spans="1:14" s="5" customFormat="1" ht="24.75" customHeight="1">
      <c r="A8" s="72" t="s">
        <v>403</v>
      </c>
      <c r="B8" s="6" t="s">
        <v>380</v>
      </c>
      <c r="C8" s="162">
        <v>2111</v>
      </c>
      <c r="D8" s="162">
        <v>2050</v>
      </c>
      <c r="E8" s="217">
        <v>4151</v>
      </c>
      <c r="F8" s="162">
        <v>219</v>
      </c>
      <c r="G8" s="162">
        <v>419</v>
      </c>
      <c r="H8" s="162">
        <v>610</v>
      </c>
      <c r="I8" s="162">
        <v>621</v>
      </c>
      <c r="J8" s="135"/>
    </row>
    <row r="9" spans="1:14" ht="40.5" customHeight="1">
      <c r="A9" s="72" t="s">
        <v>139</v>
      </c>
      <c r="B9" s="9">
        <v>1010</v>
      </c>
      <c r="C9" s="163">
        <f t="shared" ref="C9:I9" si="1">SUM(C10:C17)</f>
        <v>5825</v>
      </c>
      <c r="D9" s="163">
        <f t="shared" si="1"/>
        <v>5792</v>
      </c>
      <c r="E9" s="241">
        <f t="shared" si="1"/>
        <v>6724</v>
      </c>
      <c r="F9" s="163">
        <f t="shared" si="1"/>
        <v>2372</v>
      </c>
      <c r="G9" s="163">
        <f>SUM(G10:G17)</f>
        <v>4706</v>
      </c>
      <c r="H9" s="163">
        <f t="shared" si="1"/>
        <v>6846</v>
      </c>
      <c r="I9" s="163">
        <f t="shared" si="1"/>
        <v>10548</v>
      </c>
      <c r="J9" s="134"/>
    </row>
    <row r="10" spans="1:14" s="1" customFormat="1" ht="20.100000000000001" customHeight="1">
      <c r="A10" s="72" t="s">
        <v>303</v>
      </c>
      <c r="B10" s="7">
        <v>1011</v>
      </c>
      <c r="C10" s="162"/>
      <c r="D10" s="162"/>
      <c r="E10" s="217"/>
      <c r="F10" s="165"/>
      <c r="G10" s="165"/>
      <c r="H10" s="165"/>
      <c r="I10" s="165"/>
      <c r="J10" s="134"/>
    </row>
    <row r="11" spans="1:14" s="1" customFormat="1" ht="20.100000000000001" customHeight="1">
      <c r="A11" s="72" t="s">
        <v>68</v>
      </c>
      <c r="B11" s="7">
        <v>1012</v>
      </c>
      <c r="C11" s="217">
        <v>219</v>
      </c>
      <c r="D11" s="217">
        <v>219</v>
      </c>
      <c r="E11" s="217">
        <v>219</v>
      </c>
      <c r="F11" s="217">
        <v>67</v>
      </c>
      <c r="G11" s="217">
        <v>134</v>
      </c>
      <c r="H11" s="217">
        <v>202</v>
      </c>
      <c r="I11" s="217">
        <v>269</v>
      </c>
      <c r="J11" s="134"/>
    </row>
    <row r="12" spans="1:14" s="1" customFormat="1" ht="20.100000000000001" customHeight="1">
      <c r="A12" s="72" t="s">
        <v>67</v>
      </c>
      <c r="B12" s="7">
        <v>1013</v>
      </c>
      <c r="C12" s="162">
        <v>638</v>
      </c>
      <c r="D12" s="162">
        <v>1156</v>
      </c>
      <c r="E12" s="217">
        <v>1156</v>
      </c>
      <c r="F12" s="217">
        <v>541</v>
      </c>
      <c r="G12" s="217">
        <v>1083</v>
      </c>
      <c r="H12" s="217">
        <v>1624</v>
      </c>
      <c r="I12" s="217">
        <v>2166</v>
      </c>
      <c r="J12" s="134"/>
    </row>
    <row r="13" spans="1:14" s="1" customFormat="1" ht="20.100000000000001" customHeight="1">
      <c r="A13" s="72" t="s">
        <v>42</v>
      </c>
      <c r="B13" s="7">
        <v>1014</v>
      </c>
      <c r="C13" s="162">
        <v>2837</v>
      </c>
      <c r="D13" s="162">
        <v>2483</v>
      </c>
      <c r="E13" s="217">
        <v>2483</v>
      </c>
      <c r="F13" s="217">
        <f t="shared" ref="F13:I14" si="2">K13</f>
        <v>1180</v>
      </c>
      <c r="G13" s="217">
        <f t="shared" si="2"/>
        <v>2360</v>
      </c>
      <c r="H13" s="217">
        <f t="shared" si="2"/>
        <v>3541</v>
      </c>
      <c r="I13" s="217">
        <f t="shared" si="2"/>
        <v>4721</v>
      </c>
      <c r="J13" s="134"/>
      <c r="K13" s="254">
        <f>ROUND(штатка!W62/1000,0)</f>
        <v>1180</v>
      </c>
      <c r="L13" s="254">
        <f>ROUND(штатка!X62/1000,0)</f>
        <v>2360</v>
      </c>
      <c r="M13" s="254">
        <f>ROUND(штатка!Y62/1000,0)</f>
        <v>3541</v>
      </c>
      <c r="N13" s="254">
        <f>ROUND(штатка!Z62/1000,0)</f>
        <v>4721</v>
      </c>
    </row>
    <row r="14" spans="1:14" s="1" customFormat="1" ht="20.100000000000001" customHeight="1">
      <c r="A14" s="72" t="s">
        <v>43</v>
      </c>
      <c r="B14" s="7">
        <v>1015</v>
      </c>
      <c r="C14" s="162">
        <v>611</v>
      </c>
      <c r="D14" s="162">
        <v>531</v>
      </c>
      <c r="E14" s="217">
        <v>531</v>
      </c>
      <c r="F14" s="217">
        <f t="shared" si="2"/>
        <v>253</v>
      </c>
      <c r="G14" s="217">
        <f>L14-1</f>
        <v>505</v>
      </c>
      <c r="H14" s="217">
        <f t="shared" si="2"/>
        <v>760</v>
      </c>
      <c r="I14" s="217">
        <f t="shared" si="2"/>
        <v>1013</v>
      </c>
      <c r="J14" s="134"/>
      <c r="K14" s="254">
        <f>ROUND(штатка!W63/1000,0)</f>
        <v>253</v>
      </c>
      <c r="L14" s="254">
        <f>ROUND(штатка!X63/1000,0)</f>
        <v>506</v>
      </c>
      <c r="M14" s="254">
        <f>ROUND(штатка!Y63/1000,0)</f>
        <v>760</v>
      </c>
      <c r="N14" s="254">
        <f>ROUND(штатка!Z63/1000,0)</f>
        <v>1013</v>
      </c>
    </row>
    <row r="15" spans="1:14" s="1" customFormat="1" ht="76.5" customHeight="1">
      <c r="A15" s="72" t="s">
        <v>260</v>
      </c>
      <c r="B15" s="7">
        <v>1016</v>
      </c>
      <c r="C15" s="162">
        <v>1072</v>
      </c>
      <c r="D15" s="162">
        <v>955</v>
      </c>
      <c r="E15" s="217">
        <v>1247</v>
      </c>
      <c r="F15" s="217">
        <v>81</v>
      </c>
      <c r="G15" s="217">
        <v>289</v>
      </c>
      <c r="H15" s="217">
        <v>289</v>
      </c>
      <c r="I15" s="217">
        <v>1889</v>
      </c>
      <c r="J15" s="286"/>
      <c r="K15" s="285" t="s">
        <v>514</v>
      </c>
    </row>
    <row r="16" spans="1:14" s="1" customFormat="1" ht="37.5" customHeight="1">
      <c r="A16" s="72" t="s">
        <v>66</v>
      </c>
      <c r="B16" s="7">
        <v>1017</v>
      </c>
      <c r="C16" s="162">
        <v>268</v>
      </c>
      <c r="D16" s="162">
        <v>268</v>
      </c>
      <c r="E16" s="217">
        <v>765</v>
      </c>
      <c r="F16" s="217">
        <v>205</v>
      </c>
      <c r="G16" s="217">
        <v>245</v>
      </c>
      <c r="H16" s="217">
        <v>295</v>
      </c>
      <c r="I16" s="217">
        <v>310</v>
      </c>
      <c r="J16" s="134"/>
      <c r="K16" s="285" t="s">
        <v>511</v>
      </c>
    </row>
    <row r="17" spans="1:14" s="1" customFormat="1" ht="20.100000000000001" customHeight="1">
      <c r="A17" s="72" t="s">
        <v>137</v>
      </c>
      <c r="B17" s="7">
        <v>1018</v>
      </c>
      <c r="C17" s="162">
        <v>180</v>
      </c>
      <c r="D17" s="162">
        <v>180</v>
      </c>
      <c r="E17" s="217">
        <v>323</v>
      </c>
      <c r="F17" s="162">
        <v>45</v>
      </c>
      <c r="G17" s="162">
        <v>90</v>
      </c>
      <c r="H17" s="162">
        <v>135</v>
      </c>
      <c r="I17" s="162">
        <v>180</v>
      </c>
      <c r="J17" s="134"/>
      <c r="K17" s="285" t="s">
        <v>512</v>
      </c>
    </row>
    <row r="18" spans="1:14" s="1" customFormat="1" ht="20.100000000000001" customHeight="1">
      <c r="A18" s="72" t="s">
        <v>404</v>
      </c>
      <c r="B18" s="7" t="s">
        <v>383</v>
      </c>
      <c r="C18" s="162">
        <v>180</v>
      </c>
      <c r="D18" s="162">
        <v>180</v>
      </c>
      <c r="E18" s="217">
        <v>323</v>
      </c>
      <c r="F18" s="162">
        <v>45</v>
      </c>
      <c r="G18" s="162">
        <v>90</v>
      </c>
      <c r="H18" s="162">
        <v>135</v>
      </c>
      <c r="I18" s="162">
        <v>180</v>
      </c>
      <c r="J18" s="134"/>
      <c r="K18" s="285" t="s">
        <v>513</v>
      </c>
    </row>
    <row r="19" spans="1:14" s="5" customFormat="1" ht="20.100000000000001" customHeight="1">
      <c r="A19" s="153" t="s">
        <v>23</v>
      </c>
      <c r="B19" s="11">
        <v>1020</v>
      </c>
      <c r="C19" s="164">
        <f t="shared" ref="C19:I19" si="3">C7-C9</f>
        <v>-3714</v>
      </c>
      <c r="D19" s="164">
        <f t="shared" si="3"/>
        <v>-3742</v>
      </c>
      <c r="E19" s="242">
        <f t="shared" si="3"/>
        <v>-2573</v>
      </c>
      <c r="F19" s="164">
        <f t="shared" si="3"/>
        <v>-2153</v>
      </c>
      <c r="G19" s="164">
        <f t="shared" si="3"/>
        <v>-4287</v>
      </c>
      <c r="H19" s="164">
        <f t="shared" si="3"/>
        <v>-6236</v>
      </c>
      <c r="I19" s="164">
        <f t="shared" si="3"/>
        <v>-9927</v>
      </c>
      <c r="J19" s="135"/>
    </row>
    <row r="20" spans="1:14" ht="37.5">
      <c r="A20" s="72" t="s">
        <v>231</v>
      </c>
      <c r="B20" s="9">
        <v>1030</v>
      </c>
      <c r="C20" s="162">
        <v>6438</v>
      </c>
      <c r="D20" s="162">
        <v>6460</v>
      </c>
      <c r="E20" s="217">
        <v>7721</v>
      </c>
      <c r="F20" s="162">
        <f t="shared" ref="F20" si="4">F22</f>
        <v>3506</v>
      </c>
      <c r="G20" s="162">
        <f>G22</f>
        <v>7780</v>
      </c>
      <c r="H20" s="162">
        <f t="shared" ref="H20" si="5">H22</f>
        <v>11670</v>
      </c>
      <c r="I20" s="162">
        <f>I22</f>
        <v>17703</v>
      </c>
      <c r="J20" s="134"/>
    </row>
    <row r="21" spans="1:14">
      <c r="A21" s="72" t="s">
        <v>384</v>
      </c>
      <c r="B21" s="6" t="s">
        <v>385</v>
      </c>
      <c r="C21" s="162"/>
      <c r="D21" s="162"/>
      <c r="E21" s="217"/>
      <c r="F21" s="162"/>
      <c r="G21" s="162"/>
      <c r="H21" s="162"/>
      <c r="I21" s="162"/>
      <c r="J21" s="134"/>
    </row>
    <row r="22" spans="1:14">
      <c r="A22" s="218" t="s">
        <v>388</v>
      </c>
      <c r="B22" s="6" t="s">
        <v>387</v>
      </c>
      <c r="C22" s="162">
        <v>6438</v>
      </c>
      <c r="D22" s="162">
        <v>6460</v>
      </c>
      <c r="E22" s="217">
        <v>7721</v>
      </c>
      <c r="F22" s="217">
        <v>3506</v>
      </c>
      <c r="G22" s="217">
        <v>7780</v>
      </c>
      <c r="H22" s="217">
        <v>11670</v>
      </c>
      <c r="I22" s="217">
        <v>17703</v>
      </c>
      <c r="J22" s="286"/>
      <c r="L22" s="249"/>
    </row>
    <row r="23" spans="1:14" ht="20.100000000000001" customHeight="1">
      <c r="A23" s="72" t="s">
        <v>232</v>
      </c>
      <c r="B23" s="9">
        <v>1031</v>
      </c>
      <c r="C23" s="162"/>
      <c r="D23" s="162"/>
      <c r="E23" s="217"/>
      <c r="F23" s="165"/>
      <c r="G23" s="165"/>
      <c r="H23" s="165"/>
      <c r="I23" s="165"/>
      <c r="J23" s="134"/>
    </row>
    <row r="24" spans="1:14" ht="20.100000000000001" customHeight="1">
      <c r="A24" s="72" t="s">
        <v>239</v>
      </c>
      <c r="B24" s="9">
        <v>1040</v>
      </c>
      <c r="C24" s="163">
        <f t="shared" ref="C24:I24" si="6">SUM(C25:C46)</f>
        <v>2896</v>
      </c>
      <c r="D24" s="163">
        <f t="shared" si="6"/>
        <v>2949</v>
      </c>
      <c r="E24" s="241">
        <f t="shared" si="6"/>
        <v>5507</v>
      </c>
      <c r="F24" s="163">
        <f t="shared" si="6"/>
        <v>1317</v>
      </c>
      <c r="G24" s="163">
        <f t="shared" si="6"/>
        <v>2667</v>
      </c>
      <c r="H24" s="163">
        <f t="shared" si="6"/>
        <v>4019</v>
      </c>
      <c r="I24" s="163">
        <f t="shared" si="6"/>
        <v>5322</v>
      </c>
      <c r="J24" s="134"/>
    </row>
    <row r="25" spans="1:14" ht="37.5">
      <c r="A25" s="72" t="s">
        <v>120</v>
      </c>
      <c r="B25" s="9">
        <v>1041</v>
      </c>
      <c r="C25" s="217">
        <v>250</v>
      </c>
      <c r="D25" s="217">
        <v>250</v>
      </c>
      <c r="E25" s="217">
        <v>250</v>
      </c>
      <c r="F25" s="217">
        <v>75</v>
      </c>
      <c r="G25" s="217">
        <v>150</v>
      </c>
      <c r="H25" s="217">
        <v>225</v>
      </c>
      <c r="I25" s="217">
        <v>300</v>
      </c>
      <c r="J25" s="264"/>
    </row>
    <row r="26" spans="1:14" ht="20.100000000000001" customHeight="1">
      <c r="A26" s="72" t="s">
        <v>222</v>
      </c>
      <c r="B26" s="9">
        <v>1042</v>
      </c>
      <c r="C26" s="162"/>
      <c r="D26" s="162"/>
      <c r="E26" s="217"/>
      <c r="F26" s="162"/>
      <c r="G26" s="162"/>
      <c r="H26" s="162"/>
      <c r="I26" s="162"/>
      <c r="J26" s="134"/>
    </row>
    <row r="27" spans="1:14" ht="20.100000000000001" customHeight="1">
      <c r="A27" s="72" t="s">
        <v>65</v>
      </c>
      <c r="B27" s="9">
        <v>1043</v>
      </c>
      <c r="C27" s="162"/>
      <c r="D27" s="162"/>
      <c r="E27" s="217"/>
      <c r="F27" s="162"/>
      <c r="G27" s="162"/>
      <c r="H27" s="162"/>
      <c r="I27" s="162"/>
      <c r="J27" s="134"/>
    </row>
    <row r="28" spans="1:14" ht="20.100000000000001" customHeight="1">
      <c r="A28" s="72" t="s">
        <v>21</v>
      </c>
      <c r="B28" s="9">
        <v>1044</v>
      </c>
      <c r="C28" s="162"/>
      <c r="D28" s="162"/>
      <c r="E28" s="217"/>
      <c r="F28" s="162"/>
      <c r="G28" s="162"/>
      <c r="H28" s="162"/>
      <c r="I28" s="162"/>
      <c r="J28" s="134"/>
    </row>
    <row r="29" spans="1:14" ht="20.100000000000001" customHeight="1">
      <c r="A29" s="72" t="s">
        <v>22</v>
      </c>
      <c r="B29" s="9">
        <v>1045</v>
      </c>
      <c r="C29" s="162"/>
      <c r="D29" s="162"/>
      <c r="E29" s="217"/>
      <c r="F29" s="162"/>
      <c r="G29" s="162"/>
      <c r="H29" s="162"/>
      <c r="I29" s="162"/>
      <c r="J29" s="134"/>
    </row>
    <row r="30" spans="1:14" s="1" customFormat="1" ht="20.100000000000001" customHeight="1">
      <c r="A30" s="72" t="s">
        <v>40</v>
      </c>
      <c r="B30" s="9">
        <v>1046</v>
      </c>
      <c r="C30" s="162">
        <v>24</v>
      </c>
      <c r="D30" s="162">
        <v>26</v>
      </c>
      <c r="E30" s="217">
        <v>26</v>
      </c>
      <c r="F30" s="162">
        <v>3</v>
      </c>
      <c r="G30" s="162">
        <v>32</v>
      </c>
      <c r="H30" s="162">
        <v>60</v>
      </c>
      <c r="I30" s="162">
        <v>67</v>
      </c>
      <c r="J30" s="134"/>
    </row>
    <row r="31" spans="1:14" s="1" customFormat="1" ht="20.100000000000001" customHeight="1">
      <c r="A31" s="72" t="s">
        <v>41</v>
      </c>
      <c r="B31" s="9">
        <v>1047</v>
      </c>
      <c r="C31" s="162">
        <v>9</v>
      </c>
      <c r="D31" s="162">
        <v>9</v>
      </c>
      <c r="E31" s="217">
        <v>9</v>
      </c>
      <c r="F31" s="217">
        <v>2</v>
      </c>
      <c r="G31" s="217">
        <v>3</v>
      </c>
      <c r="H31" s="217">
        <v>6</v>
      </c>
      <c r="I31" s="217">
        <v>9</v>
      </c>
      <c r="J31" s="134"/>
    </row>
    <row r="32" spans="1:14" s="1" customFormat="1" ht="20.100000000000001" customHeight="1">
      <c r="A32" s="72" t="s">
        <v>42</v>
      </c>
      <c r="B32" s="9">
        <v>1048</v>
      </c>
      <c r="C32" s="257">
        <v>2061</v>
      </c>
      <c r="D32" s="251">
        <v>2107</v>
      </c>
      <c r="E32" s="217">
        <v>4167</v>
      </c>
      <c r="F32" s="217">
        <v>988</v>
      </c>
      <c r="G32" s="217">
        <v>1977</v>
      </c>
      <c r="H32" s="217">
        <v>2965</v>
      </c>
      <c r="I32" s="217">
        <v>3954</v>
      </c>
      <c r="J32" s="134"/>
      <c r="K32" s="254">
        <f>ROUND(штатка!W65/1000,0)</f>
        <v>988</v>
      </c>
      <c r="L32" s="254">
        <f>ROUND(штатка!X65/1000,0)</f>
        <v>1977</v>
      </c>
      <c r="M32" s="254">
        <f>ROUND(штатка!Y65/1000,0)</f>
        <v>2965</v>
      </c>
      <c r="N32" s="254">
        <f>ROUND(штатка!Z65/1000,0)</f>
        <v>3954</v>
      </c>
    </row>
    <row r="33" spans="1:14" s="1" customFormat="1" ht="20.100000000000001" customHeight="1">
      <c r="A33" s="72" t="s">
        <v>43</v>
      </c>
      <c r="B33" s="9">
        <v>1049</v>
      </c>
      <c r="C33" s="257">
        <v>400</v>
      </c>
      <c r="D33" s="251">
        <v>405</v>
      </c>
      <c r="E33" s="217">
        <v>873</v>
      </c>
      <c r="F33" s="217">
        <v>208</v>
      </c>
      <c r="G33" s="217">
        <v>415</v>
      </c>
      <c r="H33" s="217">
        <v>623</v>
      </c>
      <c r="I33" s="217">
        <v>830</v>
      </c>
      <c r="J33" s="134"/>
      <c r="K33" s="254">
        <f>ROUND(штатка!W66/1000,0)</f>
        <v>208</v>
      </c>
      <c r="L33" s="254">
        <f>ROUND(штатка!X66/1000,0)</f>
        <v>415</v>
      </c>
      <c r="M33" s="254">
        <f>ROUND(штатка!Y66/1000,0)</f>
        <v>623</v>
      </c>
      <c r="N33" s="254">
        <f>ROUND(штатка!Z66/1000,0)</f>
        <v>830</v>
      </c>
    </row>
    <row r="34" spans="1:14" s="1" customFormat="1" ht="56.25">
      <c r="A34" s="72" t="s">
        <v>44</v>
      </c>
      <c r="B34" s="9">
        <v>1050</v>
      </c>
      <c r="C34" s="162"/>
      <c r="D34" s="162"/>
      <c r="E34" s="217"/>
      <c r="F34" s="256"/>
      <c r="G34" s="256"/>
      <c r="H34" s="256"/>
      <c r="I34" s="256"/>
      <c r="J34" s="134"/>
      <c r="K34" s="285" t="s">
        <v>515</v>
      </c>
    </row>
    <row r="35" spans="1:14" s="1" customFormat="1" ht="56.25">
      <c r="A35" s="72" t="s">
        <v>45</v>
      </c>
      <c r="B35" s="9">
        <v>1051</v>
      </c>
      <c r="C35" s="162"/>
      <c r="D35" s="162"/>
      <c r="E35" s="217"/>
      <c r="F35" s="165"/>
      <c r="G35" s="165"/>
      <c r="H35" s="165"/>
      <c r="I35" s="165"/>
      <c r="J35" s="134"/>
      <c r="K35" s="285" t="s">
        <v>516</v>
      </c>
    </row>
    <row r="36" spans="1:14" s="1" customFormat="1" ht="37.5">
      <c r="A36" s="72" t="s">
        <v>46</v>
      </c>
      <c r="B36" s="9">
        <v>1052</v>
      </c>
      <c r="C36" s="162"/>
      <c r="D36" s="162"/>
      <c r="E36" s="217"/>
      <c r="F36" s="165"/>
      <c r="G36" s="165"/>
      <c r="H36" s="165"/>
      <c r="I36" s="165"/>
      <c r="J36" s="134"/>
      <c r="K36" s="285" t="s">
        <v>517</v>
      </c>
    </row>
    <row r="37" spans="1:14" s="1" customFormat="1" ht="37.5">
      <c r="A37" s="72" t="s">
        <v>47</v>
      </c>
      <c r="B37" s="9">
        <v>1053</v>
      </c>
      <c r="C37" s="162"/>
      <c r="D37" s="162"/>
      <c r="E37" s="217"/>
      <c r="F37" s="165"/>
      <c r="G37" s="165"/>
      <c r="H37" s="165"/>
      <c r="I37" s="165"/>
      <c r="J37" s="134"/>
    </row>
    <row r="38" spans="1:14" s="1" customFormat="1" ht="20.100000000000001" customHeight="1">
      <c r="A38" s="72" t="s">
        <v>48</v>
      </c>
      <c r="B38" s="9">
        <v>1054</v>
      </c>
      <c r="C38" s="162">
        <v>20</v>
      </c>
      <c r="D38" s="162">
        <v>20</v>
      </c>
      <c r="E38" s="217">
        <v>20</v>
      </c>
      <c r="F38" s="162">
        <v>5</v>
      </c>
      <c r="G38" s="162">
        <v>10</v>
      </c>
      <c r="H38" s="162">
        <v>15</v>
      </c>
      <c r="I38" s="162">
        <v>20</v>
      </c>
      <c r="J38" s="134"/>
    </row>
    <row r="39" spans="1:14" s="1" customFormat="1" ht="20.100000000000001" customHeight="1">
      <c r="A39" s="72" t="s">
        <v>69</v>
      </c>
      <c r="B39" s="9">
        <v>1055</v>
      </c>
      <c r="C39" s="162">
        <v>30</v>
      </c>
      <c r="D39" s="162">
        <v>30</v>
      </c>
      <c r="E39" s="217">
        <v>30</v>
      </c>
      <c r="F39" s="162">
        <v>5</v>
      </c>
      <c r="G39" s="162">
        <v>10</v>
      </c>
      <c r="H39" s="162">
        <v>20</v>
      </c>
      <c r="I39" s="162">
        <v>30</v>
      </c>
      <c r="J39" s="134"/>
    </row>
    <row r="40" spans="1:14" s="1" customFormat="1" ht="20.100000000000001" customHeight="1">
      <c r="A40" s="72" t="s">
        <v>49</v>
      </c>
      <c r="B40" s="9">
        <v>1056</v>
      </c>
      <c r="C40" s="162"/>
      <c r="D40" s="162"/>
      <c r="E40" s="217"/>
      <c r="F40" s="165"/>
      <c r="G40" s="165"/>
      <c r="H40" s="165"/>
      <c r="I40" s="165"/>
      <c r="J40" s="134"/>
    </row>
    <row r="41" spans="1:14" s="1" customFormat="1" ht="20.100000000000001" customHeight="1">
      <c r="A41" s="72" t="s">
        <v>50</v>
      </c>
      <c r="B41" s="9">
        <v>1057</v>
      </c>
      <c r="C41" s="162"/>
      <c r="D41" s="162"/>
      <c r="E41" s="217"/>
      <c r="F41" s="165"/>
      <c r="G41" s="165"/>
      <c r="H41" s="165"/>
      <c r="I41" s="165"/>
      <c r="J41" s="134"/>
    </row>
    <row r="42" spans="1:14" s="1" customFormat="1" ht="37.5">
      <c r="A42" s="72" t="s">
        <v>51</v>
      </c>
      <c r="B42" s="9">
        <v>1058</v>
      </c>
      <c r="C42" s="162">
        <v>60</v>
      </c>
      <c r="D42" s="162">
        <v>60</v>
      </c>
      <c r="E42" s="217">
        <v>90</v>
      </c>
      <c r="F42" s="162">
        <v>20</v>
      </c>
      <c r="G42" s="162">
        <v>40</v>
      </c>
      <c r="H42" s="162">
        <v>60</v>
      </c>
      <c r="I42" s="162">
        <v>60</v>
      </c>
      <c r="J42" s="134"/>
    </row>
    <row r="43" spans="1:14" s="1" customFormat="1" ht="37.5">
      <c r="A43" s="72" t="s">
        <v>52</v>
      </c>
      <c r="B43" s="9">
        <v>1059</v>
      </c>
      <c r="C43" s="162"/>
      <c r="D43" s="162"/>
      <c r="E43" s="217"/>
      <c r="F43" s="165"/>
      <c r="G43" s="165"/>
      <c r="H43" s="165"/>
      <c r="I43" s="165"/>
      <c r="J43" s="134"/>
    </row>
    <row r="44" spans="1:14" s="1" customFormat="1" ht="75">
      <c r="A44" s="72" t="s">
        <v>82</v>
      </c>
      <c r="B44" s="9">
        <v>1060</v>
      </c>
      <c r="C44" s="162"/>
      <c r="D44" s="162"/>
      <c r="E44" s="217"/>
      <c r="F44" s="165"/>
      <c r="G44" s="165"/>
      <c r="H44" s="165"/>
      <c r="I44" s="165"/>
      <c r="J44" s="134"/>
    </row>
    <row r="45" spans="1:14" s="1" customFormat="1" ht="20.25" customHeight="1">
      <c r="A45" s="72" t="s">
        <v>53</v>
      </c>
      <c r="B45" s="9">
        <v>1061</v>
      </c>
      <c r="C45" s="162"/>
      <c r="D45" s="162"/>
      <c r="E45" s="217"/>
      <c r="F45" s="165"/>
      <c r="G45" s="165"/>
      <c r="H45" s="165"/>
      <c r="I45" s="165"/>
      <c r="J45" s="134"/>
    </row>
    <row r="46" spans="1:14" s="1" customFormat="1" ht="42" customHeight="1">
      <c r="A46" s="72" t="s">
        <v>389</v>
      </c>
      <c r="B46" s="9">
        <v>1062</v>
      </c>
      <c r="C46" s="162">
        <f>C47+C48</f>
        <v>42</v>
      </c>
      <c r="D46" s="162">
        <f>D47+D48</f>
        <v>42</v>
      </c>
      <c r="E46" s="162">
        <f t="shared" ref="E46:I46" si="7">E47+E48</f>
        <v>42</v>
      </c>
      <c r="F46" s="162">
        <f t="shared" si="7"/>
        <v>11</v>
      </c>
      <c r="G46" s="162">
        <f t="shared" si="7"/>
        <v>30</v>
      </c>
      <c r="H46" s="162">
        <f t="shared" si="7"/>
        <v>45</v>
      </c>
      <c r="I46" s="162">
        <f t="shared" si="7"/>
        <v>52</v>
      </c>
      <c r="J46" s="134"/>
    </row>
    <row r="47" spans="1:14" s="1" customFormat="1">
      <c r="A47" s="72" t="s">
        <v>402</v>
      </c>
      <c r="B47" s="6" t="s">
        <v>381</v>
      </c>
      <c r="C47" s="162">
        <v>32</v>
      </c>
      <c r="D47" s="162">
        <v>32</v>
      </c>
      <c r="E47" s="217">
        <v>32</v>
      </c>
      <c r="F47" s="162">
        <v>6</v>
      </c>
      <c r="G47" s="162">
        <v>20</v>
      </c>
      <c r="H47" s="162">
        <v>30</v>
      </c>
      <c r="I47" s="162">
        <v>32</v>
      </c>
      <c r="J47" s="134"/>
    </row>
    <row r="48" spans="1:14" s="1" customFormat="1">
      <c r="A48" s="154" t="s">
        <v>382</v>
      </c>
      <c r="B48" s="259" t="s">
        <v>507</v>
      </c>
      <c r="C48" s="162">
        <v>10</v>
      </c>
      <c r="D48" s="162">
        <v>10</v>
      </c>
      <c r="E48" s="217">
        <v>10</v>
      </c>
      <c r="F48" s="162">
        <v>5</v>
      </c>
      <c r="G48" s="162">
        <v>10</v>
      </c>
      <c r="H48" s="162">
        <v>15</v>
      </c>
      <c r="I48" s="162">
        <v>20</v>
      </c>
      <c r="J48" s="260"/>
    </row>
    <row r="49" spans="1:10" ht="20.100000000000001" customHeight="1">
      <c r="A49" s="72" t="s">
        <v>240</v>
      </c>
      <c r="B49" s="9">
        <v>1070</v>
      </c>
      <c r="C49" s="163">
        <f>SUM(C50:C55)</f>
        <v>0</v>
      </c>
      <c r="D49" s="163">
        <f t="shared" ref="D49:I49" si="8">SUM(D50:D55)</f>
        <v>0</v>
      </c>
      <c r="E49" s="241">
        <f t="shared" si="8"/>
        <v>0</v>
      </c>
      <c r="F49" s="163">
        <f t="shared" si="8"/>
        <v>0</v>
      </c>
      <c r="G49" s="163">
        <f t="shared" si="8"/>
        <v>0</v>
      </c>
      <c r="H49" s="163">
        <f t="shared" si="8"/>
        <v>0</v>
      </c>
      <c r="I49" s="163">
        <f t="shared" si="8"/>
        <v>0</v>
      </c>
      <c r="J49" s="134"/>
    </row>
    <row r="50" spans="1:10" s="1" customFormat="1" ht="20.100000000000001" customHeight="1">
      <c r="A50" s="72" t="s">
        <v>200</v>
      </c>
      <c r="B50" s="9">
        <v>1071</v>
      </c>
      <c r="C50" s="162"/>
      <c r="D50" s="162"/>
      <c r="E50" s="217"/>
      <c r="F50" s="162"/>
      <c r="G50" s="162"/>
      <c r="H50" s="162"/>
      <c r="I50" s="162"/>
      <c r="J50" s="134"/>
    </row>
    <row r="51" spans="1:10" s="1" customFormat="1" ht="20.100000000000001" customHeight="1">
      <c r="A51" s="72" t="s">
        <v>201</v>
      </c>
      <c r="B51" s="9">
        <v>1072</v>
      </c>
      <c r="C51" s="162"/>
      <c r="D51" s="162"/>
      <c r="E51" s="217"/>
      <c r="F51" s="162"/>
      <c r="G51" s="162"/>
      <c r="H51" s="162"/>
      <c r="I51" s="162"/>
      <c r="J51" s="134"/>
    </row>
    <row r="52" spans="1:10" s="1" customFormat="1" ht="20.100000000000001" customHeight="1">
      <c r="A52" s="72" t="s">
        <v>42</v>
      </c>
      <c r="B52" s="9">
        <v>1073</v>
      </c>
      <c r="C52" s="162"/>
      <c r="D52" s="162"/>
      <c r="E52" s="217"/>
      <c r="F52" s="162"/>
      <c r="G52" s="162"/>
      <c r="H52" s="162"/>
      <c r="I52" s="162"/>
      <c r="J52" s="134"/>
    </row>
    <row r="53" spans="1:10" s="1" customFormat="1" ht="37.5">
      <c r="A53" s="72" t="s">
        <v>66</v>
      </c>
      <c r="B53" s="9">
        <v>1074</v>
      </c>
      <c r="C53" s="162"/>
      <c r="D53" s="162"/>
      <c r="E53" s="217"/>
      <c r="F53" s="162"/>
      <c r="G53" s="162"/>
      <c r="H53" s="162"/>
      <c r="I53" s="162"/>
      <c r="J53" s="134"/>
    </row>
    <row r="54" spans="1:10" s="1" customFormat="1" ht="20.100000000000001" customHeight="1">
      <c r="A54" s="72" t="s">
        <v>85</v>
      </c>
      <c r="B54" s="9">
        <v>1075</v>
      </c>
      <c r="C54" s="162"/>
      <c r="D54" s="162"/>
      <c r="E54" s="217"/>
      <c r="F54" s="162"/>
      <c r="G54" s="162"/>
      <c r="H54" s="162"/>
      <c r="I54" s="162"/>
      <c r="J54" s="134"/>
    </row>
    <row r="55" spans="1:10" s="1" customFormat="1" ht="20.100000000000001" customHeight="1">
      <c r="A55" s="72" t="s">
        <v>138</v>
      </c>
      <c r="B55" s="9">
        <v>1076</v>
      </c>
      <c r="C55" s="162"/>
      <c r="D55" s="162"/>
      <c r="E55" s="217"/>
      <c r="F55" s="162"/>
      <c r="G55" s="162"/>
      <c r="H55" s="162"/>
      <c r="I55" s="162"/>
      <c r="J55" s="134"/>
    </row>
    <row r="56" spans="1:10" s="1" customFormat="1" ht="37.5">
      <c r="A56" s="154" t="s">
        <v>87</v>
      </c>
      <c r="B56" s="9">
        <v>1080</v>
      </c>
      <c r="C56" s="163">
        <f>SUM(C57:C61)</f>
        <v>42</v>
      </c>
      <c r="D56" s="163">
        <f t="shared" ref="D56:I56" si="9">SUM(D57:D61)</f>
        <v>42</v>
      </c>
      <c r="E56" s="241">
        <f t="shared" si="9"/>
        <v>142</v>
      </c>
      <c r="F56" s="163">
        <f t="shared" si="9"/>
        <v>18</v>
      </c>
      <c r="G56" s="163">
        <f t="shared" si="9"/>
        <v>859</v>
      </c>
      <c r="H56" s="163">
        <f t="shared" si="9"/>
        <v>1475</v>
      </c>
      <c r="I56" s="163">
        <f t="shared" si="9"/>
        <v>2540</v>
      </c>
      <c r="J56" s="134"/>
    </row>
    <row r="57" spans="1:10" s="1" customFormat="1" ht="20.100000000000001" customHeight="1">
      <c r="A57" s="72" t="s">
        <v>76</v>
      </c>
      <c r="B57" s="155">
        <v>1081</v>
      </c>
      <c r="C57" s="162"/>
      <c r="D57" s="162"/>
      <c r="E57" s="217"/>
      <c r="F57" s="162"/>
      <c r="G57" s="162"/>
      <c r="H57" s="162"/>
      <c r="I57" s="162"/>
      <c r="J57" s="134"/>
    </row>
    <row r="58" spans="1:10" s="1" customFormat="1" ht="37.5">
      <c r="A58" s="72" t="s">
        <v>54</v>
      </c>
      <c r="B58" s="155">
        <v>1082</v>
      </c>
      <c r="C58" s="162"/>
      <c r="D58" s="162"/>
      <c r="E58" s="217"/>
      <c r="F58" s="162"/>
      <c r="G58" s="162"/>
      <c r="H58" s="162"/>
      <c r="I58" s="162"/>
      <c r="J58" s="134"/>
    </row>
    <row r="59" spans="1:10" s="1" customFormat="1" ht="37.5">
      <c r="A59" s="72" t="s">
        <v>64</v>
      </c>
      <c r="B59" s="155">
        <v>1083</v>
      </c>
      <c r="C59" s="162"/>
      <c r="D59" s="162"/>
      <c r="E59" s="217"/>
      <c r="F59" s="162"/>
      <c r="G59" s="162"/>
      <c r="H59" s="162"/>
      <c r="I59" s="162"/>
      <c r="J59" s="134"/>
    </row>
    <row r="60" spans="1:10" s="1" customFormat="1" ht="20.100000000000001" customHeight="1">
      <c r="A60" s="72" t="s">
        <v>232</v>
      </c>
      <c r="B60" s="155">
        <v>1084</v>
      </c>
      <c r="C60" s="162"/>
      <c r="D60" s="162"/>
      <c r="E60" s="217"/>
      <c r="F60" s="162"/>
      <c r="G60" s="162"/>
      <c r="H60" s="162"/>
      <c r="I60" s="162"/>
      <c r="J60" s="134"/>
    </row>
    <row r="61" spans="1:10" s="1" customFormat="1" ht="20.100000000000001" customHeight="1">
      <c r="A61" s="72" t="s">
        <v>261</v>
      </c>
      <c r="B61" s="155">
        <v>1085</v>
      </c>
      <c r="C61" s="162">
        <f>C62+C63</f>
        <v>42</v>
      </c>
      <c r="D61" s="162">
        <f t="shared" ref="D61:I61" si="10">D62+D63+D64</f>
        <v>42</v>
      </c>
      <c r="E61" s="162">
        <f t="shared" si="10"/>
        <v>142</v>
      </c>
      <c r="F61" s="162">
        <f t="shared" si="10"/>
        <v>18</v>
      </c>
      <c r="G61" s="162">
        <f t="shared" si="10"/>
        <v>859</v>
      </c>
      <c r="H61" s="162">
        <f t="shared" si="10"/>
        <v>1475</v>
      </c>
      <c r="I61" s="162">
        <f t="shared" si="10"/>
        <v>2540</v>
      </c>
      <c r="J61" s="134"/>
    </row>
    <row r="62" spans="1:10" s="1" customFormat="1" ht="20.100000000000001" customHeight="1">
      <c r="A62" s="154" t="s">
        <v>392</v>
      </c>
      <c r="B62" s="6" t="s">
        <v>390</v>
      </c>
      <c r="C62" s="162"/>
      <c r="D62" s="162"/>
      <c r="E62" s="217"/>
      <c r="F62" s="162">
        <v>13</v>
      </c>
      <c r="G62" s="162">
        <v>313</v>
      </c>
      <c r="H62" s="162">
        <v>667</v>
      </c>
      <c r="I62" s="162">
        <v>694</v>
      </c>
      <c r="J62" s="253"/>
    </row>
    <row r="63" spans="1:10" s="1" customFormat="1" ht="20.100000000000001" customHeight="1">
      <c r="A63" s="154" t="s">
        <v>393</v>
      </c>
      <c r="B63" s="6" t="s">
        <v>391</v>
      </c>
      <c r="C63" s="162">
        <v>42</v>
      </c>
      <c r="D63" s="162">
        <v>42</v>
      </c>
      <c r="E63" s="217">
        <v>142</v>
      </c>
      <c r="F63" s="162">
        <v>5</v>
      </c>
      <c r="G63" s="162">
        <v>546</v>
      </c>
      <c r="H63" s="162">
        <v>808</v>
      </c>
      <c r="I63" s="162">
        <v>1846</v>
      </c>
      <c r="J63" s="134"/>
    </row>
    <row r="64" spans="1:10" s="1" customFormat="1" ht="20.100000000000001" customHeight="1">
      <c r="A64" s="154"/>
      <c r="B64" s="6"/>
      <c r="C64" s="162"/>
      <c r="D64" s="162"/>
      <c r="E64" s="217"/>
      <c r="F64" s="162"/>
      <c r="G64" s="162"/>
      <c r="H64" s="162"/>
      <c r="I64" s="162"/>
      <c r="J64" s="134"/>
    </row>
    <row r="65" spans="1:11" s="5" customFormat="1" ht="37.5">
      <c r="A65" s="153" t="s">
        <v>4</v>
      </c>
      <c r="B65" s="11">
        <v>1100</v>
      </c>
      <c r="C65" s="163">
        <f>C19+C20-C24-C49-C56</f>
        <v>-214</v>
      </c>
      <c r="D65" s="163">
        <f t="shared" ref="D65" si="11">D19+D20-D24-D49-D56</f>
        <v>-273</v>
      </c>
      <c r="E65" s="241">
        <f>E19+E20-E24-E49-E56</f>
        <v>-501</v>
      </c>
      <c r="F65" s="241">
        <f t="shared" ref="F65:I65" si="12">F19+F20-F24-F49-F56</f>
        <v>18</v>
      </c>
      <c r="G65" s="241">
        <f t="shared" si="12"/>
        <v>-33</v>
      </c>
      <c r="H65" s="241">
        <f t="shared" si="12"/>
        <v>-60</v>
      </c>
      <c r="I65" s="241">
        <f t="shared" si="12"/>
        <v>-86</v>
      </c>
      <c r="J65" s="135"/>
    </row>
    <row r="66" spans="1:11" ht="36.75" customHeight="1">
      <c r="A66" s="72" t="s">
        <v>122</v>
      </c>
      <c r="B66" s="9">
        <v>1110</v>
      </c>
      <c r="C66" s="162"/>
      <c r="D66" s="162"/>
      <c r="E66" s="217"/>
      <c r="F66" s="162"/>
      <c r="G66" s="162"/>
      <c r="H66" s="162"/>
      <c r="I66" s="162"/>
      <c r="J66" s="134"/>
    </row>
    <row r="67" spans="1:11" ht="20.100000000000001" customHeight="1">
      <c r="A67" s="72" t="s">
        <v>123</v>
      </c>
      <c r="B67" s="9">
        <v>1120</v>
      </c>
      <c r="C67" s="162"/>
      <c r="D67" s="162"/>
      <c r="E67" s="217"/>
      <c r="F67" s="162"/>
      <c r="G67" s="162"/>
      <c r="H67" s="162"/>
      <c r="I67" s="162"/>
      <c r="J67" s="134"/>
    </row>
    <row r="68" spans="1:11" ht="37.5">
      <c r="A68" s="72" t="s">
        <v>125</v>
      </c>
      <c r="B68" s="9">
        <v>1130</v>
      </c>
      <c r="C68" s="162"/>
      <c r="D68" s="162"/>
      <c r="E68" s="217"/>
      <c r="F68" s="162"/>
      <c r="G68" s="162"/>
      <c r="H68" s="162"/>
      <c r="I68" s="162"/>
      <c r="J68" s="134"/>
    </row>
    <row r="69" spans="1:11" ht="20.100000000000001" customHeight="1">
      <c r="A69" s="72" t="s">
        <v>124</v>
      </c>
      <c r="B69" s="9">
        <v>1140</v>
      </c>
      <c r="C69" s="162"/>
      <c r="D69" s="162"/>
      <c r="E69" s="217"/>
      <c r="F69" s="162"/>
      <c r="G69" s="162"/>
      <c r="H69" s="162"/>
      <c r="I69" s="162"/>
      <c r="J69" s="134"/>
    </row>
    <row r="70" spans="1:11" ht="37.5">
      <c r="A70" s="218" t="s">
        <v>233</v>
      </c>
      <c r="B70" s="9">
        <v>1150</v>
      </c>
      <c r="C70" s="162">
        <f>C71+C72</f>
        <v>246</v>
      </c>
      <c r="D70" s="217">
        <f>D71</f>
        <v>316</v>
      </c>
      <c r="E70" s="217">
        <f>E71+E72</f>
        <v>553</v>
      </c>
      <c r="F70" s="162">
        <f>F71</f>
        <v>0</v>
      </c>
      <c r="G70" s="162">
        <f t="shared" ref="G70:I70" si="13">G71</f>
        <v>73</v>
      </c>
      <c r="H70" s="162">
        <f t="shared" si="13"/>
        <v>109</v>
      </c>
      <c r="I70" s="162">
        <f t="shared" si="13"/>
        <v>146</v>
      </c>
      <c r="J70" s="134"/>
    </row>
    <row r="71" spans="1:11">
      <c r="A71" s="72" t="s">
        <v>405</v>
      </c>
      <c r="B71" s="6" t="s">
        <v>406</v>
      </c>
      <c r="C71" s="217">
        <v>246</v>
      </c>
      <c r="D71" s="162">
        <v>316</v>
      </c>
      <c r="E71" s="217">
        <v>553</v>
      </c>
      <c r="F71" s="217">
        <v>0</v>
      </c>
      <c r="G71" s="217">
        <v>73</v>
      </c>
      <c r="H71" s="217">
        <v>109</v>
      </c>
      <c r="I71" s="217">
        <v>146</v>
      </c>
      <c r="J71" s="297"/>
      <c r="K71" s="300" t="s">
        <v>524</v>
      </c>
    </row>
    <row r="72" spans="1:11" ht="56.25">
      <c r="A72" s="250" t="s">
        <v>460</v>
      </c>
      <c r="B72" s="6" t="s">
        <v>419</v>
      </c>
      <c r="C72" s="162"/>
      <c r="D72" s="162"/>
      <c r="E72" s="217"/>
      <c r="F72" s="162"/>
      <c r="G72" s="162"/>
      <c r="H72" s="162"/>
      <c r="I72" s="162"/>
      <c r="J72" s="134"/>
    </row>
    <row r="73" spans="1:11" ht="20.100000000000001" customHeight="1">
      <c r="A73" s="72" t="s">
        <v>232</v>
      </c>
      <c r="B73" s="9">
        <v>1151</v>
      </c>
      <c r="C73" s="162"/>
      <c r="D73" s="162"/>
      <c r="E73" s="217"/>
      <c r="F73" s="162"/>
      <c r="G73" s="162"/>
      <c r="H73" s="162"/>
      <c r="I73" s="162"/>
      <c r="J73" s="134"/>
    </row>
    <row r="74" spans="1:11" ht="37.5">
      <c r="A74" s="72" t="s">
        <v>234</v>
      </c>
      <c r="B74" s="9">
        <v>1160</v>
      </c>
      <c r="C74" s="162"/>
      <c r="D74" s="162"/>
      <c r="E74" s="217"/>
      <c r="F74" s="162"/>
      <c r="G74" s="162"/>
      <c r="H74" s="162"/>
      <c r="I74" s="162"/>
      <c r="J74" s="134"/>
    </row>
    <row r="75" spans="1:11" ht="20.100000000000001" customHeight="1">
      <c r="A75" s="72" t="s">
        <v>232</v>
      </c>
      <c r="B75" s="9">
        <v>1161</v>
      </c>
      <c r="C75" s="162"/>
      <c r="D75" s="162"/>
      <c r="E75" s="217"/>
      <c r="F75" s="162"/>
      <c r="G75" s="162"/>
      <c r="H75" s="162"/>
      <c r="I75" s="162"/>
      <c r="J75" s="134"/>
    </row>
    <row r="76" spans="1:11" s="5" customFormat="1" ht="37.5">
      <c r="A76" s="153" t="s">
        <v>106</v>
      </c>
      <c r="B76" s="11">
        <v>1170</v>
      </c>
      <c r="C76" s="163">
        <f>C65+C66+C67+C70-C69-C68-C74</f>
        <v>32</v>
      </c>
      <c r="D76" s="163">
        <f t="shared" ref="D76:I76" si="14">D65+D66+D67+D70-D69-D68-D74</f>
        <v>43</v>
      </c>
      <c r="E76" s="163">
        <f t="shared" si="14"/>
        <v>52</v>
      </c>
      <c r="F76" s="163">
        <f t="shared" si="14"/>
        <v>18</v>
      </c>
      <c r="G76" s="163">
        <f t="shared" si="14"/>
        <v>40</v>
      </c>
      <c r="H76" s="163">
        <f t="shared" si="14"/>
        <v>49</v>
      </c>
      <c r="I76" s="163">
        <f t="shared" si="14"/>
        <v>60</v>
      </c>
      <c r="J76" s="135"/>
    </row>
    <row r="77" spans="1:11" ht="20.100000000000001" customHeight="1">
      <c r="A77" s="72" t="s">
        <v>151</v>
      </c>
      <c r="B77" s="9">
        <v>1180</v>
      </c>
      <c r="C77" s="162">
        <v>10</v>
      </c>
      <c r="D77" s="162">
        <f>ROUND(D76*18%,0)</f>
        <v>8</v>
      </c>
      <c r="E77" s="162">
        <v>9</v>
      </c>
      <c r="F77" s="162"/>
      <c r="G77" s="162"/>
      <c r="H77" s="217"/>
      <c r="I77" s="217">
        <f>ROUND(I76*18%,0)</f>
        <v>11</v>
      </c>
      <c r="J77" s="209"/>
    </row>
    <row r="78" spans="1:11" ht="37.5">
      <c r="A78" s="72" t="s">
        <v>152</v>
      </c>
      <c r="B78" s="9">
        <v>1190</v>
      </c>
      <c r="C78" s="162"/>
      <c r="D78" s="162"/>
      <c r="E78" s="217"/>
      <c r="F78" s="162"/>
      <c r="G78" s="162"/>
      <c r="H78" s="162"/>
      <c r="I78" s="162"/>
      <c r="J78" s="134"/>
    </row>
    <row r="79" spans="1:11" s="5" customFormat="1" ht="37.5">
      <c r="A79" s="153" t="s">
        <v>107</v>
      </c>
      <c r="B79" s="11">
        <v>1200</v>
      </c>
      <c r="C79" s="163">
        <f t="shared" ref="C79:I79" si="15">C76-C77-C78</f>
        <v>22</v>
      </c>
      <c r="D79" s="163">
        <f t="shared" si="15"/>
        <v>35</v>
      </c>
      <c r="E79" s="163">
        <f t="shared" si="15"/>
        <v>43</v>
      </c>
      <c r="F79" s="163">
        <f t="shared" si="15"/>
        <v>18</v>
      </c>
      <c r="G79" s="163">
        <f t="shared" si="15"/>
        <v>40</v>
      </c>
      <c r="H79" s="163">
        <f t="shared" si="15"/>
        <v>49</v>
      </c>
      <c r="I79" s="163">
        <f t="shared" si="15"/>
        <v>49</v>
      </c>
      <c r="J79" s="301"/>
    </row>
    <row r="80" spans="1:11" ht="20.100000000000001" customHeight="1">
      <c r="A80" s="72" t="s">
        <v>24</v>
      </c>
      <c r="B80" s="6">
        <v>1201</v>
      </c>
      <c r="C80" s="163">
        <f>SUMIF(C79,"&gt;0")</f>
        <v>22</v>
      </c>
      <c r="D80" s="163">
        <f t="shared" ref="D80:I80" si="16">SUMIF(D79,"&gt;0")</f>
        <v>35</v>
      </c>
      <c r="E80" s="241">
        <f t="shared" si="16"/>
        <v>43</v>
      </c>
      <c r="F80" s="163">
        <f t="shared" si="16"/>
        <v>18</v>
      </c>
      <c r="G80" s="163">
        <f t="shared" si="16"/>
        <v>40</v>
      </c>
      <c r="H80" s="163">
        <f t="shared" si="16"/>
        <v>49</v>
      </c>
      <c r="I80" s="163">
        <f t="shared" si="16"/>
        <v>49</v>
      </c>
      <c r="J80" s="134"/>
    </row>
    <row r="81" spans="1:12" ht="20.100000000000001" customHeight="1">
      <c r="A81" s="72" t="s">
        <v>25</v>
      </c>
      <c r="B81" s="6">
        <v>1202</v>
      </c>
      <c r="C81" s="163">
        <f>SUMIF(C79,"&lt;0")</f>
        <v>0</v>
      </c>
      <c r="D81" s="163">
        <f t="shared" ref="D81:I81" si="17">SUMIF(D79,"&lt;0")</f>
        <v>0</v>
      </c>
      <c r="E81" s="241">
        <f t="shared" si="17"/>
        <v>0</v>
      </c>
      <c r="F81" s="163">
        <f t="shared" si="17"/>
        <v>0</v>
      </c>
      <c r="G81" s="163">
        <f t="shared" si="17"/>
        <v>0</v>
      </c>
      <c r="H81" s="163">
        <f t="shared" si="17"/>
        <v>0</v>
      </c>
      <c r="I81" s="163">
        <f t="shared" si="17"/>
        <v>0</v>
      </c>
      <c r="J81" s="134"/>
    </row>
    <row r="82" spans="1:12" ht="19.5" customHeight="1">
      <c r="A82" s="72" t="s">
        <v>262</v>
      </c>
      <c r="B82" s="9">
        <v>1210</v>
      </c>
      <c r="C82" s="162"/>
      <c r="D82" s="162"/>
      <c r="E82" s="217"/>
      <c r="F82" s="162"/>
      <c r="G82" s="162"/>
      <c r="H82" s="162"/>
      <c r="I82" s="162"/>
      <c r="J82" s="134"/>
    </row>
    <row r="83" spans="1:12" s="5" customFormat="1" ht="20.100000000000001" customHeight="1">
      <c r="A83" s="399" t="s">
        <v>304</v>
      </c>
      <c r="B83" s="400"/>
      <c r="C83" s="400"/>
      <c r="D83" s="400"/>
      <c r="E83" s="400"/>
      <c r="F83" s="400"/>
      <c r="G83" s="400"/>
      <c r="H83" s="400"/>
      <c r="I83" s="400"/>
      <c r="J83" s="401"/>
    </row>
    <row r="84" spans="1:12" ht="42.75" customHeight="1">
      <c r="A84" s="71" t="s">
        <v>284</v>
      </c>
      <c r="B84" s="6">
        <v>1300</v>
      </c>
      <c r="C84" s="163">
        <f t="shared" ref="C84:I84" si="18">C20-C56</f>
        <v>6396</v>
      </c>
      <c r="D84" s="163">
        <f t="shared" si="18"/>
        <v>6418</v>
      </c>
      <c r="E84" s="241">
        <f t="shared" si="18"/>
        <v>7579</v>
      </c>
      <c r="F84" s="163">
        <f t="shared" si="18"/>
        <v>3488</v>
      </c>
      <c r="G84" s="163">
        <f t="shared" si="18"/>
        <v>6921</v>
      </c>
      <c r="H84" s="163">
        <f t="shared" si="18"/>
        <v>10195</v>
      </c>
      <c r="I84" s="163">
        <f t="shared" si="18"/>
        <v>15163</v>
      </c>
      <c r="J84" s="134"/>
    </row>
    <row r="85" spans="1:12" ht="75">
      <c r="A85" s="72" t="s">
        <v>278</v>
      </c>
      <c r="B85" s="6">
        <v>1310</v>
      </c>
      <c r="C85" s="163">
        <f t="shared" ref="C85:I85" si="19">C66+C67-C68-C69</f>
        <v>0</v>
      </c>
      <c r="D85" s="163">
        <f t="shared" si="19"/>
        <v>0</v>
      </c>
      <c r="E85" s="241">
        <f t="shared" si="19"/>
        <v>0</v>
      </c>
      <c r="F85" s="163">
        <f t="shared" si="19"/>
        <v>0</v>
      </c>
      <c r="G85" s="163">
        <f t="shared" si="19"/>
        <v>0</v>
      </c>
      <c r="H85" s="163">
        <f t="shared" si="19"/>
        <v>0</v>
      </c>
      <c r="I85" s="163">
        <f t="shared" si="19"/>
        <v>0</v>
      </c>
      <c r="J85" s="134"/>
    </row>
    <row r="86" spans="1:12" ht="42.75" customHeight="1">
      <c r="A86" s="71" t="s">
        <v>279</v>
      </c>
      <c r="B86" s="6">
        <v>1320</v>
      </c>
      <c r="C86" s="163">
        <f>C70-C74</f>
        <v>246</v>
      </c>
      <c r="D86" s="163">
        <f t="shared" ref="D86:I86" si="20">D70-D74</f>
        <v>316</v>
      </c>
      <c r="E86" s="241">
        <f t="shared" si="20"/>
        <v>553</v>
      </c>
      <c r="F86" s="163">
        <f t="shared" si="20"/>
        <v>0</v>
      </c>
      <c r="G86" s="163">
        <f t="shared" si="20"/>
        <v>73</v>
      </c>
      <c r="H86" s="163">
        <f t="shared" si="20"/>
        <v>109</v>
      </c>
      <c r="I86" s="163">
        <f t="shared" si="20"/>
        <v>146</v>
      </c>
      <c r="J86" s="134"/>
    </row>
    <row r="87" spans="1:12" ht="56.25">
      <c r="A87" s="8" t="s">
        <v>360</v>
      </c>
      <c r="B87" s="9">
        <v>1330</v>
      </c>
      <c r="C87" s="163">
        <f t="shared" ref="C87" si="21">C7+C20+C66+C67+C70</f>
        <v>8795</v>
      </c>
      <c r="D87" s="163">
        <f t="shared" ref="D87:I87" si="22">D7+D20+D66+D67+D70</f>
        <v>8826</v>
      </c>
      <c r="E87" s="241">
        <f t="shared" si="22"/>
        <v>12425</v>
      </c>
      <c r="F87" s="163">
        <f t="shared" si="22"/>
        <v>3725</v>
      </c>
      <c r="G87" s="163">
        <f t="shared" si="22"/>
        <v>8272</v>
      </c>
      <c r="H87" s="163">
        <f t="shared" si="22"/>
        <v>12389</v>
      </c>
      <c r="I87" s="163">
        <f t="shared" si="22"/>
        <v>18470</v>
      </c>
      <c r="J87" s="134"/>
    </row>
    <row r="88" spans="1:12" ht="75">
      <c r="A88" s="8" t="s">
        <v>361</v>
      </c>
      <c r="B88" s="9">
        <v>1340</v>
      </c>
      <c r="C88" s="163">
        <f t="shared" ref="C88" si="23">C9+C24+C49+C56+C68+C69+C74+C77+C78</f>
        <v>8773</v>
      </c>
      <c r="D88" s="163">
        <f t="shared" ref="D88:I88" si="24">D9+D24+D49+D56+D68+D69+D74+D77+D78</f>
        <v>8791</v>
      </c>
      <c r="E88" s="241">
        <f t="shared" si="24"/>
        <v>12382</v>
      </c>
      <c r="F88" s="163">
        <f t="shared" si="24"/>
        <v>3707</v>
      </c>
      <c r="G88" s="163">
        <f t="shared" si="24"/>
        <v>8232</v>
      </c>
      <c r="H88" s="163">
        <f t="shared" si="24"/>
        <v>12340</v>
      </c>
      <c r="I88" s="163">
        <f t="shared" si="24"/>
        <v>18421</v>
      </c>
      <c r="J88" s="288"/>
      <c r="K88" s="249"/>
      <c r="L88" s="249"/>
    </row>
    <row r="89" spans="1:12" ht="20.100000000000001" customHeight="1">
      <c r="A89" s="399" t="s">
        <v>181</v>
      </c>
      <c r="B89" s="400"/>
      <c r="C89" s="400"/>
      <c r="D89" s="400"/>
      <c r="E89" s="400"/>
      <c r="F89" s="400"/>
      <c r="G89" s="400"/>
      <c r="H89" s="400"/>
      <c r="I89" s="400"/>
      <c r="J89" s="401"/>
    </row>
    <row r="90" spans="1:12" ht="37.5">
      <c r="A90" s="8" t="s">
        <v>280</v>
      </c>
      <c r="B90" s="9">
        <v>1400</v>
      </c>
      <c r="C90" s="163">
        <v>-460</v>
      </c>
      <c r="D90" s="163">
        <f t="shared" ref="D90:I90" si="25">D65</f>
        <v>-273</v>
      </c>
      <c r="E90" s="241">
        <f t="shared" si="25"/>
        <v>-501</v>
      </c>
      <c r="F90" s="163">
        <f t="shared" si="25"/>
        <v>18</v>
      </c>
      <c r="G90" s="163">
        <f t="shared" si="25"/>
        <v>-33</v>
      </c>
      <c r="H90" s="163">
        <f t="shared" si="25"/>
        <v>-60</v>
      </c>
      <c r="I90" s="163">
        <f t="shared" si="25"/>
        <v>-86</v>
      </c>
      <c r="J90" s="134"/>
    </row>
    <row r="91" spans="1:12">
      <c r="A91" s="8" t="s">
        <v>281</v>
      </c>
      <c r="B91" s="9">
        <v>1401</v>
      </c>
      <c r="C91" s="163">
        <v>246</v>
      </c>
      <c r="D91" s="163">
        <f t="shared" ref="D91:I91" si="26">D102</f>
        <v>299</v>
      </c>
      <c r="E91" s="241">
        <f t="shared" si="26"/>
        <v>796</v>
      </c>
      <c r="F91" s="163">
        <f t="shared" si="26"/>
        <v>212</v>
      </c>
      <c r="G91" s="163">
        <f t="shared" si="26"/>
        <v>245</v>
      </c>
      <c r="H91" s="163">
        <f t="shared" si="26"/>
        <v>295</v>
      </c>
      <c r="I91" s="163">
        <f t="shared" si="26"/>
        <v>341</v>
      </c>
      <c r="J91" s="134"/>
    </row>
    <row r="92" spans="1:12" ht="38.25" customHeight="1">
      <c r="A92" s="8" t="s">
        <v>282</v>
      </c>
      <c r="B92" s="9">
        <v>1402</v>
      </c>
      <c r="C92" s="163">
        <f>C23</f>
        <v>0</v>
      </c>
      <c r="D92" s="163">
        <f t="shared" ref="D92:I92" si="27">D23</f>
        <v>0</v>
      </c>
      <c r="E92" s="241">
        <f t="shared" si="27"/>
        <v>0</v>
      </c>
      <c r="F92" s="163">
        <f t="shared" si="27"/>
        <v>0</v>
      </c>
      <c r="G92" s="163">
        <f t="shared" si="27"/>
        <v>0</v>
      </c>
      <c r="H92" s="163">
        <f t="shared" si="27"/>
        <v>0</v>
      </c>
      <c r="I92" s="163">
        <f t="shared" si="27"/>
        <v>0</v>
      </c>
      <c r="J92" s="134"/>
    </row>
    <row r="93" spans="1:12" ht="35.25" customHeight="1">
      <c r="A93" s="8" t="s">
        <v>283</v>
      </c>
      <c r="B93" s="9">
        <v>1403</v>
      </c>
      <c r="C93" s="163">
        <f>C60</f>
        <v>0</v>
      </c>
      <c r="D93" s="163">
        <f t="shared" ref="D93:I93" si="28">D60</f>
        <v>0</v>
      </c>
      <c r="E93" s="241">
        <f t="shared" si="28"/>
        <v>0</v>
      </c>
      <c r="F93" s="163">
        <f t="shared" si="28"/>
        <v>0</v>
      </c>
      <c r="G93" s="163">
        <f t="shared" si="28"/>
        <v>0</v>
      </c>
      <c r="H93" s="163">
        <f t="shared" si="28"/>
        <v>0</v>
      </c>
      <c r="I93" s="163">
        <f t="shared" si="28"/>
        <v>0</v>
      </c>
      <c r="J93" s="134"/>
    </row>
    <row r="94" spans="1:12" ht="38.25" customHeight="1">
      <c r="A94" s="8" t="s">
        <v>346</v>
      </c>
      <c r="B94" s="9">
        <v>1404</v>
      </c>
      <c r="C94" s="162"/>
      <c r="D94" s="162"/>
      <c r="E94" s="217"/>
      <c r="F94" s="162"/>
      <c r="G94" s="162"/>
      <c r="H94" s="162"/>
      <c r="I94" s="162"/>
      <c r="J94" s="134"/>
    </row>
    <row r="95" spans="1:12" s="5" customFormat="1" ht="20.100000000000001" customHeight="1">
      <c r="A95" s="10" t="s">
        <v>155</v>
      </c>
      <c r="B95" s="73">
        <v>1410</v>
      </c>
      <c r="C95" s="164">
        <f>C90+C91-C92+C93</f>
        <v>-214</v>
      </c>
      <c r="D95" s="164">
        <f t="shared" ref="D95:I95" si="29">D90+D91-D92+D93</f>
        <v>26</v>
      </c>
      <c r="E95" s="242">
        <f t="shared" si="29"/>
        <v>295</v>
      </c>
      <c r="F95" s="164">
        <f t="shared" si="29"/>
        <v>230</v>
      </c>
      <c r="G95" s="164">
        <f t="shared" si="29"/>
        <v>212</v>
      </c>
      <c r="H95" s="164">
        <f t="shared" si="29"/>
        <v>235</v>
      </c>
      <c r="I95" s="164">
        <f t="shared" si="29"/>
        <v>255</v>
      </c>
      <c r="J95" s="135"/>
    </row>
    <row r="96" spans="1:12" ht="20.100000000000001" customHeight="1">
      <c r="A96" s="399" t="s">
        <v>249</v>
      </c>
      <c r="B96" s="400"/>
      <c r="C96" s="400"/>
      <c r="D96" s="400"/>
      <c r="E96" s="400"/>
      <c r="F96" s="400"/>
      <c r="G96" s="400"/>
      <c r="H96" s="400"/>
      <c r="I96" s="400"/>
      <c r="J96" s="401"/>
    </row>
    <row r="97" spans="1:14" ht="20.100000000000001" customHeight="1">
      <c r="A97" s="8" t="s">
        <v>305</v>
      </c>
      <c r="B97" s="74">
        <v>1500</v>
      </c>
      <c r="C97" s="162">
        <v>1076</v>
      </c>
      <c r="D97" s="162">
        <f t="shared" ref="D97:H97" si="30">D99</f>
        <v>1594</v>
      </c>
      <c r="E97" s="162">
        <f t="shared" si="30"/>
        <v>1594</v>
      </c>
      <c r="F97" s="162">
        <f t="shared" si="30"/>
        <v>608</v>
      </c>
      <c r="G97" s="162">
        <f t="shared" si="30"/>
        <v>1217</v>
      </c>
      <c r="H97" s="162">
        <f t="shared" si="30"/>
        <v>1826</v>
      </c>
      <c r="I97" s="162">
        <v>3270</v>
      </c>
      <c r="J97" s="134"/>
    </row>
    <row r="98" spans="1:14" ht="20.100000000000001" customHeight="1">
      <c r="A98" s="8" t="s">
        <v>303</v>
      </c>
      <c r="B98" s="7">
        <v>1501</v>
      </c>
      <c r="C98" s="162"/>
      <c r="D98" s="162"/>
      <c r="E98" s="162"/>
      <c r="F98" s="162"/>
      <c r="G98" s="162"/>
      <c r="H98" s="162"/>
      <c r="I98" s="162"/>
      <c r="J98" s="134"/>
    </row>
    <row r="99" spans="1:14">
      <c r="A99" s="8" t="s">
        <v>28</v>
      </c>
      <c r="B99" s="7">
        <v>1502</v>
      </c>
      <c r="C99" s="217">
        <v>1076</v>
      </c>
      <c r="D99" s="217">
        <f>D11+D12+D110</f>
        <v>1594</v>
      </c>
      <c r="E99" s="217">
        <f>E11+E12+E110</f>
        <v>1594</v>
      </c>
      <c r="F99" s="217">
        <f>F11+F12+F109</f>
        <v>608</v>
      </c>
      <c r="G99" s="217">
        <f>G11+G12+G109</f>
        <v>1217</v>
      </c>
      <c r="H99" s="217">
        <f>H11+H12+H109</f>
        <v>1826</v>
      </c>
      <c r="I99" s="217">
        <v>3270</v>
      </c>
      <c r="J99" s="288"/>
      <c r="K99" s="295"/>
    </row>
    <row r="100" spans="1:14" ht="20.100000000000001" customHeight="1">
      <c r="A100" s="8" t="s">
        <v>5</v>
      </c>
      <c r="B100" s="74">
        <v>1510</v>
      </c>
      <c r="C100" s="217">
        <v>4898</v>
      </c>
      <c r="D100" s="217">
        <f t="shared" ref="D100:E100" si="31">D13+D32</f>
        <v>4590</v>
      </c>
      <c r="E100" s="217">
        <f t="shared" si="31"/>
        <v>6650</v>
      </c>
      <c r="F100" s="217">
        <v>2168</v>
      </c>
      <c r="G100" s="217">
        <f t="shared" ref="G100:H101" si="32">G13+G32</f>
        <v>4337</v>
      </c>
      <c r="H100" s="217">
        <f t="shared" si="32"/>
        <v>6506</v>
      </c>
      <c r="I100" s="217">
        <v>8675</v>
      </c>
      <c r="J100" s="265"/>
      <c r="K100" s="255">
        <f>штатка!W71/1000</f>
        <v>2168.6331</v>
      </c>
      <c r="L100" s="255">
        <f>штатка!X71/1000</f>
        <v>4337.2662</v>
      </c>
      <c r="M100" s="255">
        <f>штатка!Y71/1000</f>
        <v>6505.8993</v>
      </c>
      <c r="N100" s="255">
        <f>штатка!Z71/1000</f>
        <v>8674.5324000000001</v>
      </c>
    </row>
    <row r="101" spans="1:14" ht="20.100000000000001" customHeight="1">
      <c r="A101" s="8" t="s">
        <v>6</v>
      </c>
      <c r="B101" s="74">
        <v>1520</v>
      </c>
      <c r="C101" s="217">
        <v>1011</v>
      </c>
      <c r="D101" s="217">
        <f>D14+D33</f>
        <v>936</v>
      </c>
      <c r="E101" s="217">
        <f>E14+E33</f>
        <v>1404</v>
      </c>
      <c r="F101" s="217">
        <f>F14+F33</f>
        <v>461</v>
      </c>
      <c r="G101" s="217">
        <f t="shared" si="32"/>
        <v>920</v>
      </c>
      <c r="H101" s="217">
        <f t="shared" si="32"/>
        <v>1383</v>
      </c>
      <c r="I101" s="217">
        <v>1843</v>
      </c>
      <c r="J101" s="265"/>
      <c r="K101" s="255">
        <f>штатка!W72/1000</f>
        <v>460.77742019999999</v>
      </c>
      <c r="L101" s="255">
        <f>штатка!X72/1000</f>
        <v>921.45046920000004</v>
      </c>
      <c r="M101" s="255">
        <f>штатка!Y72/1000</f>
        <v>1382.1757038000001</v>
      </c>
      <c r="N101" s="255">
        <f>штатка!Z72/1000</f>
        <v>1842.9009384000001</v>
      </c>
    </row>
    <row r="102" spans="1:14">
      <c r="A102" s="8" t="s">
        <v>7</v>
      </c>
      <c r="B102" s="74">
        <v>1530</v>
      </c>
      <c r="C102" s="217">
        <v>299</v>
      </c>
      <c r="D102" s="217">
        <f>D16+D34+D53+31</f>
        <v>299</v>
      </c>
      <c r="E102" s="217">
        <f>E16+E34+E53+31</f>
        <v>796</v>
      </c>
      <c r="F102" s="217">
        <f>F16+F34+F53+7</f>
        <v>212</v>
      </c>
      <c r="G102" s="217">
        <f>G16+G34+G53</f>
        <v>245</v>
      </c>
      <c r="H102" s="217">
        <f>H16+H34+H53</f>
        <v>295</v>
      </c>
      <c r="I102" s="217">
        <f>I16+I34+I53+31</f>
        <v>341</v>
      </c>
      <c r="J102" s="265"/>
      <c r="K102" s="249">
        <f>F101-F118</f>
        <v>0.36186180000004242</v>
      </c>
      <c r="L102" s="249">
        <f>G101-G118</f>
        <v>-1.3919051999999965</v>
      </c>
      <c r="M102" s="249">
        <f>H101-H118</f>
        <v>0.80214219999993475</v>
      </c>
      <c r="N102" s="249">
        <f>I101-I118</f>
        <v>-3.8104000000203087E-3</v>
      </c>
    </row>
    <row r="103" spans="1:14" ht="20.100000000000001" customHeight="1">
      <c r="A103" s="8" t="s">
        <v>29</v>
      </c>
      <c r="B103" s="74">
        <v>1540</v>
      </c>
      <c r="C103" s="217">
        <v>1479</v>
      </c>
      <c r="D103" s="217">
        <f t="shared" ref="D103:E103" si="33">D88-D97-D100-D101-D102-D77</f>
        <v>1364</v>
      </c>
      <c r="E103" s="217">
        <f t="shared" si="33"/>
        <v>1929</v>
      </c>
      <c r="F103" s="217">
        <f>F88-F97-F100-F101-F102-F77</f>
        <v>258</v>
      </c>
      <c r="G103" s="217">
        <f t="shared" ref="G103:H103" si="34">G88-G97-G100-G101-G102-G77</f>
        <v>1513</v>
      </c>
      <c r="H103" s="217">
        <f t="shared" si="34"/>
        <v>2330</v>
      </c>
      <c r="I103" s="217">
        <f>I88-I97-I100-I101-I102-I77</f>
        <v>4281</v>
      </c>
      <c r="J103" s="228"/>
    </row>
    <row r="104" spans="1:14" s="5" customFormat="1" ht="20.100000000000001" customHeight="1">
      <c r="A104" s="10" t="s">
        <v>60</v>
      </c>
      <c r="B104" s="73">
        <v>1550</v>
      </c>
      <c r="C104" s="164">
        <f t="shared" ref="C104:I104" si="35">SUM(C97,C100:C103)</f>
        <v>8763</v>
      </c>
      <c r="D104" s="164">
        <f t="shared" si="35"/>
        <v>8783</v>
      </c>
      <c r="E104" s="242">
        <f>SUM(E97,E100:E103)</f>
        <v>12373</v>
      </c>
      <c r="F104" s="164">
        <f t="shared" si="35"/>
        <v>3707</v>
      </c>
      <c r="G104" s="164">
        <f t="shared" si="35"/>
        <v>8232</v>
      </c>
      <c r="H104" s="164">
        <f t="shared" si="35"/>
        <v>12340</v>
      </c>
      <c r="I104" s="164">
        <f t="shared" si="35"/>
        <v>18410</v>
      </c>
      <c r="J104" s="135"/>
    </row>
    <row r="105" spans="1:14" s="208" customFormat="1" ht="16.5" customHeight="1">
      <c r="A105" s="205"/>
      <c r="B105" s="206"/>
      <c r="C105" s="207"/>
      <c r="D105" s="128"/>
      <c r="E105" s="234"/>
      <c r="F105" s="230"/>
      <c r="G105" s="230"/>
      <c r="H105" s="230"/>
      <c r="I105" s="230"/>
      <c r="J105" s="108"/>
    </row>
    <row r="106" spans="1:14" s="5" customFormat="1" ht="20.25" customHeight="1">
      <c r="A106" s="167" t="s">
        <v>398</v>
      </c>
      <c r="B106" s="141"/>
      <c r="C106" s="404" t="s">
        <v>399</v>
      </c>
      <c r="D106" s="405"/>
      <c r="E106" s="405"/>
      <c r="F106" s="172"/>
      <c r="G106" s="406" t="s">
        <v>543</v>
      </c>
      <c r="H106" s="406"/>
      <c r="I106" s="406"/>
      <c r="J106" s="132"/>
    </row>
    <row r="107" spans="1:14" s="1" customFormat="1" ht="20.100000000000001" customHeight="1">
      <c r="A107" s="95" t="s">
        <v>378</v>
      </c>
      <c r="B107" s="108"/>
      <c r="C107" s="396" t="s">
        <v>84</v>
      </c>
      <c r="D107" s="396"/>
      <c r="E107" s="396"/>
      <c r="F107" s="131"/>
      <c r="G107" s="397" t="s">
        <v>115</v>
      </c>
      <c r="H107" s="397"/>
      <c r="I107" s="397"/>
      <c r="J107" s="133"/>
    </row>
    <row r="108" spans="1:14" ht="20.100000000000001" customHeight="1">
      <c r="A108" s="213"/>
      <c r="B108" s="214"/>
      <c r="C108" s="215">
        <f t="shared" ref="C108:I108" si="36">C104+C77</f>
        <v>8773</v>
      </c>
      <c r="D108" s="296">
        <f t="shared" si="36"/>
        <v>8791</v>
      </c>
      <c r="E108" s="296">
        <f t="shared" si="36"/>
        <v>12382</v>
      </c>
      <c r="F108" s="296">
        <f t="shared" si="36"/>
        <v>3707</v>
      </c>
      <c r="G108" s="296">
        <f t="shared" si="36"/>
        <v>8232</v>
      </c>
      <c r="H108" s="296">
        <f t="shared" si="36"/>
        <v>12340</v>
      </c>
      <c r="I108" s="296">
        <f t="shared" si="36"/>
        <v>18421</v>
      </c>
      <c r="J108" s="108"/>
    </row>
    <row r="109" spans="1:14">
      <c r="A109" s="213"/>
      <c r="B109" s="214"/>
      <c r="C109" s="215"/>
      <c r="D109" s="128"/>
      <c r="E109" s="235"/>
      <c r="F109" s="128"/>
      <c r="G109" s="128"/>
      <c r="H109" s="128"/>
      <c r="I109" s="128"/>
      <c r="J109" s="108"/>
    </row>
    <row r="110" spans="1:14">
      <c r="A110" s="213"/>
      <c r="B110" s="235" t="s">
        <v>457</v>
      </c>
      <c r="C110" s="215">
        <f>C25-C111</f>
        <v>225</v>
      </c>
      <c r="D110" s="298">
        <f>D25-D111</f>
        <v>219</v>
      </c>
      <c r="E110" s="239">
        <v>219</v>
      </c>
      <c r="F110" s="128">
        <v>27</v>
      </c>
      <c r="G110" s="128">
        <v>111</v>
      </c>
      <c r="H110" s="128">
        <v>152</v>
      </c>
      <c r="I110" s="243">
        <v>219</v>
      </c>
      <c r="J110" s="230"/>
    </row>
    <row r="111" spans="1:14" ht="37.5">
      <c r="A111" s="213"/>
      <c r="B111" s="235" t="s">
        <v>213</v>
      </c>
      <c r="C111" s="215">
        <v>25</v>
      </c>
      <c r="D111" s="128">
        <v>31</v>
      </c>
      <c r="E111" s="239">
        <v>31</v>
      </c>
      <c r="F111" s="128">
        <v>7</v>
      </c>
      <c r="G111" s="128">
        <v>17</v>
      </c>
      <c r="H111" s="128">
        <v>22</v>
      </c>
      <c r="I111" s="243">
        <v>31</v>
      </c>
      <c r="J111" s="108"/>
    </row>
    <row r="112" spans="1:14">
      <c r="A112" s="213"/>
      <c r="B112" s="235" t="s">
        <v>456</v>
      </c>
      <c r="C112" s="215"/>
      <c r="D112" s="128"/>
      <c r="F112" s="128">
        <f>F110+F111</f>
        <v>34</v>
      </c>
      <c r="G112" s="243">
        <f t="shared" ref="G112:I112" si="37">G110+G111</f>
        <v>128</v>
      </c>
      <c r="H112" s="243">
        <f t="shared" si="37"/>
        <v>174</v>
      </c>
      <c r="I112" s="243">
        <f t="shared" si="37"/>
        <v>250</v>
      </c>
      <c r="J112" s="108"/>
    </row>
    <row r="113" spans="1:10">
      <c r="A113" s="213"/>
      <c r="B113" s="235" t="s">
        <v>458</v>
      </c>
      <c r="C113" s="215"/>
      <c r="D113" s="128"/>
      <c r="F113" s="229">
        <f t="shared" ref="F113:H113" si="38">F25</f>
        <v>75</v>
      </c>
      <c r="G113" s="248">
        <f t="shared" si="38"/>
        <v>150</v>
      </c>
      <c r="H113" s="248">
        <f t="shared" si="38"/>
        <v>225</v>
      </c>
      <c r="I113" s="248">
        <f>I25</f>
        <v>300</v>
      </c>
      <c r="J113" s="108"/>
    </row>
    <row r="114" spans="1:10">
      <c r="A114" s="213"/>
      <c r="B114" s="214"/>
      <c r="C114" s="215"/>
      <c r="D114" s="128"/>
      <c r="E114" s="233"/>
      <c r="F114" s="108"/>
      <c r="G114" s="108"/>
      <c r="H114" s="108"/>
      <c r="I114" s="108"/>
      <c r="J114" s="108"/>
    </row>
    <row r="115" spans="1:10">
      <c r="A115" s="213"/>
      <c r="B115" s="214"/>
      <c r="C115" s="215"/>
      <c r="D115" s="128"/>
      <c r="E115" s="233"/>
      <c r="F115" s="108"/>
      <c r="G115" s="108"/>
      <c r="H115" s="108"/>
      <c r="I115" s="108"/>
      <c r="J115" s="108"/>
    </row>
    <row r="116" spans="1:10">
      <c r="A116" s="213"/>
      <c r="B116" s="214"/>
      <c r="C116" s="215"/>
      <c r="D116" s="128"/>
      <c r="E116" s="233"/>
      <c r="F116" s="108"/>
      <c r="G116" s="108"/>
      <c r="H116" s="108"/>
      <c r="I116" s="108"/>
      <c r="J116" s="108"/>
    </row>
    <row r="117" spans="1:10">
      <c r="A117" s="213"/>
      <c r="B117" s="214"/>
      <c r="C117" s="215"/>
      <c r="D117" s="128"/>
      <c r="E117" s="236" t="s">
        <v>429</v>
      </c>
      <c r="F117" s="210">
        <f>(штатка!W68+штатка!W69)/1000</f>
        <v>120.102</v>
      </c>
      <c r="G117" s="210">
        <f>(штатка!X68+штатка!X69)/1000</f>
        <v>240.97200000000001</v>
      </c>
      <c r="H117" s="210">
        <f>(штатка!Y68+штатка!Y69)/1000</f>
        <v>361.45800000000003</v>
      </c>
      <c r="I117" s="210">
        <f>(штатка!Z68+штатка!Z69)/1000</f>
        <v>481.94400000000002</v>
      </c>
      <c r="J117" s="108"/>
    </row>
    <row r="118" spans="1:10">
      <c r="A118" s="213"/>
      <c r="B118" s="214"/>
      <c r="C118" s="215"/>
      <c r="D118" s="128"/>
      <c r="E118" s="236" t="s">
        <v>430</v>
      </c>
      <c r="F118" s="212">
        <f>(F100-F117)*22%+F117*8.41%</f>
        <v>460.63813819999996</v>
      </c>
      <c r="G118" s="212">
        <f>(G100-G117)*22%+G117*8.41%</f>
        <v>921.3919052</v>
      </c>
      <c r="H118" s="212">
        <f>(H100-H117)*22%+H117*8.41%</f>
        <v>1382.1978578000001</v>
      </c>
      <c r="I118" s="212">
        <f>(I100-I117)*22%+I117*8.41%</f>
        <v>1843.0038104</v>
      </c>
      <c r="J118" s="108"/>
    </row>
    <row r="119" spans="1:10">
      <c r="A119" s="213"/>
      <c r="B119" s="214"/>
      <c r="C119" s="215"/>
      <c r="D119" s="128"/>
      <c r="E119" s="237" t="s">
        <v>431</v>
      </c>
      <c r="F119" s="211">
        <f>F100*18%</f>
        <v>390.24</v>
      </c>
      <c r="G119" s="211">
        <f>G100*18%</f>
        <v>780.66</v>
      </c>
      <c r="H119" s="211">
        <f>H100*18%</f>
        <v>1171.08</v>
      </c>
      <c r="I119" s="211">
        <f>I100*18%</f>
        <v>1561.5</v>
      </c>
      <c r="J119" s="108"/>
    </row>
    <row r="120" spans="1:10">
      <c r="A120" s="213"/>
      <c r="B120" s="214"/>
      <c r="C120" s="215"/>
      <c r="D120" s="128"/>
      <c r="E120" s="237" t="s">
        <v>432</v>
      </c>
      <c r="F120" s="211">
        <f>F100*1.5%</f>
        <v>32.519999999999996</v>
      </c>
      <c r="G120" s="211">
        <f>G100*1.5%</f>
        <v>65.054999999999993</v>
      </c>
      <c r="H120" s="211">
        <f>H100*1.5%</f>
        <v>97.59</v>
      </c>
      <c r="I120" s="211">
        <f>I100*1.5%</f>
        <v>130.125</v>
      </c>
      <c r="J120" s="108"/>
    </row>
    <row r="121" spans="1:10">
      <c r="A121" s="213"/>
      <c r="B121" s="214"/>
      <c r="C121" s="215"/>
      <c r="D121" s="128"/>
      <c r="E121" s="235"/>
      <c r="F121" s="128"/>
      <c r="G121" s="128"/>
      <c r="H121" s="128"/>
      <c r="I121" s="128"/>
      <c r="J121" s="108"/>
    </row>
    <row r="122" spans="1:10">
      <c r="A122" s="213"/>
      <c r="B122" s="214"/>
      <c r="C122" s="215"/>
      <c r="D122" s="128"/>
      <c r="E122" s="235"/>
      <c r="F122" s="128"/>
      <c r="G122" s="128"/>
      <c r="H122" s="128"/>
      <c r="I122" s="128"/>
      <c r="J122" s="108"/>
    </row>
    <row r="123" spans="1:10">
      <c r="A123" s="213"/>
      <c r="B123" s="214"/>
      <c r="C123" s="215"/>
      <c r="D123" s="128"/>
      <c r="E123" s="235"/>
      <c r="F123" s="128"/>
      <c r="G123" s="128"/>
      <c r="H123" s="128"/>
      <c r="I123" s="128"/>
      <c r="J123" s="108"/>
    </row>
    <row r="124" spans="1:10">
      <c r="A124" s="213"/>
      <c r="B124" s="214"/>
      <c r="C124" s="215"/>
      <c r="D124" s="128"/>
      <c r="E124" s="235"/>
      <c r="F124" s="128"/>
      <c r="G124" s="128"/>
      <c r="H124" s="128"/>
      <c r="I124" s="128"/>
      <c r="J124" s="108"/>
    </row>
    <row r="125" spans="1:10">
      <c r="A125" s="27"/>
      <c r="C125" s="32"/>
      <c r="D125" s="28"/>
      <c r="E125" s="238"/>
      <c r="F125" s="28"/>
      <c r="G125" s="28"/>
      <c r="H125" s="28"/>
      <c r="I125" s="28"/>
    </row>
    <row r="126" spans="1:10">
      <c r="A126" s="27"/>
      <c r="C126" s="32"/>
      <c r="D126" s="28"/>
      <c r="E126" s="238"/>
      <c r="F126" s="28"/>
      <c r="G126" s="28"/>
      <c r="H126" s="28"/>
      <c r="I126" s="28"/>
    </row>
    <row r="127" spans="1:10">
      <c r="A127" s="27"/>
      <c r="C127" s="32"/>
      <c r="D127" s="28"/>
      <c r="E127" s="238"/>
      <c r="F127" s="28"/>
      <c r="G127" s="28"/>
      <c r="H127" s="28"/>
      <c r="I127" s="28"/>
    </row>
    <row r="128" spans="1:10">
      <c r="A128" s="27"/>
      <c r="C128" s="32"/>
      <c r="D128" s="28"/>
      <c r="E128" s="238"/>
      <c r="F128" s="28"/>
      <c r="G128" s="28"/>
      <c r="H128" s="28"/>
      <c r="I128" s="28"/>
    </row>
    <row r="129" spans="1:9">
      <c r="A129" s="27"/>
      <c r="C129" s="32"/>
      <c r="D129" s="28"/>
      <c r="E129" s="238"/>
      <c r="F129" s="28"/>
      <c r="G129" s="28"/>
      <c r="H129" s="28"/>
      <c r="I129" s="28"/>
    </row>
    <row r="130" spans="1:9">
      <c r="A130" s="27"/>
      <c r="C130" s="32"/>
      <c r="D130" s="28"/>
      <c r="E130" s="238"/>
      <c r="F130" s="28"/>
      <c r="G130" s="28"/>
      <c r="H130" s="28"/>
      <c r="I130" s="28"/>
    </row>
    <row r="131" spans="1:9">
      <c r="A131" s="27"/>
      <c r="C131" s="32"/>
      <c r="D131" s="28"/>
      <c r="E131" s="238"/>
      <c r="F131" s="28"/>
      <c r="G131" s="28"/>
      <c r="H131" s="28"/>
      <c r="I131" s="28"/>
    </row>
    <row r="132" spans="1:9">
      <c r="A132" s="27"/>
      <c r="C132" s="32"/>
      <c r="D132" s="28"/>
      <c r="E132" s="238"/>
      <c r="F132" s="28"/>
      <c r="G132" s="28"/>
      <c r="H132" s="28"/>
      <c r="I132" s="28"/>
    </row>
    <row r="133" spans="1:9">
      <c r="A133" s="27"/>
      <c r="C133" s="32"/>
      <c r="D133" s="28"/>
      <c r="E133" s="238"/>
      <c r="F133" s="28"/>
      <c r="G133" s="28"/>
      <c r="H133" s="28"/>
      <c r="I133" s="28"/>
    </row>
    <row r="134" spans="1:9">
      <c r="A134" s="27"/>
      <c r="C134" s="32"/>
      <c r="D134" s="28"/>
      <c r="E134" s="238"/>
      <c r="F134" s="28"/>
      <c r="G134" s="28"/>
      <c r="H134" s="28"/>
      <c r="I134" s="28"/>
    </row>
    <row r="135" spans="1:9">
      <c r="A135" s="27"/>
      <c r="C135" s="32"/>
      <c r="D135" s="28"/>
      <c r="E135" s="238"/>
      <c r="F135" s="28"/>
      <c r="G135" s="28"/>
      <c r="H135" s="28"/>
      <c r="I135" s="28"/>
    </row>
    <row r="136" spans="1:9">
      <c r="A136" s="27"/>
      <c r="C136" s="32"/>
      <c r="D136" s="28"/>
      <c r="E136" s="238"/>
      <c r="F136" s="28"/>
      <c r="G136" s="28"/>
      <c r="H136" s="28"/>
      <c r="I136" s="28"/>
    </row>
    <row r="137" spans="1:9">
      <c r="A137" s="27"/>
      <c r="C137" s="32"/>
      <c r="D137" s="28"/>
      <c r="E137" s="238"/>
      <c r="F137" s="28"/>
      <c r="G137" s="28"/>
      <c r="H137" s="28"/>
      <c r="I137" s="28"/>
    </row>
    <row r="138" spans="1:9">
      <c r="A138" s="27"/>
      <c r="C138" s="32"/>
      <c r="D138" s="28"/>
      <c r="E138" s="238"/>
      <c r="F138" s="28"/>
      <c r="G138" s="28"/>
      <c r="H138" s="28"/>
      <c r="I138" s="28"/>
    </row>
    <row r="139" spans="1:9">
      <c r="A139" s="27"/>
      <c r="C139" s="32"/>
      <c r="D139" s="28"/>
      <c r="E139" s="238"/>
      <c r="F139" s="28"/>
      <c r="G139" s="28"/>
      <c r="H139" s="28"/>
      <c r="I139" s="28"/>
    </row>
    <row r="140" spans="1:9">
      <c r="A140" s="27"/>
      <c r="C140" s="32"/>
      <c r="D140" s="28"/>
      <c r="E140" s="238"/>
      <c r="F140" s="28"/>
      <c r="G140" s="28"/>
      <c r="H140" s="28"/>
      <c r="I140" s="28"/>
    </row>
    <row r="141" spans="1:9">
      <c r="A141" s="27"/>
      <c r="C141" s="32"/>
      <c r="D141" s="28"/>
      <c r="E141" s="238"/>
      <c r="F141" s="28"/>
      <c r="G141" s="28"/>
      <c r="H141" s="28"/>
      <c r="I141" s="28"/>
    </row>
    <row r="142" spans="1:9">
      <c r="A142" s="27"/>
      <c r="C142" s="32"/>
      <c r="D142" s="28"/>
      <c r="E142" s="238"/>
      <c r="F142" s="28"/>
      <c r="G142" s="28"/>
      <c r="H142" s="28"/>
      <c r="I142" s="28"/>
    </row>
    <row r="143" spans="1:9">
      <c r="A143" s="27"/>
      <c r="C143" s="32"/>
      <c r="D143" s="28"/>
      <c r="E143" s="238"/>
      <c r="F143" s="28"/>
      <c r="G143" s="28"/>
      <c r="H143" s="28"/>
      <c r="I143" s="28"/>
    </row>
    <row r="144" spans="1:9">
      <c r="A144" s="27"/>
      <c r="C144" s="32"/>
      <c r="D144" s="28"/>
      <c r="E144" s="238"/>
      <c r="F144" s="28"/>
      <c r="G144" s="28"/>
      <c r="H144" s="28"/>
      <c r="I144" s="28"/>
    </row>
    <row r="145" spans="1:9">
      <c r="A145" s="27"/>
      <c r="C145" s="32"/>
      <c r="D145" s="28"/>
      <c r="E145" s="238"/>
      <c r="F145" s="28"/>
      <c r="G145" s="28"/>
      <c r="H145" s="28"/>
      <c r="I145" s="28"/>
    </row>
    <row r="146" spans="1:9">
      <c r="A146" s="27"/>
      <c r="C146" s="32"/>
      <c r="D146" s="28"/>
      <c r="E146" s="238"/>
      <c r="F146" s="28"/>
      <c r="G146" s="28"/>
      <c r="H146" s="28"/>
      <c r="I146" s="28"/>
    </row>
    <row r="147" spans="1:9">
      <c r="A147" s="27"/>
      <c r="C147" s="32"/>
      <c r="D147" s="28"/>
      <c r="E147" s="238"/>
      <c r="F147" s="28"/>
      <c r="G147" s="28"/>
      <c r="H147" s="28"/>
      <c r="I147" s="28"/>
    </row>
    <row r="148" spans="1:9">
      <c r="A148" s="27"/>
      <c r="C148" s="32"/>
      <c r="D148" s="28"/>
      <c r="E148" s="238"/>
      <c r="F148" s="28"/>
      <c r="G148" s="28"/>
      <c r="H148" s="28"/>
      <c r="I148" s="28"/>
    </row>
    <row r="149" spans="1:9">
      <c r="A149" s="27"/>
      <c r="C149" s="32"/>
      <c r="D149" s="28"/>
      <c r="E149" s="238"/>
      <c r="F149" s="28"/>
      <c r="G149" s="28"/>
      <c r="H149" s="28"/>
      <c r="I149" s="28"/>
    </row>
    <row r="150" spans="1:9">
      <c r="A150" s="27"/>
      <c r="C150" s="32"/>
      <c r="D150" s="28"/>
      <c r="E150" s="238"/>
      <c r="F150" s="28"/>
      <c r="G150" s="28"/>
      <c r="H150" s="28"/>
      <c r="I150" s="28"/>
    </row>
    <row r="151" spans="1:9">
      <c r="A151" s="27"/>
      <c r="C151" s="32"/>
      <c r="D151" s="28"/>
      <c r="E151" s="238"/>
      <c r="F151" s="28"/>
      <c r="G151" s="28"/>
      <c r="H151" s="28"/>
      <c r="I151" s="28"/>
    </row>
    <row r="152" spans="1:9">
      <c r="A152" s="27"/>
      <c r="C152" s="32"/>
      <c r="D152" s="28"/>
      <c r="E152" s="238"/>
      <c r="F152" s="28"/>
      <c r="G152" s="28"/>
      <c r="H152" s="28"/>
      <c r="I152" s="28"/>
    </row>
    <row r="153" spans="1:9">
      <c r="A153" s="27"/>
      <c r="C153" s="32"/>
      <c r="D153" s="28"/>
      <c r="E153" s="238"/>
      <c r="F153" s="28"/>
      <c r="G153" s="28"/>
      <c r="H153" s="28"/>
      <c r="I153" s="28"/>
    </row>
    <row r="154" spans="1:9">
      <c r="A154" s="27"/>
      <c r="C154" s="32"/>
      <c r="D154" s="28"/>
      <c r="E154" s="238"/>
      <c r="F154" s="28"/>
      <c r="G154" s="28"/>
      <c r="H154" s="28"/>
      <c r="I154" s="28"/>
    </row>
    <row r="155" spans="1:9">
      <c r="A155" s="27"/>
      <c r="C155" s="32"/>
      <c r="D155" s="28"/>
      <c r="E155" s="238"/>
      <c r="F155" s="28"/>
      <c r="G155" s="28"/>
      <c r="H155" s="28"/>
      <c r="I155" s="28"/>
    </row>
    <row r="156" spans="1:9">
      <c r="A156" s="27"/>
      <c r="C156" s="32"/>
      <c r="D156" s="28"/>
      <c r="E156" s="238"/>
      <c r="F156" s="28"/>
      <c r="G156" s="28"/>
      <c r="H156" s="28"/>
      <c r="I156" s="28"/>
    </row>
    <row r="157" spans="1:9">
      <c r="A157" s="27"/>
      <c r="C157" s="32"/>
      <c r="D157" s="28"/>
      <c r="E157" s="238"/>
      <c r="F157" s="28"/>
      <c r="G157" s="28"/>
      <c r="H157" s="28"/>
      <c r="I157" s="28"/>
    </row>
    <row r="158" spans="1:9">
      <c r="A158" s="27"/>
      <c r="C158" s="32"/>
      <c r="D158" s="28"/>
      <c r="E158" s="238"/>
      <c r="F158" s="28"/>
      <c r="G158" s="28"/>
      <c r="H158" s="28"/>
      <c r="I158" s="28"/>
    </row>
    <row r="159" spans="1:9">
      <c r="A159" s="27"/>
      <c r="C159" s="32"/>
      <c r="D159" s="28"/>
      <c r="E159" s="238"/>
      <c r="F159" s="28"/>
      <c r="G159" s="28"/>
      <c r="H159" s="28"/>
      <c r="I159" s="28"/>
    </row>
    <row r="160" spans="1:9">
      <c r="A160" s="27"/>
      <c r="C160" s="32"/>
      <c r="D160" s="28"/>
      <c r="E160" s="238"/>
      <c r="F160" s="28"/>
      <c r="G160" s="28"/>
      <c r="H160" s="28"/>
      <c r="I160" s="28"/>
    </row>
    <row r="161" spans="1:9">
      <c r="A161" s="27"/>
      <c r="C161" s="32"/>
      <c r="D161" s="28"/>
      <c r="E161" s="238"/>
      <c r="F161" s="28"/>
      <c r="G161" s="28"/>
      <c r="H161" s="28"/>
      <c r="I161" s="28"/>
    </row>
    <row r="162" spans="1:9">
      <c r="A162" s="27"/>
      <c r="C162" s="32"/>
      <c r="D162" s="28"/>
      <c r="E162" s="238"/>
      <c r="F162" s="28"/>
      <c r="G162" s="28"/>
      <c r="H162" s="28"/>
      <c r="I162" s="28"/>
    </row>
    <row r="163" spans="1:9">
      <c r="A163" s="27"/>
      <c r="C163" s="32"/>
      <c r="D163" s="28"/>
      <c r="E163" s="238"/>
      <c r="F163" s="28"/>
      <c r="G163" s="28"/>
      <c r="H163" s="28"/>
      <c r="I163" s="28"/>
    </row>
    <row r="164" spans="1:9">
      <c r="A164" s="27"/>
      <c r="C164" s="32"/>
      <c r="D164" s="28"/>
      <c r="E164" s="238"/>
      <c r="F164" s="28"/>
      <c r="G164" s="28"/>
      <c r="H164" s="28"/>
      <c r="I164" s="28"/>
    </row>
    <row r="165" spans="1:9">
      <c r="A165" s="27"/>
      <c r="C165" s="32"/>
      <c r="D165" s="28"/>
      <c r="E165" s="238"/>
      <c r="F165" s="28"/>
      <c r="G165" s="28"/>
      <c r="H165" s="28"/>
      <c r="I165" s="28"/>
    </row>
    <row r="166" spans="1:9">
      <c r="A166" s="50"/>
    </row>
    <row r="167" spans="1:9">
      <c r="A167" s="50"/>
    </row>
    <row r="168" spans="1:9">
      <c r="A168" s="50"/>
    </row>
    <row r="169" spans="1:9">
      <c r="A169" s="50"/>
    </row>
    <row r="170" spans="1:9">
      <c r="A170" s="50"/>
    </row>
    <row r="171" spans="1:9">
      <c r="A171" s="50"/>
    </row>
    <row r="172" spans="1:9">
      <c r="A172" s="50"/>
    </row>
    <row r="173" spans="1:9">
      <c r="A173" s="50"/>
    </row>
    <row r="174" spans="1:9">
      <c r="A174" s="50"/>
    </row>
    <row r="175" spans="1:9">
      <c r="A175" s="50"/>
    </row>
    <row r="176" spans="1:9">
      <c r="A176" s="50"/>
      <c r="B176" s="2"/>
      <c r="C176" s="2"/>
      <c r="D176" s="2"/>
      <c r="E176" s="240"/>
    </row>
    <row r="177" spans="1:5">
      <c r="A177" s="50"/>
      <c r="B177" s="2"/>
      <c r="C177" s="2"/>
      <c r="D177" s="2"/>
      <c r="E177" s="240"/>
    </row>
    <row r="178" spans="1:5">
      <c r="A178" s="50"/>
      <c r="B178" s="2"/>
      <c r="C178" s="2"/>
      <c r="D178" s="2"/>
      <c r="E178" s="240"/>
    </row>
    <row r="179" spans="1:5">
      <c r="A179" s="50"/>
      <c r="B179" s="2"/>
      <c r="C179" s="2"/>
      <c r="D179" s="2"/>
      <c r="E179" s="240"/>
    </row>
    <row r="180" spans="1:5">
      <c r="A180" s="50"/>
      <c r="B180" s="2"/>
      <c r="C180" s="2"/>
      <c r="D180" s="2"/>
      <c r="E180" s="240"/>
    </row>
    <row r="181" spans="1:5">
      <c r="A181" s="50"/>
      <c r="B181" s="2"/>
      <c r="C181" s="2"/>
      <c r="D181" s="2"/>
      <c r="E181" s="240"/>
    </row>
    <row r="182" spans="1:5">
      <c r="A182" s="50"/>
      <c r="B182" s="2"/>
      <c r="C182" s="2"/>
      <c r="D182" s="2"/>
      <c r="E182" s="240"/>
    </row>
    <row r="183" spans="1:5">
      <c r="A183" s="50"/>
      <c r="B183" s="2"/>
      <c r="C183" s="2"/>
      <c r="D183" s="2"/>
      <c r="E183" s="240"/>
    </row>
    <row r="184" spans="1:5">
      <c r="A184" s="50"/>
      <c r="B184" s="2"/>
      <c r="C184" s="2"/>
      <c r="D184" s="2"/>
      <c r="E184" s="240"/>
    </row>
    <row r="185" spans="1:5">
      <c r="A185" s="50"/>
      <c r="B185" s="2"/>
      <c r="C185" s="2"/>
      <c r="D185" s="2"/>
      <c r="E185" s="240"/>
    </row>
    <row r="186" spans="1:5">
      <c r="A186" s="50"/>
      <c r="B186" s="2"/>
      <c r="C186" s="2"/>
      <c r="D186" s="2"/>
      <c r="E186" s="240"/>
    </row>
    <row r="187" spans="1:5">
      <c r="A187" s="50"/>
      <c r="B187" s="2"/>
      <c r="C187" s="2"/>
      <c r="D187" s="2"/>
      <c r="E187" s="240"/>
    </row>
    <row r="188" spans="1:5">
      <c r="A188" s="50"/>
      <c r="B188" s="2"/>
      <c r="C188" s="2"/>
      <c r="D188" s="2"/>
      <c r="E188" s="240"/>
    </row>
    <row r="189" spans="1:5">
      <c r="A189" s="50"/>
      <c r="B189" s="2"/>
      <c r="C189" s="2"/>
      <c r="D189" s="2"/>
      <c r="E189" s="240"/>
    </row>
    <row r="190" spans="1:5">
      <c r="A190" s="50"/>
      <c r="B190" s="2"/>
      <c r="C190" s="2"/>
      <c r="D190" s="2"/>
      <c r="E190" s="240"/>
    </row>
    <row r="191" spans="1:5">
      <c r="A191" s="50"/>
      <c r="B191" s="2"/>
      <c r="C191" s="2"/>
      <c r="D191" s="2"/>
      <c r="E191" s="240"/>
    </row>
    <row r="192" spans="1:5">
      <c r="A192" s="50"/>
      <c r="B192" s="2"/>
      <c r="C192" s="2"/>
      <c r="D192" s="2"/>
      <c r="E192" s="240"/>
    </row>
    <row r="193" spans="1:5">
      <c r="A193" s="50"/>
      <c r="B193" s="2"/>
      <c r="C193" s="2"/>
      <c r="D193" s="2"/>
      <c r="E193" s="240"/>
    </row>
    <row r="194" spans="1:5">
      <c r="A194" s="50"/>
      <c r="B194" s="2"/>
      <c r="C194" s="2"/>
      <c r="D194" s="2"/>
      <c r="E194" s="240"/>
    </row>
    <row r="195" spans="1:5">
      <c r="A195" s="50"/>
      <c r="B195" s="2"/>
      <c r="C195" s="2"/>
      <c r="D195" s="2"/>
      <c r="E195" s="240"/>
    </row>
    <row r="196" spans="1:5">
      <c r="A196" s="50"/>
      <c r="B196" s="2"/>
      <c r="C196" s="2"/>
      <c r="D196" s="2"/>
      <c r="E196" s="240"/>
    </row>
    <row r="197" spans="1:5">
      <c r="A197" s="50"/>
      <c r="B197" s="2"/>
      <c r="C197" s="2"/>
      <c r="D197" s="2"/>
      <c r="E197" s="240"/>
    </row>
    <row r="198" spans="1:5">
      <c r="A198" s="50"/>
      <c r="B198" s="2"/>
      <c r="C198" s="2"/>
      <c r="D198" s="2"/>
      <c r="E198" s="240"/>
    </row>
    <row r="199" spans="1:5">
      <c r="A199" s="50"/>
      <c r="B199" s="2"/>
      <c r="C199" s="2"/>
      <c r="D199" s="2"/>
      <c r="E199" s="240"/>
    </row>
    <row r="200" spans="1:5">
      <c r="A200" s="50"/>
      <c r="B200" s="2"/>
      <c r="C200" s="2"/>
      <c r="D200" s="2"/>
      <c r="E200" s="240"/>
    </row>
    <row r="201" spans="1:5">
      <c r="A201" s="50"/>
      <c r="B201" s="2"/>
      <c r="C201" s="2"/>
      <c r="D201" s="2"/>
      <c r="E201" s="240"/>
    </row>
    <row r="202" spans="1:5">
      <c r="A202" s="50"/>
      <c r="B202" s="2"/>
      <c r="C202" s="2"/>
      <c r="D202" s="2"/>
      <c r="E202" s="240"/>
    </row>
    <row r="203" spans="1:5">
      <c r="A203" s="50"/>
      <c r="B203" s="2"/>
      <c r="C203" s="2"/>
      <c r="D203" s="2"/>
      <c r="E203" s="240"/>
    </row>
    <row r="204" spans="1:5">
      <c r="A204" s="50"/>
      <c r="B204" s="2"/>
      <c r="C204" s="2"/>
      <c r="D204" s="2"/>
      <c r="E204" s="240"/>
    </row>
    <row r="205" spans="1:5">
      <c r="A205" s="50"/>
      <c r="B205" s="2"/>
      <c r="C205" s="2"/>
      <c r="D205" s="2"/>
      <c r="E205" s="240"/>
    </row>
    <row r="206" spans="1:5">
      <c r="A206" s="50"/>
      <c r="B206" s="2"/>
      <c r="C206" s="2"/>
      <c r="D206" s="2"/>
      <c r="E206" s="240"/>
    </row>
    <row r="207" spans="1:5">
      <c r="A207" s="50"/>
      <c r="B207" s="2"/>
      <c r="C207" s="2"/>
      <c r="D207" s="2"/>
      <c r="E207" s="240"/>
    </row>
    <row r="208" spans="1:5">
      <c r="A208" s="50"/>
      <c r="B208" s="2"/>
      <c r="C208" s="2"/>
      <c r="D208" s="2"/>
      <c r="E208" s="240"/>
    </row>
    <row r="209" spans="1:5">
      <c r="A209" s="50"/>
      <c r="B209" s="2"/>
      <c r="C209" s="2"/>
      <c r="D209" s="2"/>
      <c r="E209" s="240"/>
    </row>
    <row r="210" spans="1:5">
      <c r="A210" s="50"/>
      <c r="B210" s="2"/>
      <c r="C210" s="2"/>
      <c r="D210" s="2"/>
      <c r="E210" s="240"/>
    </row>
    <row r="211" spans="1:5">
      <c r="A211" s="50"/>
      <c r="B211" s="2"/>
      <c r="C211" s="2"/>
      <c r="D211" s="2"/>
      <c r="E211" s="240"/>
    </row>
    <row r="212" spans="1:5">
      <c r="A212" s="50"/>
      <c r="B212" s="2"/>
      <c r="C212" s="2"/>
      <c r="D212" s="2"/>
      <c r="E212" s="240"/>
    </row>
    <row r="213" spans="1:5">
      <c r="A213" s="50"/>
      <c r="B213" s="2"/>
      <c r="C213" s="2"/>
      <c r="D213" s="2"/>
      <c r="E213" s="240"/>
    </row>
    <row r="214" spans="1:5">
      <c r="A214" s="50"/>
      <c r="B214" s="2"/>
      <c r="C214" s="2"/>
      <c r="D214" s="2"/>
      <c r="E214" s="240"/>
    </row>
    <row r="215" spans="1:5">
      <c r="A215" s="50"/>
      <c r="B215" s="2"/>
      <c r="C215" s="2"/>
      <c r="D215" s="2"/>
      <c r="E215" s="240"/>
    </row>
    <row r="216" spans="1:5">
      <c r="A216" s="50"/>
      <c r="B216" s="2"/>
      <c r="C216" s="2"/>
      <c r="D216" s="2"/>
      <c r="E216" s="240"/>
    </row>
    <row r="217" spans="1:5">
      <c r="A217" s="50"/>
      <c r="B217" s="2"/>
      <c r="C217" s="2"/>
      <c r="D217" s="2"/>
      <c r="E217" s="240"/>
    </row>
    <row r="218" spans="1:5">
      <c r="A218" s="50"/>
      <c r="B218" s="2"/>
      <c r="C218" s="2"/>
      <c r="D218" s="2"/>
      <c r="E218" s="240"/>
    </row>
    <row r="219" spans="1:5">
      <c r="A219" s="50"/>
      <c r="B219" s="2"/>
      <c r="C219" s="2"/>
      <c r="D219" s="2"/>
      <c r="E219" s="240"/>
    </row>
    <row r="220" spans="1:5">
      <c r="A220" s="50"/>
      <c r="B220" s="2"/>
      <c r="C220" s="2"/>
      <c r="D220" s="2"/>
      <c r="E220" s="240"/>
    </row>
    <row r="221" spans="1:5">
      <c r="A221" s="50"/>
      <c r="B221" s="2"/>
      <c r="C221" s="2"/>
      <c r="D221" s="2"/>
      <c r="E221" s="240"/>
    </row>
    <row r="222" spans="1:5">
      <c r="A222" s="50"/>
      <c r="B222" s="2"/>
      <c r="C222" s="2"/>
      <c r="D222" s="2"/>
      <c r="E222" s="240"/>
    </row>
    <row r="223" spans="1:5">
      <c r="A223" s="50"/>
      <c r="B223" s="2"/>
      <c r="C223" s="2"/>
      <c r="D223" s="2"/>
      <c r="E223" s="240"/>
    </row>
    <row r="224" spans="1:5">
      <c r="A224" s="50"/>
      <c r="B224" s="2"/>
      <c r="C224" s="2"/>
      <c r="D224" s="2"/>
      <c r="E224" s="240"/>
    </row>
    <row r="225" spans="1:5">
      <c r="A225" s="50"/>
      <c r="B225" s="2"/>
      <c r="C225" s="2"/>
      <c r="D225" s="2"/>
      <c r="E225" s="240"/>
    </row>
    <row r="226" spans="1:5">
      <c r="A226" s="50"/>
      <c r="B226" s="2"/>
      <c r="C226" s="2"/>
      <c r="D226" s="2"/>
      <c r="E226" s="240"/>
    </row>
    <row r="227" spans="1:5">
      <c r="A227" s="50"/>
      <c r="B227" s="2"/>
      <c r="C227" s="2"/>
      <c r="D227" s="2"/>
      <c r="E227" s="240"/>
    </row>
    <row r="228" spans="1:5">
      <c r="A228" s="50"/>
      <c r="B228" s="2"/>
      <c r="C228" s="2"/>
      <c r="D228" s="2"/>
      <c r="E228" s="240"/>
    </row>
    <row r="229" spans="1:5">
      <c r="A229" s="50"/>
      <c r="B229" s="2"/>
      <c r="C229" s="2"/>
      <c r="D229" s="2"/>
      <c r="E229" s="240"/>
    </row>
    <row r="230" spans="1:5">
      <c r="A230" s="50"/>
      <c r="B230" s="2"/>
      <c r="C230" s="2"/>
      <c r="D230" s="2"/>
      <c r="E230" s="240"/>
    </row>
    <row r="231" spans="1:5">
      <c r="A231" s="50"/>
      <c r="B231" s="2"/>
      <c r="C231" s="2"/>
      <c r="D231" s="2"/>
      <c r="E231" s="240"/>
    </row>
    <row r="232" spans="1:5">
      <c r="A232" s="50"/>
      <c r="B232" s="2"/>
      <c r="C232" s="2"/>
      <c r="D232" s="2"/>
      <c r="E232" s="240"/>
    </row>
    <row r="233" spans="1:5">
      <c r="A233" s="50"/>
      <c r="B233" s="2"/>
      <c r="C233" s="2"/>
      <c r="D233" s="2"/>
      <c r="E233" s="240"/>
    </row>
    <row r="234" spans="1:5">
      <c r="A234" s="50"/>
      <c r="B234" s="2"/>
      <c r="C234" s="2"/>
      <c r="D234" s="2"/>
      <c r="E234" s="240"/>
    </row>
    <row r="235" spans="1:5">
      <c r="A235" s="50"/>
      <c r="B235" s="2"/>
      <c r="C235" s="2"/>
      <c r="D235" s="2"/>
      <c r="E235" s="240"/>
    </row>
    <row r="236" spans="1:5">
      <c r="A236" s="50"/>
      <c r="B236" s="2"/>
      <c r="C236" s="2"/>
      <c r="D236" s="2"/>
      <c r="E236" s="240"/>
    </row>
    <row r="237" spans="1:5">
      <c r="A237" s="50"/>
      <c r="B237" s="2"/>
      <c r="C237" s="2"/>
      <c r="D237" s="2"/>
      <c r="E237" s="240"/>
    </row>
    <row r="238" spans="1:5">
      <c r="A238" s="50"/>
      <c r="B238" s="2"/>
      <c r="C238" s="2"/>
      <c r="D238" s="2"/>
      <c r="E238" s="240"/>
    </row>
    <row r="239" spans="1:5">
      <c r="A239" s="50"/>
      <c r="B239" s="2"/>
      <c r="C239" s="2"/>
      <c r="D239" s="2"/>
      <c r="E239" s="240"/>
    </row>
    <row r="240" spans="1:5">
      <c r="A240" s="50"/>
      <c r="B240" s="2"/>
      <c r="C240" s="2"/>
      <c r="D240" s="2"/>
      <c r="E240" s="240"/>
    </row>
    <row r="241" spans="1:5">
      <c r="A241" s="50"/>
      <c r="B241" s="2"/>
      <c r="C241" s="2"/>
      <c r="D241" s="2"/>
      <c r="E241" s="240"/>
    </row>
    <row r="242" spans="1:5">
      <c r="A242" s="50"/>
      <c r="B242" s="2"/>
      <c r="C242" s="2"/>
      <c r="D242" s="2"/>
      <c r="E242" s="240"/>
    </row>
    <row r="243" spans="1:5">
      <c r="A243" s="50"/>
      <c r="B243" s="2"/>
      <c r="C243" s="2"/>
      <c r="D243" s="2"/>
      <c r="E243" s="240"/>
    </row>
    <row r="244" spans="1:5">
      <c r="A244" s="50"/>
      <c r="B244" s="2"/>
      <c r="C244" s="2"/>
      <c r="D244" s="2"/>
      <c r="E244" s="240"/>
    </row>
    <row r="245" spans="1:5">
      <c r="A245" s="50"/>
      <c r="B245" s="2"/>
      <c r="C245" s="2"/>
      <c r="D245" s="2"/>
      <c r="E245" s="240"/>
    </row>
    <row r="246" spans="1:5">
      <c r="A246" s="50"/>
      <c r="B246" s="2"/>
      <c r="C246" s="2"/>
      <c r="D246" s="2"/>
      <c r="E246" s="240"/>
    </row>
    <row r="247" spans="1:5">
      <c r="A247" s="50"/>
      <c r="B247" s="2"/>
      <c r="C247" s="2"/>
      <c r="D247" s="2"/>
      <c r="E247" s="240"/>
    </row>
    <row r="248" spans="1:5">
      <c r="A248" s="50"/>
      <c r="B248" s="2"/>
      <c r="C248" s="2"/>
      <c r="D248" s="2"/>
      <c r="E248" s="240"/>
    </row>
    <row r="249" spans="1:5">
      <c r="A249" s="50"/>
      <c r="B249" s="2"/>
      <c r="C249" s="2"/>
      <c r="D249" s="2"/>
      <c r="E249" s="240"/>
    </row>
    <row r="250" spans="1:5">
      <c r="A250" s="50"/>
      <c r="B250" s="2"/>
      <c r="C250" s="2"/>
      <c r="D250" s="2"/>
      <c r="E250" s="240"/>
    </row>
    <row r="251" spans="1:5">
      <c r="A251" s="50"/>
      <c r="B251" s="2"/>
      <c r="C251" s="2"/>
      <c r="D251" s="2"/>
      <c r="E251" s="240"/>
    </row>
    <row r="252" spans="1:5">
      <c r="A252" s="50"/>
      <c r="B252" s="2"/>
      <c r="C252" s="2"/>
      <c r="D252" s="2"/>
      <c r="E252" s="240"/>
    </row>
    <row r="253" spans="1:5">
      <c r="A253" s="50"/>
      <c r="B253" s="2"/>
      <c r="C253" s="2"/>
      <c r="D253" s="2"/>
      <c r="E253" s="240"/>
    </row>
    <row r="254" spans="1:5">
      <c r="A254" s="50"/>
      <c r="B254" s="2"/>
      <c r="C254" s="2"/>
      <c r="D254" s="2"/>
      <c r="E254" s="240"/>
    </row>
    <row r="255" spans="1:5">
      <c r="A255" s="50"/>
      <c r="B255" s="2"/>
      <c r="C255" s="2"/>
      <c r="D255" s="2"/>
      <c r="E255" s="240"/>
    </row>
    <row r="256" spans="1:5">
      <c r="A256" s="50"/>
      <c r="B256" s="2"/>
      <c r="C256" s="2"/>
      <c r="D256" s="2"/>
      <c r="E256" s="240"/>
    </row>
    <row r="257" spans="1:5">
      <c r="A257" s="50"/>
      <c r="B257" s="2"/>
      <c r="C257" s="2"/>
      <c r="D257" s="2"/>
      <c r="E257" s="240"/>
    </row>
    <row r="258" spans="1:5">
      <c r="A258" s="50"/>
      <c r="B258" s="2"/>
      <c r="C258" s="2"/>
      <c r="D258" s="2"/>
      <c r="E258" s="240"/>
    </row>
    <row r="259" spans="1:5">
      <c r="A259" s="50"/>
      <c r="B259" s="2"/>
      <c r="C259" s="2"/>
      <c r="D259" s="2"/>
      <c r="E259" s="240"/>
    </row>
    <row r="260" spans="1:5">
      <c r="A260" s="50"/>
      <c r="B260" s="2"/>
      <c r="C260" s="2"/>
      <c r="D260" s="2"/>
      <c r="E260" s="240"/>
    </row>
    <row r="261" spans="1:5">
      <c r="A261" s="50"/>
      <c r="B261" s="2"/>
      <c r="C261" s="2"/>
      <c r="D261" s="2"/>
      <c r="E261" s="240"/>
    </row>
    <row r="262" spans="1:5">
      <c r="A262" s="50"/>
      <c r="B262" s="2"/>
      <c r="C262" s="2"/>
      <c r="D262" s="2"/>
      <c r="E262" s="240"/>
    </row>
    <row r="263" spans="1:5">
      <c r="A263" s="50"/>
      <c r="B263" s="2"/>
      <c r="C263" s="2"/>
      <c r="D263" s="2"/>
      <c r="E263" s="240"/>
    </row>
    <row r="264" spans="1:5">
      <c r="A264" s="50"/>
      <c r="B264" s="2"/>
      <c r="C264" s="2"/>
      <c r="D264" s="2"/>
      <c r="E264" s="240"/>
    </row>
    <row r="265" spans="1:5">
      <c r="A265" s="50"/>
      <c r="B265" s="2"/>
      <c r="C265" s="2"/>
      <c r="D265" s="2"/>
      <c r="E265" s="240"/>
    </row>
    <row r="266" spans="1:5">
      <c r="A266" s="50"/>
      <c r="B266" s="2"/>
      <c r="C266" s="2"/>
      <c r="D266" s="2"/>
      <c r="E266" s="240"/>
    </row>
    <row r="267" spans="1:5">
      <c r="A267" s="50"/>
      <c r="B267" s="2"/>
      <c r="C267" s="2"/>
      <c r="D267" s="2"/>
      <c r="E267" s="240"/>
    </row>
    <row r="268" spans="1:5">
      <c r="A268" s="50"/>
      <c r="B268" s="2"/>
      <c r="C268" s="2"/>
      <c r="D268" s="2"/>
      <c r="E268" s="240"/>
    </row>
    <row r="269" spans="1:5">
      <c r="A269" s="50"/>
      <c r="B269" s="2"/>
      <c r="C269" s="2"/>
      <c r="D269" s="2"/>
      <c r="E269" s="240"/>
    </row>
    <row r="270" spans="1:5">
      <c r="A270" s="50"/>
      <c r="B270" s="2"/>
      <c r="C270" s="2"/>
      <c r="D270" s="2"/>
      <c r="E270" s="240"/>
    </row>
    <row r="271" spans="1:5">
      <c r="A271" s="50"/>
      <c r="B271" s="2"/>
      <c r="C271" s="2"/>
      <c r="D271" s="2"/>
      <c r="E271" s="240"/>
    </row>
    <row r="272" spans="1:5">
      <c r="A272" s="50"/>
      <c r="B272" s="2"/>
      <c r="C272" s="2"/>
      <c r="D272" s="2"/>
      <c r="E272" s="240"/>
    </row>
    <row r="273" spans="1:5">
      <c r="A273" s="50"/>
      <c r="B273" s="2"/>
      <c r="C273" s="2"/>
      <c r="D273" s="2"/>
      <c r="E273" s="240"/>
    </row>
    <row r="274" spans="1:5">
      <c r="A274" s="50"/>
      <c r="B274" s="2"/>
      <c r="C274" s="2"/>
      <c r="D274" s="2"/>
      <c r="E274" s="240"/>
    </row>
    <row r="275" spans="1:5">
      <c r="A275" s="50"/>
      <c r="B275" s="2"/>
      <c r="C275" s="2"/>
      <c r="D275" s="2"/>
      <c r="E275" s="240"/>
    </row>
    <row r="276" spans="1:5">
      <c r="A276" s="50"/>
      <c r="B276" s="2"/>
      <c r="C276" s="2"/>
      <c r="D276" s="2"/>
      <c r="E276" s="240"/>
    </row>
    <row r="277" spans="1:5">
      <c r="A277" s="50"/>
      <c r="B277" s="2"/>
      <c r="C277" s="2"/>
      <c r="D277" s="2"/>
      <c r="E277" s="240"/>
    </row>
    <row r="278" spans="1:5">
      <c r="A278" s="50"/>
      <c r="B278" s="2"/>
      <c r="C278" s="2"/>
      <c r="D278" s="2"/>
      <c r="E278" s="240"/>
    </row>
    <row r="279" spans="1:5">
      <c r="A279" s="50"/>
      <c r="B279" s="2"/>
      <c r="C279" s="2"/>
      <c r="D279" s="2"/>
      <c r="E279" s="240"/>
    </row>
    <row r="280" spans="1:5">
      <c r="A280" s="50"/>
      <c r="B280" s="2"/>
      <c r="C280" s="2"/>
      <c r="D280" s="2"/>
      <c r="E280" s="240"/>
    </row>
    <row r="281" spans="1:5">
      <c r="A281" s="50"/>
      <c r="B281" s="2"/>
      <c r="C281" s="2"/>
      <c r="D281" s="2"/>
      <c r="E281" s="240"/>
    </row>
    <row r="282" spans="1:5">
      <c r="A282" s="50"/>
      <c r="B282" s="2"/>
      <c r="C282" s="2"/>
      <c r="D282" s="2"/>
      <c r="E282" s="240"/>
    </row>
    <row r="283" spans="1:5">
      <c r="A283" s="50"/>
      <c r="B283" s="2"/>
      <c r="C283" s="2"/>
      <c r="D283" s="2"/>
      <c r="E283" s="240"/>
    </row>
    <row r="284" spans="1:5">
      <c r="A284" s="50"/>
      <c r="B284" s="2"/>
      <c r="C284" s="2"/>
      <c r="D284" s="2"/>
      <c r="E284" s="240"/>
    </row>
    <row r="285" spans="1:5">
      <c r="A285" s="50"/>
      <c r="B285" s="2"/>
      <c r="C285" s="2"/>
      <c r="D285" s="2"/>
      <c r="E285" s="240"/>
    </row>
    <row r="286" spans="1:5">
      <c r="A286" s="50"/>
      <c r="B286" s="2"/>
      <c r="C286" s="2"/>
      <c r="D286" s="2"/>
      <c r="E286" s="240"/>
    </row>
    <row r="287" spans="1:5">
      <c r="A287" s="50"/>
      <c r="B287" s="2"/>
      <c r="C287" s="2"/>
      <c r="D287" s="2"/>
      <c r="E287" s="240"/>
    </row>
    <row r="288" spans="1:5">
      <c r="A288" s="50"/>
      <c r="B288" s="2"/>
      <c r="C288" s="2"/>
      <c r="D288" s="2"/>
      <c r="E288" s="240"/>
    </row>
    <row r="289" spans="1:5">
      <c r="A289" s="50"/>
      <c r="B289" s="2"/>
      <c r="C289" s="2"/>
      <c r="D289" s="2"/>
      <c r="E289" s="240"/>
    </row>
    <row r="290" spans="1:5">
      <c r="A290" s="50"/>
      <c r="B290" s="2"/>
      <c r="C290" s="2"/>
      <c r="D290" s="2"/>
      <c r="E290" s="240"/>
    </row>
    <row r="291" spans="1:5">
      <c r="A291" s="50"/>
      <c r="B291" s="2"/>
      <c r="C291" s="2"/>
      <c r="D291" s="2"/>
      <c r="E291" s="240"/>
    </row>
    <row r="292" spans="1:5">
      <c r="A292" s="50"/>
      <c r="B292" s="2"/>
      <c r="C292" s="2"/>
      <c r="D292" s="2"/>
      <c r="E292" s="240"/>
    </row>
    <row r="293" spans="1:5">
      <c r="A293" s="50"/>
      <c r="B293" s="2"/>
      <c r="C293" s="2"/>
      <c r="D293" s="2"/>
      <c r="E293" s="240"/>
    </row>
    <row r="294" spans="1:5">
      <c r="A294" s="50"/>
      <c r="B294" s="2"/>
      <c r="C294" s="2"/>
      <c r="D294" s="2"/>
      <c r="E294" s="240"/>
    </row>
    <row r="295" spans="1:5">
      <c r="A295" s="50"/>
      <c r="B295" s="2"/>
      <c r="C295" s="2"/>
      <c r="D295" s="2"/>
      <c r="E295" s="240"/>
    </row>
    <row r="296" spans="1:5">
      <c r="A296" s="50"/>
      <c r="B296" s="2"/>
      <c r="C296" s="2"/>
      <c r="D296" s="2"/>
      <c r="E296" s="240"/>
    </row>
    <row r="297" spans="1:5">
      <c r="A297" s="50"/>
      <c r="B297" s="2"/>
      <c r="C297" s="2"/>
      <c r="D297" s="2"/>
      <c r="E297" s="240"/>
    </row>
    <row r="298" spans="1:5">
      <c r="A298" s="50"/>
      <c r="B298" s="2"/>
      <c r="C298" s="2"/>
      <c r="D298" s="2"/>
      <c r="E298" s="240"/>
    </row>
    <row r="299" spans="1:5">
      <c r="A299" s="50"/>
      <c r="B299" s="2"/>
      <c r="C299" s="2"/>
      <c r="D299" s="2"/>
      <c r="E299" s="240"/>
    </row>
    <row r="300" spans="1:5">
      <c r="A300" s="50"/>
      <c r="B300" s="2"/>
      <c r="C300" s="2"/>
      <c r="D300" s="2"/>
      <c r="E300" s="240"/>
    </row>
    <row r="301" spans="1:5">
      <c r="A301" s="50"/>
      <c r="B301" s="2"/>
      <c r="C301" s="2"/>
      <c r="D301" s="2"/>
      <c r="E301" s="240"/>
    </row>
    <row r="302" spans="1:5">
      <c r="A302" s="50"/>
      <c r="B302" s="2"/>
      <c r="C302" s="2"/>
      <c r="D302" s="2"/>
      <c r="E302" s="240"/>
    </row>
    <row r="303" spans="1:5">
      <c r="A303" s="50"/>
      <c r="B303" s="2"/>
      <c r="C303" s="2"/>
      <c r="D303" s="2"/>
      <c r="E303" s="240"/>
    </row>
    <row r="304" spans="1:5">
      <c r="A304" s="50"/>
      <c r="B304" s="2"/>
      <c r="C304" s="2"/>
      <c r="D304" s="2"/>
      <c r="E304" s="240"/>
    </row>
    <row r="305" spans="1:5">
      <c r="A305" s="50"/>
      <c r="B305" s="2"/>
      <c r="C305" s="2"/>
      <c r="D305" s="2"/>
      <c r="E305" s="240"/>
    </row>
    <row r="306" spans="1:5">
      <c r="A306" s="50"/>
      <c r="B306" s="2"/>
      <c r="C306" s="2"/>
      <c r="D306" s="2"/>
      <c r="E306" s="240"/>
    </row>
    <row r="307" spans="1:5">
      <c r="A307" s="50"/>
      <c r="B307" s="2"/>
      <c r="C307" s="2"/>
      <c r="D307" s="2"/>
      <c r="E307" s="240"/>
    </row>
    <row r="308" spans="1:5">
      <c r="A308" s="50"/>
      <c r="B308" s="2"/>
      <c r="C308" s="2"/>
      <c r="D308" s="2"/>
      <c r="E308" s="240"/>
    </row>
    <row r="309" spans="1:5">
      <c r="A309" s="50"/>
      <c r="B309" s="2"/>
      <c r="C309" s="2"/>
      <c r="D309" s="2"/>
      <c r="E309" s="240"/>
    </row>
    <row r="310" spans="1:5">
      <c r="A310" s="50"/>
      <c r="B310" s="2"/>
      <c r="C310" s="2"/>
      <c r="D310" s="2"/>
      <c r="E310" s="240"/>
    </row>
    <row r="311" spans="1:5">
      <c r="A311" s="50"/>
      <c r="B311" s="2"/>
      <c r="C311" s="2"/>
      <c r="D311" s="2"/>
      <c r="E311" s="240"/>
    </row>
    <row r="312" spans="1:5">
      <c r="A312" s="50"/>
      <c r="B312" s="2"/>
      <c r="C312" s="2"/>
      <c r="D312" s="2"/>
      <c r="E312" s="240"/>
    </row>
    <row r="313" spans="1:5">
      <c r="A313" s="50"/>
      <c r="B313" s="2"/>
      <c r="C313" s="2"/>
      <c r="D313" s="2"/>
      <c r="E313" s="240"/>
    </row>
    <row r="314" spans="1:5">
      <c r="A314" s="50"/>
      <c r="B314" s="2"/>
      <c r="C314" s="2"/>
      <c r="D314" s="2"/>
      <c r="E314" s="240"/>
    </row>
    <row r="315" spans="1:5">
      <c r="A315" s="50"/>
      <c r="B315" s="2"/>
      <c r="C315" s="2"/>
      <c r="D315" s="2"/>
      <c r="E315" s="240"/>
    </row>
    <row r="316" spans="1:5">
      <c r="A316" s="50"/>
      <c r="B316" s="2"/>
      <c r="C316" s="2"/>
      <c r="D316" s="2"/>
      <c r="E316" s="240"/>
    </row>
    <row r="317" spans="1:5">
      <c r="A317" s="50"/>
      <c r="B317" s="2"/>
      <c r="C317" s="2"/>
      <c r="D317" s="2"/>
      <c r="E317" s="240"/>
    </row>
    <row r="318" spans="1:5">
      <c r="A318" s="50"/>
      <c r="B318" s="2"/>
      <c r="C318" s="2"/>
      <c r="D318" s="2"/>
      <c r="E318" s="240"/>
    </row>
    <row r="319" spans="1:5">
      <c r="A319" s="50"/>
      <c r="B319" s="2"/>
      <c r="C319" s="2"/>
      <c r="D319" s="2"/>
      <c r="E319" s="240"/>
    </row>
    <row r="320" spans="1:5">
      <c r="A320" s="50"/>
      <c r="B320" s="2"/>
      <c r="C320" s="2"/>
      <c r="D320" s="2"/>
      <c r="E320" s="240"/>
    </row>
    <row r="321" spans="1:5">
      <c r="A321" s="50"/>
      <c r="B321" s="2"/>
      <c r="C321" s="2"/>
      <c r="D321" s="2"/>
      <c r="E321" s="240"/>
    </row>
    <row r="322" spans="1:5">
      <c r="A322" s="50"/>
      <c r="B322" s="2"/>
      <c r="C322" s="2"/>
      <c r="D322" s="2"/>
      <c r="E322" s="240"/>
    </row>
    <row r="323" spans="1:5">
      <c r="A323" s="50"/>
      <c r="B323" s="2"/>
      <c r="C323" s="2"/>
      <c r="D323" s="2"/>
      <c r="E323" s="240"/>
    </row>
    <row r="324" spans="1:5">
      <c r="A324" s="50"/>
      <c r="B324" s="2"/>
      <c r="C324" s="2"/>
      <c r="D324" s="2"/>
      <c r="E324" s="240"/>
    </row>
    <row r="325" spans="1:5">
      <c r="A325" s="50"/>
      <c r="B325" s="2"/>
      <c r="C325" s="2"/>
      <c r="D325" s="2"/>
      <c r="E325" s="240"/>
    </row>
    <row r="326" spans="1:5">
      <c r="A326" s="50"/>
      <c r="B326" s="2"/>
      <c r="C326" s="2"/>
      <c r="D326" s="2"/>
      <c r="E326" s="240"/>
    </row>
    <row r="327" spans="1:5">
      <c r="A327" s="50"/>
      <c r="B327" s="2"/>
      <c r="C327" s="2"/>
      <c r="D327" s="2"/>
      <c r="E327" s="240"/>
    </row>
    <row r="328" spans="1:5">
      <c r="A328" s="50"/>
      <c r="B328" s="2"/>
      <c r="C328" s="2"/>
      <c r="D328" s="2"/>
      <c r="E328" s="240"/>
    </row>
    <row r="329" spans="1:5">
      <c r="A329" s="50"/>
      <c r="B329" s="2"/>
      <c r="C329" s="2"/>
      <c r="D329" s="2"/>
      <c r="E329" s="240"/>
    </row>
    <row r="330" spans="1:5">
      <c r="A330" s="50"/>
      <c r="B330" s="2"/>
      <c r="C330" s="2"/>
      <c r="D330" s="2"/>
      <c r="E330" s="240"/>
    </row>
    <row r="331" spans="1:5">
      <c r="A331" s="50"/>
      <c r="B331" s="2"/>
      <c r="C331" s="2"/>
      <c r="D331" s="2"/>
      <c r="E331" s="240"/>
    </row>
    <row r="332" spans="1:5">
      <c r="A332" s="50"/>
      <c r="B332" s="2"/>
      <c r="C332" s="2"/>
      <c r="D332" s="2"/>
      <c r="E332" s="240"/>
    </row>
  </sheetData>
  <sheetProtection formatCells="0" formatColumns="0" formatRows="0" insertColumns="0" insertRows="0" insertHyperlinks="0" deleteColumns="0" deleteRows="0" sort="0" autoFilter="0" pivotTables="0"/>
  <customSheetViews>
    <customSheetView guid="{F65ACDE9-A565-4614-893F-AFCB94FA629C}" scale="90" showPageBreaks="1" printArea="1" view="pageBreakPreview" topLeftCell="A4">
      <selection activeCell="I15" sqref="I15"/>
      <pageMargins left="0.78740157480314965" right="0.39370078740157483" top="0.59055118110236227" bottom="0.59055118110236227" header="0.19685039370078741" footer="0.11811023622047245"/>
      <pageSetup paperSize="9" scale="50" orientation="portrait" verticalDpi="300" r:id="rId1"/>
      <headerFooter alignWithMargins="0"/>
    </customSheetView>
    <customSheetView guid="{43DCEB14-ADF8-4168-9283-6542A71D3CF7}" scale="90" showPageBreaks="1" printArea="1" view="pageBreakPreview" topLeftCell="A58">
      <selection activeCell="J15" sqref="J15"/>
      <pageMargins left="0.78740157480314965" right="0.39370078740157483" top="0.59055118110236227" bottom="0.59055118110236227" header="0.19685039370078741" footer="0.11811023622047245"/>
      <pageSetup paperSize="9" scale="50" orientation="portrait" verticalDpi="300" r:id="rId2"/>
      <headerFooter alignWithMargins="0"/>
    </customSheetView>
    <customSheetView guid="{4BF2F851-A775-4F33-8DA4-C59D9D94DA9D}" scale="70" showPageBreaks="1" printArea="1" view="pageBreakPreview" topLeftCell="A88">
      <selection activeCell="I99" sqref="I99"/>
      <pageMargins left="0.78740157480314965" right="0.39370078740157483" top="0.59055118110236227" bottom="0.59055118110236227" header="0.19685039370078741" footer="0.11811023622047245"/>
      <pageSetup paperSize="9" scale="50" orientation="portrait" verticalDpi="300" r:id="rId3"/>
      <headerFooter alignWithMargins="0"/>
    </customSheetView>
    <customSheetView guid="{1E3D5FB9-014E-4051-8AD5-DB0A17D05797}" scale="90" showPageBreaks="1" printArea="1" view="pageBreakPreview" topLeftCell="A85">
      <selection activeCell="I22" sqref="I22"/>
      <pageMargins left="0.78740157480314965" right="0.39370078740157483" top="0.59055118110236227" bottom="0.59055118110236227" header="0.19685039370078741" footer="0.11811023622047245"/>
      <pageSetup paperSize="9" scale="50" orientation="portrait" verticalDpi="300" r:id="rId4"/>
      <headerFooter alignWithMargins="0"/>
    </customSheetView>
    <customSheetView guid="{6E930A10-FB87-4441-8A38-C35193B7FA1B}" scale="90" showPageBreaks="1" printArea="1" view="pageBreakPreview" topLeftCell="A22">
      <selection activeCell="J15" sqref="J15"/>
      <pageMargins left="0.78740157480314965" right="0.39370078740157483" top="0.59055118110236227" bottom="0.59055118110236227" header="0.19685039370078741" footer="0.11811023622047245"/>
      <pageSetup paperSize="9" scale="50" orientation="portrait" verticalDpi="300" r:id="rId5"/>
      <headerFooter alignWithMargins="0"/>
    </customSheetView>
  </customSheetViews>
  <mergeCells count="16">
    <mergeCell ref="A1:J1"/>
    <mergeCell ref="C107:E107"/>
    <mergeCell ref="G107:I107"/>
    <mergeCell ref="J3:J4"/>
    <mergeCell ref="A6:J6"/>
    <mergeCell ref="A83:J83"/>
    <mergeCell ref="A89:J89"/>
    <mergeCell ref="B3:B4"/>
    <mergeCell ref="A3:A4"/>
    <mergeCell ref="C3:C4"/>
    <mergeCell ref="F3:I3"/>
    <mergeCell ref="A96:J96"/>
    <mergeCell ref="C106:E106"/>
    <mergeCell ref="G106:I106"/>
    <mergeCell ref="E3:E4"/>
    <mergeCell ref="D3:D4"/>
  </mergeCells>
  <phoneticPr fontId="0" type="noConversion"/>
  <pageMargins left="0.78740157480314965" right="0.39370078740157483" top="0.59055118110236227" bottom="0.59055118110236227" header="0.19685039370078741" footer="0.11811023622047245"/>
  <pageSetup paperSize="9" scale="50" orientation="portrait" verticalDpi="300" r:id="rId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192"/>
  <sheetViews>
    <sheetView view="pageBreakPreview" zoomScale="75" zoomScaleNormal="65" zoomScaleSheetLayoutView="50" workbookViewId="0">
      <pane ySplit="5" topLeftCell="A6" activePane="bottomLeft" state="frozen"/>
      <selection pane="bottomLeft" activeCell="F9" sqref="F9:I10"/>
    </sheetView>
  </sheetViews>
  <sheetFormatPr defaultColWidth="77.85546875" defaultRowHeight="18.75" outlineLevelRow="1"/>
  <cols>
    <col min="1" max="1" width="61.28515625" style="45" customWidth="1"/>
    <col min="2" max="2" width="15.28515625" style="48" customWidth="1"/>
    <col min="3" max="3" width="13" style="48" customWidth="1"/>
    <col min="4" max="4" width="14.85546875" style="48" customWidth="1"/>
    <col min="5" max="5" width="13.42578125" style="48" customWidth="1"/>
    <col min="6" max="6" width="13.7109375" style="45" customWidth="1"/>
    <col min="7" max="7" width="13.28515625" style="45" customWidth="1"/>
    <col min="8" max="8" width="13" style="45" customWidth="1"/>
    <col min="9" max="9" width="11.7109375" style="45" customWidth="1"/>
    <col min="10" max="10" width="9.5703125" style="45" customWidth="1"/>
    <col min="11" max="253" width="9.140625" style="45" customWidth="1"/>
    <col min="254" max="16384" width="77.85546875" style="45"/>
  </cols>
  <sheetData>
    <row r="1" spans="1:9">
      <c r="A1" s="414" t="s">
        <v>366</v>
      </c>
      <c r="B1" s="414"/>
      <c r="C1" s="414"/>
      <c r="D1" s="414"/>
      <c r="E1" s="414"/>
      <c r="F1" s="414"/>
      <c r="G1" s="414"/>
      <c r="H1" s="414"/>
      <c r="I1" s="414"/>
    </row>
    <row r="2" spans="1:9" outlineLevel="1">
      <c r="A2" s="44"/>
      <c r="B2" s="53"/>
      <c r="C2" s="44"/>
      <c r="D2" s="44"/>
      <c r="E2" s="44"/>
      <c r="F2" s="44"/>
      <c r="G2" s="44"/>
      <c r="H2" s="44"/>
      <c r="I2" s="44"/>
    </row>
    <row r="3" spans="1:9" ht="38.25" customHeight="1">
      <c r="A3" s="402" t="s">
        <v>270</v>
      </c>
      <c r="B3" s="415" t="s">
        <v>18</v>
      </c>
      <c r="C3" s="416" t="s">
        <v>31</v>
      </c>
      <c r="D3" s="416" t="s">
        <v>39</v>
      </c>
      <c r="E3" s="417" t="s">
        <v>180</v>
      </c>
      <c r="F3" s="398" t="s">
        <v>362</v>
      </c>
      <c r="G3" s="398"/>
      <c r="H3" s="398"/>
      <c r="I3" s="398"/>
    </row>
    <row r="4" spans="1:9" ht="50.25" customHeight="1">
      <c r="A4" s="402"/>
      <c r="B4" s="415"/>
      <c r="C4" s="416"/>
      <c r="D4" s="416"/>
      <c r="E4" s="417"/>
      <c r="F4" s="13" t="s">
        <v>363</v>
      </c>
      <c r="G4" s="13" t="s">
        <v>364</v>
      </c>
      <c r="H4" s="13" t="s">
        <v>365</v>
      </c>
      <c r="I4" s="13" t="s">
        <v>86</v>
      </c>
    </row>
    <row r="5" spans="1:9" ht="18" customHeight="1">
      <c r="A5" s="51">
        <v>1</v>
      </c>
      <c r="B5" s="52">
        <v>2</v>
      </c>
      <c r="C5" s="52">
        <v>3</v>
      </c>
      <c r="D5" s="52">
        <v>4</v>
      </c>
      <c r="E5" s="52">
        <v>5</v>
      </c>
      <c r="F5" s="7">
        <v>6</v>
      </c>
      <c r="G5" s="7">
        <v>7</v>
      </c>
      <c r="H5" s="7">
        <v>8</v>
      </c>
      <c r="I5" s="7">
        <v>9</v>
      </c>
    </row>
    <row r="6" spans="1:9" ht="24.95" customHeight="1">
      <c r="A6" s="409" t="s">
        <v>164</v>
      </c>
      <c r="B6" s="410"/>
      <c r="C6" s="410"/>
      <c r="D6" s="410"/>
      <c r="E6" s="410"/>
      <c r="F6" s="410"/>
      <c r="G6" s="410"/>
      <c r="H6" s="410"/>
      <c r="I6" s="411"/>
    </row>
    <row r="7" spans="1:9" ht="42.75" customHeight="1">
      <c r="A7" s="58" t="s">
        <v>62</v>
      </c>
      <c r="B7" s="7">
        <v>2000</v>
      </c>
      <c r="C7" s="217">
        <v>529</v>
      </c>
      <c r="D7" s="217">
        <v>560</v>
      </c>
      <c r="E7" s="217">
        <v>560</v>
      </c>
      <c r="F7" s="224">
        <f>$E$17</f>
        <v>603</v>
      </c>
      <c r="G7" s="224">
        <f t="shared" ref="G7:I7" si="0">$E$17</f>
        <v>603</v>
      </c>
      <c r="H7" s="224">
        <f t="shared" si="0"/>
        <v>603</v>
      </c>
      <c r="I7" s="224">
        <f t="shared" si="0"/>
        <v>603</v>
      </c>
    </row>
    <row r="8" spans="1:9" ht="37.5">
      <c r="A8" s="46" t="s">
        <v>221</v>
      </c>
      <c r="B8" s="7">
        <v>2010</v>
      </c>
      <c r="C8" s="163">
        <f>C9+C10</f>
        <v>14</v>
      </c>
      <c r="D8" s="163">
        <f>D9+D10</f>
        <v>23</v>
      </c>
      <c r="E8" s="163">
        <f t="shared" ref="E8:I8" si="1">E9+E10</f>
        <v>322</v>
      </c>
      <c r="F8" s="163">
        <f t="shared" si="1"/>
        <v>10</v>
      </c>
      <c r="G8" s="163">
        <f t="shared" si="1"/>
        <v>22</v>
      </c>
      <c r="H8" s="163">
        <f t="shared" si="1"/>
        <v>26</v>
      </c>
      <c r="I8" s="163">
        <f t="shared" si="1"/>
        <v>32</v>
      </c>
    </row>
    <row r="9" spans="1:9" ht="42.75" customHeight="1">
      <c r="A9" s="8" t="s">
        <v>368</v>
      </c>
      <c r="B9" s="7">
        <v>2011</v>
      </c>
      <c r="C9" s="217">
        <v>3</v>
      </c>
      <c r="D9" s="217">
        <v>5</v>
      </c>
      <c r="E9" s="217">
        <v>73</v>
      </c>
      <c r="F9" s="217">
        <v>2</v>
      </c>
      <c r="G9" s="217">
        <v>5</v>
      </c>
      <c r="H9" s="217">
        <v>6</v>
      </c>
      <c r="I9" s="217">
        <v>7</v>
      </c>
    </row>
    <row r="10" spans="1:9" ht="93.75">
      <c r="A10" s="8" t="s">
        <v>369</v>
      </c>
      <c r="B10" s="7">
        <v>2012</v>
      </c>
      <c r="C10" s="217">
        <v>11</v>
      </c>
      <c r="D10" s="217">
        <v>18</v>
      </c>
      <c r="E10" s="217">
        <v>249</v>
      </c>
      <c r="F10" s="217">
        <v>8</v>
      </c>
      <c r="G10" s="217">
        <v>17</v>
      </c>
      <c r="H10" s="217">
        <v>20</v>
      </c>
      <c r="I10" s="217">
        <v>25</v>
      </c>
    </row>
    <row r="11" spans="1:9" ht="20.100000000000001" customHeight="1">
      <c r="A11" s="8" t="s">
        <v>207</v>
      </c>
      <c r="B11" s="7">
        <v>2020</v>
      </c>
      <c r="C11" s="162"/>
      <c r="D11" s="162"/>
      <c r="E11" s="162"/>
      <c r="F11" s="162"/>
      <c r="G11" s="162"/>
      <c r="H11" s="162"/>
      <c r="I11" s="162"/>
    </row>
    <row r="12" spans="1:9" s="47" customFormat="1" ht="20.100000000000001" customHeight="1">
      <c r="A12" s="46" t="s">
        <v>75</v>
      </c>
      <c r="B12" s="7">
        <v>2030</v>
      </c>
      <c r="C12" s="162"/>
      <c r="D12" s="162"/>
      <c r="E12" s="162"/>
      <c r="F12" s="162"/>
      <c r="G12" s="162"/>
      <c r="H12" s="162"/>
      <c r="I12" s="162"/>
    </row>
    <row r="13" spans="1:9" ht="37.5">
      <c r="A13" s="46" t="s">
        <v>386</v>
      </c>
      <c r="B13" s="7">
        <v>2031</v>
      </c>
      <c r="C13" s="162"/>
      <c r="D13" s="162"/>
      <c r="E13" s="162"/>
      <c r="F13" s="162"/>
      <c r="G13" s="162"/>
      <c r="H13" s="162"/>
      <c r="I13" s="162"/>
    </row>
    <row r="14" spans="1:9" ht="20.100000000000001" customHeight="1">
      <c r="A14" s="46" t="s">
        <v>26</v>
      </c>
      <c r="B14" s="7">
        <v>2040</v>
      </c>
      <c r="C14" s="162">
        <v>-23</v>
      </c>
      <c r="D14" s="162"/>
      <c r="E14" s="162">
        <v>-322</v>
      </c>
      <c r="F14" s="165">
        <v>658</v>
      </c>
      <c r="G14" s="162"/>
      <c r="H14" s="162"/>
      <c r="I14" s="162"/>
    </row>
    <row r="15" spans="1:9" ht="20.100000000000001" customHeight="1">
      <c r="A15" s="157" t="s">
        <v>127</v>
      </c>
      <c r="B15" s="7">
        <v>2050</v>
      </c>
      <c r="C15" s="162"/>
      <c r="D15" s="162"/>
      <c r="E15" s="162"/>
      <c r="F15" s="162"/>
      <c r="G15" s="162"/>
      <c r="H15" s="162"/>
      <c r="I15" s="162"/>
    </row>
    <row r="16" spans="1:9" ht="20.100000000000001" customHeight="1">
      <c r="A16" s="157" t="s">
        <v>128</v>
      </c>
      <c r="B16" s="7">
        <v>2060</v>
      </c>
      <c r="C16" s="162"/>
      <c r="D16" s="162"/>
      <c r="E16" s="162"/>
      <c r="F16" s="162"/>
      <c r="G16" s="162"/>
      <c r="H16" s="162"/>
      <c r="I16" s="162"/>
    </row>
    <row r="17" spans="1:9" ht="42.75" customHeight="1">
      <c r="A17" s="58" t="s">
        <v>63</v>
      </c>
      <c r="B17" s="92">
        <v>2070</v>
      </c>
      <c r="C17" s="164">
        <f>'I. Фін результат'!C79+'ІІ. Розр. з бюджетом'!C7-('ІІ. Розр. з бюджетом'!C8+'ІІ. Розр. з бюджетом'!C11+'ІІ. Розр. з бюджетом'!C12+'ІІ. Розр. з бюджетом'!C14+'ІІ. Розр. з бюджетом'!C15+'ІІ. Розр. з бюджетом'!C16)</f>
        <v>560</v>
      </c>
      <c r="D17" s="164">
        <f>'I. Фін результат'!D79+'ІІ. Розр. з бюджетом'!D7-('ІІ. Розр. з бюджетом'!D8+'ІІ. Розр. з бюджетом'!D11+'ІІ. Розр. з бюджетом'!D12+'ІІ. Розр. з бюджетом'!D14+'ІІ. Розр. з бюджетом'!D15+'ІІ. Розр. з бюджетом'!D16)</f>
        <v>572</v>
      </c>
      <c r="E17" s="164">
        <f>'I. Фін результат'!E79+'ІІ. Розр. з бюджетом'!E7-('ІІ. Розр. з бюджетом'!E8+'ІІ. Розр. з бюджетом'!E11+'ІІ. Розр. з бюджетом'!E12+'ІІ. Розр. з бюджетом'!E14+'ІІ. Розр. з бюджетом'!E15+'ІІ. Розр. з бюджетом'!E16)</f>
        <v>603</v>
      </c>
      <c r="F17" s="164">
        <f>'I. Фін результат'!F79+'ІІ. Розр. з бюджетом'!F7-('ІІ. Розр. з бюджетом'!F8+'ІІ. Розр. з бюджетом'!F11+'ІІ. Розр. з бюджетом'!F12+'ІІ. Розр. з бюджетом'!F14+'ІІ. Розр. з бюджетом'!F15+'ІІ. Розр. з бюджетом'!F16)</f>
        <v>-47</v>
      </c>
      <c r="G17" s="164">
        <f>'I. Фін результат'!G79+'ІІ. Розр. з бюджетом'!G7-('ІІ. Розр. з бюджетом'!G8+'ІІ. Розр. з бюджетом'!G11+'ІІ. Розр. з бюджетом'!G12+'ІІ. Розр. з бюджетом'!G14+'ІІ. Розр. з бюджетом'!G15+'ІІ. Розр. з бюджетом'!G16)</f>
        <v>621</v>
      </c>
      <c r="H17" s="164">
        <f>'I. Фін результат'!H79+'ІІ. Розр. з бюджетом'!H7-('ІІ. Розр. з бюджетом'!H8+'ІІ. Розр. з бюджетом'!H11+'ІІ. Розр. з бюджетом'!H12+'ІІ. Розр. з бюджетом'!H14+'ІІ. Розр. з бюджетом'!H15+'ІІ. Розр. з бюджетом'!H16)</f>
        <v>626</v>
      </c>
      <c r="I17" s="164">
        <f>'I. Фін результат'!I79+'ІІ. Розр. з бюджетом'!I7-('ІІ. Розр. з бюджетом'!I8+'ІІ. Розр. з бюджетом'!I11+'ІІ. Розр. з бюджетом'!I12+'ІІ. Розр. з бюджетом'!I14+'ІІ. Розр. з бюджетом'!I15+'ІІ. Розр. з бюджетом'!I16)</f>
        <v>620</v>
      </c>
    </row>
    <row r="18" spans="1:9" ht="39.75" customHeight="1">
      <c r="A18" s="409" t="s">
        <v>165</v>
      </c>
      <c r="B18" s="410"/>
      <c r="C18" s="410"/>
      <c r="D18" s="410"/>
      <c r="E18" s="410"/>
      <c r="F18" s="410"/>
      <c r="G18" s="410"/>
      <c r="H18" s="410"/>
      <c r="I18" s="411"/>
    </row>
    <row r="19" spans="1:9" ht="37.5">
      <c r="A19" s="157" t="s">
        <v>221</v>
      </c>
      <c r="B19" s="156">
        <v>2100</v>
      </c>
      <c r="C19" s="163">
        <f t="shared" ref="C19:I19" si="2">SUM(C20:C21)</f>
        <v>14</v>
      </c>
      <c r="D19" s="163">
        <f t="shared" si="2"/>
        <v>23</v>
      </c>
      <c r="E19" s="163">
        <f>SUM(E20:E21)</f>
        <v>322</v>
      </c>
      <c r="F19" s="163">
        <f t="shared" si="2"/>
        <v>10</v>
      </c>
      <c r="G19" s="163">
        <f t="shared" si="2"/>
        <v>22</v>
      </c>
      <c r="H19" s="163">
        <f t="shared" si="2"/>
        <v>26</v>
      </c>
      <c r="I19" s="163">
        <f t="shared" si="2"/>
        <v>32</v>
      </c>
    </row>
    <row r="20" spans="1:9" ht="42.75" customHeight="1">
      <c r="A20" s="223" t="s">
        <v>368</v>
      </c>
      <c r="B20" s="156">
        <v>2101</v>
      </c>
      <c r="C20" s="163">
        <f t="shared" ref="C20" si="3">C9</f>
        <v>3</v>
      </c>
      <c r="D20" s="163">
        <f>D9</f>
        <v>5</v>
      </c>
      <c r="E20" s="163">
        <f>E9</f>
        <v>73</v>
      </c>
      <c r="F20" s="163">
        <f t="shared" ref="F20:I20" si="4">F9</f>
        <v>2</v>
      </c>
      <c r="G20" s="163">
        <f t="shared" si="4"/>
        <v>5</v>
      </c>
      <c r="H20" s="163">
        <f t="shared" si="4"/>
        <v>6</v>
      </c>
      <c r="I20" s="163">
        <f t="shared" si="4"/>
        <v>7</v>
      </c>
    </row>
    <row r="21" spans="1:9" ht="93.75">
      <c r="A21" s="223" t="s">
        <v>369</v>
      </c>
      <c r="B21" s="156">
        <v>2102</v>
      </c>
      <c r="C21" s="163">
        <f>C10</f>
        <v>11</v>
      </c>
      <c r="D21" s="163">
        <f>D10</f>
        <v>18</v>
      </c>
      <c r="E21" s="163">
        <f>E10</f>
        <v>249</v>
      </c>
      <c r="F21" s="163">
        <f t="shared" ref="F21:I21" si="5">F10</f>
        <v>8</v>
      </c>
      <c r="G21" s="163">
        <f t="shared" si="5"/>
        <v>17</v>
      </c>
      <c r="H21" s="163">
        <f t="shared" si="5"/>
        <v>20</v>
      </c>
      <c r="I21" s="163">
        <f t="shared" si="5"/>
        <v>25</v>
      </c>
    </row>
    <row r="22" spans="1:9" s="47" customFormat="1" ht="20.100000000000001" customHeight="1">
      <c r="A22" s="157" t="s">
        <v>167</v>
      </c>
      <c r="B22" s="158">
        <v>2110</v>
      </c>
      <c r="C22" s="163">
        <f>'I. Фін результат'!C77</f>
        <v>10</v>
      </c>
      <c r="D22" s="163">
        <f>'I. Фін результат'!D77</f>
        <v>8</v>
      </c>
      <c r="E22" s="163">
        <f>'I. Фін результат'!E77</f>
        <v>9</v>
      </c>
      <c r="F22" s="163">
        <f>'I. Фін результат'!F77</f>
        <v>0</v>
      </c>
      <c r="G22" s="163">
        <f>'I. Фін результат'!G77</f>
        <v>0</v>
      </c>
      <c r="H22" s="163">
        <f>'I. Фін результат'!H77</f>
        <v>0</v>
      </c>
      <c r="I22" s="163">
        <f>'I. Фін результат'!I77</f>
        <v>11</v>
      </c>
    </row>
    <row r="23" spans="1:9" ht="56.25">
      <c r="A23" s="157" t="s">
        <v>333</v>
      </c>
      <c r="B23" s="158">
        <v>2120</v>
      </c>
      <c r="C23" s="162">
        <v>18</v>
      </c>
      <c r="D23" s="162">
        <v>54</v>
      </c>
      <c r="E23" s="162">
        <v>794</v>
      </c>
      <c r="F23" s="217"/>
      <c r="G23" s="217">
        <v>65</v>
      </c>
      <c r="H23" s="217">
        <v>85</v>
      </c>
      <c r="I23" s="217">
        <v>90</v>
      </c>
    </row>
    <row r="24" spans="1:9" ht="56.25">
      <c r="A24" s="157" t="s">
        <v>334</v>
      </c>
      <c r="B24" s="158">
        <v>2130</v>
      </c>
      <c r="C24" s="162"/>
      <c r="D24" s="162"/>
      <c r="E24" s="162"/>
      <c r="F24" s="162">
        <v>-168</v>
      </c>
      <c r="G24" s="162"/>
      <c r="H24" s="162"/>
      <c r="I24" s="162"/>
    </row>
    <row r="25" spans="1:9" s="49" customFormat="1" ht="56.25">
      <c r="A25" s="159" t="s">
        <v>257</v>
      </c>
      <c r="B25" s="160">
        <v>2140</v>
      </c>
      <c r="C25" s="164">
        <f t="shared" ref="C25:I25" si="6">SUM(C26:C30,C33,C35)</f>
        <v>959</v>
      </c>
      <c r="D25" s="164">
        <f t="shared" si="6"/>
        <v>895</v>
      </c>
      <c r="E25" s="164">
        <f>SUM(E26:E30,E33,E35)</f>
        <v>1297</v>
      </c>
      <c r="F25" s="164">
        <f t="shared" si="6"/>
        <v>423</v>
      </c>
      <c r="G25" s="164">
        <f t="shared" si="6"/>
        <v>846</v>
      </c>
      <c r="H25" s="164">
        <f t="shared" si="6"/>
        <v>1269</v>
      </c>
      <c r="I25" s="164">
        <f t="shared" si="6"/>
        <v>1692</v>
      </c>
    </row>
    <row r="26" spans="1:9" ht="20.100000000000001" customHeight="1">
      <c r="A26" s="157" t="s">
        <v>91</v>
      </c>
      <c r="B26" s="158">
        <v>2141</v>
      </c>
      <c r="C26" s="162"/>
      <c r="D26" s="162"/>
      <c r="E26" s="162"/>
      <c r="F26" s="162"/>
      <c r="G26" s="162"/>
      <c r="H26" s="162"/>
      <c r="I26" s="162"/>
    </row>
    <row r="27" spans="1:9" ht="20.100000000000001" customHeight="1">
      <c r="A27" s="157" t="s">
        <v>118</v>
      </c>
      <c r="B27" s="158">
        <v>2142</v>
      </c>
      <c r="C27" s="162"/>
      <c r="D27" s="162"/>
      <c r="E27" s="162"/>
      <c r="F27" s="162"/>
      <c r="G27" s="162"/>
      <c r="H27" s="162"/>
      <c r="I27" s="162"/>
    </row>
    <row r="28" spans="1:9" ht="20.100000000000001" customHeight="1">
      <c r="A28" s="157" t="s">
        <v>109</v>
      </c>
      <c r="B28" s="158">
        <v>2143</v>
      </c>
      <c r="C28" s="162"/>
      <c r="D28" s="162"/>
      <c r="E28" s="162"/>
      <c r="F28" s="162"/>
      <c r="G28" s="162"/>
      <c r="H28" s="162"/>
      <c r="I28" s="162"/>
    </row>
    <row r="29" spans="1:9" ht="20.100000000000001" customHeight="1">
      <c r="A29" s="157" t="s">
        <v>89</v>
      </c>
      <c r="B29" s="158">
        <v>2144</v>
      </c>
      <c r="C29" s="162">
        <v>882</v>
      </c>
      <c r="D29" s="162">
        <v>826</v>
      </c>
      <c r="E29" s="219">
        <v>1197</v>
      </c>
      <c r="F29" s="219">
        <f>ROUND('I. Фін результат'!F100*18%,0)</f>
        <v>390</v>
      </c>
      <c r="G29" s="219">
        <f>ROUND('I. Фін результат'!G100*18%,0)</f>
        <v>781</v>
      </c>
      <c r="H29" s="219">
        <f>ROUND('I. Фін результат'!H100*18%,0)</f>
        <v>1171</v>
      </c>
      <c r="I29" s="219">
        <f>ROUND('I. Фін результат'!I100*18%,0)</f>
        <v>1562</v>
      </c>
    </row>
    <row r="30" spans="1:9" s="47" customFormat="1" ht="20.100000000000001" customHeight="1">
      <c r="A30" s="157" t="s">
        <v>187</v>
      </c>
      <c r="B30" s="158">
        <v>2145</v>
      </c>
      <c r="C30" s="162"/>
      <c r="D30" s="165"/>
      <c r="E30" s="165"/>
      <c r="F30" s="162"/>
      <c r="G30" s="162"/>
      <c r="H30" s="162"/>
      <c r="I30" s="162"/>
    </row>
    <row r="31" spans="1:9" ht="56.25">
      <c r="A31" s="157" t="s">
        <v>266</v>
      </c>
      <c r="B31" s="158" t="s">
        <v>235</v>
      </c>
      <c r="C31" s="162"/>
      <c r="D31" s="165"/>
      <c r="E31" s="165"/>
      <c r="F31" s="162"/>
      <c r="G31" s="162"/>
      <c r="H31" s="162"/>
      <c r="I31" s="162"/>
    </row>
    <row r="32" spans="1:9" ht="20.100000000000001" customHeight="1">
      <c r="A32" s="157" t="s">
        <v>27</v>
      </c>
      <c r="B32" s="158" t="s">
        <v>236</v>
      </c>
      <c r="C32" s="162"/>
      <c r="D32" s="162"/>
      <c r="E32" s="162"/>
      <c r="F32" s="162"/>
      <c r="G32" s="162"/>
      <c r="H32" s="162"/>
      <c r="I32" s="162"/>
    </row>
    <row r="33" spans="1:10" s="47" customFormat="1" ht="20.100000000000001" customHeight="1">
      <c r="A33" s="157" t="s">
        <v>129</v>
      </c>
      <c r="B33" s="158">
        <v>2146</v>
      </c>
      <c r="C33" s="162">
        <v>4</v>
      </c>
      <c r="D33" s="162"/>
      <c r="E33" s="162"/>
      <c r="F33" s="162"/>
      <c r="G33" s="162"/>
      <c r="H33" s="162"/>
      <c r="I33" s="162"/>
    </row>
    <row r="34" spans="1:10" s="47" customFormat="1" ht="20.100000000000001" customHeight="1">
      <c r="A34" s="157" t="s">
        <v>407</v>
      </c>
      <c r="B34" s="158" t="s">
        <v>408</v>
      </c>
      <c r="C34" s="162">
        <v>4</v>
      </c>
      <c r="D34" s="162"/>
      <c r="E34" s="162"/>
      <c r="F34" s="162"/>
      <c r="G34" s="162"/>
      <c r="H34" s="162"/>
      <c r="I34" s="162"/>
    </row>
    <row r="35" spans="1:10" ht="20.100000000000001" customHeight="1">
      <c r="A35" s="157" t="s">
        <v>97</v>
      </c>
      <c r="B35" s="158">
        <v>2147</v>
      </c>
      <c r="C35" s="162">
        <v>73</v>
      </c>
      <c r="D35" s="162">
        <v>69</v>
      </c>
      <c r="E35" s="162">
        <v>100</v>
      </c>
      <c r="F35" s="162">
        <f t="shared" ref="F35:I35" si="7">F36</f>
        <v>33</v>
      </c>
      <c r="G35" s="162">
        <f t="shared" si="7"/>
        <v>65</v>
      </c>
      <c r="H35" s="162">
        <f t="shared" si="7"/>
        <v>98</v>
      </c>
      <c r="I35" s="162">
        <f t="shared" si="7"/>
        <v>130</v>
      </c>
    </row>
    <row r="36" spans="1:10" ht="20.100000000000001" customHeight="1">
      <c r="A36" s="157" t="s">
        <v>379</v>
      </c>
      <c r="B36" s="158" t="s">
        <v>510</v>
      </c>
      <c r="C36" s="162">
        <v>73</v>
      </c>
      <c r="D36" s="162">
        <v>69</v>
      </c>
      <c r="E36" s="161">
        <v>100</v>
      </c>
      <c r="F36" s="161">
        <f>ROUND('I. Фін результат'!F100*1.5%,0)</f>
        <v>33</v>
      </c>
      <c r="G36" s="161">
        <f>ROUND('I. Фін результат'!G100*1.5%,0)</f>
        <v>65</v>
      </c>
      <c r="H36" s="161">
        <f>ROUND('I. Фін результат'!H100*1.5%,0)</f>
        <v>98</v>
      </c>
      <c r="I36" s="161">
        <f>ROUND('I. Фін результат'!I100*1.5%,0)</f>
        <v>130</v>
      </c>
    </row>
    <row r="37" spans="1:10" s="47" customFormat="1" ht="37.5">
      <c r="A37" s="157" t="s">
        <v>90</v>
      </c>
      <c r="B37" s="158">
        <v>2150</v>
      </c>
      <c r="C37" s="162">
        <f>'I. Фін результат'!C101</f>
        <v>1011</v>
      </c>
      <c r="D37" s="162">
        <v>936</v>
      </c>
      <c r="E37" s="162">
        <f>'I. Фін результат'!E101</f>
        <v>1404</v>
      </c>
      <c r="F37" s="162">
        <f>'I. Фін результат'!F101</f>
        <v>461</v>
      </c>
      <c r="G37" s="162">
        <f>'I. Фін результат'!G101</f>
        <v>920</v>
      </c>
      <c r="H37" s="162">
        <f>'I. Фін результат'!H101</f>
        <v>1383</v>
      </c>
      <c r="I37" s="162">
        <f>'I. Фін результат'!I101</f>
        <v>1843</v>
      </c>
    </row>
    <row r="38" spans="1:10" s="47" customFormat="1" ht="20.100000000000001" customHeight="1">
      <c r="A38" s="159" t="s">
        <v>359</v>
      </c>
      <c r="B38" s="160">
        <v>2200</v>
      </c>
      <c r="C38" s="164">
        <f>SUM(C19,C22:C24,C25,C37)</f>
        <v>2012</v>
      </c>
      <c r="D38" s="164">
        <f t="shared" ref="D38:I38" si="8">SUM(D19,D22:D24,D25,D37)</f>
        <v>1916</v>
      </c>
      <c r="E38" s="164">
        <f t="shared" si="8"/>
        <v>3826</v>
      </c>
      <c r="F38" s="164">
        <f t="shared" si="8"/>
        <v>726</v>
      </c>
      <c r="G38" s="164">
        <f t="shared" si="8"/>
        <v>1853</v>
      </c>
      <c r="H38" s="164">
        <f t="shared" si="8"/>
        <v>2763</v>
      </c>
      <c r="I38" s="164">
        <f t="shared" si="8"/>
        <v>3668</v>
      </c>
    </row>
    <row r="39" spans="1:10" s="47" customFormat="1" ht="20.100000000000001" customHeight="1">
      <c r="A39" s="137"/>
      <c r="B39" s="138"/>
      <c r="C39" s="139"/>
      <c r="D39" s="140"/>
      <c r="E39" s="140"/>
      <c r="F39" s="140"/>
      <c r="G39" s="140"/>
      <c r="H39" s="140"/>
      <c r="I39" s="140"/>
    </row>
    <row r="40" spans="1:10" s="47" customFormat="1" ht="20.100000000000001" customHeight="1">
      <c r="A40" s="137"/>
      <c r="B40" s="138"/>
      <c r="C40" s="139"/>
      <c r="D40" s="140"/>
      <c r="E40" s="140"/>
      <c r="F40" s="140"/>
      <c r="G40" s="140"/>
      <c r="H40" s="140"/>
      <c r="I40" s="140"/>
    </row>
    <row r="41" spans="1:10" s="2" customFormat="1" ht="20.100000000000001" customHeight="1">
      <c r="A41" s="167" t="s">
        <v>398</v>
      </c>
      <c r="B41" s="129"/>
      <c r="C41" s="412" t="s">
        <v>119</v>
      </c>
      <c r="D41" s="413"/>
      <c r="E41" s="413"/>
      <c r="F41" s="130"/>
      <c r="G41" s="307" t="s">
        <v>543</v>
      </c>
      <c r="H41" s="307"/>
      <c r="I41" s="307"/>
    </row>
    <row r="42" spans="1:10" s="1" customFormat="1" ht="20.100000000000001" customHeight="1">
      <c r="A42" s="95" t="s">
        <v>378</v>
      </c>
      <c r="B42" s="108"/>
      <c r="C42" s="396" t="s">
        <v>84</v>
      </c>
      <c r="D42" s="396"/>
      <c r="E42" s="396"/>
      <c r="F42" s="131"/>
      <c r="G42" s="397" t="s">
        <v>433</v>
      </c>
      <c r="H42" s="397"/>
      <c r="I42" s="397"/>
    </row>
    <row r="43" spans="1:10" s="48" customFormat="1">
      <c r="A43" s="61"/>
      <c r="F43" s="45"/>
      <c r="G43" s="45"/>
      <c r="H43" s="45"/>
      <c r="I43" s="45"/>
      <c r="J43" s="45"/>
    </row>
    <row r="44" spans="1:10" s="48" customFormat="1">
      <c r="A44" s="61"/>
      <c r="F44" s="45"/>
      <c r="G44" s="45"/>
      <c r="H44" s="45"/>
      <c r="I44" s="45"/>
      <c r="J44" s="45"/>
    </row>
    <row r="45" spans="1:10" s="48" customFormat="1">
      <c r="A45" s="61"/>
      <c r="E45" s="236"/>
      <c r="F45" s="210"/>
      <c r="G45" s="210"/>
      <c r="H45" s="210"/>
      <c r="I45" s="210"/>
      <c r="J45" s="45"/>
    </row>
    <row r="46" spans="1:10" s="48" customFormat="1">
      <c r="A46" s="61"/>
      <c r="E46" s="236"/>
      <c r="F46" s="212"/>
      <c r="G46" s="212"/>
      <c r="H46" s="212"/>
      <c r="I46" s="212"/>
      <c r="J46" s="45"/>
    </row>
    <row r="47" spans="1:10" s="48" customFormat="1">
      <c r="A47" s="61"/>
      <c r="E47" s="237"/>
      <c r="F47" s="211"/>
      <c r="G47" s="211"/>
      <c r="H47" s="211"/>
      <c r="I47" s="211"/>
      <c r="J47" s="45"/>
    </row>
    <row r="48" spans="1:10" s="48" customFormat="1">
      <c r="A48" s="61"/>
      <c r="E48" s="237"/>
      <c r="F48" s="211"/>
      <c r="G48" s="211"/>
      <c r="H48" s="211"/>
      <c r="I48" s="211"/>
      <c r="J48" s="45"/>
    </row>
    <row r="49" spans="1:10" s="48" customFormat="1">
      <c r="A49" s="61"/>
      <c r="F49" s="45"/>
      <c r="G49" s="45"/>
      <c r="H49" s="45"/>
      <c r="I49" s="45"/>
      <c r="J49" s="45"/>
    </row>
    <row r="50" spans="1:10" s="48" customFormat="1">
      <c r="A50" s="61"/>
      <c r="F50" s="45"/>
      <c r="G50" s="45"/>
      <c r="H50" s="45"/>
      <c r="I50" s="45"/>
      <c r="J50" s="45"/>
    </row>
    <row r="51" spans="1:10" s="48" customFormat="1">
      <c r="A51" s="61"/>
      <c r="F51" s="45"/>
      <c r="G51" s="45"/>
      <c r="H51" s="45"/>
      <c r="I51" s="45"/>
      <c r="J51" s="45"/>
    </row>
    <row r="52" spans="1:10" s="48" customFormat="1">
      <c r="A52" s="61"/>
      <c r="F52" s="45"/>
      <c r="G52" s="45"/>
      <c r="H52" s="45"/>
      <c r="I52" s="45"/>
      <c r="J52" s="45"/>
    </row>
    <row r="53" spans="1:10" s="48" customFormat="1">
      <c r="A53" s="61"/>
      <c r="F53" s="45"/>
      <c r="G53" s="45"/>
      <c r="H53" s="45"/>
      <c r="I53" s="45"/>
      <c r="J53" s="45"/>
    </row>
    <row r="54" spans="1:10" s="48" customFormat="1">
      <c r="A54" s="61"/>
      <c r="F54" s="45"/>
      <c r="G54" s="45"/>
      <c r="H54" s="45"/>
      <c r="I54" s="45"/>
      <c r="J54" s="45"/>
    </row>
    <row r="55" spans="1:10" s="48" customFormat="1">
      <c r="A55" s="61"/>
      <c r="F55" s="45"/>
      <c r="G55" s="45"/>
      <c r="H55" s="45"/>
      <c r="I55" s="45"/>
      <c r="J55" s="45"/>
    </row>
    <row r="56" spans="1:10" s="48" customFormat="1">
      <c r="A56" s="61"/>
      <c r="F56" s="45"/>
      <c r="G56" s="45"/>
      <c r="H56" s="45"/>
      <c r="I56" s="45"/>
      <c r="J56" s="45"/>
    </row>
    <row r="57" spans="1:10" s="48" customFormat="1">
      <c r="A57" s="61"/>
      <c r="F57" s="45"/>
      <c r="G57" s="45"/>
      <c r="H57" s="45"/>
      <c r="I57" s="45"/>
      <c r="J57" s="45"/>
    </row>
    <row r="58" spans="1:10" s="48" customFormat="1">
      <c r="A58" s="61"/>
      <c r="F58" s="45"/>
      <c r="G58" s="45"/>
      <c r="H58" s="45"/>
      <c r="I58" s="45"/>
      <c r="J58" s="45"/>
    </row>
    <row r="59" spans="1:10" s="48" customFormat="1">
      <c r="A59" s="61"/>
      <c r="F59" s="45"/>
      <c r="G59" s="45"/>
      <c r="H59" s="45"/>
      <c r="I59" s="45"/>
      <c r="J59" s="45"/>
    </row>
    <row r="60" spans="1:10" s="48" customFormat="1">
      <c r="A60" s="61"/>
      <c r="F60" s="45"/>
      <c r="G60" s="45"/>
      <c r="H60" s="45"/>
      <c r="I60" s="45"/>
      <c r="J60" s="45"/>
    </row>
    <row r="61" spans="1:10" s="48" customFormat="1">
      <c r="A61" s="61"/>
      <c r="F61" s="45"/>
      <c r="G61" s="45"/>
      <c r="H61" s="45"/>
      <c r="I61" s="45"/>
      <c r="J61" s="45"/>
    </row>
    <row r="62" spans="1:10" s="48" customFormat="1">
      <c r="A62" s="61"/>
      <c r="F62" s="45"/>
      <c r="G62" s="45"/>
      <c r="H62" s="45"/>
      <c r="I62" s="45"/>
      <c r="J62" s="45"/>
    </row>
    <row r="63" spans="1:10" s="48" customFormat="1">
      <c r="A63" s="61"/>
      <c r="F63" s="45"/>
      <c r="G63" s="45"/>
      <c r="H63" s="45"/>
      <c r="I63" s="45"/>
      <c r="J63" s="45"/>
    </row>
    <row r="64" spans="1:10" s="48" customFormat="1">
      <c r="A64" s="61"/>
      <c r="F64" s="45"/>
      <c r="G64" s="45"/>
      <c r="H64" s="45"/>
      <c r="I64" s="45"/>
      <c r="J64" s="45"/>
    </row>
    <row r="65" spans="1:10" s="48" customFormat="1">
      <c r="A65" s="61"/>
      <c r="F65" s="45"/>
      <c r="G65" s="45"/>
      <c r="H65" s="45"/>
      <c r="I65" s="45"/>
      <c r="J65" s="45"/>
    </row>
    <row r="66" spans="1:10" s="48" customFormat="1">
      <c r="A66" s="61"/>
      <c r="F66" s="45"/>
      <c r="G66" s="45"/>
      <c r="H66" s="45"/>
      <c r="I66" s="45"/>
      <c r="J66" s="45"/>
    </row>
    <row r="67" spans="1:10" s="48" customFormat="1">
      <c r="A67" s="61"/>
      <c r="F67" s="45"/>
      <c r="G67" s="45"/>
      <c r="H67" s="45"/>
      <c r="I67" s="45"/>
      <c r="J67" s="45"/>
    </row>
    <row r="68" spans="1:10" s="48" customFormat="1">
      <c r="A68" s="61"/>
      <c r="F68" s="45"/>
      <c r="G68" s="45"/>
      <c r="H68" s="45"/>
      <c r="I68" s="45"/>
      <c r="J68" s="45"/>
    </row>
    <row r="69" spans="1:10" s="48" customFormat="1">
      <c r="A69" s="61"/>
      <c r="F69" s="45"/>
      <c r="G69" s="45"/>
      <c r="H69" s="45"/>
      <c r="I69" s="45"/>
      <c r="J69" s="45"/>
    </row>
    <row r="70" spans="1:10" s="48" customFormat="1">
      <c r="A70" s="61"/>
      <c r="F70" s="45"/>
      <c r="G70" s="45"/>
      <c r="H70" s="45"/>
      <c r="I70" s="45"/>
      <c r="J70" s="45"/>
    </row>
    <row r="71" spans="1:10" s="48" customFormat="1">
      <c r="A71" s="61"/>
      <c r="F71" s="45"/>
      <c r="G71" s="45"/>
      <c r="H71" s="45"/>
      <c r="I71" s="45"/>
      <c r="J71" s="45"/>
    </row>
    <row r="72" spans="1:10" s="48" customFormat="1">
      <c r="A72" s="61"/>
      <c r="F72" s="45"/>
      <c r="G72" s="45"/>
      <c r="H72" s="45"/>
      <c r="I72" s="45"/>
      <c r="J72" s="45"/>
    </row>
    <row r="73" spans="1:10" s="48" customFormat="1">
      <c r="A73" s="61"/>
      <c r="F73" s="45"/>
      <c r="G73" s="45"/>
      <c r="H73" s="45"/>
      <c r="I73" s="45"/>
      <c r="J73" s="45"/>
    </row>
    <row r="74" spans="1:10" s="48" customFormat="1">
      <c r="A74" s="61"/>
      <c r="F74" s="45"/>
      <c r="G74" s="45"/>
      <c r="H74" s="45"/>
      <c r="I74" s="45"/>
      <c r="J74" s="45"/>
    </row>
    <row r="75" spans="1:10" s="48" customFormat="1">
      <c r="A75" s="61"/>
      <c r="F75" s="45"/>
      <c r="G75" s="45"/>
      <c r="H75" s="45"/>
      <c r="I75" s="45"/>
      <c r="J75" s="45"/>
    </row>
    <row r="76" spans="1:10" s="48" customFormat="1">
      <c r="A76" s="61"/>
      <c r="F76" s="45"/>
      <c r="G76" s="45"/>
      <c r="H76" s="45"/>
      <c r="I76" s="45"/>
      <c r="J76" s="45"/>
    </row>
    <row r="77" spans="1:10" s="48" customFormat="1">
      <c r="A77" s="61"/>
      <c r="F77" s="45"/>
      <c r="G77" s="45"/>
      <c r="H77" s="45"/>
      <c r="I77" s="45"/>
      <c r="J77" s="45"/>
    </row>
    <row r="78" spans="1:10" s="48" customFormat="1">
      <c r="A78" s="61"/>
      <c r="F78" s="45"/>
      <c r="G78" s="45"/>
      <c r="H78" s="45"/>
      <c r="I78" s="45"/>
      <c r="J78" s="45"/>
    </row>
    <row r="79" spans="1:10" s="48" customFormat="1">
      <c r="A79" s="61"/>
      <c r="F79" s="45"/>
      <c r="G79" s="45"/>
      <c r="H79" s="45"/>
      <c r="I79" s="45"/>
      <c r="J79" s="45"/>
    </row>
    <row r="80" spans="1:10" s="48" customFormat="1">
      <c r="A80" s="61"/>
      <c r="F80" s="45"/>
      <c r="G80" s="45"/>
      <c r="H80" s="45"/>
      <c r="I80" s="45"/>
      <c r="J80" s="45"/>
    </row>
    <row r="81" spans="1:10" s="48" customFormat="1">
      <c r="A81" s="61"/>
      <c r="F81" s="45"/>
      <c r="G81" s="45"/>
      <c r="H81" s="45"/>
      <c r="I81" s="45"/>
      <c r="J81" s="45"/>
    </row>
    <row r="82" spans="1:10" s="48" customFormat="1">
      <c r="A82" s="61"/>
      <c r="F82" s="45"/>
      <c r="G82" s="45"/>
      <c r="H82" s="45"/>
      <c r="I82" s="45"/>
      <c r="J82" s="45"/>
    </row>
    <row r="83" spans="1:10" s="48" customFormat="1">
      <c r="A83" s="61"/>
      <c r="F83" s="45"/>
      <c r="G83" s="45"/>
      <c r="H83" s="45"/>
      <c r="I83" s="45"/>
      <c r="J83" s="45"/>
    </row>
    <row r="84" spans="1:10" s="48" customFormat="1">
      <c r="A84" s="61"/>
      <c r="F84" s="45"/>
      <c r="G84" s="45"/>
      <c r="H84" s="45"/>
      <c r="I84" s="45"/>
      <c r="J84" s="45"/>
    </row>
    <row r="85" spans="1:10" s="48" customFormat="1">
      <c r="A85" s="61"/>
      <c r="F85" s="45"/>
      <c r="G85" s="45"/>
      <c r="H85" s="45"/>
      <c r="I85" s="45"/>
      <c r="J85" s="45"/>
    </row>
    <row r="86" spans="1:10" s="48" customFormat="1">
      <c r="A86" s="61"/>
      <c r="F86" s="45"/>
      <c r="G86" s="45"/>
      <c r="H86" s="45"/>
      <c r="I86" s="45"/>
      <c r="J86" s="45"/>
    </row>
    <row r="87" spans="1:10" s="48" customFormat="1">
      <c r="A87" s="61"/>
      <c r="F87" s="45"/>
      <c r="G87" s="45"/>
      <c r="H87" s="45"/>
      <c r="I87" s="45"/>
      <c r="J87" s="45"/>
    </row>
    <row r="88" spans="1:10" s="48" customFormat="1">
      <c r="A88" s="61"/>
      <c r="F88" s="45"/>
      <c r="G88" s="45"/>
      <c r="H88" s="45"/>
      <c r="I88" s="45"/>
      <c r="J88" s="45"/>
    </row>
    <row r="89" spans="1:10" s="48" customFormat="1">
      <c r="A89" s="61"/>
      <c r="F89" s="45"/>
      <c r="G89" s="45"/>
      <c r="H89" s="45"/>
      <c r="I89" s="45"/>
      <c r="J89" s="45"/>
    </row>
    <row r="90" spans="1:10" s="48" customFormat="1">
      <c r="A90" s="61"/>
      <c r="F90" s="45"/>
      <c r="G90" s="45"/>
      <c r="H90" s="45"/>
      <c r="I90" s="45"/>
      <c r="J90" s="45"/>
    </row>
    <row r="91" spans="1:10" s="48" customFormat="1">
      <c r="A91" s="61"/>
      <c r="F91" s="45"/>
      <c r="G91" s="45"/>
      <c r="H91" s="45"/>
      <c r="I91" s="45"/>
      <c r="J91" s="45"/>
    </row>
    <row r="92" spans="1:10" s="48" customFormat="1">
      <c r="A92" s="61"/>
      <c r="F92" s="45"/>
      <c r="G92" s="45"/>
      <c r="H92" s="45"/>
      <c r="I92" s="45"/>
      <c r="J92" s="45"/>
    </row>
    <row r="93" spans="1:10" s="48" customFormat="1">
      <c r="A93" s="61"/>
      <c r="F93" s="45"/>
      <c r="G93" s="45"/>
      <c r="H93" s="45"/>
      <c r="I93" s="45"/>
      <c r="J93" s="45"/>
    </row>
    <row r="94" spans="1:10" s="48" customFormat="1">
      <c r="A94" s="61"/>
      <c r="F94" s="45"/>
      <c r="G94" s="45"/>
      <c r="H94" s="45"/>
      <c r="I94" s="45"/>
      <c r="J94" s="45"/>
    </row>
    <row r="95" spans="1:10" s="48" customFormat="1">
      <c r="A95" s="61"/>
      <c r="F95" s="45"/>
      <c r="G95" s="45"/>
      <c r="H95" s="45"/>
      <c r="I95" s="45"/>
      <c r="J95" s="45"/>
    </row>
    <row r="96" spans="1:10" s="48" customFormat="1">
      <c r="A96" s="61"/>
      <c r="F96" s="45"/>
      <c r="G96" s="45"/>
      <c r="H96" s="45"/>
      <c r="I96" s="45"/>
      <c r="J96" s="45"/>
    </row>
    <row r="97" spans="1:10" s="48" customFormat="1">
      <c r="A97" s="61"/>
      <c r="F97" s="45"/>
      <c r="G97" s="45"/>
      <c r="H97" s="45"/>
      <c r="I97" s="45"/>
      <c r="J97" s="45"/>
    </row>
    <row r="98" spans="1:10" s="48" customFormat="1">
      <c r="A98" s="61"/>
      <c r="F98" s="45"/>
      <c r="G98" s="45"/>
      <c r="H98" s="45"/>
      <c r="I98" s="45"/>
      <c r="J98" s="45"/>
    </row>
    <row r="99" spans="1:10" s="48" customFormat="1">
      <c r="A99" s="61"/>
      <c r="F99" s="45"/>
      <c r="G99" s="45"/>
      <c r="H99" s="45"/>
      <c r="I99" s="45"/>
      <c r="J99" s="45"/>
    </row>
    <row r="100" spans="1:10" s="48" customFormat="1">
      <c r="A100" s="61"/>
      <c r="F100" s="45"/>
      <c r="G100" s="45"/>
      <c r="H100" s="45"/>
      <c r="I100" s="45"/>
      <c r="J100" s="45"/>
    </row>
    <row r="101" spans="1:10" s="48" customFormat="1">
      <c r="A101" s="61"/>
      <c r="F101" s="45"/>
      <c r="G101" s="45"/>
      <c r="H101" s="45"/>
      <c r="I101" s="45"/>
      <c r="J101" s="45"/>
    </row>
    <row r="102" spans="1:10" s="48" customFormat="1">
      <c r="A102" s="61"/>
      <c r="F102" s="45"/>
      <c r="G102" s="45"/>
      <c r="H102" s="45"/>
      <c r="I102" s="45"/>
      <c r="J102" s="45"/>
    </row>
    <row r="103" spans="1:10" s="48" customFormat="1">
      <c r="A103" s="61"/>
      <c r="F103" s="45"/>
      <c r="G103" s="45"/>
      <c r="H103" s="45"/>
      <c r="I103" s="45"/>
      <c r="J103" s="45"/>
    </row>
    <row r="104" spans="1:10" s="48" customFormat="1">
      <c r="A104" s="61"/>
      <c r="F104" s="45"/>
      <c r="G104" s="45"/>
      <c r="H104" s="45"/>
      <c r="I104" s="45"/>
      <c r="J104" s="45"/>
    </row>
    <row r="105" spans="1:10" s="48" customFormat="1">
      <c r="A105" s="61"/>
      <c r="F105" s="45"/>
      <c r="G105" s="45"/>
      <c r="H105" s="45"/>
      <c r="I105" s="45"/>
      <c r="J105" s="45"/>
    </row>
    <row r="106" spans="1:10" s="48" customFormat="1">
      <c r="A106" s="61"/>
      <c r="F106" s="45"/>
      <c r="G106" s="45"/>
      <c r="H106" s="45"/>
      <c r="I106" s="45"/>
      <c r="J106" s="45"/>
    </row>
    <row r="107" spans="1:10" s="48" customFormat="1">
      <c r="A107" s="61"/>
      <c r="F107" s="45"/>
      <c r="G107" s="45"/>
      <c r="H107" s="45"/>
      <c r="I107" s="45"/>
      <c r="J107" s="45"/>
    </row>
    <row r="108" spans="1:10" s="48" customFormat="1">
      <c r="A108" s="61"/>
      <c r="F108" s="45"/>
      <c r="G108" s="45"/>
      <c r="H108" s="45"/>
      <c r="I108" s="45"/>
      <c r="J108" s="45"/>
    </row>
    <row r="109" spans="1:10" s="48" customFormat="1">
      <c r="A109" s="61"/>
      <c r="F109" s="45"/>
      <c r="G109" s="45"/>
      <c r="H109" s="45"/>
      <c r="I109" s="45"/>
      <c r="J109" s="45"/>
    </row>
    <row r="110" spans="1:10" s="48" customFormat="1">
      <c r="A110" s="61"/>
      <c r="F110" s="45"/>
      <c r="G110" s="45"/>
      <c r="H110" s="45"/>
      <c r="I110" s="45"/>
      <c r="J110" s="45"/>
    </row>
    <row r="111" spans="1:10" s="48" customFormat="1">
      <c r="A111" s="61"/>
      <c r="F111" s="45"/>
      <c r="G111" s="45"/>
      <c r="H111" s="45"/>
      <c r="I111" s="45"/>
      <c r="J111" s="45"/>
    </row>
    <row r="112" spans="1:10" s="48" customFormat="1">
      <c r="A112" s="61"/>
      <c r="F112" s="45"/>
      <c r="G112" s="45"/>
      <c r="H112" s="45"/>
      <c r="I112" s="45"/>
      <c r="J112" s="45"/>
    </row>
    <row r="113" spans="1:10" s="48" customFormat="1">
      <c r="A113" s="61"/>
      <c r="F113" s="45"/>
      <c r="G113" s="45"/>
      <c r="H113" s="45"/>
      <c r="I113" s="45"/>
      <c r="J113" s="45"/>
    </row>
    <row r="114" spans="1:10" s="48" customFormat="1">
      <c r="A114" s="61"/>
      <c r="F114" s="45"/>
      <c r="G114" s="45"/>
      <c r="H114" s="45"/>
      <c r="I114" s="45"/>
      <c r="J114" s="45"/>
    </row>
    <row r="115" spans="1:10" s="48" customFormat="1">
      <c r="A115" s="61"/>
      <c r="F115" s="45"/>
      <c r="G115" s="45"/>
      <c r="H115" s="45"/>
      <c r="I115" s="45"/>
      <c r="J115" s="45"/>
    </row>
    <row r="116" spans="1:10" s="48" customFormat="1">
      <c r="A116" s="61"/>
      <c r="F116" s="45"/>
      <c r="G116" s="45"/>
      <c r="H116" s="45"/>
      <c r="I116" s="45"/>
      <c r="J116" s="45"/>
    </row>
    <row r="117" spans="1:10" s="48" customFormat="1">
      <c r="A117" s="61"/>
      <c r="F117" s="45"/>
      <c r="G117" s="45"/>
      <c r="H117" s="45"/>
      <c r="I117" s="45"/>
      <c r="J117" s="45"/>
    </row>
    <row r="118" spans="1:10" s="48" customFormat="1">
      <c r="A118" s="61"/>
      <c r="F118" s="45"/>
      <c r="G118" s="45"/>
      <c r="H118" s="45"/>
      <c r="I118" s="45"/>
      <c r="J118" s="45"/>
    </row>
    <row r="119" spans="1:10" s="48" customFormat="1">
      <c r="A119" s="61"/>
      <c r="F119" s="45"/>
      <c r="G119" s="45"/>
      <c r="H119" s="45"/>
      <c r="I119" s="45"/>
      <c r="J119" s="45"/>
    </row>
    <row r="120" spans="1:10" s="48" customFormat="1">
      <c r="A120" s="61"/>
      <c r="F120" s="45"/>
      <c r="G120" s="45"/>
      <c r="H120" s="45"/>
      <c r="I120" s="45"/>
      <c r="J120" s="45"/>
    </row>
    <row r="121" spans="1:10" s="48" customFormat="1">
      <c r="A121" s="61"/>
      <c r="F121" s="45"/>
      <c r="G121" s="45"/>
      <c r="H121" s="45"/>
      <c r="I121" s="45"/>
      <c r="J121" s="45"/>
    </row>
    <row r="122" spans="1:10" s="48" customFormat="1">
      <c r="A122" s="61"/>
      <c r="F122" s="45"/>
      <c r="G122" s="45"/>
      <c r="H122" s="45"/>
      <c r="I122" s="45"/>
      <c r="J122" s="45"/>
    </row>
    <row r="123" spans="1:10" s="48" customFormat="1">
      <c r="A123" s="61"/>
      <c r="F123" s="45"/>
      <c r="G123" s="45"/>
      <c r="H123" s="45"/>
      <c r="I123" s="45"/>
      <c r="J123" s="45"/>
    </row>
    <row r="124" spans="1:10" s="48" customFormat="1">
      <c r="A124" s="61"/>
      <c r="F124" s="45"/>
      <c r="G124" s="45"/>
      <c r="H124" s="45"/>
      <c r="I124" s="45"/>
      <c r="J124" s="45"/>
    </row>
    <row r="125" spans="1:10" s="48" customFormat="1">
      <c r="A125" s="61"/>
      <c r="F125" s="45"/>
      <c r="G125" s="45"/>
      <c r="H125" s="45"/>
      <c r="I125" s="45"/>
      <c r="J125" s="45"/>
    </row>
    <row r="126" spans="1:10" s="48" customFormat="1">
      <c r="A126" s="61"/>
      <c r="F126" s="45"/>
      <c r="G126" s="45"/>
      <c r="H126" s="45"/>
      <c r="I126" s="45"/>
      <c r="J126" s="45"/>
    </row>
    <row r="127" spans="1:10" s="48" customFormat="1">
      <c r="A127" s="61"/>
      <c r="F127" s="45"/>
      <c r="G127" s="45"/>
      <c r="H127" s="45"/>
      <c r="I127" s="45"/>
      <c r="J127" s="45"/>
    </row>
    <row r="128" spans="1:10" s="48" customFormat="1">
      <c r="A128" s="61"/>
      <c r="F128" s="45"/>
      <c r="G128" s="45"/>
      <c r="H128" s="45"/>
      <c r="I128" s="45"/>
      <c r="J128" s="45"/>
    </row>
    <row r="129" spans="1:10" s="48" customFormat="1">
      <c r="A129" s="61"/>
      <c r="F129" s="45"/>
      <c r="G129" s="45"/>
      <c r="H129" s="45"/>
      <c r="I129" s="45"/>
      <c r="J129" s="45"/>
    </row>
    <row r="130" spans="1:10" s="48" customFormat="1">
      <c r="A130" s="61"/>
      <c r="F130" s="45"/>
      <c r="G130" s="45"/>
      <c r="H130" s="45"/>
      <c r="I130" s="45"/>
      <c r="J130" s="45"/>
    </row>
    <row r="131" spans="1:10" s="48" customFormat="1">
      <c r="A131" s="61"/>
      <c r="F131" s="45"/>
      <c r="G131" s="45"/>
      <c r="H131" s="45"/>
      <c r="I131" s="45"/>
      <c r="J131" s="45"/>
    </row>
    <row r="132" spans="1:10" s="48" customFormat="1">
      <c r="A132" s="61"/>
      <c r="F132" s="45"/>
      <c r="G132" s="45"/>
      <c r="H132" s="45"/>
      <c r="I132" s="45"/>
      <c r="J132" s="45"/>
    </row>
    <row r="133" spans="1:10" s="48" customFormat="1">
      <c r="A133" s="61"/>
      <c r="F133" s="45"/>
      <c r="G133" s="45"/>
      <c r="H133" s="45"/>
      <c r="I133" s="45"/>
      <c r="J133" s="45"/>
    </row>
    <row r="134" spans="1:10" s="48" customFormat="1">
      <c r="A134" s="61"/>
      <c r="F134" s="45"/>
      <c r="G134" s="45"/>
      <c r="H134" s="45"/>
      <c r="I134" s="45"/>
      <c r="J134" s="45"/>
    </row>
    <row r="135" spans="1:10" s="48" customFormat="1">
      <c r="A135" s="61"/>
      <c r="F135" s="45"/>
      <c r="G135" s="45"/>
      <c r="H135" s="45"/>
      <c r="I135" s="45"/>
      <c r="J135" s="45"/>
    </row>
    <row r="136" spans="1:10" s="48" customFormat="1">
      <c r="A136" s="61"/>
      <c r="F136" s="45"/>
      <c r="G136" s="45"/>
      <c r="H136" s="45"/>
      <c r="I136" s="45"/>
      <c r="J136" s="45"/>
    </row>
    <row r="137" spans="1:10" s="48" customFormat="1">
      <c r="A137" s="61"/>
      <c r="F137" s="45"/>
      <c r="G137" s="45"/>
      <c r="H137" s="45"/>
      <c r="I137" s="45"/>
      <c r="J137" s="45"/>
    </row>
    <row r="138" spans="1:10" s="48" customFormat="1">
      <c r="A138" s="61"/>
      <c r="F138" s="45"/>
      <c r="G138" s="45"/>
      <c r="H138" s="45"/>
      <c r="I138" s="45"/>
      <c r="J138" s="45"/>
    </row>
    <row r="139" spans="1:10" s="48" customFormat="1">
      <c r="A139" s="61"/>
      <c r="F139" s="45"/>
      <c r="G139" s="45"/>
      <c r="H139" s="45"/>
      <c r="I139" s="45"/>
      <c r="J139" s="45"/>
    </row>
    <row r="140" spans="1:10" s="48" customFormat="1">
      <c r="A140" s="61"/>
      <c r="F140" s="45"/>
      <c r="G140" s="45"/>
      <c r="H140" s="45"/>
      <c r="I140" s="45"/>
      <c r="J140" s="45"/>
    </row>
    <row r="141" spans="1:10" s="48" customFormat="1">
      <c r="A141" s="61"/>
      <c r="F141" s="45"/>
      <c r="G141" s="45"/>
      <c r="H141" s="45"/>
      <c r="I141" s="45"/>
      <c r="J141" s="45"/>
    </row>
    <row r="142" spans="1:10" s="48" customFormat="1">
      <c r="A142" s="61"/>
      <c r="F142" s="45"/>
      <c r="G142" s="45"/>
      <c r="H142" s="45"/>
      <c r="I142" s="45"/>
      <c r="J142" s="45"/>
    </row>
    <row r="143" spans="1:10" s="48" customFormat="1">
      <c r="A143" s="61"/>
      <c r="F143" s="45"/>
      <c r="G143" s="45"/>
      <c r="H143" s="45"/>
      <c r="I143" s="45"/>
      <c r="J143" s="45"/>
    </row>
    <row r="144" spans="1:10" s="48" customFormat="1">
      <c r="A144" s="61"/>
      <c r="F144" s="45"/>
      <c r="G144" s="45"/>
      <c r="H144" s="45"/>
      <c r="I144" s="45"/>
      <c r="J144" s="45"/>
    </row>
    <row r="145" spans="1:10" s="48" customFormat="1">
      <c r="A145" s="61"/>
      <c r="F145" s="45"/>
      <c r="G145" s="45"/>
      <c r="H145" s="45"/>
      <c r="I145" s="45"/>
      <c r="J145" s="45"/>
    </row>
    <row r="146" spans="1:10" s="48" customFormat="1">
      <c r="A146" s="61"/>
      <c r="F146" s="45"/>
      <c r="G146" s="45"/>
      <c r="H146" s="45"/>
      <c r="I146" s="45"/>
      <c r="J146" s="45"/>
    </row>
    <row r="147" spans="1:10" s="48" customFormat="1">
      <c r="A147" s="61"/>
      <c r="F147" s="45"/>
      <c r="G147" s="45"/>
      <c r="H147" s="45"/>
      <c r="I147" s="45"/>
      <c r="J147" s="45"/>
    </row>
    <row r="148" spans="1:10" s="48" customFormat="1">
      <c r="A148" s="61"/>
      <c r="F148" s="45"/>
      <c r="G148" s="45"/>
      <c r="H148" s="45"/>
      <c r="I148" s="45"/>
      <c r="J148" s="45"/>
    </row>
    <row r="149" spans="1:10" s="48" customFormat="1">
      <c r="A149" s="61"/>
      <c r="F149" s="45"/>
      <c r="G149" s="45"/>
      <c r="H149" s="45"/>
      <c r="I149" s="45"/>
      <c r="J149" s="45"/>
    </row>
    <row r="150" spans="1:10" s="48" customFormat="1">
      <c r="A150" s="61"/>
      <c r="F150" s="45"/>
      <c r="G150" s="45"/>
      <c r="H150" s="45"/>
      <c r="I150" s="45"/>
      <c r="J150" s="45"/>
    </row>
    <row r="151" spans="1:10" s="48" customFormat="1">
      <c r="A151" s="61"/>
      <c r="F151" s="45"/>
      <c r="G151" s="45"/>
      <c r="H151" s="45"/>
      <c r="I151" s="45"/>
      <c r="J151" s="45"/>
    </row>
    <row r="152" spans="1:10" s="48" customFormat="1">
      <c r="A152" s="61"/>
      <c r="F152" s="45"/>
      <c r="G152" s="45"/>
      <c r="H152" s="45"/>
      <c r="I152" s="45"/>
      <c r="J152" s="45"/>
    </row>
    <row r="153" spans="1:10" s="48" customFormat="1">
      <c r="A153" s="61"/>
      <c r="F153" s="45"/>
      <c r="G153" s="45"/>
      <c r="H153" s="45"/>
      <c r="I153" s="45"/>
      <c r="J153" s="45"/>
    </row>
    <row r="154" spans="1:10" s="48" customFormat="1">
      <c r="A154" s="61"/>
      <c r="F154" s="45"/>
      <c r="G154" s="45"/>
      <c r="H154" s="45"/>
      <c r="I154" s="45"/>
      <c r="J154" s="45"/>
    </row>
    <row r="155" spans="1:10" s="48" customFormat="1">
      <c r="A155" s="61"/>
      <c r="F155" s="45"/>
      <c r="G155" s="45"/>
      <c r="H155" s="45"/>
      <c r="I155" s="45"/>
      <c r="J155" s="45"/>
    </row>
    <row r="156" spans="1:10" s="48" customFormat="1">
      <c r="A156" s="61"/>
      <c r="F156" s="45"/>
      <c r="G156" s="45"/>
      <c r="H156" s="45"/>
      <c r="I156" s="45"/>
      <c r="J156" s="45"/>
    </row>
    <row r="157" spans="1:10" s="48" customFormat="1">
      <c r="A157" s="61"/>
      <c r="F157" s="45"/>
      <c r="G157" s="45"/>
      <c r="H157" s="45"/>
      <c r="I157" s="45"/>
      <c r="J157" s="45"/>
    </row>
    <row r="158" spans="1:10" s="48" customFormat="1">
      <c r="A158" s="61"/>
      <c r="F158" s="45"/>
      <c r="G158" s="45"/>
      <c r="H158" s="45"/>
      <c r="I158" s="45"/>
      <c r="J158" s="45"/>
    </row>
    <row r="159" spans="1:10" s="48" customFormat="1">
      <c r="A159" s="61"/>
      <c r="F159" s="45"/>
      <c r="G159" s="45"/>
      <c r="H159" s="45"/>
      <c r="I159" s="45"/>
      <c r="J159" s="45"/>
    </row>
    <row r="160" spans="1:10" s="48" customFormat="1">
      <c r="A160" s="61"/>
      <c r="F160" s="45"/>
      <c r="G160" s="45"/>
      <c r="H160" s="45"/>
      <c r="I160" s="45"/>
      <c r="J160" s="45"/>
    </row>
    <row r="161" spans="1:10" s="48" customFormat="1">
      <c r="A161" s="61"/>
      <c r="F161" s="45"/>
      <c r="G161" s="45"/>
      <c r="H161" s="45"/>
      <c r="I161" s="45"/>
      <c r="J161" s="45"/>
    </row>
    <row r="162" spans="1:10" s="48" customFormat="1">
      <c r="A162" s="61"/>
      <c r="F162" s="45"/>
      <c r="G162" s="45"/>
      <c r="H162" s="45"/>
      <c r="I162" s="45"/>
      <c r="J162" s="45"/>
    </row>
    <row r="163" spans="1:10" s="48" customFormat="1">
      <c r="A163" s="61"/>
      <c r="F163" s="45"/>
      <c r="G163" s="45"/>
      <c r="H163" s="45"/>
      <c r="I163" s="45"/>
      <c r="J163" s="45"/>
    </row>
    <row r="164" spans="1:10" s="48" customFormat="1">
      <c r="A164" s="61"/>
      <c r="F164" s="45"/>
      <c r="G164" s="45"/>
      <c r="H164" s="45"/>
      <c r="I164" s="45"/>
      <c r="J164" s="45"/>
    </row>
    <row r="165" spans="1:10" s="48" customFormat="1">
      <c r="A165" s="61"/>
      <c r="F165" s="45"/>
      <c r="G165" s="45"/>
      <c r="H165" s="45"/>
      <c r="I165" s="45"/>
      <c r="J165" s="45"/>
    </row>
    <row r="166" spans="1:10" s="48" customFormat="1">
      <c r="A166" s="61"/>
      <c r="F166" s="45"/>
      <c r="G166" s="45"/>
      <c r="H166" s="45"/>
      <c r="I166" s="45"/>
      <c r="J166" s="45"/>
    </row>
    <row r="167" spans="1:10" s="48" customFormat="1">
      <c r="A167" s="61"/>
      <c r="F167" s="45"/>
      <c r="G167" s="45"/>
      <c r="H167" s="45"/>
      <c r="I167" s="45"/>
      <c r="J167" s="45"/>
    </row>
    <row r="168" spans="1:10" s="48" customFormat="1">
      <c r="A168" s="61"/>
      <c r="F168" s="45"/>
      <c r="G168" s="45"/>
      <c r="H168" s="45"/>
      <c r="I168" s="45"/>
      <c r="J168" s="45"/>
    </row>
    <row r="169" spans="1:10" s="48" customFormat="1">
      <c r="A169" s="61"/>
      <c r="F169" s="45"/>
      <c r="G169" s="45"/>
      <c r="H169" s="45"/>
      <c r="I169" s="45"/>
      <c r="J169" s="45"/>
    </row>
    <row r="170" spans="1:10" s="48" customFormat="1">
      <c r="A170" s="61"/>
      <c r="F170" s="45"/>
      <c r="G170" s="45"/>
      <c r="H170" s="45"/>
      <c r="I170" s="45"/>
      <c r="J170" s="45"/>
    </row>
    <row r="171" spans="1:10" s="48" customFormat="1">
      <c r="A171" s="61"/>
      <c r="F171" s="45"/>
      <c r="G171" s="45"/>
      <c r="H171" s="45"/>
      <c r="I171" s="45"/>
      <c r="J171" s="45"/>
    </row>
    <row r="172" spans="1:10" s="48" customFormat="1">
      <c r="A172" s="61"/>
      <c r="F172" s="45"/>
      <c r="G172" s="45"/>
      <c r="H172" s="45"/>
      <c r="I172" s="45"/>
      <c r="J172" s="45"/>
    </row>
    <row r="173" spans="1:10" s="48" customFormat="1">
      <c r="A173" s="61"/>
      <c r="F173" s="45"/>
      <c r="G173" s="45"/>
      <c r="H173" s="45"/>
      <c r="I173" s="45"/>
      <c r="J173" s="45"/>
    </row>
    <row r="174" spans="1:10" s="48" customFormat="1">
      <c r="A174" s="61"/>
      <c r="F174" s="45"/>
      <c r="G174" s="45"/>
      <c r="H174" s="45"/>
      <c r="I174" s="45"/>
      <c r="J174" s="45"/>
    </row>
    <row r="175" spans="1:10" s="48" customFormat="1">
      <c r="A175" s="61"/>
      <c r="F175" s="45"/>
      <c r="G175" s="45"/>
      <c r="H175" s="45"/>
      <c r="I175" s="45"/>
      <c r="J175" s="45"/>
    </row>
    <row r="176" spans="1:10" s="48" customFormat="1">
      <c r="A176" s="61"/>
      <c r="F176" s="45"/>
      <c r="G176" s="45"/>
      <c r="H176" s="45"/>
      <c r="I176" s="45"/>
      <c r="J176" s="45"/>
    </row>
    <row r="177" spans="1:10" s="48" customFormat="1">
      <c r="A177" s="61"/>
      <c r="F177" s="45"/>
      <c r="G177" s="45"/>
      <c r="H177" s="45"/>
      <c r="I177" s="45"/>
      <c r="J177" s="45"/>
    </row>
    <row r="178" spans="1:10" s="48" customFormat="1">
      <c r="A178" s="61"/>
      <c r="F178" s="45"/>
      <c r="G178" s="45"/>
      <c r="H178" s="45"/>
      <c r="I178" s="45"/>
      <c r="J178" s="45"/>
    </row>
    <row r="179" spans="1:10" s="48" customFormat="1">
      <c r="A179" s="61"/>
      <c r="F179" s="45"/>
      <c r="G179" s="45"/>
      <c r="H179" s="45"/>
      <c r="I179" s="45"/>
      <c r="J179" s="45"/>
    </row>
    <row r="180" spans="1:10" s="48" customFormat="1">
      <c r="A180" s="61"/>
      <c r="F180" s="45"/>
      <c r="G180" s="45"/>
      <c r="H180" s="45"/>
      <c r="I180" s="45"/>
      <c r="J180" s="45"/>
    </row>
    <row r="181" spans="1:10" s="48" customFormat="1">
      <c r="A181" s="61"/>
      <c r="F181" s="45"/>
      <c r="G181" s="45"/>
      <c r="H181" s="45"/>
      <c r="I181" s="45"/>
      <c r="J181" s="45"/>
    </row>
    <row r="182" spans="1:10" s="48" customFormat="1">
      <c r="A182" s="61"/>
      <c r="F182" s="45"/>
      <c r="G182" s="45"/>
      <c r="H182" s="45"/>
      <c r="I182" s="45"/>
      <c r="J182" s="45"/>
    </row>
    <row r="183" spans="1:10" s="48" customFormat="1">
      <c r="A183" s="61"/>
      <c r="F183" s="45"/>
      <c r="G183" s="45"/>
      <c r="H183" s="45"/>
      <c r="I183" s="45"/>
      <c r="J183" s="45"/>
    </row>
    <row r="184" spans="1:10" s="48" customFormat="1">
      <c r="A184" s="61"/>
      <c r="F184" s="45"/>
      <c r="G184" s="45"/>
      <c r="H184" s="45"/>
      <c r="I184" s="45"/>
      <c r="J184" s="45"/>
    </row>
    <row r="185" spans="1:10" s="48" customFormat="1">
      <c r="A185" s="61"/>
      <c r="F185" s="45"/>
      <c r="G185" s="45"/>
      <c r="H185" s="45"/>
      <c r="I185" s="45"/>
      <c r="J185" s="45"/>
    </row>
    <row r="186" spans="1:10" s="48" customFormat="1">
      <c r="A186" s="61"/>
      <c r="F186" s="45"/>
      <c r="G186" s="45"/>
      <c r="H186" s="45"/>
      <c r="I186" s="45"/>
      <c r="J186" s="45"/>
    </row>
    <row r="187" spans="1:10" s="48" customFormat="1">
      <c r="A187" s="61"/>
      <c r="F187" s="45"/>
      <c r="G187" s="45"/>
      <c r="H187" s="45"/>
      <c r="I187" s="45"/>
      <c r="J187" s="45"/>
    </row>
    <row r="188" spans="1:10" s="48" customFormat="1">
      <c r="A188" s="61"/>
      <c r="F188" s="45"/>
      <c r="G188" s="45"/>
      <c r="H188" s="45"/>
      <c r="I188" s="45"/>
      <c r="J188" s="45"/>
    </row>
    <row r="189" spans="1:10" s="48" customFormat="1">
      <c r="A189" s="61"/>
      <c r="F189" s="45"/>
      <c r="G189" s="45"/>
      <c r="H189" s="45"/>
      <c r="I189" s="45"/>
      <c r="J189" s="45"/>
    </row>
    <row r="190" spans="1:10" s="48" customFormat="1">
      <c r="A190" s="61"/>
      <c r="F190" s="45"/>
      <c r="G190" s="45"/>
      <c r="H190" s="45"/>
      <c r="I190" s="45"/>
      <c r="J190" s="45"/>
    </row>
    <row r="191" spans="1:10" s="48" customFormat="1">
      <c r="A191" s="61"/>
      <c r="F191" s="45"/>
      <c r="G191" s="45"/>
      <c r="H191" s="45"/>
      <c r="I191" s="45"/>
      <c r="J191" s="45"/>
    </row>
    <row r="192" spans="1:10" s="48" customFormat="1">
      <c r="A192" s="61"/>
      <c r="F192" s="45"/>
      <c r="G192" s="45"/>
      <c r="H192" s="45"/>
      <c r="I192" s="45"/>
      <c r="J192" s="45"/>
    </row>
  </sheetData>
  <customSheetViews>
    <customSheetView guid="{F65ACDE9-A565-4614-893F-AFCB94FA629C}" scale="75" showPageBreaks="1" printArea="1" view="pageBreakPreview">
      <pane ySplit="5" topLeftCell="A30" activePane="bottomLeft" state="frozen"/>
      <selection pane="bottomLeft" activeCell="D20" sqref="D20:D21"/>
      <pageMargins left="0.78740157480314965" right="0.39370078740157483" top="0.59055118110236227" bottom="0.59055118110236227" header="0.19685039370078741" footer="0.11811023622047245"/>
      <pageSetup paperSize="9" scale="50" fitToHeight="2" orientation="portrait" verticalDpi="300" r:id="rId1"/>
      <headerFooter alignWithMargins="0"/>
    </customSheetView>
    <customSheetView guid="{43DCEB14-ADF8-4168-9283-6542A71D3CF7}" scale="75" showPageBreaks="1" printArea="1" view="pageBreakPreview">
      <pane ySplit="5" topLeftCell="A30" activePane="bottomLeft" state="frozen"/>
      <selection pane="bottomLeft" activeCell="D20" sqref="D20:D21"/>
      <pageMargins left="0.78740157480314965" right="0.39370078740157483" top="0.59055118110236227" bottom="0.59055118110236227" header="0.19685039370078741" footer="0.11811023622047245"/>
      <pageSetup paperSize="9" scale="50" fitToHeight="2" orientation="portrait" verticalDpi="300" r:id="rId2"/>
      <headerFooter alignWithMargins="0"/>
    </customSheetView>
    <customSheetView guid="{4BF2F851-A775-4F33-8DA4-C59D9D94DA9D}" scale="75" showPageBreaks="1" printArea="1" view="pageBreakPreview">
      <pane ySplit="5" topLeftCell="A27" activePane="bottomLeft" state="frozen"/>
      <selection pane="bottomLeft" activeCell="H37" sqref="H37"/>
      <pageMargins left="0.78740157480314965" right="0.39370078740157483" top="0.59055118110236227" bottom="0.59055118110236227" header="0.19685039370078741" footer="0.11811023622047245"/>
      <pageSetup paperSize="9" scale="50" fitToHeight="2" orientation="portrait" verticalDpi="300" r:id="rId3"/>
      <headerFooter alignWithMargins="0"/>
    </customSheetView>
    <customSheetView guid="{1E3D5FB9-014E-4051-8AD5-DB0A17D05797}" scale="75" showPageBreaks="1" printArea="1" view="pageBreakPreview">
      <pane ySplit="5" topLeftCell="A6" activePane="bottomLeft" state="frozen"/>
      <selection pane="bottomLeft" activeCell="I36" sqref="I36"/>
      <pageMargins left="0.78740157480314965" right="0.39370078740157483" top="0.59055118110236227" bottom="0.59055118110236227" header="0.19685039370078741" footer="0.11811023622047245"/>
      <pageSetup paperSize="9" scale="50" fitToHeight="2" orientation="portrait" verticalDpi="300" r:id="rId4"/>
      <headerFooter alignWithMargins="0"/>
    </customSheetView>
    <customSheetView guid="{6E930A10-FB87-4441-8A38-C35193B7FA1B}" scale="75" showPageBreaks="1" printArea="1" view="pageBreakPreview">
      <pane ySplit="5" topLeftCell="A30" activePane="bottomLeft" state="frozen"/>
      <selection pane="bottomLeft" activeCell="D20" sqref="D20:D21"/>
      <pageMargins left="0.78740157480314965" right="0.39370078740157483" top="0.59055118110236227" bottom="0.59055118110236227" header="0.19685039370078741" footer="0.11811023622047245"/>
      <pageSetup paperSize="9" scale="50" fitToHeight="2" orientation="portrait" verticalDpi="300" r:id="rId5"/>
      <headerFooter alignWithMargins="0"/>
    </customSheetView>
  </customSheetViews>
  <mergeCells count="12">
    <mergeCell ref="A1:I1"/>
    <mergeCell ref="A3:A4"/>
    <mergeCell ref="B3:B4"/>
    <mergeCell ref="C3:C4"/>
    <mergeCell ref="D3:D4"/>
    <mergeCell ref="E3:E4"/>
    <mergeCell ref="F3:I3"/>
    <mergeCell ref="C42:E42"/>
    <mergeCell ref="G42:I42"/>
    <mergeCell ref="A6:I6"/>
    <mergeCell ref="A18:I18"/>
    <mergeCell ref="C41:E41"/>
  </mergeCells>
  <phoneticPr fontId="3" type="noConversion"/>
  <pageMargins left="0.78740157480314965" right="0.39370078740157483" top="0.59055118110236227" bottom="0.59055118110236227" header="0.19685039370078741" footer="0.11811023622047245"/>
  <pageSetup paperSize="9" scale="50" fitToHeight="2" orientation="portrait" verticalDpi="300" r:id="rId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I117"/>
  <sheetViews>
    <sheetView view="pageBreakPreview" zoomScale="75" zoomScaleNormal="75" zoomScaleSheetLayoutView="80" workbookViewId="0">
      <selection activeCell="F14" sqref="F14"/>
    </sheetView>
  </sheetViews>
  <sheetFormatPr defaultColWidth="9.140625" defaultRowHeight="18.75" outlineLevelRow="1"/>
  <cols>
    <col min="1" max="1" width="53.28515625" style="1" customWidth="1"/>
    <col min="2" max="2" width="13.7109375" style="1" customWidth="1"/>
    <col min="3" max="3" width="12.140625" style="1" customWidth="1"/>
    <col min="4" max="4" width="13.140625" style="1" customWidth="1"/>
    <col min="5" max="5" width="13.85546875" style="1" customWidth="1"/>
    <col min="6" max="6" width="12.42578125" style="1" bestFit="1" customWidth="1"/>
    <col min="7" max="7" width="10.7109375" style="1" bestFit="1" customWidth="1"/>
    <col min="8" max="8" width="11.42578125" style="1" bestFit="1" customWidth="1"/>
    <col min="9" max="9" width="10.7109375" style="1" bestFit="1" customWidth="1"/>
    <col min="10" max="16384" width="9.140625" style="1"/>
  </cols>
  <sheetData>
    <row r="1" spans="1:9">
      <c r="A1" s="418" t="s">
        <v>370</v>
      </c>
      <c r="B1" s="418"/>
      <c r="C1" s="418"/>
      <c r="D1" s="418"/>
      <c r="E1" s="418"/>
      <c r="F1" s="418"/>
      <c r="G1" s="418"/>
      <c r="H1" s="418"/>
      <c r="I1" s="418"/>
    </row>
    <row r="2" spans="1:9" outlineLevel="1">
      <c r="A2" s="21"/>
      <c r="B2" s="21"/>
      <c r="C2" s="21"/>
      <c r="D2" s="21"/>
      <c r="E2" s="21"/>
      <c r="F2" s="21"/>
      <c r="G2" s="21"/>
      <c r="H2" s="21"/>
      <c r="I2" s="21"/>
    </row>
    <row r="3" spans="1:9" ht="48" customHeight="1">
      <c r="A3" s="419" t="s">
        <v>270</v>
      </c>
      <c r="B3" s="417" t="s">
        <v>0</v>
      </c>
      <c r="C3" s="421" t="s">
        <v>31</v>
      </c>
      <c r="D3" s="421" t="s">
        <v>70</v>
      </c>
      <c r="E3" s="417" t="s">
        <v>180</v>
      </c>
      <c r="F3" s="398" t="s">
        <v>362</v>
      </c>
      <c r="G3" s="398"/>
      <c r="H3" s="398"/>
      <c r="I3" s="398"/>
    </row>
    <row r="4" spans="1:9" ht="38.25" customHeight="1">
      <c r="A4" s="420"/>
      <c r="B4" s="417"/>
      <c r="C4" s="421"/>
      <c r="D4" s="421"/>
      <c r="E4" s="417"/>
      <c r="F4" s="13" t="s">
        <v>371</v>
      </c>
      <c r="G4" s="13" t="s">
        <v>364</v>
      </c>
      <c r="H4" s="13" t="s">
        <v>365</v>
      </c>
      <c r="I4" s="13" t="s">
        <v>86</v>
      </c>
    </row>
    <row r="5" spans="1:9" ht="18" customHeight="1">
      <c r="A5" s="7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</row>
    <row r="6" spans="1:9" s="59" customFormat="1" ht="20.100000000000001" customHeight="1">
      <c r="A6" s="409" t="s">
        <v>170</v>
      </c>
      <c r="B6" s="410"/>
      <c r="C6" s="410"/>
      <c r="D6" s="410"/>
      <c r="E6" s="410"/>
      <c r="F6" s="410"/>
      <c r="G6" s="410"/>
      <c r="H6" s="410"/>
      <c r="I6" s="411"/>
    </row>
    <row r="7" spans="1:9" ht="37.5">
      <c r="A7" s="46" t="s">
        <v>190</v>
      </c>
      <c r="B7" s="9">
        <v>1170</v>
      </c>
      <c r="C7" s="163">
        <f>'I. Фін результат'!C76</f>
        <v>32</v>
      </c>
      <c r="D7" s="163">
        <f>'I. Фін результат'!D76</f>
        <v>43</v>
      </c>
      <c r="E7" s="163">
        <f>'I. Фін результат'!E76</f>
        <v>52</v>
      </c>
      <c r="F7" s="163">
        <f>'I. Фін результат'!F76</f>
        <v>18</v>
      </c>
      <c r="G7" s="163">
        <f>'I. Фін результат'!G76</f>
        <v>40</v>
      </c>
      <c r="H7" s="163">
        <f>'I. Фін результат'!H76</f>
        <v>49</v>
      </c>
      <c r="I7" s="163">
        <f>'I. Фін результат'!I76</f>
        <v>60</v>
      </c>
    </row>
    <row r="8" spans="1:9" ht="20.100000000000001" customHeight="1">
      <c r="A8" s="46" t="s">
        <v>191</v>
      </c>
      <c r="B8" s="14"/>
      <c r="C8" s="166"/>
      <c r="D8" s="166"/>
      <c r="E8" s="166"/>
      <c r="F8" s="166"/>
      <c r="G8" s="166"/>
      <c r="H8" s="166"/>
      <c r="I8" s="166"/>
    </row>
    <row r="9" spans="1:9" ht="20.100000000000001" customHeight="1">
      <c r="A9" s="46" t="s">
        <v>194</v>
      </c>
      <c r="B9" s="6">
        <v>3000</v>
      </c>
      <c r="C9" s="163">
        <f>'I. Фін результат'!C102</f>
        <v>299</v>
      </c>
      <c r="D9" s="163">
        <f>'I. Фін результат'!D102</f>
        <v>299</v>
      </c>
      <c r="E9" s="163">
        <f>'I. Фін результат'!E102</f>
        <v>796</v>
      </c>
      <c r="F9" s="163">
        <f>'I. Фін результат'!F102</f>
        <v>212</v>
      </c>
      <c r="G9" s="163">
        <f>'I. Фін результат'!G102</f>
        <v>245</v>
      </c>
      <c r="H9" s="163">
        <f>'I. Фін результат'!H102</f>
        <v>295</v>
      </c>
      <c r="I9" s="163">
        <f>'I. Фін результат'!I102</f>
        <v>341</v>
      </c>
    </row>
    <row r="10" spans="1:9" ht="20.100000000000001" customHeight="1">
      <c r="A10" s="46" t="s">
        <v>195</v>
      </c>
      <c r="B10" s="6">
        <v>3010</v>
      </c>
      <c r="C10" s="162"/>
      <c r="D10" s="162"/>
      <c r="E10" s="162"/>
      <c r="F10" s="162"/>
      <c r="G10" s="162"/>
      <c r="H10" s="162"/>
      <c r="I10" s="162"/>
    </row>
    <row r="11" spans="1:9" ht="37.5">
      <c r="A11" s="46" t="s">
        <v>196</v>
      </c>
      <c r="B11" s="6">
        <v>3020</v>
      </c>
      <c r="C11" s="162"/>
      <c r="D11" s="162"/>
      <c r="E11" s="162"/>
      <c r="F11" s="162"/>
      <c r="G11" s="162"/>
      <c r="H11" s="162"/>
      <c r="I11" s="162"/>
    </row>
    <row r="12" spans="1:9" ht="56.25">
      <c r="A12" s="46" t="s">
        <v>197</v>
      </c>
      <c r="B12" s="6">
        <v>3030</v>
      </c>
      <c r="C12" s="217">
        <v>541</v>
      </c>
      <c r="D12" s="162">
        <f t="shared" ref="D12:I12" si="0">D13+D14</f>
        <v>0</v>
      </c>
      <c r="E12" s="162">
        <f>E13+E14+E15</f>
        <v>-382</v>
      </c>
      <c r="F12" s="162">
        <f>F13+F14+F15</f>
        <v>-637</v>
      </c>
      <c r="G12" s="162">
        <f t="shared" si="0"/>
        <v>0</v>
      </c>
      <c r="H12" s="162">
        <f t="shared" si="0"/>
        <v>0</v>
      </c>
      <c r="I12" s="162">
        <f t="shared" si="0"/>
        <v>0</v>
      </c>
    </row>
    <row r="13" spans="1:9" ht="37.5">
      <c r="A13" s="46" t="s">
        <v>435</v>
      </c>
      <c r="B13" s="287" t="s">
        <v>520</v>
      </c>
      <c r="C13" s="217">
        <v>511</v>
      </c>
      <c r="D13" s="162">
        <v>0</v>
      </c>
      <c r="E13" s="162">
        <v>-270</v>
      </c>
      <c r="F13" s="162">
        <f>-'I. Фін результат'!F72</f>
        <v>0</v>
      </c>
      <c r="G13" s="162">
        <f>-'I. Фін результат'!G72</f>
        <v>0</v>
      </c>
      <c r="H13" s="162">
        <f>-'I. Фін результат'!H72</f>
        <v>0</v>
      </c>
      <c r="I13" s="162">
        <f>-'I. Фін результат'!I72</f>
        <v>0</v>
      </c>
    </row>
    <row r="14" spans="1:9" ht="23.25" customHeight="1">
      <c r="A14" s="46" t="s">
        <v>441</v>
      </c>
      <c r="B14" s="287" t="s">
        <v>436</v>
      </c>
      <c r="C14" s="217">
        <v>23</v>
      </c>
      <c r="D14" s="162">
        <v>0</v>
      </c>
      <c r="E14" s="162">
        <v>-322</v>
      </c>
      <c r="F14" s="162">
        <v>-658</v>
      </c>
      <c r="G14" s="162"/>
      <c r="H14" s="162"/>
      <c r="I14" s="162"/>
    </row>
    <row r="15" spans="1:9" ht="23.25" customHeight="1">
      <c r="A15" s="46" t="s">
        <v>519</v>
      </c>
      <c r="B15" s="287" t="s">
        <v>442</v>
      </c>
      <c r="C15" s="217">
        <v>7</v>
      </c>
      <c r="D15" s="162"/>
      <c r="E15" s="162">
        <v>210</v>
      </c>
      <c r="F15" s="162">
        <v>21</v>
      </c>
      <c r="G15" s="162"/>
      <c r="H15" s="162"/>
      <c r="I15" s="162"/>
    </row>
    <row r="16" spans="1:9" ht="42.75" customHeight="1">
      <c r="A16" s="58" t="s">
        <v>256</v>
      </c>
      <c r="B16" s="91">
        <v>3040</v>
      </c>
      <c r="C16" s="164">
        <f t="shared" ref="C16:I16" si="1">SUM(C7:C12)</f>
        <v>872</v>
      </c>
      <c r="D16" s="164">
        <f>SUM(D7:D12)</f>
        <v>342</v>
      </c>
      <c r="E16" s="164">
        <f>SUM(E7:E12)</f>
        <v>466</v>
      </c>
      <c r="F16" s="164">
        <f t="shared" si="1"/>
        <v>-407</v>
      </c>
      <c r="G16" s="164">
        <f t="shared" si="1"/>
        <v>285</v>
      </c>
      <c r="H16" s="164">
        <f t="shared" si="1"/>
        <v>344</v>
      </c>
      <c r="I16" s="164">
        <f t="shared" si="1"/>
        <v>401</v>
      </c>
    </row>
    <row r="17" spans="1:9" ht="37.5">
      <c r="A17" s="46" t="s">
        <v>198</v>
      </c>
      <c r="B17" s="6">
        <v>3050</v>
      </c>
      <c r="C17" s="162">
        <f>SUM(C18:C20)</f>
        <v>-147</v>
      </c>
      <c r="D17" s="162">
        <f t="shared" ref="D17:I17" si="2">SUM(D18:D20)</f>
        <v>0</v>
      </c>
      <c r="E17" s="162">
        <f t="shared" si="2"/>
        <v>339</v>
      </c>
      <c r="F17" s="162">
        <f t="shared" si="2"/>
        <v>-432</v>
      </c>
      <c r="G17" s="162">
        <f t="shared" si="2"/>
        <v>0</v>
      </c>
      <c r="H17" s="162">
        <f t="shared" si="2"/>
        <v>0</v>
      </c>
      <c r="I17" s="162">
        <f t="shared" si="2"/>
        <v>0</v>
      </c>
    </row>
    <row r="18" spans="1:9">
      <c r="A18" s="46" t="s">
        <v>437</v>
      </c>
      <c r="B18" s="6" t="s">
        <v>414</v>
      </c>
      <c r="C18" s="162">
        <v>-90</v>
      </c>
      <c r="D18" s="162"/>
      <c r="E18" s="162">
        <v>268</v>
      </c>
      <c r="F18" s="217">
        <v>-258</v>
      </c>
      <c r="G18" s="217"/>
      <c r="H18" s="217"/>
      <c r="I18" s="217"/>
    </row>
    <row r="19" spans="1:9">
      <c r="A19" s="46" t="s">
        <v>438</v>
      </c>
      <c r="B19" s="222" t="s">
        <v>415</v>
      </c>
      <c r="C19" s="162">
        <v>-112</v>
      </c>
      <c r="D19" s="162"/>
      <c r="E19" s="162">
        <v>92</v>
      </c>
      <c r="F19" s="217">
        <v>-111</v>
      </c>
      <c r="G19" s="217"/>
      <c r="H19" s="217"/>
      <c r="I19" s="217"/>
    </row>
    <row r="20" spans="1:9">
      <c r="A20" s="46" t="s">
        <v>439</v>
      </c>
      <c r="B20" s="222" t="s">
        <v>440</v>
      </c>
      <c r="C20" s="162">
        <v>55</v>
      </c>
      <c r="D20" s="162"/>
      <c r="E20" s="162">
        <v>-21</v>
      </c>
      <c r="F20" s="217">
        <v>-63</v>
      </c>
      <c r="G20" s="217"/>
      <c r="H20" s="217"/>
      <c r="I20" s="217"/>
    </row>
    <row r="21" spans="1:9" ht="37.5">
      <c r="A21" s="46" t="s">
        <v>199</v>
      </c>
      <c r="B21" s="6">
        <v>3060</v>
      </c>
      <c r="C21" s="162">
        <f t="shared" ref="C21:D21" si="3">SUM(C22:C24)</f>
        <v>-272</v>
      </c>
      <c r="D21" s="162">
        <f t="shared" si="3"/>
        <v>0</v>
      </c>
      <c r="E21" s="162">
        <f>E22+E23+E24</f>
        <v>124</v>
      </c>
      <c r="F21" s="217">
        <f>F22+F23+F24</f>
        <v>512</v>
      </c>
      <c r="G21" s="217">
        <f>G22+G23+G24</f>
        <v>0</v>
      </c>
      <c r="H21" s="217">
        <f>H22+H23+H24</f>
        <v>0</v>
      </c>
      <c r="I21" s="217">
        <f>I22+I23+I24</f>
        <v>0</v>
      </c>
    </row>
    <row r="22" spans="1:9">
      <c r="A22" s="46" t="s">
        <v>443</v>
      </c>
      <c r="B22" s="6" t="s">
        <v>416</v>
      </c>
      <c r="C22" s="162">
        <v>-4</v>
      </c>
      <c r="D22" s="162"/>
      <c r="E22" s="162">
        <v>104</v>
      </c>
      <c r="F22" s="217">
        <v>565</v>
      </c>
      <c r="G22" s="217"/>
      <c r="H22" s="217"/>
      <c r="I22" s="217"/>
    </row>
    <row r="23" spans="1:9">
      <c r="A23" s="46" t="s">
        <v>444</v>
      </c>
      <c r="B23" s="6" t="s">
        <v>417</v>
      </c>
      <c r="C23" s="162">
        <v>-288</v>
      </c>
      <c r="D23" s="162"/>
      <c r="E23" s="162">
        <v>-16</v>
      </c>
      <c r="F23" s="217">
        <v>0</v>
      </c>
      <c r="G23" s="217"/>
      <c r="H23" s="217"/>
      <c r="I23" s="217"/>
    </row>
    <row r="24" spans="1:9">
      <c r="A24" s="46" t="s">
        <v>445</v>
      </c>
      <c r="B24" s="222" t="s">
        <v>446</v>
      </c>
      <c r="C24" s="162">
        <v>20</v>
      </c>
      <c r="D24" s="162"/>
      <c r="E24" s="162">
        <v>36</v>
      </c>
      <c r="F24" s="217">
        <v>-53</v>
      </c>
      <c r="G24" s="217"/>
      <c r="H24" s="217"/>
      <c r="I24" s="217"/>
    </row>
    <row r="25" spans="1:9" ht="20.100000000000001" customHeight="1">
      <c r="A25" s="58" t="s">
        <v>192</v>
      </c>
      <c r="B25" s="91">
        <v>3070</v>
      </c>
      <c r="C25" s="164">
        <f t="shared" ref="C25:I25" si="4">C16+C17+C21</f>
        <v>453</v>
      </c>
      <c r="D25" s="164">
        <f t="shared" si="4"/>
        <v>342</v>
      </c>
      <c r="E25" s="164">
        <f>E16+E17+E21</f>
        <v>929</v>
      </c>
      <c r="F25" s="164">
        <f t="shared" si="4"/>
        <v>-327</v>
      </c>
      <c r="G25" s="164">
        <f t="shared" si="4"/>
        <v>285</v>
      </c>
      <c r="H25" s="164">
        <f t="shared" si="4"/>
        <v>344</v>
      </c>
      <c r="I25" s="164">
        <f t="shared" si="4"/>
        <v>401</v>
      </c>
    </row>
    <row r="26" spans="1:9" ht="20.100000000000001" customHeight="1">
      <c r="A26" s="46" t="s">
        <v>193</v>
      </c>
      <c r="B26" s="6">
        <v>3080</v>
      </c>
      <c r="C26" s="163">
        <f>'I. Фін результат'!C77</f>
        <v>10</v>
      </c>
      <c r="D26" s="163">
        <f>'I. Фін результат'!D77</f>
        <v>8</v>
      </c>
      <c r="E26" s="163">
        <f>'I. Фін результат'!E77</f>
        <v>9</v>
      </c>
      <c r="F26" s="163">
        <f>'I. Фін результат'!F77</f>
        <v>0</v>
      </c>
      <c r="G26" s="163">
        <f>'I. Фін результат'!G77</f>
        <v>0</v>
      </c>
      <c r="H26" s="163">
        <f>'I. Фін результат'!H77</f>
        <v>0</v>
      </c>
      <c r="I26" s="163">
        <f>'I. Фін результат'!I77</f>
        <v>11</v>
      </c>
    </row>
    <row r="27" spans="1:9" ht="37.5">
      <c r="A27" s="10" t="s">
        <v>169</v>
      </c>
      <c r="B27" s="91">
        <v>3090</v>
      </c>
      <c r="C27" s="164">
        <f>C25-C26</f>
        <v>443</v>
      </c>
      <c r="D27" s="164">
        <f t="shared" ref="D27:I27" si="5">D25-D26</f>
        <v>334</v>
      </c>
      <c r="E27" s="164">
        <f t="shared" si="5"/>
        <v>920</v>
      </c>
      <c r="F27" s="164">
        <f t="shared" si="5"/>
        <v>-327</v>
      </c>
      <c r="G27" s="164">
        <f t="shared" si="5"/>
        <v>285</v>
      </c>
      <c r="H27" s="164">
        <f t="shared" si="5"/>
        <v>344</v>
      </c>
      <c r="I27" s="164">
        <f t="shared" si="5"/>
        <v>390</v>
      </c>
    </row>
    <row r="28" spans="1:9" ht="20.100000000000001" customHeight="1">
      <c r="A28" s="409" t="s">
        <v>171</v>
      </c>
      <c r="B28" s="410"/>
      <c r="C28" s="410"/>
      <c r="D28" s="410"/>
      <c r="E28" s="410"/>
      <c r="F28" s="410"/>
      <c r="G28" s="410"/>
      <c r="H28" s="410"/>
      <c r="I28" s="411"/>
    </row>
    <row r="29" spans="1:9" ht="20.100000000000001" customHeight="1">
      <c r="A29" s="58" t="s">
        <v>285</v>
      </c>
      <c r="B29" s="9"/>
      <c r="C29" s="162"/>
      <c r="D29" s="162"/>
      <c r="E29" s="162"/>
      <c r="F29" s="162"/>
      <c r="G29" s="162"/>
      <c r="H29" s="162"/>
      <c r="I29" s="162"/>
    </row>
    <row r="30" spans="1:9" ht="20.100000000000001" customHeight="1">
      <c r="A30" s="8" t="s">
        <v>32</v>
      </c>
      <c r="B30" s="9">
        <v>3200</v>
      </c>
      <c r="C30" s="162"/>
      <c r="D30" s="162"/>
      <c r="E30" s="162"/>
      <c r="F30" s="162"/>
      <c r="G30" s="162"/>
      <c r="H30" s="162"/>
      <c r="I30" s="162"/>
    </row>
    <row r="31" spans="1:9" ht="20.100000000000001" customHeight="1">
      <c r="A31" s="8" t="s">
        <v>33</v>
      </c>
      <c r="B31" s="9">
        <v>3210</v>
      </c>
      <c r="C31" s="162"/>
      <c r="D31" s="162"/>
      <c r="E31" s="162"/>
      <c r="F31" s="162"/>
      <c r="G31" s="162"/>
      <c r="H31" s="162"/>
      <c r="I31" s="162"/>
    </row>
    <row r="32" spans="1:9" ht="20.100000000000001" customHeight="1">
      <c r="A32" s="8" t="s">
        <v>56</v>
      </c>
      <c r="B32" s="9">
        <v>3220</v>
      </c>
      <c r="C32" s="162"/>
      <c r="D32" s="162"/>
      <c r="E32" s="162"/>
      <c r="F32" s="162"/>
      <c r="G32" s="162"/>
      <c r="H32" s="162"/>
      <c r="I32" s="162"/>
    </row>
    <row r="33" spans="1:9" ht="20.100000000000001" customHeight="1">
      <c r="A33" s="46" t="s">
        <v>175</v>
      </c>
      <c r="B33" s="9"/>
      <c r="C33" s="162"/>
      <c r="D33" s="162"/>
      <c r="E33" s="162"/>
      <c r="F33" s="162"/>
      <c r="G33" s="162"/>
      <c r="H33" s="162"/>
      <c r="I33" s="162"/>
    </row>
    <row r="34" spans="1:9" ht="20.100000000000001" customHeight="1">
      <c r="A34" s="8" t="s">
        <v>176</v>
      </c>
      <c r="B34" s="9">
        <v>3230</v>
      </c>
      <c r="C34" s="162"/>
      <c r="D34" s="162"/>
      <c r="E34" s="162"/>
      <c r="F34" s="162"/>
      <c r="G34" s="162"/>
      <c r="H34" s="162"/>
      <c r="I34" s="162"/>
    </row>
    <row r="35" spans="1:9" ht="20.100000000000001" customHeight="1">
      <c r="A35" s="8" t="s">
        <v>177</v>
      </c>
      <c r="B35" s="9">
        <v>3240</v>
      </c>
      <c r="C35" s="162"/>
      <c r="D35" s="162"/>
      <c r="E35" s="162"/>
      <c r="F35" s="162"/>
      <c r="G35" s="162"/>
      <c r="H35" s="162"/>
      <c r="I35" s="162"/>
    </row>
    <row r="36" spans="1:9" ht="20.100000000000001" customHeight="1">
      <c r="A36" s="46" t="s">
        <v>178</v>
      </c>
      <c r="B36" s="9">
        <v>3250</v>
      </c>
      <c r="C36" s="162"/>
      <c r="D36" s="162"/>
      <c r="E36" s="162"/>
      <c r="F36" s="162"/>
      <c r="G36" s="162"/>
      <c r="H36" s="162"/>
      <c r="I36" s="162"/>
    </row>
    <row r="37" spans="1:9" ht="20.100000000000001" customHeight="1">
      <c r="A37" s="8" t="s">
        <v>131</v>
      </c>
      <c r="B37" s="9">
        <v>3260</v>
      </c>
      <c r="C37" s="162"/>
      <c r="D37" s="162"/>
      <c r="E37" s="162"/>
      <c r="F37" s="162"/>
      <c r="G37" s="162"/>
      <c r="H37" s="162"/>
      <c r="I37" s="162"/>
    </row>
    <row r="38" spans="1:9" ht="20.100000000000001" customHeight="1">
      <c r="A38" s="58" t="s">
        <v>287</v>
      </c>
      <c r="B38" s="9"/>
      <c r="C38" s="162"/>
      <c r="D38" s="162"/>
      <c r="E38" s="162"/>
      <c r="F38" s="162"/>
      <c r="G38" s="162"/>
      <c r="H38" s="162"/>
      <c r="I38" s="162"/>
    </row>
    <row r="39" spans="1:9" ht="37.5">
      <c r="A39" s="8" t="s">
        <v>132</v>
      </c>
      <c r="B39" s="9">
        <v>3270</v>
      </c>
      <c r="C39" s="162">
        <f>C40+C41</f>
        <v>145</v>
      </c>
      <c r="D39" s="162">
        <f>D40+D41</f>
        <v>959</v>
      </c>
      <c r="E39" s="162">
        <f>E40+E41</f>
        <v>1159</v>
      </c>
      <c r="F39" s="162">
        <f>F40+F41</f>
        <v>0</v>
      </c>
      <c r="G39" s="162">
        <f>G40+G41</f>
        <v>11326</v>
      </c>
      <c r="H39" s="162">
        <f t="shared" ref="H39:I39" si="6">H40+H41</f>
        <v>11326</v>
      </c>
      <c r="I39" s="162">
        <f t="shared" si="6"/>
        <v>11326</v>
      </c>
    </row>
    <row r="40" spans="1:9" ht="37.5">
      <c r="A40" s="8" t="s">
        <v>582</v>
      </c>
      <c r="B40" s="222" t="s">
        <v>447</v>
      </c>
      <c r="C40" s="162">
        <v>20</v>
      </c>
      <c r="D40" s="162">
        <v>800</v>
      </c>
      <c r="E40" s="162">
        <v>796</v>
      </c>
      <c r="F40" s="162">
        <v>0</v>
      </c>
      <c r="G40" s="162">
        <v>11176</v>
      </c>
      <c r="H40" s="162">
        <v>11176</v>
      </c>
      <c r="I40" s="162">
        <v>11176</v>
      </c>
    </row>
    <row r="41" spans="1:9">
      <c r="A41" s="8" t="s">
        <v>449</v>
      </c>
      <c r="B41" s="222" t="s">
        <v>448</v>
      </c>
      <c r="C41" s="162">
        <v>125</v>
      </c>
      <c r="D41" s="162">
        <v>159</v>
      </c>
      <c r="E41" s="162">
        <v>363</v>
      </c>
      <c r="F41" s="162">
        <v>0</v>
      </c>
      <c r="G41" s="162">
        <v>150</v>
      </c>
      <c r="H41" s="162">
        <v>150</v>
      </c>
      <c r="I41" s="162">
        <v>150</v>
      </c>
    </row>
    <row r="42" spans="1:9" ht="20.100000000000001" customHeight="1">
      <c r="A42" s="8" t="s">
        <v>133</v>
      </c>
      <c r="B42" s="9">
        <v>3280</v>
      </c>
      <c r="C42" s="162"/>
      <c r="D42" s="162"/>
      <c r="E42" s="162"/>
      <c r="F42" s="162"/>
      <c r="G42" s="162"/>
      <c r="H42" s="162"/>
      <c r="I42" s="162"/>
    </row>
    <row r="43" spans="1:9" ht="37.5">
      <c r="A43" s="8" t="s">
        <v>134</v>
      </c>
      <c r="B43" s="9">
        <v>3290</v>
      </c>
      <c r="C43" s="162"/>
      <c r="D43" s="162"/>
      <c r="E43" s="162"/>
      <c r="F43" s="165"/>
      <c r="G43" s="162"/>
      <c r="H43" s="162"/>
      <c r="I43" s="162"/>
    </row>
    <row r="44" spans="1:9">
      <c r="A44" s="8" t="s">
        <v>579</v>
      </c>
      <c r="B44" s="9" t="s">
        <v>580</v>
      </c>
      <c r="C44" s="162"/>
      <c r="D44" s="162"/>
      <c r="E44" s="162"/>
      <c r="F44" s="165"/>
      <c r="G44" s="162"/>
      <c r="H44" s="162"/>
      <c r="I44" s="162"/>
    </row>
    <row r="45" spans="1:9" ht="20.100000000000001" customHeight="1">
      <c r="A45" s="8" t="s">
        <v>57</v>
      </c>
      <c r="B45" s="9">
        <v>3300</v>
      </c>
      <c r="C45" s="162"/>
      <c r="D45" s="162"/>
      <c r="E45" s="162"/>
      <c r="F45" s="162"/>
      <c r="G45" s="162"/>
      <c r="H45" s="162"/>
      <c r="I45" s="162"/>
    </row>
    <row r="46" spans="1:9" ht="20.100000000000001" customHeight="1">
      <c r="A46" s="8" t="s">
        <v>126</v>
      </c>
      <c r="B46" s="9">
        <v>3310</v>
      </c>
      <c r="C46" s="162">
        <f>C47</f>
        <v>0</v>
      </c>
      <c r="D46" s="162">
        <v>200</v>
      </c>
      <c r="E46" s="162">
        <f t="shared" ref="E46" si="7">E47</f>
        <v>178</v>
      </c>
      <c r="F46" s="162">
        <f>F47</f>
        <v>233</v>
      </c>
      <c r="G46" s="162">
        <f t="shared" ref="G46:I46" si="8">G47</f>
        <v>233</v>
      </c>
      <c r="H46" s="162">
        <f t="shared" si="8"/>
        <v>233</v>
      </c>
      <c r="I46" s="162">
        <f t="shared" si="8"/>
        <v>233</v>
      </c>
    </row>
    <row r="47" spans="1:9" ht="20.100000000000001" customHeight="1">
      <c r="A47" s="8" t="s">
        <v>409</v>
      </c>
      <c r="B47" s="6" t="s">
        <v>418</v>
      </c>
      <c r="C47" s="162">
        <v>0</v>
      </c>
      <c r="D47" s="162">
        <v>200</v>
      </c>
      <c r="E47" s="162">
        <v>178</v>
      </c>
      <c r="F47" s="217">
        <v>233</v>
      </c>
      <c r="G47" s="217">
        <v>233</v>
      </c>
      <c r="H47" s="217">
        <v>233</v>
      </c>
      <c r="I47" s="217">
        <v>233</v>
      </c>
    </row>
    <row r="48" spans="1:9" ht="37.5">
      <c r="A48" s="58" t="s">
        <v>172</v>
      </c>
      <c r="B48" s="11">
        <v>3320</v>
      </c>
      <c r="C48" s="164">
        <f t="shared" ref="C48:I48" si="9">(C30+C31+C32+C34+C35+C36+C37)-(C39+C42+C43+C45+C46)</f>
        <v>-145</v>
      </c>
      <c r="D48" s="164">
        <f t="shared" si="9"/>
        <v>-1159</v>
      </c>
      <c r="E48" s="164">
        <f t="shared" si="9"/>
        <v>-1337</v>
      </c>
      <c r="F48" s="164">
        <f t="shared" si="9"/>
        <v>-233</v>
      </c>
      <c r="G48" s="164">
        <f t="shared" si="9"/>
        <v>-11559</v>
      </c>
      <c r="H48" s="164">
        <f t="shared" si="9"/>
        <v>-11559</v>
      </c>
      <c r="I48" s="164">
        <f t="shared" si="9"/>
        <v>-11559</v>
      </c>
    </row>
    <row r="49" spans="1:9" ht="20.100000000000001" customHeight="1">
      <c r="A49" s="409" t="s">
        <v>173</v>
      </c>
      <c r="B49" s="410"/>
      <c r="C49" s="410"/>
      <c r="D49" s="410"/>
      <c r="E49" s="410"/>
      <c r="F49" s="410"/>
      <c r="G49" s="410"/>
      <c r="H49" s="410"/>
      <c r="I49" s="411"/>
    </row>
    <row r="50" spans="1:9" ht="20.100000000000001" customHeight="1">
      <c r="A50" s="58" t="s">
        <v>286</v>
      </c>
      <c r="B50" s="9"/>
      <c r="C50" s="162"/>
      <c r="D50" s="162"/>
      <c r="E50" s="162"/>
      <c r="F50" s="162"/>
      <c r="G50" s="162"/>
      <c r="H50" s="162"/>
      <c r="I50" s="162"/>
    </row>
    <row r="51" spans="1:9" ht="20.100000000000001" customHeight="1">
      <c r="A51" s="46" t="s">
        <v>179</v>
      </c>
      <c r="B51" s="9">
        <v>3400</v>
      </c>
      <c r="C51" s="162"/>
      <c r="D51" s="162"/>
      <c r="E51" s="162"/>
      <c r="F51" s="162"/>
      <c r="G51" s="162"/>
      <c r="H51" s="162"/>
      <c r="I51" s="162"/>
    </row>
    <row r="52" spans="1:9" ht="37.5">
      <c r="A52" s="8" t="s">
        <v>100</v>
      </c>
      <c r="C52" s="162"/>
      <c r="D52" s="162"/>
      <c r="E52" s="162"/>
      <c r="F52" s="162"/>
      <c r="G52" s="162"/>
      <c r="H52" s="162"/>
      <c r="I52" s="162"/>
    </row>
    <row r="53" spans="1:9" ht="20.100000000000001" customHeight="1">
      <c r="A53" s="8" t="s">
        <v>99</v>
      </c>
      <c r="B53" s="9">
        <v>3410</v>
      </c>
      <c r="C53" s="162"/>
      <c r="D53" s="162"/>
      <c r="E53" s="162"/>
      <c r="F53" s="162"/>
      <c r="G53" s="162"/>
      <c r="H53" s="162"/>
      <c r="I53" s="162"/>
    </row>
    <row r="54" spans="1:9" ht="20.100000000000001" customHeight="1">
      <c r="A54" s="8" t="s">
        <v>104</v>
      </c>
      <c r="B54" s="6">
        <v>3420</v>
      </c>
      <c r="C54" s="162"/>
      <c r="D54" s="162"/>
      <c r="E54" s="162"/>
      <c r="F54" s="162"/>
      <c r="G54" s="162"/>
      <c r="H54" s="162"/>
      <c r="I54" s="162"/>
    </row>
    <row r="55" spans="1:9" ht="20.100000000000001" customHeight="1">
      <c r="A55" s="8" t="s">
        <v>135</v>
      </c>
      <c r="B55" s="9">
        <v>3430</v>
      </c>
      <c r="C55" s="162"/>
      <c r="D55" s="162"/>
      <c r="E55" s="162"/>
      <c r="F55" s="162"/>
      <c r="G55" s="162"/>
      <c r="H55" s="162"/>
      <c r="I55" s="162"/>
    </row>
    <row r="56" spans="1:9" ht="37.5">
      <c r="A56" s="8" t="s">
        <v>102</v>
      </c>
      <c r="B56" s="9"/>
      <c r="C56" s="162"/>
      <c r="D56" s="162"/>
      <c r="E56" s="162"/>
      <c r="F56" s="162"/>
      <c r="G56" s="162"/>
      <c r="H56" s="162"/>
      <c r="I56" s="162"/>
    </row>
    <row r="57" spans="1:9" ht="20.100000000000001" customHeight="1">
      <c r="A57" s="8" t="s">
        <v>99</v>
      </c>
      <c r="B57" s="6">
        <v>3440</v>
      </c>
      <c r="C57" s="162"/>
      <c r="D57" s="162"/>
      <c r="E57" s="162"/>
      <c r="F57" s="162"/>
      <c r="G57" s="162"/>
      <c r="H57" s="162"/>
      <c r="I57" s="162"/>
    </row>
    <row r="58" spans="1:9" ht="20.100000000000001" customHeight="1">
      <c r="A58" s="8" t="s">
        <v>104</v>
      </c>
      <c r="B58" s="6">
        <v>3450</v>
      </c>
      <c r="C58" s="162"/>
      <c r="D58" s="162"/>
      <c r="E58" s="162"/>
      <c r="F58" s="162"/>
      <c r="G58" s="162"/>
      <c r="H58" s="162"/>
      <c r="I58" s="162"/>
    </row>
    <row r="59" spans="1:9" ht="20.100000000000001" customHeight="1">
      <c r="A59" s="8" t="s">
        <v>135</v>
      </c>
      <c r="B59" s="6">
        <v>3460</v>
      </c>
      <c r="C59" s="162"/>
      <c r="D59" s="162"/>
      <c r="E59" s="162"/>
      <c r="F59" s="162"/>
      <c r="G59" s="162"/>
      <c r="H59" s="162"/>
      <c r="I59" s="162"/>
    </row>
    <row r="60" spans="1:9" ht="20.100000000000001" customHeight="1">
      <c r="A60" s="8" t="s">
        <v>130</v>
      </c>
      <c r="B60" s="6">
        <v>3470</v>
      </c>
      <c r="C60" s="162">
        <f>C61</f>
        <v>20</v>
      </c>
      <c r="D60" s="162">
        <v>1000</v>
      </c>
      <c r="E60" s="162">
        <v>796</v>
      </c>
      <c r="F60" s="162">
        <f>F61</f>
        <v>0</v>
      </c>
      <c r="G60" s="162">
        <f t="shared" ref="G60:I60" si="10">G61</f>
        <v>11326</v>
      </c>
      <c r="H60" s="162">
        <f t="shared" si="10"/>
        <v>11326</v>
      </c>
      <c r="I60" s="162">
        <f t="shared" si="10"/>
        <v>11326</v>
      </c>
    </row>
    <row r="61" spans="1:9" ht="20.100000000000001" customHeight="1">
      <c r="A61" s="8" t="s">
        <v>421</v>
      </c>
      <c r="B61" s="6" t="s">
        <v>420</v>
      </c>
      <c r="C61" s="162">
        <v>20</v>
      </c>
      <c r="D61" s="162">
        <v>1000</v>
      </c>
      <c r="E61" s="162">
        <v>796</v>
      </c>
      <c r="F61" s="217">
        <f>F40+F43</f>
        <v>0</v>
      </c>
      <c r="G61" s="217">
        <f>G40+G43+G41</f>
        <v>11326</v>
      </c>
      <c r="H61" s="217">
        <f t="shared" ref="H61:I61" si="11">H40+H43+H41</f>
        <v>11326</v>
      </c>
      <c r="I61" s="217">
        <f t="shared" si="11"/>
        <v>11326</v>
      </c>
    </row>
    <row r="62" spans="1:9" ht="20.100000000000001" customHeight="1">
      <c r="A62" s="8" t="s">
        <v>131</v>
      </c>
      <c r="B62" s="6">
        <v>3480</v>
      </c>
      <c r="C62" s="162"/>
      <c r="D62" s="162"/>
      <c r="E62" s="162">
        <f>E63</f>
        <v>90</v>
      </c>
      <c r="F62" s="162"/>
      <c r="G62" s="162"/>
      <c r="H62" s="162"/>
      <c r="I62" s="162"/>
    </row>
    <row r="63" spans="1:9" ht="20.100000000000001" customHeight="1">
      <c r="A63" s="8" t="s">
        <v>412</v>
      </c>
      <c r="B63" s="6" t="s">
        <v>413</v>
      </c>
      <c r="C63" s="162"/>
      <c r="D63" s="162"/>
      <c r="E63" s="162">
        <v>90</v>
      </c>
      <c r="F63" s="162"/>
      <c r="G63" s="162"/>
      <c r="H63" s="162"/>
      <c r="I63" s="162"/>
    </row>
    <row r="64" spans="1:9" ht="20.100000000000001" customHeight="1">
      <c r="A64" s="58" t="s">
        <v>287</v>
      </c>
      <c r="B64" s="9"/>
      <c r="C64" s="162"/>
      <c r="D64" s="162"/>
      <c r="E64" s="162"/>
      <c r="F64" s="162"/>
      <c r="G64" s="162"/>
      <c r="H64" s="162"/>
      <c r="I64" s="162"/>
    </row>
    <row r="65" spans="1:9" ht="37.5">
      <c r="A65" s="8" t="s">
        <v>368</v>
      </c>
      <c r="B65" s="9">
        <v>3490</v>
      </c>
      <c r="C65" s="163">
        <f>'ІІ. Розр. з бюджетом'!C9</f>
        <v>3</v>
      </c>
      <c r="D65" s="163">
        <f>'ІІ. Розр. з бюджетом'!D9</f>
        <v>5</v>
      </c>
      <c r="E65" s="163">
        <f>'ІІ. Розр. з бюджетом'!E9</f>
        <v>73</v>
      </c>
      <c r="F65" s="163">
        <f>'ІІ. Розр. з бюджетом'!F20</f>
        <v>2</v>
      </c>
      <c r="G65" s="163">
        <f>'ІІ. Розр. з бюджетом'!G9</f>
        <v>5</v>
      </c>
      <c r="H65" s="163">
        <f>'ІІ. Розр. з бюджетом'!H9</f>
        <v>6</v>
      </c>
      <c r="I65" s="163">
        <f>'ІІ. Розр. з бюджетом'!I9</f>
        <v>7</v>
      </c>
    </row>
    <row r="66" spans="1:9" ht="112.5">
      <c r="A66" s="8" t="s">
        <v>369</v>
      </c>
      <c r="B66" s="9">
        <v>3500</v>
      </c>
      <c r="C66" s="163">
        <f>'ІІ. Розр. з бюджетом'!C10</f>
        <v>11</v>
      </c>
      <c r="D66" s="163">
        <f>'ІІ. Розр. з бюджетом'!D10</f>
        <v>18</v>
      </c>
      <c r="E66" s="163">
        <f>'ІІ. Розр. з бюджетом'!E10</f>
        <v>249</v>
      </c>
      <c r="F66" s="163">
        <f>'ІІ. Розр. з бюджетом'!F21</f>
        <v>8</v>
      </c>
      <c r="G66" s="163">
        <f>'ІІ. Розр. з бюджетом'!G10</f>
        <v>17</v>
      </c>
      <c r="H66" s="163">
        <f>'ІІ. Розр. з бюджетом'!H10</f>
        <v>20</v>
      </c>
      <c r="I66" s="163">
        <f>'ІІ. Розр. з бюджетом'!I10</f>
        <v>25</v>
      </c>
    </row>
    <row r="67" spans="1:9" ht="37.5">
      <c r="A67" s="8" t="s">
        <v>103</v>
      </c>
      <c r="B67" s="9"/>
      <c r="C67" s="162"/>
      <c r="D67" s="162"/>
      <c r="E67" s="162"/>
      <c r="F67" s="162"/>
      <c r="G67" s="162"/>
      <c r="H67" s="162"/>
      <c r="I67" s="162"/>
    </row>
    <row r="68" spans="1:9" ht="20.100000000000001" customHeight="1">
      <c r="A68" s="8" t="s">
        <v>99</v>
      </c>
      <c r="B68" s="6">
        <v>3510</v>
      </c>
      <c r="C68" s="162"/>
      <c r="D68" s="162"/>
      <c r="E68" s="162"/>
      <c r="F68" s="162"/>
      <c r="G68" s="162"/>
      <c r="H68" s="162"/>
      <c r="I68" s="162"/>
    </row>
    <row r="69" spans="1:9" ht="20.100000000000001" customHeight="1">
      <c r="A69" s="8" t="s">
        <v>104</v>
      </c>
      <c r="B69" s="6">
        <v>3520</v>
      </c>
      <c r="C69" s="162"/>
      <c r="D69" s="162"/>
      <c r="E69" s="162"/>
      <c r="F69" s="162"/>
      <c r="G69" s="162"/>
      <c r="H69" s="162"/>
      <c r="I69" s="162"/>
    </row>
    <row r="70" spans="1:9" ht="20.100000000000001" customHeight="1">
      <c r="A70" s="8" t="s">
        <v>135</v>
      </c>
      <c r="B70" s="6">
        <v>3530</v>
      </c>
      <c r="C70" s="162"/>
      <c r="D70" s="162"/>
      <c r="E70" s="162"/>
      <c r="F70" s="162"/>
      <c r="G70" s="162"/>
      <c r="H70" s="162"/>
      <c r="I70" s="162"/>
    </row>
    <row r="71" spans="1:9" ht="37.5">
      <c r="A71" s="8" t="s">
        <v>101</v>
      </c>
      <c r="B71" s="9"/>
      <c r="C71" s="162"/>
      <c r="D71" s="162"/>
      <c r="E71" s="162"/>
      <c r="F71" s="162"/>
      <c r="G71" s="162"/>
      <c r="H71" s="162"/>
      <c r="I71" s="162"/>
    </row>
    <row r="72" spans="1:9" ht="20.100000000000001" customHeight="1">
      <c r="A72" s="8" t="s">
        <v>99</v>
      </c>
      <c r="B72" s="6">
        <v>3540</v>
      </c>
      <c r="C72" s="162"/>
      <c r="D72" s="162"/>
      <c r="E72" s="162"/>
      <c r="F72" s="162"/>
      <c r="G72" s="162"/>
      <c r="H72" s="162"/>
      <c r="I72" s="162"/>
    </row>
    <row r="73" spans="1:9" ht="20.100000000000001" customHeight="1">
      <c r="A73" s="8" t="s">
        <v>104</v>
      </c>
      <c r="B73" s="6">
        <v>3550</v>
      </c>
      <c r="C73" s="162"/>
      <c r="D73" s="162"/>
      <c r="E73" s="162"/>
      <c r="F73" s="162"/>
      <c r="G73" s="162"/>
      <c r="H73" s="162"/>
      <c r="I73" s="162"/>
    </row>
    <row r="74" spans="1:9" ht="20.100000000000001" customHeight="1">
      <c r="A74" s="8" t="s">
        <v>135</v>
      </c>
      <c r="B74" s="6">
        <v>3560</v>
      </c>
      <c r="C74" s="162"/>
      <c r="D74" s="162"/>
      <c r="E74" s="162"/>
      <c r="F74" s="162"/>
      <c r="G74" s="162"/>
      <c r="H74" s="162"/>
      <c r="I74" s="162"/>
    </row>
    <row r="75" spans="1:9" ht="20.100000000000001" customHeight="1">
      <c r="A75" s="8" t="s">
        <v>126</v>
      </c>
      <c r="B75" s="6">
        <v>3570</v>
      </c>
      <c r="C75" s="162"/>
      <c r="D75" s="162"/>
      <c r="E75" s="162"/>
      <c r="F75" s="162"/>
      <c r="G75" s="162"/>
      <c r="H75" s="162"/>
      <c r="I75" s="162"/>
    </row>
    <row r="76" spans="1:9" ht="37.5">
      <c r="A76" s="58" t="s">
        <v>174</v>
      </c>
      <c r="B76" s="91">
        <v>3580</v>
      </c>
      <c r="C76" s="164">
        <f>(C50+C51+C53+C54+C55+C57+C58+C59+C60+C62)-(C65+C66+C68+C69+C70+C72+C73+C74+C75)</f>
        <v>6</v>
      </c>
      <c r="D76" s="164">
        <f t="shared" ref="D76:I76" si="12">(D51+D53+D54+D55+D57+D58+D59+D60+D62)-(D65+D66+D68+D69+D70+D72+D73+D74+D75)</f>
        <v>977</v>
      </c>
      <c r="E76" s="164">
        <f t="shared" si="12"/>
        <v>564</v>
      </c>
      <c r="F76" s="164">
        <f t="shared" si="12"/>
        <v>-10</v>
      </c>
      <c r="G76" s="164">
        <f t="shared" si="12"/>
        <v>11304</v>
      </c>
      <c r="H76" s="164">
        <f t="shared" si="12"/>
        <v>11300</v>
      </c>
      <c r="I76" s="164">
        <f t="shared" si="12"/>
        <v>11294</v>
      </c>
    </row>
    <row r="77" spans="1:9" s="15" customFormat="1" ht="20.100000000000001" customHeight="1">
      <c r="A77" s="8" t="s">
        <v>34</v>
      </c>
      <c r="B77" s="6"/>
      <c r="C77" s="166"/>
      <c r="D77" s="166"/>
      <c r="E77" s="166"/>
      <c r="F77" s="166"/>
      <c r="G77" s="166"/>
      <c r="H77" s="166"/>
      <c r="I77" s="166"/>
    </row>
    <row r="78" spans="1:9" s="15" customFormat="1" ht="20.100000000000001" customHeight="1">
      <c r="A78" s="10" t="s">
        <v>35</v>
      </c>
      <c r="B78" s="6">
        <v>3600</v>
      </c>
      <c r="C78" s="162">
        <v>343</v>
      </c>
      <c r="D78" s="162">
        <v>647</v>
      </c>
      <c r="E78" s="224">
        <f>C80</f>
        <v>647</v>
      </c>
      <c r="F78" s="163">
        <f>E80</f>
        <v>794</v>
      </c>
      <c r="G78" s="163">
        <f>E80</f>
        <v>794</v>
      </c>
      <c r="H78" s="163">
        <f>E80</f>
        <v>794</v>
      </c>
      <c r="I78" s="163">
        <f>E80</f>
        <v>794</v>
      </c>
    </row>
    <row r="79" spans="1:9" s="15" customFormat="1" ht="37.5">
      <c r="A79" s="72" t="s">
        <v>183</v>
      </c>
      <c r="B79" s="6">
        <v>3610</v>
      </c>
      <c r="C79" s="162"/>
      <c r="D79" s="162"/>
      <c r="E79" s="162"/>
      <c r="F79" s="162"/>
      <c r="G79" s="162"/>
      <c r="H79" s="162"/>
      <c r="I79" s="162"/>
    </row>
    <row r="80" spans="1:9" s="15" customFormat="1" ht="20.100000000000001" customHeight="1">
      <c r="A80" s="10" t="s">
        <v>58</v>
      </c>
      <c r="B80" s="6">
        <v>3620</v>
      </c>
      <c r="C80" s="164">
        <f t="shared" ref="C80:I80" si="13">C78+C27+C48+C76</f>
        <v>647</v>
      </c>
      <c r="D80" s="164">
        <f t="shared" si="13"/>
        <v>799</v>
      </c>
      <c r="E80" s="164">
        <f t="shared" si="13"/>
        <v>794</v>
      </c>
      <c r="F80" s="164">
        <f t="shared" si="13"/>
        <v>224</v>
      </c>
      <c r="G80" s="164">
        <f t="shared" si="13"/>
        <v>824</v>
      </c>
      <c r="H80" s="164">
        <f t="shared" si="13"/>
        <v>879</v>
      </c>
      <c r="I80" s="164">
        <f t="shared" si="13"/>
        <v>919</v>
      </c>
    </row>
    <row r="81" spans="1:9" s="15" customFormat="1" ht="20.100000000000001" customHeight="1">
      <c r="A81" s="10" t="s">
        <v>36</v>
      </c>
      <c r="B81" s="6">
        <v>3630</v>
      </c>
      <c r="C81" s="164">
        <f>C80-C78</f>
        <v>304</v>
      </c>
      <c r="D81" s="164">
        <f t="shared" ref="D81:I81" si="14">D80-D78</f>
        <v>152</v>
      </c>
      <c r="E81" s="164">
        <f t="shared" si="14"/>
        <v>147</v>
      </c>
      <c r="F81" s="164">
        <f t="shared" si="14"/>
        <v>-570</v>
      </c>
      <c r="G81" s="164">
        <f t="shared" si="14"/>
        <v>30</v>
      </c>
      <c r="H81" s="164">
        <f t="shared" si="14"/>
        <v>85</v>
      </c>
      <c r="I81" s="164">
        <f t="shared" si="14"/>
        <v>125</v>
      </c>
    </row>
    <row r="82" spans="1:9" s="15" customFormat="1" ht="20.100000000000001" customHeight="1">
      <c r="A82" s="133"/>
      <c r="B82" s="141"/>
      <c r="H82" s="143"/>
      <c r="I82" s="143"/>
    </row>
    <row r="83" spans="1:9" s="15" customFormat="1" ht="20.100000000000001" customHeight="1">
      <c r="A83" s="133"/>
      <c r="B83" s="141"/>
      <c r="H83" s="143"/>
      <c r="I83" s="143"/>
    </row>
    <row r="84" spans="1:9" s="15" customFormat="1" ht="20.100000000000001" customHeight="1">
      <c r="A84" s="133"/>
      <c r="B84" s="141"/>
      <c r="C84" s="142"/>
      <c r="D84" s="143"/>
      <c r="E84" s="143"/>
      <c r="F84" s="143"/>
      <c r="G84" s="143"/>
      <c r="H84" s="143"/>
      <c r="I84" s="143"/>
    </row>
    <row r="85" spans="1:9" s="2" customFormat="1">
      <c r="A85" s="167" t="s">
        <v>398</v>
      </c>
      <c r="B85" s="129"/>
      <c r="C85" s="412" t="s">
        <v>119</v>
      </c>
      <c r="D85" s="413"/>
      <c r="E85" s="413"/>
      <c r="F85" s="130"/>
      <c r="G85" s="307" t="s">
        <v>543</v>
      </c>
      <c r="H85" s="307"/>
      <c r="I85" s="307"/>
    </row>
    <row r="86" spans="1:9" ht="20.100000000000001" customHeight="1">
      <c r="A86" s="95" t="s">
        <v>378</v>
      </c>
      <c r="B86" s="108"/>
      <c r="C86" s="396" t="s">
        <v>84</v>
      </c>
      <c r="D86" s="396"/>
      <c r="E86" s="396"/>
      <c r="F86" s="131"/>
      <c r="G86" s="397" t="s">
        <v>459</v>
      </c>
      <c r="H86" s="397"/>
      <c r="I86" s="397"/>
    </row>
    <row r="87" spans="1:9">
      <c r="C87" s="4"/>
    </row>
    <row r="88" spans="1:9">
      <c r="C88" s="142"/>
      <c r="D88" s="143"/>
      <c r="E88" s="143"/>
      <c r="F88" s="143"/>
      <c r="G88" s="143"/>
    </row>
    <row r="89" spans="1:9">
      <c r="C89" s="142"/>
      <c r="D89" s="143"/>
      <c r="E89" s="143"/>
      <c r="F89" s="143"/>
      <c r="G89" s="143"/>
    </row>
    <row r="90" spans="1:9">
      <c r="C90" s="4"/>
    </row>
    <row r="91" spans="1:9">
      <c r="C91" s="4"/>
    </row>
    <row r="92" spans="1:9">
      <c r="C92" s="4"/>
    </row>
    <row r="93" spans="1:9">
      <c r="C93" s="4"/>
    </row>
    <row r="94" spans="1:9">
      <c r="C94" s="4"/>
    </row>
    <row r="95" spans="1:9">
      <c r="C95" s="4"/>
    </row>
    <row r="96" spans="1:9">
      <c r="C96" s="4"/>
    </row>
    <row r="97" spans="3:3">
      <c r="C97" s="4"/>
    </row>
    <row r="98" spans="3:3">
      <c r="C98" s="4"/>
    </row>
    <row r="99" spans="3:3">
      <c r="C99" s="4"/>
    </row>
    <row r="100" spans="3:3">
      <c r="C100" s="4"/>
    </row>
    <row r="101" spans="3:3">
      <c r="C101" s="4"/>
    </row>
    <row r="102" spans="3:3">
      <c r="C102" s="4"/>
    </row>
    <row r="103" spans="3:3">
      <c r="C103" s="4"/>
    </row>
    <row r="104" spans="3:3">
      <c r="C104" s="4"/>
    </row>
    <row r="105" spans="3:3">
      <c r="C105" s="4"/>
    </row>
    <row r="106" spans="3:3">
      <c r="C106" s="4"/>
    </row>
    <row r="107" spans="3:3">
      <c r="C107" s="4"/>
    </row>
    <row r="108" spans="3:3">
      <c r="C108" s="4"/>
    </row>
    <row r="109" spans="3:3">
      <c r="C109" s="4"/>
    </row>
    <row r="110" spans="3:3">
      <c r="C110" s="4"/>
    </row>
    <row r="111" spans="3:3">
      <c r="C111" s="4"/>
    </row>
    <row r="112" spans="3:3">
      <c r="C112" s="4"/>
    </row>
    <row r="113" spans="3:3">
      <c r="C113" s="4"/>
    </row>
    <row r="114" spans="3:3">
      <c r="C114" s="4"/>
    </row>
    <row r="115" spans="3:3">
      <c r="C115" s="4"/>
    </row>
    <row r="116" spans="3:3">
      <c r="C116" s="4"/>
    </row>
    <row r="117" spans="3:3">
      <c r="C117" s="4"/>
    </row>
  </sheetData>
  <sheetProtection formatCells="0" formatColumns="0" formatRows="0" insertColumns="0" insertRows="0" insertHyperlinks="0" deleteColumns="0" deleteRows="0" sort="0" autoFilter="0" pivotTables="0"/>
  <customSheetViews>
    <customSheetView guid="{F65ACDE9-A565-4614-893F-AFCB94FA629C}" scale="75" showPageBreaks="1" printArea="1" view="pageBreakPreview" topLeftCell="A67">
      <selection activeCell="F96" sqref="F96"/>
      <pageMargins left="0.78740157480314965" right="0.39370078740157483" top="0.59055118110236227" bottom="0.59055118110236227" header="0.19685039370078741" footer="0.23622047244094491"/>
      <pageSetup paperSize="9" scale="50" orientation="portrait" r:id="rId1"/>
      <headerFooter alignWithMargins="0"/>
    </customSheetView>
    <customSheetView guid="{43DCEB14-ADF8-4168-9283-6542A71D3CF7}" scale="75" showPageBreaks="1" printArea="1" view="pageBreakPreview" topLeftCell="A67">
      <selection activeCell="F96" sqref="F96"/>
      <pageMargins left="0.78740157480314965" right="0.39370078740157483" top="0.59055118110236227" bottom="0.59055118110236227" header="0.19685039370078741" footer="0.23622047244094491"/>
      <pageSetup paperSize="9" scale="50" orientation="portrait" r:id="rId2"/>
      <headerFooter alignWithMargins="0"/>
    </customSheetView>
    <customSheetView guid="{4BF2F851-A775-4F33-8DA4-C59D9D94DA9D}" scale="80" showPageBreaks="1" printArea="1" view="pageBreakPreview" topLeftCell="A67">
      <selection activeCell="E83" sqref="E83"/>
      <pageMargins left="0.78740157480314965" right="0.39370078740157483" top="0.59055118110236227" bottom="0.59055118110236227" header="0.19685039370078741" footer="0.23622047244094491"/>
      <pageSetup paperSize="9" scale="50" orientation="portrait" r:id="rId3"/>
      <headerFooter alignWithMargins="0"/>
    </customSheetView>
    <customSheetView guid="{1E3D5FB9-014E-4051-8AD5-DB0A17D05797}" scale="75" showPageBreaks="1" printArea="1" view="pageBreakPreview" topLeftCell="A34">
      <selection activeCell="C59" sqref="C58:C59"/>
      <pageMargins left="0.78740157480314965" right="0.39370078740157483" top="0.59055118110236227" bottom="0.59055118110236227" header="0.19685039370078741" footer="0.23622047244094491"/>
      <pageSetup paperSize="9" scale="50" orientation="portrait" r:id="rId4"/>
      <headerFooter alignWithMargins="0"/>
    </customSheetView>
    <customSheetView guid="{6E930A10-FB87-4441-8A38-C35193B7FA1B}" scale="75" showPageBreaks="1" printArea="1" view="pageBreakPreview" topLeftCell="A67">
      <selection activeCell="F96" sqref="F96"/>
      <pageMargins left="0.78740157480314965" right="0.39370078740157483" top="0.59055118110236227" bottom="0.59055118110236227" header="0.19685039370078741" footer="0.23622047244094491"/>
      <pageSetup paperSize="9" scale="50" orientation="portrait" r:id="rId5"/>
      <headerFooter alignWithMargins="0"/>
    </customSheetView>
  </customSheetViews>
  <mergeCells count="13">
    <mergeCell ref="A1:I1"/>
    <mergeCell ref="A3:A4"/>
    <mergeCell ref="B3:B4"/>
    <mergeCell ref="C3:C4"/>
    <mergeCell ref="D3:D4"/>
    <mergeCell ref="E3:E4"/>
    <mergeCell ref="F3:I3"/>
    <mergeCell ref="C86:E86"/>
    <mergeCell ref="G86:I86"/>
    <mergeCell ref="A28:I28"/>
    <mergeCell ref="A6:I6"/>
    <mergeCell ref="A49:I49"/>
    <mergeCell ref="C85:E85"/>
  </mergeCells>
  <phoneticPr fontId="3" type="noConversion"/>
  <pageMargins left="0.78740157480314965" right="0.39370078740157483" top="0.59055118110236227" bottom="0.59055118110236227" header="0.19685039370078741" footer="0.23622047244094491"/>
  <pageSetup paperSize="9" scale="50" orientation="portrait" r:id="rId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2"/>
  <sheetViews>
    <sheetView view="pageBreakPreview" topLeftCell="A7" zoomScale="80" zoomScaleNormal="75" zoomScaleSheetLayoutView="80" workbookViewId="0">
      <selection activeCell="F11" sqref="F11:I11"/>
    </sheetView>
  </sheetViews>
  <sheetFormatPr defaultColWidth="9.140625" defaultRowHeight="18.75"/>
  <cols>
    <col min="1" max="1" width="45" style="2" customWidth="1"/>
    <col min="2" max="2" width="11.7109375" style="25" customWidth="1"/>
    <col min="3" max="4" width="16" style="25" customWidth="1"/>
    <col min="5" max="5" width="15.28515625" style="25" customWidth="1"/>
    <col min="6" max="7" width="16.28515625" style="2" customWidth="1"/>
    <col min="8" max="8" width="15.85546875" style="2" customWidth="1"/>
    <col min="9" max="9" width="15.28515625" style="2" customWidth="1"/>
    <col min="10" max="10" width="9.85546875" style="2" customWidth="1"/>
    <col min="11" max="16384" width="9.140625" style="2"/>
  </cols>
  <sheetData>
    <row r="1" spans="1:15">
      <c r="A1" s="418" t="s">
        <v>227</v>
      </c>
      <c r="B1" s="418"/>
      <c r="C1" s="418"/>
      <c r="D1" s="418"/>
      <c r="E1" s="418"/>
      <c r="F1" s="418"/>
      <c r="G1" s="418"/>
      <c r="H1" s="418"/>
      <c r="I1" s="418"/>
    </row>
    <row r="2" spans="1:15">
      <c r="A2" s="422"/>
      <c r="B2" s="422"/>
      <c r="C2" s="422"/>
      <c r="D2" s="422"/>
      <c r="E2" s="422"/>
      <c r="F2" s="422"/>
      <c r="G2" s="422"/>
      <c r="H2" s="422"/>
      <c r="I2" s="422"/>
    </row>
    <row r="3" spans="1:15" ht="43.5" customHeight="1">
      <c r="A3" s="402" t="s">
        <v>270</v>
      </c>
      <c r="B3" s="398" t="s">
        <v>18</v>
      </c>
      <c r="C3" s="403" t="s">
        <v>31</v>
      </c>
      <c r="D3" s="403" t="s">
        <v>39</v>
      </c>
      <c r="E3" s="417" t="s">
        <v>180</v>
      </c>
      <c r="F3" s="398" t="s">
        <v>362</v>
      </c>
      <c r="G3" s="398"/>
      <c r="H3" s="398"/>
      <c r="I3" s="398"/>
    </row>
    <row r="4" spans="1:15" ht="56.25" customHeight="1">
      <c r="A4" s="402"/>
      <c r="B4" s="398"/>
      <c r="C4" s="403"/>
      <c r="D4" s="403"/>
      <c r="E4" s="417"/>
      <c r="F4" s="13" t="s">
        <v>371</v>
      </c>
      <c r="G4" s="13" t="s">
        <v>364</v>
      </c>
      <c r="H4" s="13" t="s">
        <v>365</v>
      </c>
      <c r="I4" s="13" t="s">
        <v>86</v>
      </c>
    </row>
    <row r="5" spans="1:15" ht="18" customHeight="1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15" s="5" customFormat="1" ht="42.75" customHeight="1">
      <c r="A6" s="8" t="s">
        <v>88</v>
      </c>
      <c r="B6" s="75">
        <v>4000</v>
      </c>
      <c r="C6" s="93">
        <f t="shared" ref="C6:I6" si="0">SUM(C7:C11)</f>
        <v>145</v>
      </c>
      <c r="D6" s="163">
        <f>D8+D11</f>
        <v>993</v>
      </c>
      <c r="E6" s="93">
        <f t="shared" si="0"/>
        <v>1114</v>
      </c>
      <c r="F6" s="163">
        <f t="shared" si="0"/>
        <v>194</v>
      </c>
      <c r="G6" s="163">
        <f t="shared" si="0"/>
        <v>9632</v>
      </c>
      <c r="H6" s="163">
        <f t="shared" si="0"/>
        <v>9632</v>
      </c>
      <c r="I6" s="163">
        <f t="shared" si="0"/>
        <v>9632</v>
      </c>
    </row>
    <row r="7" spans="1:15" ht="20.100000000000001" customHeight="1">
      <c r="A7" s="8" t="s">
        <v>1</v>
      </c>
      <c r="B7" s="76" t="s">
        <v>237</v>
      </c>
      <c r="C7" s="107"/>
      <c r="D7" s="107"/>
      <c r="E7" s="107"/>
      <c r="F7" s="162"/>
      <c r="G7" s="162"/>
      <c r="H7" s="162"/>
      <c r="I7" s="162"/>
    </row>
    <row r="8" spans="1:15" ht="37.5">
      <c r="A8" s="8" t="s">
        <v>2</v>
      </c>
      <c r="B8" s="75">
        <v>4020</v>
      </c>
      <c r="C8" s="107">
        <v>145</v>
      </c>
      <c r="D8" s="107">
        <v>826</v>
      </c>
      <c r="E8" s="245">
        <v>966</v>
      </c>
      <c r="F8" s="217">
        <v>0</v>
      </c>
      <c r="G8" s="217">
        <v>9438</v>
      </c>
      <c r="H8" s="217">
        <v>9438</v>
      </c>
      <c r="I8" s="217">
        <v>9438</v>
      </c>
      <c r="O8" s="21"/>
    </row>
    <row r="9" spans="1:15" ht="37.5">
      <c r="A9" s="8" t="s">
        <v>30</v>
      </c>
      <c r="B9" s="76">
        <v>4030</v>
      </c>
      <c r="C9" s="107"/>
      <c r="D9" s="107"/>
      <c r="E9" s="245"/>
      <c r="F9" s="217"/>
      <c r="G9" s="217"/>
      <c r="H9" s="217"/>
      <c r="I9" s="217"/>
      <c r="N9" s="21"/>
    </row>
    <row r="10" spans="1:15" ht="37.5">
      <c r="A10" s="8" t="s">
        <v>3</v>
      </c>
      <c r="B10" s="75">
        <v>4040</v>
      </c>
      <c r="C10" s="107"/>
      <c r="D10" s="107"/>
      <c r="E10" s="245"/>
      <c r="F10" s="217">
        <v>0</v>
      </c>
      <c r="G10" s="217"/>
      <c r="H10" s="217"/>
      <c r="I10" s="217"/>
    </row>
    <row r="11" spans="1:15" ht="56.25">
      <c r="A11" s="8" t="s">
        <v>74</v>
      </c>
      <c r="B11" s="76">
        <v>4050</v>
      </c>
      <c r="C11" s="245"/>
      <c r="D11" s="217">
        <v>167</v>
      </c>
      <c r="E11" s="217">
        <v>148</v>
      </c>
      <c r="F11" s="217">
        <v>194</v>
      </c>
      <c r="G11" s="217">
        <v>194</v>
      </c>
      <c r="H11" s="217">
        <v>194</v>
      </c>
      <c r="I11" s="217">
        <v>194</v>
      </c>
    </row>
    <row r="12" spans="1:15" ht="20.100000000000001" customHeight="1">
      <c r="A12" s="108"/>
      <c r="B12" s="108"/>
      <c r="C12" s="108"/>
      <c r="D12" s="108"/>
      <c r="E12" s="108"/>
      <c r="F12" s="306"/>
      <c r="G12" s="306"/>
      <c r="H12" s="306"/>
      <c r="I12" s="306"/>
    </row>
    <row r="13" spans="1:15" ht="20.100000000000001" customHeight="1">
      <c r="A13" s="108"/>
      <c r="B13" s="108"/>
      <c r="C13" s="108"/>
      <c r="D13" s="108"/>
      <c r="E13" s="108"/>
      <c r="F13" s="144"/>
      <c r="G13" s="144"/>
      <c r="H13" s="144"/>
      <c r="I13" s="144"/>
    </row>
    <row r="14" spans="1:15" s="1" customFormat="1">
      <c r="A14" s="127"/>
      <c r="B14" s="133"/>
      <c r="C14" s="108"/>
      <c r="D14" s="108"/>
      <c r="E14" s="108"/>
      <c r="F14" s="108"/>
      <c r="G14" s="108"/>
      <c r="H14" s="108"/>
      <c r="I14" s="108"/>
    </row>
    <row r="15" spans="1:15" s="5" customFormat="1" ht="19.5">
      <c r="A15" s="167" t="s">
        <v>400</v>
      </c>
      <c r="B15" s="141"/>
      <c r="C15" s="404" t="s">
        <v>119</v>
      </c>
      <c r="D15" s="405"/>
      <c r="E15" s="405"/>
      <c r="F15" s="172"/>
      <c r="G15" s="307" t="s">
        <v>543</v>
      </c>
      <c r="H15" s="307"/>
      <c r="I15" s="307"/>
    </row>
    <row r="16" spans="1:15" s="1" customFormat="1" ht="20.100000000000001" customHeight="1">
      <c r="A16" s="109" t="s">
        <v>83</v>
      </c>
      <c r="B16" s="108"/>
      <c r="C16" s="396" t="s">
        <v>84</v>
      </c>
      <c r="D16" s="396"/>
      <c r="E16" s="396"/>
      <c r="F16" s="131"/>
      <c r="G16" s="397" t="s">
        <v>434</v>
      </c>
      <c r="H16" s="397"/>
      <c r="I16" s="397"/>
    </row>
    <row r="17" spans="1:9">
      <c r="A17" s="145"/>
      <c r="B17" s="109"/>
      <c r="C17" s="109"/>
      <c r="D17" s="109"/>
      <c r="E17" s="109"/>
      <c r="F17" s="108"/>
      <c r="G17" s="108"/>
      <c r="H17" s="108"/>
      <c r="I17" s="108"/>
    </row>
    <row r="18" spans="1:9">
      <c r="A18" s="145"/>
      <c r="B18" s="109"/>
      <c r="C18" s="109"/>
      <c r="D18" s="109"/>
      <c r="E18" s="109"/>
      <c r="F18" s="108"/>
      <c r="G18" s="108"/>
      <c r="H18" s="108"/>
      <c r="I18" s="108"/>
    </row>
    <row r="19" spans="1:9">
      <c r="A19" s="50"/>
      <c r="F19" s="249"/>
      <c r="G19" s="249"/>
      <c r="H19" s="249"/>
      <c r="I19" s="249"/>
    </row>
    <row r="20" spans="1:9">
      <c r="A20" s="50"/>
      <c r="G20" s="247"/>
      <c r="H20" s="249"/>
      <c r="I20" s="247"/>
    </row>
    <row r="21" spans="1:9">
      <c r="A21" s="50"/>
    </row>
    <row r="22" spans="1:9">
      <c r="A22" s="50"/>
      <c r="G22" s="247"/>
      <c r="H22" s="249"/>
      <c r="I22" s="249"/>
    </row>
    <row r="23" spans="1:9">
      <c r="A23" s="50"/>
    </row>
    <row r="24" spans="1:9">
      <c r="A24" s="50"/>
    </row>
    <row r="25" spans="1:9">
      <c r="A25" s="50"/>
    </row>
    <row r="26" spans="1:9">
      <c r="A26" s="50"/>
    </row>
    <row r="27" spans="1:9">
      <c r="A27" s="50"/>
    </row>
    <row r="28" spans="1:9">
      <c r="A28" s="50"/>
    </row>
    <row r="29" spans="1:9">
      <c r="A29" s="50"/>
    </row>
    <row r="30" spans="1:9">
      <c r="A30" s="50"/>
    </row>
    <row r="31" spans="1:9">
      <c r="A31" s="50"/>
    </row>
    <row r="32" spans="1:9">
      <c r="A32" s="50"/>
    </row>
    <row r="33" spans="1:1">
      <c r="A33" s="50"/>
    </row>
    <row r="34" spans="1:1">
      <c r="A34" s="50"/>
    </row>
    <row r="35" spans="1:1">
      <c r="A35" s="50"/>
    </row>
    <row r="36" spans="1:1">
      <c r="A36" s="50"/>
    </row>
    <row r="37" spans="1:1">
      <c r="A37" s="50"/>
    </row>
    <row r="38" spans="1:1">
      <c r="A38" s="50"/>
    </row>
    <row r="39" spans="1:1">
      <c r="A39" s="50"/>
    </row>
    <row r="40" spans="1:1">
      <c r="A40" s="50"/>
    </row>
    <row r="41" spans="1:1">
      <c r="A41" s="50"/>
    </row>
    <row r="42" spans="1:1">
      <c r="A42" s="50"/>
    </row>
    <row r="43" spans="1:1">
      <c r="A43" s="50"/>
    </row>
    <row r="44" spans="1:1">
      <c r="A44" s="50"/>
    </row>
    <row r="45" spans="1:1">
      <c r="A45" s="50"/>
    </row>
    <row r="46" spans="1:1">
      <c r="A46" s="50"/>
    </row>
    <row r="47" spans="1:1">
      <c r="A47" s="50"/>
    </row>
    <row r="48" spans="1:1">
      <c r="A48" s="50"/>
    </row>
    <row r="49" spans="1:1">
      <c r="A49" s="50"/>
    </row>
    <row r="50" spans="1:1">
      <c r="A50" s="50"/>
    </row>
    <row r="51" spans="1:1">
      <c r="A51" s="50"/>
    </row>
    <row r="52" spans="1:1">
      <c r="A52" s="50"/>
    </row>
    <row r="53" spans="1:1">
      <c r="A53" s="50"/>
    </row>
    <row r="54" spans="1:1">
      <c r="A54" s="50"/>
    </row>
    <row r="55" spans="1:1">
      <c r="A55" s="50"/>
    </row>
    <row r="56" spans="1:1">
      <c r="A56" s="50"/>
    </row>
    <row r="57" spans="1:1">
      <c r="A57" s="50"/>
    </row>
    <row r="58" spans="1:1">
      <c r="A58" s="50"/>
    </row>
    <row r="59" spans="1:1">
      <c r="A59" s="50"/>
    </row>
    <row r="60" spans="1:1">
      <c r="A60" s="50"/>
    </row>
    <row r="61" spans="1:1">
      <c r="A61" s="50"/>
    </row>
    <row r="62" spans="1:1">
      <c r="A62" s="50"/>
    </row>
    <row r="63" spans="1:1">
      <c r="A63" s="50"/>
    </row>
    <row r="64" spans="1:1">
      <c r="A64" s="50"/>
    </row>
    <row r="65" spans="1:1">
      <c r="A65" s="50"/>
    </row>
    <row r="66" spans="1:1">
      <c r="A66" s="50"/>
    </row>
    <row r="67" spans="1:1">
      <c r="A67" s="50"/>
    </row>
    <row r="68" spans="1:1">
      <c r="A68" s="50"/>
    </row>
    <row r="69" spans="1:1">
      <c r="A69" s="50"/>
    </row>
    <row r="70" spans="1:1">
      <c r="A70" s="50"/>
    </row>
    <row r="71" spans="1:1">
      <c r="A71" s="50"/>
    </row>
    <row r="72" spans="1:1">
      <c r="A72" s="50"/>
    </row>
    <row r="73" spans="1:1">
      <c r="A73" s="50"/>
    </row>
    <row r="74" spans="1:1">
      <c r="A74" s="50"/>
    </row>
    <row r="75" spans="1:1">
      <c r="A75" s="50"/>
    </row>
    <row r="76" spans="1:1">
      <c r="A76" s="50"/>
    </row>
    <row r="77" spans="1:1">
      <c r="A77" s="50"/>
    </row>
    <row r="78" spans="1:1">
      <c r="A78" s="50"/>
    </row>
    <row r="79" spans="1:1">
      <c r="A79" s="50"/>
    </row>
    <row r="80" spans="1:1">
      <c r="A80" s="50"/>
    </row>
    <row r="81" spans="1:1">
      <c r="A81" s="50"/>
    </row>
    <row r="82" spans="1:1">
      <c r="A82" s="50"/>
    </row>
    <row r="83" spans="1:1">
      <c r="A83" s="50"/>
    </row>
    <row r="84" spans="1:1">
      <c r="A84" s="50"/>
    </row>
    <row r="85" spans="1:1">
      <c r="A85" s="50"/>
    </row>
    <row r="86" spans="1:1">
      <c r="A86" s="50"/>
    </row>
    <row r="87" spans="1:1">
      <c r="A87" s="50"/>
    </row>
    <row r="88" spans="1:1">
      <c r="A88" s="50"/>
    </row>
    <row r="89" spans="1:1">
      <c r="A89" s="50"/>
    </row>
    <row r="90" spans="1:1">
      <c r="A90" s="50"/>
    </row>
    <row r="91" spans="1:1">
      <c r="A91" s="50"/>
    </row>
    <row r="92" spans="1:1">
      <c r="A92" s="50"/>
    </row>
    <row r="93" spans="1:1">
      <c r="A93" s="50"/>
    </row>
    <row r="94" spans="1:1">
      <c r="A94" s="50"/>
    </row>
    <row r="95" spans="1:1">
      <c r="A95" s="50"/>
    </row>
    <row r="96" spans="1:1">
      <c r="A96" s="50"/>
    </row>
    <row r="97" spans="1:1">
      <c r="A97" s="50"/>
    </row>
    <row r="98" spans="1:1">
      <c r="A98" s="50"/>
    </row>
    <row r="99" spans="1:1">
      <c r="A99" s="50"/>
    </row>
    <row r="100" spans="1:1">
      <c r="A100" s="50"/>
    </row>
    <row r="101" spans="1:1">
      <c r="A101" s="50"/>
    </row>
    <row r="102" spans="1:1">
      <c r="A102" s="50"/>
    </row>
    <row r="103" spans="1:1">
      <c r="A103" s="50"/>
    </row>
    <row r="104" spans="1:1">
      <c r="A104" s="50"/>
    </row>
    <row r="105" spans="1:1">
      <c r="A105" s="50"/>
    </row>
    <row r="106" spans="1:1">
      <c r="A106" s="50"/>
    </row>
    <row r="107" spans="1:1">
      <c r="A107" s="50"/>
    </row>
    <row r="108" spans="1:1">
      <c r="A108" s="50"/>
    </row>
    <row r="109" spans="1:1">
      <c r="A109" s="50"/>
    </row>
    <row r="110" spans="1:1">
      <c r="A110" s="50"/>
    </row>
    <row r="111" spans="1:1">
      <c r="A111" s="50"/>
    </row>
    <row r="112" spans="1:1">
      <c r="A112" s="50"/>
    </row>
    <row r="113" spans="1:1">
      <c r="A113" s="50"/>
    </row>
    <row r="114" spans="1:1">
      <c r="A114" s="50"/>
    </row>
    <row r="115" spans="1:1">
      <c r="A115" s="50"/>
    </row>
    <row r="116" spans="1:1">
      <c r="A116" s="50"/>
    </row>
    <row r="117" spans="1:1">
      <c r="A117" s="50"/>
    </row>
    <row r="118" spans="1:1">
      <c r="A118" s="50"/>
    </row>
    <row r="119" spans="1:1">
      <c r="A119" s="50"/>
    </row>
    <row r="120" spans="1:1">
      <c r="A120" s="50"/>
    </row>
    <row r="121" spans="1:1">
      <c r="A121" s="50"/>
    </row>
    <row r="122" spans="1:1">
      <c r="A122" s="50"/>
    </row>
    <row r="123" spans="1:1">
      <c r="A123" s="50"/>
    </row>
    <row r="124" spans="1:1">
      <c r="A124" s="50"/>
    </row>
    <row r="125" spans="1:1">
      <c r="A125" s="50"/>
    </row>
    <row r="126" spans="1:1">
      <c r="A126" s="50"/>
    </row>
    <row r="127" spans="1:1">
      <c r="A127" s="50"/>
    </row>
    <row r="128" spans="1:1">
      <c r="A128" s="50"/>
    </row>
    <row r="129" spans="1:1">
      <c r="A129" s="50"/>
    </row>
    <row r="130" spans="1:1">
      <c r="A130" s="50"/>
    </row>
    <row r="131" spans="1:1">
      <c r="A131" s="50"/>
    </row>
    <row r="132" spans="1:1">
      <c r="A132" s="50"/>
    </row>
    <row r="133" spans="1:1">
      <c r="A133" s="50"/>
    </row>
    <row r="134" spans="1:1">
      <c r="A134" s="50"/>
    </row>
    <row r="135" spans="1:1">
      <c r="A135" s="50"/>
    </row>
    <row r="136" spans="1:1">
      <c r="A136" s="50"/>
    </row>
    <row r="137" spans="1:1">
      <c r="A137" s="50"/>
    </row>
    <row r="138" spans="1:1">
      <c r="A138" s="50"/>
    </row>
    <row r="139" spans="1:1">
      <c r="A139" s="50"/>
    </row>
    <row r="140" spans="1:1">
      <c r="A140" s="50"/>
    </row>
    <row r="141" spans="1:1">
      <c r="A141" s="50"/>
    </row>
    <row r="142" spans="1:1">
      <c r="A142" s="50"/>
    </row>
    <row r="143" spans="1:1">
      <c r="A143" s="50"/>
    </row>
    <row r="144" spans="1:1">
      <c r="A144" s="50"/>
    </row>
    <row r="145" spans="1:1">
      <c r="A145" s="50"/>
    </row>
    <row r="146" spans="1:1">
      <c r="A146" s="50"/>
    </row>
    <row r="147" spans="1:1">
      <c r="A147" s="50"/>
    </row>
    <row r="148" spans="1:1">
      <c r="A148" s="50"/>
    </row>
    <row r="149" spans="1:1">
      <c r="A149" s="50"/>
    </row>
    <row r="150" spans="1:1">
      <c r="A150" s="50"/>
    </row>
    <row r="151" spans="1:1">
      <c r="A151" s="50"/>
    </row>
    <row r="152" spans="1:1">
      <c r="A152" s="50"/>
    </row>
    <row r="153" spans="1:1">
      <c r="A153" s="50"/>
    </row>
    <row r="154" spans="1:1">
      <c r="A154" s="50"/>
    </row>
    <row r="155" spans="1:1">
      <c r="A155" s="50"/>
    </row>
    <row r="156" spans="1:1">
      <c r="A156" s="50"/>
    </row>
    <row r="157" spans="1:1">
      <c r="A157" s="50"/>
    </row>
    <row r="158" spans="1:1">
      <c r="A158" s="50"/>
    </row>
    <row r="159" spans="1:1">
      <c r="A159" s="50"/>
    </row>
    <row r="160" spans="1:1">
      <c r="A160" s="50"/>
    </row>
    <row r="161" spans="1:1">
      <c r="A161" s="50"/>
    </row>
    <row r="162" spans="1:1">
      <c r="A162" s="50"/>
    </row>
    <row r="163" spans="1:1">
      <c r="A163" s="50"/>
    </row>
    <row r="164" spans="1:1">
      <c r="A164" s="50"/>
    </row>
    <row r="165" spans="1:1">
      <c r="A165" s="50"/>
    </row>
    <row r="166" spans="1:1">
      <c r="A166" s="50"/>
    </row>
    <row r="167" spans="1:1">
      <c r="A167" s="50"/>
    </row>
    <row r="168" spans="1:1">
      <c r="A168" s="50"/>
    </row>
    <row r="169" spans="1:1">
      <c r="A169" s="50"/>
    </row>
    <row r="170" spans="1:1">
      <c r="A170" s="50"/>
    </row>
    <row r="171" spans="1:1">
      <c r="A171" s="50"/>
    </row>
    <row r="172" spans="1:1">
      <c r="A172" s="50"/>
    </row>
    <row r="173" spans="1:1">
      <c r="A173" s="50"/>
    </row>
    <row r="174" spans="1:1">
      <c r="A174" s="50"/>
    </row>
    <row r="175" spans="1:1">
      <c r="A175" s="50"/>
    </row>
    <row r="176" spans="1:1">
      <c r="A176" s="50"/>
    </row>
    <row r="177" spans="1:1">
      <c r="A177" s="50"/>
    </row>
    <row r="178" spans="1:1">
      <c r="A178" s="50"/>
    </row>
    <row r="179" spans="1:1">
      <c r="A179" s="50"/>
    </row>
    <row r="180" spans="1:1">
      <c r="A180" s="50"/>
    </row>
    <row r="181" spans="1:1">
      <c r="A181" s="50"/>
    </row>
    <row r="182" spans="1:1">
      <c r="A182" s="50"/>
    </row>
  </sheetData>
  <sheetProtection formatCells="0" formatColumns="0" formatRows="0" insertColumns="0" insertRows="0" insertHyperlinks="0" deleteColumns="0" deleteRows="0" sort="0" autoFilter="0" pivotTables="0"/>
  <customSheetViews>
    <customSheetView guid="{F65ACDE9-A565-4614-893F-AFCB94FA629C}" scale="80" showPageBreaks="1" printArea="1" view="pageBreakPreview">
      <selection activeCell="E8" sqref="E8"/>
      <pageMargins left="0.78740157480314965" right="0.39370078740157483" top="0.59055118110236227" bottom="0.59055118110236227" header="0.27559055118110237" footer="0.31496062992125984"/>
      <pageSetup paperSize="9" scale="50" firstPageNumber="9" orientation="portrait" useFirstPageNumber="1" r:id="rId1"/>
      <headerFooter alignWithMargins="0"/>
    </customSheetView>
    <customSheetView guid="{43DCEB14-ADF8-4168-9283-6542A71D3CF7}" scale="80" showPageBreaks="1" printArea="1" view="pageBreakPreview">
      <selection activeCell="E8" sqref="E8"/>
      <pageMargins left="0.78740157480314965" right="0.39370078740157483" top="0.59055118110236227" bottom="0.59055118110236227" header="0.27559055118110237" footer="0.31496062992125984"/>
      <pageSetup paperSize="9" scale="50" firstPageNumber="9" orientation="portrait" useFirstPageNumber="1" r:id="rId2"/>
      <headerFooter alignWithMargins="0"/>
    </customSheetView>
    <customSheetView guid="{4BF2F851-A775-4F33-8DA4-C59D9D94DA9D}" scale="80" showPageBreaks="1" printArea="1" view="pageBreakPreview">
      <selection activeCell="G8" sqref="G8"/>
      <pageMargins left="0.78740157480314965" right="0.39370078740157483" top="0.59055118110236227" bottom="0.59055118110236227" header="0.27559055118110237" footer="0.31496062992125984"/>
      <pageSetup paperSize="9" scale="50" firstPageNumber="9" orientation="portrait" useFirstPageNumber="1" r:id="rId3"/>
      <headerFooter alignWithMargins="0"/>
    </customSheetView>
    <customSheetView guid="{1E3D5FB9-014E-4051-8AD5-DB0A17D05797}" scale="70" showPageBreaks="1" printArea="1" view="pageBreakPreview">
      <selection activeCell="C10" sqref="C10"/>
      <pageMargins left="0.78740157480314965" right="0.39370078740157483" top="0.59055118110236227" bottom="0.59055118110236227" header="0.27559055118110237" footer="0.31496062992125984"/>
      <pageSetup paperSize="9" scale="50" firstPageNumber="9" orientation="portrait" useFirstPageNumber="1" r:id="rId4"/>
      <headerFooter alignWithMargins="0"/>
    </customSheetView>
    <customSheetView guid="{6E930A10-FB87-4441-8A38-C35193B7FA1B}" scale="80" showPageBreaks="1" printArea="1" view="pageBreakPreview">
      <selection activeCell="E8" sqref="E8"/>
      <pageMargins left="0.78740157480314965" right="0.39370078740157483" top="0.59055118110236227" bottom="0.59055118110236227" header="0.27559055118110237" footer="0.31496062992125984"/>
      <pageSetup paperSize="9" scale="50" firstPageNumber="9" orientation="portrait" useFirstPageNumber="1" r:id="rId5"/>
      <headerFooter alignWithMargins="0"/>
    </customSheetView>
  </customSheetViews>
  <mergeCells count="11">
    <mergeCell ref="C15:E15"/>
    <mergeCell ref="C16:E16"/>
    <mergeCell ref="G16:I16"/>
    <mergeCell ref="A3:A4"/>
    <mergeCell ref="A1:I1"/>
    <mergeCell ref="B3:B4"/>
    <mergeCell ref="C3:C4"/>
    <mergeCell ref="D3:D4"/>
    <mergeCell ref="A2:I2"/>
    <mergeCell ref="F3:I3"/>
    <mergeCell ref="E3:E4"/>
  </mergeCells>
  <phoneticPr fontId="0" type="noConversion"/>
  <pageMargins left="0.78740157480314965" right="0.39370078740157483" top="0.59055118110236227" bottom="0.59055118110236227" header="0.27559055118110237" footer="0.31496062992125984"/>
  <pageSetup paperSize="9" scale="50" firstPageNumber="9" orientation="portrait" useFirstPageNumber="1" r:id="rId6"/>
  <headerFooter alignWithMargins="0"/>
  <ignoredErrors>
    <ignoredError sqref="B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BreakPreview" zoomScale="75" zoomScaleNormal="75" zoomScaleSheetLayoutView="75" workbookViewId="0">
      <pane ySplit="5" topLeftCell="A12" activePane="bottomLeft" state="frozen"/>
      <selection pane="bottomLeft" activeCell="G7" sqref="G7"/>
    </sheetView>
  </sheetViews>
  <sheetFormatPr defaultColWidth="9.140625" defaultRowHeight="12.75"/>
  <cols>
    <col min="1" max="1" width="60.42578125" style="31" customWidth="1"/>
    <col min="2" max="2" width="11" style="31" customWidth="1"/>
    <col min="3" max="3" width="16" style="31" customWidth="1"/>
    <col min="4" max="4" width="18.28515625" style="31" customWidth="1"/>
    <col min="5" max="5" width="19.7109375" style="269" customWidth="1"/>
    <col min="6" max="6" width="18.5703125" style="31" customWidth="1"/>
    <col min="7" max="7" width="18.85546875" style="31" customWidth="1"/>
    <col min="8" max="8" width="37.42578125" style="31" customWidth="1"/>
    <col min="9" max="9" width="9.5703125" style="31" customWidth="1"/>
    <col min="10" max="16384" width="9.140625" style="31"/>
  </cols>
  <sheetData>
    <row r="1" spans="1:8" ht="25.5" customHeight="1">
      <c r="A1" s="423" t="s">
        <v>229</v>
      </c>
      <c r="B1" s="423"/>
      <c r="C1" s="423"/>
      <c r="D1" s="423"/>
      <c r="E1" s="423"/>
      <c r="F1" s="423"/>
      <c r="G1" s="423"/>
      <c r="H1" s="423"/>
    </row>
    <row r="2" spans="1:8" ht="16.5" customHeight="1"/>
    <row r="3" spans="1:8" ht="45" customHeight="1">
      <c r="A3" s="424" t="s">
        <v>270</v>
      </c>
      <c r="B3" s="424" t="s">
        <v>0</v>
      </c>
      <c r="C3" s="424" t="s">
        <v>110</v>
      </c>
      <c r="D3" s="424" t="s">
        <v>31</v>
      </c>
      <c r="E3" s="428" t="s">
        <v>111</v>
      </c>
      <c r="F3" s="430" t="s">
        <v>180</v>
      </c>
      <c r="G3" s="424" t="s">
        <v>112</v>
      </c>
      <c r="H3" s="424" t="s">
        <v>113</v>
      </c>
    </row>
    <row r="4" spans="1:8" ht="52.5" customHeight="1">
      <c r="A4" s="425"/>
      <c r="B4" s="425"/>
      <c r="C4" s="425"/>
      <c r="D4" s="425"/>
      <c r="E4" s="429"/>
      <c r="F4" s="431"/>
      <c r="G4" s="425"/>
      <c r="H4" s="425"/>
    </row>
    <row r="5" spans="1:8" s="63" customFormat="1" ht="18" customHeight="1">
      <c r="A5" s="40">
        <v>1</v>
      </c>
      <c r="B5" s="40">
        <v>2</v>
      </c>
      <c r="C5" s="40">
        <v>3</v>
      </c>
      <c r="D5" s="40">
        <v>4</v>
      </c>
      <c r="E5" s="266">
        <v>5</v>
      </c>
      <c r="F5" s="40">
        <v>6</v>
      </c>
      <c r="G5" s="40">
        <v>7</v>
      </c>
      <c r="H5" s="40">
        <v>8</v>
      </c>
    </row>
    <row r="6" spans="1:8" s="63" customFormat="1" ht="20.100000000000001" customHeight="1">
      <c r="A6" s="77" t="s">
        <v>202</v>
      </c>
      <c r="B6" s="62"/>
      <c r="C6" s="40"/>
      <c r="D6" s="40"/>
      <c r="E6" s="266"/>
      <c r="F6" s="40"/>
      <c r="G6" s="40"/>
      <c r="H6" s="40"/>
    </row>
    <row r="7" spans="1:8" ht="75">
      <c r="A7" s="8" t="s">
        <v>347</v>
      </c>
      <c r="B7" s="7">
        <v>5000</v>
      </c>
      <c r="C7" s="79" t="s">
        <v>335</v>
      </c>
      <c r="D7" s="94">
        <f>'[36]Осн. фін. пок.'!C39*100/'[36]Осн. фін. пок.'!C37</f>
        <v>-175.93557555660826</v>
      </c>
      <c r="E7" s="289">
        <f>F7</f>
        <v>-182.53658536585365</v>
      </c>
      <c r="F7" s="94">
        <f>'[36]Осн. фін. пок.'!F39*100/'[36]Осн. фін. пок.'!F37</f>
        <v>-182.53658536585365</v>
      </c>
      <c r="G7" s="94">
        <f>'[36]Осн. фін. пок.'!E39*100/'[36]Осн. фін. пок.'!E37</f>
        <v>-332.51336898395721</v>
      </c>
      <c r="H7" s="87"/>
    </row>
    <row r="8" spans="1:8" ht="63.95" customHeight="1">
      <c r="A8" s="8" t="s">
        <v>348</v>
      </c>
      <c r="B8" s="7">
        <v>5010</v>
      </c>
      <c r="C8" s="79" t="s">
        <v>335</v>
      </c>
      <c r="D8" s="94">
        <f>'[36]Осн. фін. пок.'!C44*100/'[36]Осн. фін. пок.'!C37</f>
        <v>-10.137375651350071</v>
      </c>
      <c r="E8" s="289">
        <f t="shared" ref="E8:E19" si="0">F8</f>
        <v>1.2682926829268293</v>
      </c>
      <c r="F8" s="94">
        <f>'[36]Осн. фін. пок.'!F44*100/'[36]Осн. фін. пок.'!F37</f>
        <v>1.2682926829268293</v>
      </c>
      <c r="G8" s="94">
        <f>'[36]Осн. фін. пок.'!E44*100/'[36]Осн. фін. пок.'!E37</f>
        <v>28.805704099821746</v>
      </c>
      <c r="H8" s="87"/>
    </row>
    <row r="9" spans="1:8" ht="56.25">
      <c r="A9" s="89" t="s">
        <v>354</v>
      </c>
      <c r="B9" s="7">
        <v>5020</v>
      </c>
      <c r="C9" s="79" t="s">
        <v>335</v>
      </c>
      <c r="D9" s="175">
        <f>'[36]Осн. фін. пок.'!C50/'[36]Осн. фін. пок.'!C76</f>
        <v>5.1595956753207155E-4</v>
      </c>
      <c r="E9" s="289">
        <f t="shared" si="0"/>
        <v>8.2084476652829574E-4</v>
      </c>
      <c r="F9" s="175">
        <f>'[36]Осн. фін. пок.'!F50/'[36]Осн. фін. пок.'!F76</f>
        <v>8.2084476652829574E-4</v>
      </c>
      <c r="G9" s="175">
        <f>'[36]Осн. фін. пок.'!E50/'[36]Осн. фін. пок.'!E76</f>
        <v>1.9582245430809398E-3</v>
      </c>
      <c r="H9" s="87" t="s">
        <v>336</v>
      </c>
    </row>
    <row r="10" spans="1:8" ht="56.25">
      <c r="A10" s="89" t="s">
        <v>355</v>
      </c>
      <c r="B10" s="7">
        <v>5030</v>
      </c>
      <c r="C10" s="79" t="s">
        <v>335</v>
      </c>
      <c r="D10" s="174">
        <f>'[36]Осн. фін. пок.'!C50/'[36]Осн. фін. пок.'!C82</f>
        <v>1.3871374527112233E-2</v>
      </c>
      <c r="E10" s="289">
        <f t="shared" si="0"/>
        <v>2.2068095838587643E-2</v>
      </c>
      <c r="F10" s="174">
        <f>'[36]Осн. фін. пок.'!F50/'[36]Осн. фін. пок.'!F82</f>
        <v>2.2068095838587643E-2</v>
      </c>
      <c r="G10" s="174">
        <f>'[36]Осн. фін. пок.'!E50/'[36]Осн. фін. пок.'!E82</f>
        <v>4.8894062863795114E-2</v>
      </c>
      <c r="H10" s="87"/>
    </row>
    <row r="11" spans="1:8" ht="75">
      <c r="A11" s="89" t="s">
        <v>356</v>
      </c>
      <c r="B11" s="7">
        <v>5040</v>
      </c>
      <c r="C11" s="79" t="s">
        <v>114</v>
      </c>
      <c r="D11" s="174">
        <f>'[36]Осн. фін. пок.'!C50/'[36]Осн. фін. пок.'!C37</f>
        <v>1.0421601136901942E-2</v>
      </c>
      <c r="E11" s="289">
        <f t="shared" si="0"/>
        <v>1.7073170731707318E-2</v>
      </c>
      <c r="F11" s="174">
        <f>'[36]Осн. фін. пок.'!F50/'[36]Осн. фін. пок.'!F37</f>
        <v>1.7073170731707318E-2</v>
      </c>
      <c r="G11" s="174">
        <f>'[36]Осн. фін. пок.'!E50/'[36]Осн. фін. пок.'!E37</f>
        <v>2.9946524064171122E-2</v>
      </c>
      <c r="H11" s="87" t="s">
        <v>337</v>
      </c>
    </row>
    <row r="12" spans="1:8" ht="20.100000000000001" customHeight="1">
      <c r="A12" s="77" t="s">
        <v>204</v>
      </c>
      <c r="B12" s="7"/>
      <c r="C12" s="80"/>
      <c r="D12" s="88"/>
      <c r="E12" s="289"/>
      <c r="F12" s="88"/>
      <c r="G12" s="88"/>
      <c r="H12" s="87"/>
    </row>
    <row r="13" spans="1:8" ht="63.95" customHeight="1">
      <c r="A13" s="78" t="s">
        <v>306</v>
      </c>
      <c r="B13" s="7">
        <v>5100</v>
      </c>
      <c r="C13" s="79"/>
      <c r="D13" s="174">
        <f>('[36]Осн. фін. пок.'!C77+'[36]Осн. фін. пок.'!C78)/'[36]Осн. фін. пок.'!C44</f>
        <v>-191.83644859813083</v>
      </c>
      <c r="E13" s="299">
        <f t="shared" si="0"/>
        <v>1578.9615384615386</v>
      </c>
      <c r="F13" s="174">
        <f>('[36]Осн. фін. пок.'!F77+'[36]Осн. фін. пок.'!F78)/'[36]Осн. фін. пок.'!F44</f>
        <v>1578.9615384615386</v>
      </c>
      <c r="G13" s="174">
        <f>('[36]Осн. фін. пок.'!E77+'[36]Осн. фін. пок.'!E78)/'[36]Осн. фін. пок.'!E44</f>
        <v>50.961633663366335</v>
      </c>
      <c r="H13" s="87"/>
    </row>
    <row r="14" spans="1:8" s="63" customFormat="1" ht="75">
      <c r="A14" s="78" t="s">
        <v>307</v>
      </c>
      <c r="B14" s="7">
        <v>5110</v>
      </c>
      <c r="C14" s="79" t="s">
        <v>189</v>
      </c>
      <c r="D14" s="174">
        <f>'[36]Осн. фін. пок.'!C82/('[36]Осн. фін. пок.'!C77+'[36]Осн. фін. пок.'!C78)</f>
        <v>3.8632986627043092E-2</v>
      </c>
      <c r="E14" s="299">
        <f t="shared" si="0"/>
        <v>3.8632986627043092E-2</v>
      </c>
      <c r="F14" s="174">
        <f>'[36]Осн. фін. пок.'!F82/('[36]Осн. фін. пок.'!F77+'[36]Осн. фін. пок.'!F78)</f>
        <v>3.8632986627043092E-2</v>
      </c>
      <c r="G14" s="174">
        <f>'[36]Осн. фін. пок.'!E82/('[36]Осн. фін. пок.'!E77+'[36]Осн. фін. пок.'!E78)</f>
        <v>4.1722320713019401E-2</v>
      </c>
      <c r="H14" s="87" t="s">
        <v>338</v>
      </c>
    </row>
    <row r="15" spans="1:8" s="63" customFormat="1" ht="112.5">
      <c r="A15" s="78" t="s">
        <v>308</v>
      </c>
      <c r="B15" s="7">
        <v>5120</v>
      </c>
      <c r="C15" s="79" t="s">
        <v>189</v>
      </c>
      <c r="D15" s="174">
        <f>'[36]Осн. фін. пок.'!C74/'[36]Осн. фін. пок.'!C78</f>
        <v>5.2054661047913675E-2</v>
      </c>
      <c r="E15" s="299">
        <f t="shared" si="0"/>
        <v>5.2054661047913675E-2</v>
      </c>
      <c r="F15" s="174">
        <f>'[36]Осн. фін. пок.'!F74/'[36]Осн. фін. пок.'!F78</f>
        <v>5.2054661047913675E-2</v>
      </c>
      <c r="G15" s="174">
        <f>'[36]Осн. фін. пок.'!E74/'[36]Осн. фін. пок.'!E78</f>
        <v>4.7235106977196011E-2</v>
      </c>
      <c r="H15" s="87" t="s">
        <v>340</v>
      </c>
    </row>
    <row r="16" spans="1:8" ht="20.100000000000001" customHeight="1">
      <c r="A16" s="77" t="s">
        <v>203</v>
      </c>
      <c r="B16" s="7"/>
      <c r="C16" s="79"/>
      <c r="D16" s="88"/>
      <c r="E16" s="299"/>
      <c r="F16" s="88"/>
      <c r="G16" s="88"/>
      <c r="H16" s="87"/>
    </row>
    <row r="17" spans="1:10" ht="56.25">
      <c r="A17" s="78" t="s">
        <v>309</v>
      </c>
      <c r="B17" s="7">
        <v>5200</v>
      </c>
      <c r="C17" s="79"/>
      <c r="D17" s="174">
        <f>'[36]Осн. фін. пок.'!C67/'[36]I. Фін результат'!C102</f>
        <v>0.48494983277591974</v>
      </c>
      <c r="E17" s="299">
        <f t="shared" si="0"/>
        <v>3.3210702341137122</v>
      </c>
      <c r="F17" s="174">
        <f>'[36]Осн. фін. пок.'!F67/'[36]I. Фін результат'!E102</f>
        <v>3.3210702341137122</v>
      </c>
      <c r="G17" s="174">
        <f>'[36]Осн. фін. пок.'!E67/'[36]I. Фін результат'!I102</f>
        <v>14.900234741784038</v>
      </c>
      <c r="H17" s="87"/>
    </row>
    <row r="18" spans="1:10" ht="75">
      <c r="A18" s="78" t="s">
        <v>310</v>
      </c>
      <c r="B18" s="7">
        <v>5210</v>
      </c>
      <c r="C18" s="79"/>
      <c r="D18" s="174">
        <f>'[36]Осн. фін. пок.'!C67/'[36]Осн. фін. пок.'!C37</f>
        <v>6.8687825675035521E-2</v>
      </c>
      <c r="E18" s="299">
        <f t="shared" si="0"/>
        <v>0.48439024390243901</v>
      </c>
      <c r="F18" s="174">
        <f>'[36]Осн. фін. пок.'!F67/'[36]Осн. фін. пок.'!F37</f>
        <v>0.48439024390243901</v>
      </c>
      <c r="G18" s="174">
        <f>'[36]Осн. фін. пок.'!E67/'[36]Осн. фін. пок.'!E37</f>
        <v>4.5258467023172901</v>
      </c>
      <c r="H18" s="87"/>
    </row>
    <row r="19" spans="1:10" ht="63.95" customHeight="1">
      <c r="A19" s="78" t="s">
        <v>349</v>
      </c>
      <c r="B19" s="7">
        <v>5220</v>
      </c>
      <c r="C19" s="79" t="s">
        <v>335</v>
      </c>
      <c r="D19" s="244">
        <f>2471.2/5594.4</f>
        <v>0.44172744172744172</v>
      </c>
      <c r="E19" s="299">
        <f t="shared" si="0"/>
        <v>0.42053010292376353</v>
      </c>
      <c r="F19" s="244">
        <f>(2471.2+'[36]I. Фін результат'!E102)/(5594.4+'[36]IV. Кап. інвестиції'!E6)</f>
        <v>0.42053010292376353</v>
      </c>
      <c r="G19" s="244">
        <f>(2471.2+'[36]I. Фін результат'!E102+'[36]I. Фін результат'!I102)/((5594.4+'[36]IV. Кап. інвестиції'!E6)+'[36]IV. Кап. інвестиції'!I6)</f>
        <v>0.18785006015848646</v>
      </c>
      <c r="H19" s="87" t="s">
        <v>339</v>
      </c>
    </row>
    <row r="20" spans="1:10" ht="20.100000000000001" customHeight="1">
      <c r="A20" s="62" t="s">
        <v>288</v>
      </c>
      <c r="B20" s="7"/>
      <c r="C20" s="79"/>
      <c r="D20" s="88"/>
      <c r="E20" s="267"/>
      <c r="F20" s="88"/>
      <c r="G20" s="88"/>
      <c r="H20" s="87"/>
    </row>
    <row r="21" spans="1:10" ht="112.5">
      <c r="A21" s="89" t="s">
        <v>350</v>
      </c>
      <c r="B21" s="7">
        <v>5300</v>
      </c>
      <c r="C21" s="79"/>
      <c r="D21" s="146"/>
      <c r="E21" s="267"/>
      <c r="F21" s="146"/>
      <c r="G21" s="146"/>
      <c r="H21" s="147"/>
    </row>
    <row r="22" spans="1:10" ht="20.100000000000001" customHeight="1">
      <c r="A22" s="148"/>
      <c r="B22" s="148"/>
      <c r="C22" s="148"/>
      <c r="D22" s="148"/>
      <c r="E22" s="268"/>
      <c r="F22" s="148"/>
      <c r="G22" s="148"/>
      <c r="H22" s="148"/>
    </row>
    <row r="23" spans="1:10" ht="20.100000000000001" customHeight="1">
      <c r="A23" s="148"/>
      <c r="B23" s="148"/>
      <c r="C23" s="148"/>
      <c r="D23" s="148"/>
      <c r="E23" s="268"/>
      <c r="F23" s="148"/>
      <c r="G23" s="148"/>
      <c r="H23" s="148"/>
    </row>
    <row r="24" spans="1:10" ht="20.100000000000001" customHeight="1">
      <c r="A24" s="148"/>
      <c r="B24" s="148"/>
      <c r="C24" s="148"/>
      <c r="D24" s="148"/>
      <c r="E24" s="268"/>
      <c r="F24" s="148"/>
      <c r="G24" s="148"/>
      <c r="H24" s="148"/>
    </row>
    <row r="25" spans="1:10" s="178" customFormat="1" ht="24.75" customHeight="1">
      <c r="A25" s="176" t="s">
        <v>428</v>
      </c>
      <c r="B25" s="176"/>
      <c r="C25" s="177"/>
      <c r="D25" s="426" t="s">
        <v>119</v>
      </c>
      <c r="E25" s="427"/>
      <c r="F25" s="427"/>
      <c r="G25" s="427"/>
      <c r="H25" s="307" t="s">
        <v>543</v>
      </c>
      <c r="I25" s="307"/>
      <c r="J25" s="307"/>
    </row>
    <row r="26" spans="1:10" s="1" customFormat="1" ht="20.100000000000001" customHeight="1">
      <c r="A26" s="109" t="s">
        <v>411</v>
      </c>
      <c r="B26" s="149"/>
      <c r="C26" s="108"/>
      <c r="D26" s="396" t="s">
        <v>84</v>
      </c>
      <c r="E26" s="396"/>
      <c r="F26" s="396"/>
      <c r="G26" s="396"/>
      <c r="H26" s="133" t="s">
        <v>267</v>
      </c>
      <c r="I26" s="60"/>
      <c r="J26" s="60"/>
    </row>
    <row r="27" spans="1:10">
      <c r="A27" s="148"/>
      <c r="B27" s="148"/>
      <c r="C27" s="148"/>
      <c r="D27" s="148"/>
      <c r="E27" s="272"/>
      <c r="F27" s="148"/>
      <c r="G27" s="148"/>
      <c r="H27" s="148"/>
    </row>
    <row r="28" spans="1:10">
      <c r="A28" s="148"/>
      <c r="B28" s="148"/>
      <c r="C28" s="148"/>
      <c r="D28" s="148"/>
      <c r="E28" s="272"/>
      <c r="F28" s="148"/>
      <c r="G28" s="148"/>
      <c r="H28" s="148"/>
    </row>
    <row r="29" spans="1:10">
      <c r="A29" s="148"/>
      <c r="B29" s="148"/>
      <c r="C29" s="148"/>
      <c r="D29" s="148"/>
      <c r="E29" s="272"/>
      <c r="F29" s="148"/>
      <c r="G29" s="148"/>
      <c r="H29" s="148"/>
    </row>
    <row r="30" spans="1:10">
      <c r="A30" s="148"/>
      <c r="B30" s="148"/>
      <c r="C30" s="148"/>
      <c r="D30" s="148"/>
      <c r="E30" s="272"/>
      <c r="F30" s="148"/>
      <c r="G30" s="148"/>
      <c r="H30" s="148"/>
    </row>
    <row r="31" spans="1:10">
      <c r="A31" s="148"/>
      <c r="B31" s="148"/>
      <c r="C31" s="148"/>
      <c r="D31" s="148"/>
      <c r="E31" s="272"/>
      <c r="F31" s="148"/>
      <c r="G31" s="148"/>
      <c r="H31" s="148"/>
    </row>
  </sheetData>
  <sheetProtection formatCells="0" formatColumns="0" formatRows="0" insertColumns="0" insertRows="0" insertHyperlinks="0" deleteColumns="0" deleteRows="0" sort="0" autoFilter="0" pivotTables="0"/>
  <customSheetViews>
    <customSheetView guid="{F65ACDE9-A565-4614-893F-AFCB94FA629C}" scale="75" showPageBreaks="1" printArea="1" view="pageBreakPreview">
      <pane ySplit="5" topLeftCell="A9" activePane="bottomLeft" state="frozen"/>
      <selection pane="bottomLeft" activeCell="G7" sqref="G7"/>
      <pageMargins left="0.78740157480314965" right="0.39370078740157483" top="0.59055118110236227" bottom="0.59055118110236227" header="0.27559055118110237" footer="0.31496062992125984"/>
      <pageSetup paperSize="9" scale="45" orientation="portrait" r:id="rId1"/>
      <headerFooter alignWithMargins="0"/>
    </customSheetView>
    <customSheetView guid="{43DCEB14-ADF8-4168-9283-6542A71D3CF7}" scale="75" showPageBreaks="1" printArea="1" view="pageBreakPreview">
      <pane ySplit="5" topLeftCell="A9" activePane="bottomLeft" state="frozen"/>
      <selection pane="bottomLeft" activeCell="G7" sqref="G7"/>
      <pageMargins left="0.78740157480314965" right="0.39370078740157483" top="0.59055118110236227" bottom="0.59055118110236227" header="0.27559055118110237" footer="0.31496062992125984"/>
      <pageSetup paperSize="9" scale="45" orientation="portrait" r:id="rId2"/>
      <headerFooter alignWithMargins="0"/>
    </customSheetView>
    <customSheetView guid="{4BF2F851-A775-4F33-8DA4-C59D9D94DA9D}" scale="75" showPageBreaks="1" printArea="1" view="pageBreakPreview">
      <pane ySplit="5" topLeftCell="A15" activePane="bottomLeft" state="frozen"/>
      <selection pane="bottomLeft" activeCell="E18" sqref="E18:E19"/>
      <pageMargins left="0.78740157480314965" right="0.39370078740157483" top="0.59055118110236227" bottom="0.59055118110236227" header="0.27559055118110237" footer="0.31496062992125984"/>
      <pageSetup paperSize="9" scale="45" orientation="portrait" r:id="rId3"/>
      <headerFooter alignWithMargins="0"/>
    </customSheetView>
    <customSheetView guid="{1E3D5FB9-014E-4051-8AD5-DB0A17D05797}" scale="75" showPageBreaks="1" printArea="1" view="pageBreakPreview">
      <pane ySplit="5" topLeftCell="A6" activePane="bottomLeft" state="frozen"/>
      <selection pane="bottomLeft" activeCell="B7" sqref="B7"/>
      <pageMargins left="0.78740157480314965" right="0.39370078740157483" top="0.59055118110236227" bottom="0.59055118110236227" header="0.27559055118110237" footer="0.31496062992125984"/>
      <pageSetup paperSize="9" scale="50" orientation="portrait" r:id="rId4"/>
      <headerFooter alignWithMargins="0"/>
    </customSheetView>
    <customSheetView guid="{6E930A10-FB87-4441-8A38-C35193B7FA1B}" scale="75" showPageBreaks="1" printArea="1" view="pageBreakPreview">
      <pane ySplit="5" topLeftCell="A9" activePane="bottomLeft" state="frozen"/>
      <selection pane="bottomLeft" activeCell="G7" sqref="G7"/>
      <pageMargins left="0.78740157480314965" right="0.39370078740157483" top="0.59055118110236227" bottom="0.59055118110236227" header="0.27559055118110237" footer="0.31496062992125984"/>
      <pageSetup paperSize="9" scale="45" orientation="portrait" r:id="rId5"/>
      <headerFooter alignWithMargins="0"/>
    </customSheetView>
  </customSheetViews>
  <mergeCells count="11">
    <mergeCell ref="A1:H1"/>
    <mergeCell ref="H3:H4"/>
    <mergeCell ref="D25:G25"/>
    <mergeCell ref="D26:G26"/>
    <mergeCell ref="A3:A4"/>
    <mergeCell ref="B3:B4"/>
    <mergeCell ref="C3:C4"/>
    <mergeCell ref="D3:D4"/>
    <mergeCell ref="E3:E4"/>
    <mergeCell ref="F3:F4"/>
    <mergeCell ref="G3:G4"/>
  </mergeCells>
  <phoneticPr fontId="3" type="noConversion"/>
  <pageMargins left="0.78740157480314965" right="0.39370078740157483" top="0.59055118110236227" bottom="0.59055118110236227" header="0.27559055118110237" footer="0.31496062992125984"/>
  <pageSetup paperSize="9" scale="45" orientation="portrait" r:id="rId6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view="pageBreakPreview" topLeftCell="B61" zoomScale="60" zoomScaleNormal="60" workbookViewId="0">
      <selection activeCell="M56" sqref="M56"/>
    </sheetView>
  </sheetViews>
  <sheetFormatPr defaultColWidth="9.140625" defaultRowHeight="18.75"/>
  <cols>
    <col min="1" max="1" width="44.85546875" style="1" customWidth="1"/>
    <col min="2" max="2" width="13.5703125" style="20" customWidth="1"/>
    <col min="3" max="3" width="12.7109375" style="1" customWidth="1"/>
    <col min="4" max="4" width="16.140625" style="1" customWidth="1"/>
    <col min="5" max="5" width="15.42578125" style="1" customWidth="1"/>
    <col min="6" max="6" width="16.5703125" style="1" customWidth="1"/>
    <col min="7" max="7" width="15.28515625" style="1" customWidth="1"/>
    <col min="8" max="8" width="16.5703125" style="1" customWidth="1"/>
    <col min="9" max="9" width="16.140625" style="1" customWidth="1"/>
    <col min="10" max="10" width="16.42578125" style="1" customWidth="1"/>
    <col min="11" max="11" width="16.5703125" style="1" customWidth="1"/>
    <col min="12" max="12" width="16.85546875" style="1" customWidth="1"/>
    <col min="13" max="15" width="16.7109375" style="1" customWidth="1"/>
    <col min="16" max="16" width="48.5703125" style="1" customWidth="1"/>
    <col min="17" max="16384" width="9.140625" style="1"/>
  </cols>
  <sheetData>
    <row r="1" spans="1:15">
      <c r="A1" s="489" t="s">
        <v>136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</row>
    <row r="2" spans="1:15">
      <c r="A2" s="490" t="s">
        <v>533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</row>
    <row r="3" spans="1:15" ht="22.5">
      <c r="A3" s="491" t="s">
        <v>509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</row>
    <row r="4" spans="1:15" ht="20.100000000000001" customHeight="1">
      <c r="A4" s="494" t="s">
        <v>146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</row>
    <row r="5" spans="1:15" ht="21.95" customHeight="1">
      <c r="A5" s="488" t="s">
        <v>98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</row>
    <row r="6" spans="1:15" ht="10.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43.5" customHeight="1">
      <c r="A7" s="495" t="s">
        <v>544</v>
      </c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</row>
    <row r="8" spans="1:15" ht="10.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</row>
    <row r="9" spans="1:15" s="2" customFormat="1" ht="40.5" customHeight="1">
      <c r="A9" s="362" t="s">
        <v>270</v>
      </c>
      <c r="B9" s="362"/>
      <c r="C9" s="362"/>
      <c r="D9" s="493" t="s">
        <v>534</v>
      </c>
      <c r="E9" s="493"/>
      <c r="F9" s="493" t="s">
        <v>535</v>
      </c>
      <c r="G9" s="493"/>
      <c r="H9" s="493" t="s">
        <v>536</v>
      </c>
      <c r="I9" s="493"/>
      <c r="J9" s="363" t="s">
        <v>537</v>
      </c>
      <c r="K9" s="363"/>
      <c r="L9" s="363" t="s">
        <v>291</v>
      </c>
      <c r="M9" s="363"/>
      <c r="N9" s="363" t="s">
        <v>292</v>
      </c>
      <c r="O9" s="363"/>
    </row>
    <row r="10" spans="1:15" s="2" customFormat="1" ht="18" customHeight="1">
      <c r="A10" s="362">
        <v>1</v>
      </c>
      <c r="B10" s="362"/>
      <c r="C10" s="362"/>
      <c r="D10" s="363">
        <v>2</v>
      </c>
      <c r="E10" s="363"/>
      <c r="F10" s="363">
        <v>3</v>
      </c>
      <c r="G10" s="363"/>
      <c r="H10" s="363">
        <v>4</v>
      </c>
      <c r="I10" s="363"/>
      <c r="J10" s="363">
        <v>5</v>
      </c>
      <c r="K10" s="363"/>
      <c r="L10" s="363">
        <v>6</v>
      </c>
      <c r="M10" s="363"/>
      <c r="N10" s="363">
        <v>7</v>
      </c>
      <c r="O10" s="363"/>
    </row>
    <row r="11" spans="1:15" s="2" customFormat="1" ht="20.100000000000001" customHeight="1">
      <c r="A11" s="485" t="s">
        <v>147</v>
      </c>
      <c r="B11" s="486"/>
      <c r="C11" s="486"/>
      <c r="D11" s="486"/>
      <c r="E11" s="486"/>
      <c r="F11" s="486"/>
      <c r="G11" s="486"/>
      <c r="H11" s="486"/>
      <c r="I11" s="486"/>
      <c r="J11" s="486"/>
      <c r="K11" s="487"/>
      <c r="L11" s="496"/>
      <c r="M11" s="497"/>
      <c r="N11" s="496"/>
      <c r="O11" s="497"/>
    </row>
    <row r="12" spans="1:15" s="2" customFormat="1" ht="20.100000000000001" customHeight="1">
      <c r="A12" s="478" t="s">
        <v>311</v>
      </c>
      <c r="B12" s="479"/>
      <c r="C12" s="480"/>
      <c r="D12" s="448">
        <v>9</v>
      </c>
      <c r="E12" s="449"/>
      <c r="F12" s="448">
        <v>9</v>
      </c>
      <c r="G12" s="449"/>
      <c r="H12" s="448">
        <v>10</v>
      </c>
      <c r="I12" s="449"/>
      <c r="J12" s="448">
        <v>15</v>
      </c>
      <c r="K12" s="449"/>
      <c r="L12" s="432">
        <f>J12/H12*100%</f>
        <v>1.5</v>
      </c>
      <c r="M12" s="481"/>
      <c r="N12" s="432">
        <f>J12/F12*100%</f>
        <v>1.6666666666666667</v>
      </c>
      <c r="O12" s="481"/>
    </row>
    <row r="13" spans="1:15" s="2" customFormat="1" ht="20.100000000000001" customHeight="1">
      <c r="A13" s="478" t="s">
        <v>312</v>
      </c>
      <c r="B13" s="479"/>
      <c r="C13" s="480"/>
      <c r="D13" s="448">
        <v>11</v>
      </c>
      <c r="E13" s="449"/>
      <c r="F13" s="448">
        <v>11</v>
      </c>
      <c r="G13" s="449"/>
      <c r="H13" s="448">
        <v>27</v>
      </c>
      <c r="I13" s="449"/>
      <c r="J13" s="448">
        <v>1</v>
      </c>
      <c r="K13" s="449"/>
      <c r="L13" s="432">
        <f t="shared" ref="L13:L33" si="0">J13/H13*100%</f>
        <v>3.7037037037037035E-2</v>
      </c>
      <c r="M13" s="481"/>
      <c r="N13" s="432">
        <f t="shared" ref="N13:N33" si="1">J13/F13*100%</f>
        <v>9.0909090909090912E-2</v>
      </c>
      <c r="O13" s="481"/>
    </row>
    <row r="14" spans="1:15" s="2" customFormat="1" ht="20.100000000000001" customHeight="1">
      <c r="A14" s="478" t="s">
        <v>313</v>
      </c>
      <c r="B14" s="479"/>
      <c r="C14" s="480"/>
      <c r="D14" s="448"/>
      <c r="E14" s="449"/>
      <c r="F14" s="448"/>
      <c r="G14" s="449"/>
      <c r="H14" s="448"/>
      <c r="I14" s="449"/>
      <c r="J14" s="448">
        <v>14</v>
      </c>
      <c r="K14" s="449"/>
      <c r="L14" s="432" t="e">
        <f t="shared" ref="L14:L17" si="2">J14/H14*100%</f>
        <v>#DIV/0!</v>
      </c>
      <c r="M14" s="433"/>
      <c r="N14" s="432" t="e">
        <f t="shared" ref="N14:N17" si="3">J14/F14*100%</f>
        <v>#DIV/0!</v>
      </c>
      <c r="O14" s="433"/>
    </row>
    <row r="15" spans="1:15" s="2" customFormat="1" ht="20.100000000000001" customHeight="1">
      <c r="A15" s="478" t="s">
        <v>314</v>
      </c>
      <c r="B15" s="479"/>
      <c r="C15" s="480"/>
      <c r="D15" s="448"/>
      <c r="E15" s="449"/>
      <c r="F15" s="448"/>
      <c r="G15" s="449"/>
      <c r="H15" s="448"/>
      <c r="I15" s="449"/>
      <c r="J15" s="448">
        <v>3</v>
      </c>
      <c r="K15" s="449"/>
      <c r="L15" s="432" t="e">
        <f t="shared" si="2"/>
        <v>#DIV/0!</v>
      </c>
      <c r="M15" s="433"/>
      <c r="N15" s="432" t="e">
        <f t="shared" si="3"/>
        <v>#DIV/0!</v>
      </c>
      <c r="O15" s="433"/>
    </row>
    <row r="16" spans="1:15" s="2" customFormat="1" ht="20.100000000000001" customHeight="1">
      <c r="A16" s="478" t="s">
        <v>315</v>
      </c>
      <c r="B16" s="479"/>
      <c r="C16" s="480"/>
      <c r="D16" s="448">
        <v>22</v>
      </c>
      <c r="E16" s="449"/>
      <c r="F16" s="448">
        <v>22</v>
      </c>
      <c r="G16" s="449"/>
      <c r="H16" s="448">
        <v>28</v>
      </c>
      <c r="I16" s="449"/>
      <c r="J16" s="448">
        <v>28</v>
      </c>
      <c r="K16" s="449"/>
      <c r="L16" s="432">
        <f t="shared" si="2"/>
        <v>1</v>
      </c>
      <c r="M16" s="433"/>
      <c r="N16" s="432">
        <f t="shared" si="3"/>
        <v>1.2727272727272727</v>
      </c>
      <c r="O16" s="433"/>
    </row>
    <row r="17" spans="1:16" s="2" customFormat="1" ht="20.100000000000001" customHeight="1">
      <c r="A17" s="478" t="s">
        <v>316</v>
      </c>
      <c r="B17" s="479"/>
      <c r="C17" s="480"/>
      <c r="D17" s="448"/>
      <c r="E17" s="449"/>
      <c r="F17" s="483"/>
      <c r="G17" s="484"/>
      <c r="H17" s="448"/>
      <c r="I17" s="449"/>
      <c r="J17" s="448">
        <v>9</v>
      </c>
      <c r="K17" s="449"/>
      <c r="L17" s="432" t="e">
        <f t="shared" si="2"/>
        <v>#DIV/0!</v>
      </c>
      <c r="M17" s="433"/>
      <c r="N17" s="432" t="e">
        <f t="shared" si="3"/>
        <v>#DIV/0!</v>
      </c>
      <c r="O17" s="433"/>
    </row>
    <row r="18" spans="1:16" s="2" customFormat="1" ht="19.5" customHeight="1">
      <c r="A18" s="485" t="s">
        <v>289</v>
      </c>
      <c r="B18" s="486"/>
      <c r="C18" s="486"/>
      <c r="D18" s="486"/>
      <c r="E18" s="486"/>
      <c r="F18" s="486"/>
      <c r="G18" s="486"/>
      <c r="H18" s="486"/>
      <c r="I18" s="486"/>
      <c r="J18" s="486"/>
      <c r="K18" s="487"/>
      <c r="L18" s="436"/>
      <c r="M18" s="437"/>
      <c r="N18" s="436"/>
      <c r="O18" s="437"/>
    </row>
    <row r="19" spans="1:16" s="2" customFormat="1" ht="20.100000000000001" customHeight="1">
      <c r="A19" s="438" t="s">
        <v>268</v>
      </c>
      <c r="B19" s="439"/>
      <c r="C19" s="440"/>
      <c r="D19" s="434">
        <v>350</v>
      </c>
      <c r="E19" s="435"/>
      <c r="F19" s="434">
        <v>350</v>
      </c>
      <c r="G19" s="435"/>
      <c r="H19" s="434">
        <v>296</v>
      </c>
      <c r="I19" s="435"/>
      <c r="J19" s="434">
        <f>штатка!W77/1000</f>
        <v>352.536</v>
      </c>
      <c r="K19" s="435"/>
      <c r="L19" s="436">
        <f t="shared" si="0"/>
        <v>1.1910000000000001</v>
      </c>
      <c r="M19" s="437"/>
      <c r="N19" s="436">
        <f t="shared" si="1"/>
        <v>1.0072457142857143</v>
      </c>
      <c r="O19" s="437"/>
    </row>
    <row r="20" spans="1:16" s="2" customFormat="1" ht="19.5" customHeight="1">
      <c r="A20" s="438" t="s">
        <v>293</v>
      </c>
      <c r="B20" s="439"/>
      <c r="C20" s="440"/>
      <c r="D20" s="434">
        <v>1711</v>
      </c>
      <c r="E20" s="435"/>
      <c r="F20" s="434">
        <v>1711</v>
      </c>
      <c r="G20" s="435"/>
      <c r="H20" s="434">
        <v>3871</v>
      </c>
      <c r="I20" s="435"/>
      <c r="J20" s="434">
        <f>штатка!W78/1000</f>
        <v>3601.0079999999998</v>
      </c>
      <c r="K20" s="435"/>
      <c r="L20" s="436">
        <f t="shared" si="0"/>
        <v>0.93025264789460083</v>
      </c>
      <c r="M20" s="437"/>
      <c r="N20" s="436">
        <f t="shared" si="1"/>
        <v>2.1046218585622443</v>
      </c>
      <c r="O20" s="437"/>
    </row>
    <row r="21" spans="1:16" s="2" customFormat="1" ht="19.5" customHeight="1">
      <c r="A21" s="438" t="s">
        <v>269</v>
      </c>
      <c r="B21" s="439"/>
      <c r="C21" s="440"/>
      <c r="D21" s="434">
        <v>2837</v>
      </c>
      <c r="E21" s="435"/>
      <c r="F21" s="434">
        <v>2837</v>
      </c>
      <c r="G21" s="435"/>
      <c r="H21" s="434">
        <v>2483</v>
      </c>
      <c r="I21" s="435"/>
      <c r="J21" s="434">
        <f>штатка!W79/1000</f>
        <v>4720.9884000000002</v>
      </c>
      <c r="K21" s="435"/>
      <c r="L21" s="436">
        <f t="shared" si="0"/>
        <v>1.9013243656866694</v>
      </c>
      <c r="M21" s="437"/>
      <c r="N21" s="436">
        <f t="shared" si="1"/>
        <v>1.6640776876982728</v>
      </c>
      <c r="O21" s="437"/>
    </row>
    <row r="22" spans="1:16" s="2" customFormat="1" ht="19.5" customHeight="1">
      <c r="A22" s="441" t="s">
        <v>290</v>
      </c>
      <c r="B22" s="442"/>
      <c r="C22" s="442"/>
      <c r="D22" s="442"/>
      <c r="E22" s="442"/>
      <c r="F22" s="442"/>
      <c r="G22" s="442"/>
      <c r="H22" s="442"/>
      <c r="I22" s="442"/>
      <c r="J22" s="442"/>
      <c r="K22" s="443"/>
      <c r="L22" s="436"/>
      <c r="M22" s="437"/>
      <c r="N22" s="436"/>
      <c r="O22" s="437"/>
    </row>
    <row r="23" spans="1:16" s="2" customFormat="1" ht="20.100000000000001" customHeight="1">
      <c r="A23" s="438" t="s">
        <v>268</v>
      </c>
      <c r="B23" s="439"/>
      <c r="C23" s="440"/>
      <c r="D23" s="434">
        <v>426</v>
      </c>
      <c r="E23" s="435"/>
      <c r="F23" s="434">
        <v>426</v>
      </c>
      <c r="G23" s="435"/>
      <c r="H23" s="434">
        <v>361</v>
      </c>
      <c r="I23" s="435"/>
      <c r="J23" s="434">
        <f>штатка!W82/1000</f>
        <v>430.09391999999997</v>
      </c>
      <c r="K23" s="435"/>
      <c r="L23" s="436">
        <f t="shared" si="0"/>
        <v>1.1913959002770083</v>
      </c>
      <c r="M23" s="437"/>
      <c r="N23" s="436">
        <f t="shared" si="1"/>
        <v>1.0096101408450704</v>
      </c>
      <c r="O23" s="437"/>
    </row>
    <row r="24" spans="1:16" s="2" customFormat="1" ht="20.100000000000001" customHeight="1">
      <c r="A24" s="438" t="s">
        <v>293</v>
      </c>
      <c r="B24" s="439"/>
      <c r="C24" s="440"/>
      <c r="D24" s="434">
        <v>2034</v>
      </c>
      <c r="E24" s="435"/>
      <c r="F24" s="434">
        <v>2034</v>
      </c>
      <c r="G24" s="435"/>
      <c r="H24" s="434">
        <v>4679</v>
      </c>
      <c r="I24" s="435"/>
      <c r="J24" s="434">
        <f>штатка!W83/1000</f>
        <v>4353.5915352000002</v>
      </c>
      <c r="K24" s="435"/>
      <c r="L24" s="436">
        <f t="shared" si="0"/>
        <v>0.93045341637101953</v>
      </c>
      <c r="M24" s="437"/>
      <c r="N24" s="436">
        <f t="shared" si="1"/>
        <v>2.140408817699115</v>
      </c>
      <c r="O24" s="437"/>
    </row>
    <row r="25" spans="1:16" s="2" customFormat="1" ht="20.100000000000001" customHeight="1">
      <c r="A25" s="438" t="s">
        <v>269</v>
      </c>
      <c r="B25" s="439"/>
      <c r="C25" s="440"/>
      <c r="D25" s="434">
        <v>3448</v>
      </c>
      <c r="E25" s="435"/>
      <c r="F25" s="434">
        <v>3448</v>
      </c>
      <c r="G25" s="435"/>
      <c r="H25" s="434">
        <v>3014</v>
      </c>
      <c r="I25" s="435"/>
      <c r="J25" s="434">
        <f>штатка!W84/1000</f>
        <v>5733.7478832000006</v>
      </c>
      <c r="K25" s="435"/>
      <c r="L25" s="436">
        <f t="shared" si="0"/>
        <v>1.9023715604512279</v>
      </c>
      <c r="M25" s="437"/>
      <c r="N25" s="436">
        <f t="shared" si="1"/>
        <v>1.6629199197215778</v>
      </c>
      <c r="O25" s="437"/>
    </row>
    <row r="26" spans="1:16" s="2" customFormat="1" ht="38.25" customHeight="1">
      <c r="A26" s="441" t="s">
        <v>317</v>
      </c>
      <c r="B26" s="442"/>
      <c r="C26" s="442"/>
      <c r="D26" s="442"/>
      <c r="E26" s="442"/>
      <c r="F26" s="442"/>
      <c r="G26" s="442"/>
      <c r="H26" s="442"/>
      <c r="I26" s="442"/>
      <c r="J26" s="442"/>
      <c r="K26" s="443"/>
      <c r="L26" s="436"/>
      <c r="M26" s="437"/>
      <c r="N26" s="436"/>
      <c r="O26" s="437"/>
    </row>
    <row r="27" spans="1:16" s="2" customFormat="1" ht="22.5">
      <c r="A27" s="438" t="s">
        <v>268</v>
      </c>
      <c r="B27" s="439"/>
      <c r="C27" s="440"/>
      <c r="D27" s="308">
        <v>22325</v>
      </c>
      <c r="E27" s="309"/>
      <c r="F27" s="349">
        <v>22325</v>
      </c>
      <c r="G27" s="348"/>
      <c r="H27" s="434">
        <v>24667</v>
      </c>
      <c r="I27" s="435"/>
      <c r="J27" s="434">
        <f>штатка!W87</f>
        <v>29250</v>
      </c>
      <c r="K27" s="435"/>
      <c r="L27" s="436">
        <f t="shared" si="0"/>
        <v>1.1857947865569385</v>
      </c>
      <c r="M27" s="437"/>
      <c r="N27" s="436">
        <f t="shared" si="1"/>
        <v>1.3101903695408734</v>
      </c>
      <c r="O27" s="437"/>
      <c r="P27" s="252"/>
    </row>
    <row r="28" spans="1:16" s="2" customFormat="1" ht="20.100000000000001" customHeight="1">
      <c r="A28" s="438" t="s">
        <v>293</v>
      </c>
      <c r="B28" s="439"/>
      <c r="C28" s="440"/>
      <c r="D28" s="310">
        <v>9450</v>
      </c>
      <c r="E28" s="309"/>
      <c r="F28" s="347">
        <v>9450</v>
      </c>
      <c r="G28" s="348"/>
      <c r="H28" s="434">
        <v>8489</v>
      </c>
      <c r="I28" s="435"/>
      <c r="J28" s="434">
        <f>штатка!W88</f>
        <v>16274.9</v>
      </c>
      <c r="K28" s="435"/>
      <c r="L28" s="436">
        <f t="shared" si="0"/>
        <v>1.917175167864295</v>
      </c>
      <c r="M28" s="437"/>
      <c r="N28" s="436">
        <f t="shared" si="1"/>
        <v>1.7222116402116401</v>
      </c>
      <c r="O28" s="437"/>
    </row>
    <row r="29" spans="1:16" s="2" customFormat="1" ht="20.100000000000001" customHeight="1">
      <c r="A29" s="438" t="s">
        <v>269</v>
      </c>
      <c r="B29" s="439"/>
      <c r="C29" s="440"/>
      <c r="D29" s="310">
        <v>2750</v>
      </c>
      <c r="E29" s="309"/>
      <c r="F29" s="347">
        <v>2750</v>
      </c>
      <c r="G29" s="348"/>
      <c r="H29" s="434">
        <v>7390</v>
      </c>
      <c r="I29" s="435"/>
      <c r="J29" s="434">
        <f>штатка!W89</f>
        <v>7547.9591836734689</v>
      </c>
      <c r="K29" s="435"/>
      <c r="L29" s="436">
        <f t="shared" si="0"/>
        <v>1.0213747203888321</v>
      </c>
      <c r="M29" s="437"/>
      <c r="N29" s="436">
        <f t="shared" si="1"/>
        <v>2.7447124304267159</v>
      </c>
      <c r="O29" s="437"/>
    </row>
    <row r="30" spans="1:16" s="2" customFormat="1" ht="20.100000000000001" customHeight="1">
      <c r="A30" s="441" t="s">
        <v>318</v>
      </c>
      <c r="B30" s="442"/>
      <c r="C30" s="442"/>
      <c r="D30" s="442"/>
      <c r="E30" s="442"/>
      <c r="F30" s="442"/>
      <c r="G30" s="442"/>
      <c r="H30" s="442"/>
      <c r="I30" s="442"/>
      <c r="J30" s="442"/>
      <c r="K30" s="443"/>
      <c r="L30" s="436"/>
      <c r="M30" s="437"/>
      <c r="N30" s="436"/>
      <c r="O30" s="437"/>
    </row>
    <row r="31" spans="1:16" s="2" customFormat="1" ht="20.100000000000001" customHeight="1">
      <c r="A31" s="438" t="s">
        <v>268</v>
      </c>
      <c r="B31" s="439"/>
      <c r="C31" s="440"/>
      <c r="D31" s="347">
        <v>29131</v>
      </c>
      <c r="E31" s="348"/>
      <c r="F31" s="347">
        <v>29131</v>
      </c>
      <c r="G31" s="348"/>
      <c r="H31" s="434">
        <v>30083</v>
      </c>
      <c r="I31" s="435"/>
      <c r="J31" s="434">
        <f>штатка!W92</f>
        <v>29378</v>
      </c>
      <c r="K31" s="435"/>
      <c r="L31" s="436">
        <f t="shared" si="0"/>
        <v>0.97656483728351562</v>
      </c>
      <c r="M31" s="437"/>
      <c r="N31" s="436">
        <f t="shared" si="1"/>
        <v>1.0084789399608665</v>
      </c>
      <c r="O31" s="437"/>
    </row>
    <row r="32" spans="1:16" s="2" customFormat="1" ht="20.100000000000001" customHeight="1">
      <c r="A32" s="438" t="s">
        <v>293</v>
      </c>
      <c r="B32" s="439"/>
      <c r="C32" s="440"/>
      <c r="D32" s="347">
        <v>12962</v>
      </c>
      <c r="E32" s="348"/>
      <c r="F32" s="347">
        <v>12962</v>
      </c>
      <c r="G32" s="348"/>
      <c r="H32" s="434">
        <v>10261</v>
      </c>
      <c r="I32" s="435"/>
      <c r="J32" s="434">
        <f>штатка!W93</f>
        <v>16473.100000000002</v>
      </c>
      <c r="K32" s="435"/>
      <c r="L32" s="436">
        <f t="shared" si="0"/>
        <v>1.6054088295487772</v>
      </c>
      <c r="M32" s="437"/>
      <c r="N32" s="436">
        <f t="shared" si="1"/>
        <v>1.2708764079617345</v>
      </c>
      <c r="O32" s="437"/>
    </row>
    <row r="33" spans="1:15" s="2" customFormat="1" ht="20.100000000000001" customHeight="1">
      <c r="A33" s="438" t="s">
        <v>269</v>
      </c>
      <c r="B33" s="439"/>
      <c r="C33" s="440"/>
      <c r="D33" s="347">
        <v>7881</v>
      </c>
      <c r="E33" s="348"/>
      <c r="F33" s="347">
        <v>7881</v>
      </c>
      <c r="G33" s="348"/>
      <c r="H33" s="434">
        <v>7985</v>
      </c>
      <c r="I33" s="435"/>
      <c r="J33" s="434">
        <f>штатка!W94</f>
        <v>8028.8918367346951</v>
      </c>
      <c r="K33" s="435"/>
      <c r="L33" s="436">
        <f t="shared" si="0"/>
        <v>1.00549678606571</v>
      </c>
      <c r="M33" s="437"/>
      <c r="N33" s="436">
        <f t="shared" si="1"/>
        <v>1.0187656181619966</v>
      </c>
      <c r="O33" s="437"/>
    </row>
    <row r="34" spans="1:15" ht="10.5" customHeight="1">
      <c r="A34" s="23"/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ht="20.100000000000001" customHeight="1">
      <c r="A35" s="482" t="s">
        <v>319</v>
      </c>
      <c r="B35" s="482"/>
      <c r="C35" s="482"/>
      <c r="D35" s="482"/>
      <c r="E35" s="482"/>
      <c r="F35" s="482"/>
      <c r="G35" s="482"/>
      <c r="H35" s="482"/>
      <c r="I35" s="482"/>
      <c r="J35" s="482"/>
      <c r="K35" s="482"/>
      <c r="L35" s="482"/>
      <c r="M35" s="482"/>
      <c r="N35" s="482"/>
      <c r="O35" s="482"/>
    </row>
    <row r="36" spans="1:15" ht="15" customHeight="1">
      <c r="A36" s="24"/>
      <c r="B36" s="24"/>
      <c r="C36" s="24"/>
      <c r="D36" s="24"/>
      <c r="E36" s="24"/>
      <c r="F36" s="24"/>
      <c r="G36" s="24"/>
      <c r="H36" s="24"/>
      <c r="I36" s="24"/>
    </row>
    <row r="37" spans="1:15" ht="21.95" customHeight="1">
      <c r="A37" s="461" t="s">
        <v>320</v>
      </c>
      <c r="B37" s="461"/>
      <c r="C37" s="461"/>
      <c r="D37" s="461"/>
      <c r="E37" s="461"/>
      <c r="F37" s="461"/>
      <c r="G37" s="461"/>
      <c r="H37" s="461"/>
      <c r="I37" s="461"/>
      <c r="J37" s="461"/>
      <c r="K37" s="461"/>
      <c r="L37" s="461"/>
      <c r="M37" s="461"/>
      <c r="N37" s="461"/>
      <c r="O37" s="461"/>
    </row>
    <row r="38" spans="1:15" ht="10.5" customHeight="1"/>
    <row r="39" spans="1:15" ht="60" customHeight="1">
      <c r="A39" s="38" t="s">
        <v>149</v>
      </c>
      <c r="B39" s="467" t="s">
        <v>321</v>
      </c>
      <c r="C39" s="468"/>
      <c r="D39" s="468"/>
      <c r="E39" s="468"/>
      <c r="F39" s="402" t="s">
        <v>92</v>
      </c>
      <c r="G39" s="402"/>
      <c r="H39" s="402"/>
      <c r="I39" s="402"/>
      <c r="J39" s="402"/>
      <c r="K39" s="402"/>
      <c r="L39" s="402"/>
      <c r="M39" s="402"/>
      <c r="N39" s="402"/>
      <c r="O39" s="402"/>
    </row>
    <row r="40" spans="1:15" ht="18" customHeight="1">
      <c r="A40" s="38">
        <v>1</v>
      </c>
      <c r="B40" s="467">
        <v>2</v>
      </c>
      <c r="C40" s="468"/>
      <c r="D40" s="468"/>
      <c r="E40" s="468"/>
      <c r="F40" s="402">
        <v>3</v>
      </c>
      <c r="G40" s="402"/>
      <c r="H40" s="402"/>
      <c r="I40" s="402"/>
      <c r="J40" s="402"/>
      <c r="K40" s="402"/>
      <c r="L40" s="402"/>
      <c r="M40" s="402"/>
      <c r="N40" s="402"/>
      <c r="O40" s="402"/>
    </row>
    <row r="41" spans="1:15" ht="20.100000000000001" customHeight="1">
      <c r="A41" s="150"/>
      <c r="B41" s="471"/>
      <c r="C41" s="472"/>
      <c r="D41" s="472"/>
      <c r="E41" s="472"/>
      <c r="F41" s="477"/>
      <c r="G41" s="477"/>
      <c r="H41" s="477"/>
      <c r="I41" s="477"/>
      <c r="J41" s="477"/>
      <c r="K41" s="477"/>
      <c r="L41" s="477"/>
      <c r="M41" s="477"/>
      <c r="N41" s="477"/>
      <c r="O41" s="477"/>
    </row>
    <row r="42" spans="1:15" ht="20.100000000000001" customHeight="1">
      <c r="A42" s="150"/>
      <c r="B42" s="471"/>
      <c r="C42" s="472"/>
      <c r="D42" s="472"/>
      <c r="E42" s="472"/>
      <c r="F42" s="477"/>
      <c r="G42" s="477"/>
      <c r="H42" s="477"/>
      <c r="I42" s="477"/>
      <c r="J42" s="477"/>
      <c r="K42" s="477"/>
      <c r="L42" s="477"/>
      <c r="M42" s="477"/>
      <c r="N42" s="477"/>
      <c r="O42" s="477"/>
    </row>
    <row r="43" spans="1:15" ht="20.100000000000001" customHeight="1">
      <c r="A43" s="150"/>
      <c r="B43" s="471"/>
      <c r="C43" s="472"/>
      <c r="D43" s="472"/>
      <c r="E43" s="472"/>
      <c r="F43" s="477"/>
      <c r="G43" s="477"/>
      <c r="H43" s="477"/>
      <c r="I43" s="477"/>
      <c r="J43" s="477"/>
      <c r="K43" s="477"/>
      <c r="L43" s="477"/>
      <c r="M43" s="477"/>
      <c r="N43" s="477"/>
      <c r="O43" s="477"/>
    </row>
    <row r="44" spans="1:15" ht="20.100000000000001" customHeight="1">
      <c r="A44" s="150"/>
      <c r="B44" s="471"/>
      <c r="C44" s="472"/>
      <c r="D44" s="472"/>
      <c r="E44" s="472"/>
      <c r="F44" s="477"/>
      <c r="G44" s="477"/>
      <c r="H44" s="477"/>
      <c r="I44" s="477"/>
      <c r="J44" s="477"/>
      <c r="K44" s="477"/>
      <c r="L44" s="477"/>
      <c r="M44" s="477"/>
      <c r="N44" s="477"/>
      <c r="O44" s="477"/>
    </row>
    <row r="45" spans="1:15" ht="20.100000000000001" customHeight="1">
      <c r="A45" s="150"/>
      <c r="B45" s="471"/>
      <c r="C45" s="472"/>
      <c r="D45" s="472"/>
      <c r="E45" s="472"/>
      <c r="F45" s="477"/>
      <c r="G45" s="477"/>
      <c r="H45" s="477"/>
      <c r="I45" s="477"/>
      <c r="J45" s="477"/>
      <c r="K45" s="477"/>
      <c r="L45" s="477"/>
      <c r="M45" s="477"/>
      <c r="N45" s="477"/>
      <c r="O45" s="477"/>
    </row>
    <row r="46" spans="1:15" ht="20.100000000000001" customHeight="1">
      <c r="A46" s="150"/>
      <c r="B46" s="471"/>
      <c r="C46" s="472"/>
      <c r="D46" s="472"/>
      <c r="E46" s="472"/>
      <c r="F46" s="477"/>
      <c r="G46" s="477"/>
      <c r="H46" s="477"/>
      <c r="I46" s="477"/>
      <c r="J46" s="477"/>
      <c r="K46" s="477"/>
      <c r="L46" s="477"/>
      <c r="M46" s="477"/>
      <c r="N46" s="477"/>
      <c r="O46" s="477"/>
    </row>
    <row r="47" spans="1:15" ht="20.100000000000001" customHeight="1">
      <c r="A47" s="150"/>
      <c r="B47" s="471"/>
      <c r="C47" s="472"/>
      <c r="D47" s="472"/>
      <c r="E47" s="472"/>
      <c r="F47" s="477"/>
      <c r="G47" s="477"/>
      <c r="H47" s="477"/>
      <c r="I47" s="477"/>
      <c r="J47" s="477"/>
      <c r="K47" s="477"/>
      <c r="L47" s="477"/>
      <c r="M47" s="477"/>
      <c r="N47" s="477"/>
      <c r="O47" s="477"/>
    </row>
    <row r="48" spans="1:15" ht="20.100000000000001" customHeight="1">
      <c r="A48" s="150"/>
      <c r="B48" s="471"/>
      <c r="C48" s="472"/>
      <c r="D48" s="472"/>
      <c r="E48" s="472"/>
      <c r="F48" s="471"/>
      <c r="G48" s="472"/>
      <c r="H48" s="472"/>
      <c r="I48" s="472"/>
      <c r="J48" s="472"/>
      <c r="K48" s="472"/>
      <c r="L48" s="472"/>
      <c r="M48" s="472"/>
      <c r="N48" s="472"/>
      <c r="O48" s="473"/>
    </row>
    <row r="49" spans="1:15" ht="20.100000000000001" customHeight="1">
      <c r="A49" s="150"/>
      <c r="B49" s="471"/>
      <c r="C49" s="472"/>
      <c r="D49" s="472"/>
      <c r="E49" s="473"/>
      <c r="F49" s="471"/>
      <c r="G49" s="472"/>
      <c r="H49" s="472"/>
      <c r="I49" s="472"/>
      <c r="J49" s="472"/>
      <c r="K49" s="472"/>
      <c r="L49" s="472"/>
      <c r="M49" s="472"/>
      <c r="N49" s="472"/>
      <c r="O49" s="473"/>
    </row>
    <row r="50" spans="1:15" ht="20.100000000000001" customHeight="1">
      <c r="A50" s="70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21.95" customHeight="1">
      <c r="A51" s="470" t="s">
        <v>251</v>
      </c>
      <c r="B51" s="470"/>
      <c r="C51" s="470"/>
      <c r="D51" s="470"/>
      <c r="E51" s="470"/>
      <c r="F51" s="470"/>
      <c r="G51" s="470"/>
      <c r="H51" s="470"/>
      <c r="I51" s="470"/>
      <c r="J51" s="470"/>
    </row>
    <row r="52" spans="1:15" ht="20.100000000000001" customHeight="1">
      <c r="A52" s="19"/>
    </row>
    <row r="53" spans="1:15" ht="63.95" customHeight="1">
      <c r="A53" s="398" t="s">
        <v>270</v>
      </c>
      <c r="B53" s="398" t="s">
        <v>322</v>
      </c>
      <c r="C53" s="398"/>
      <c r="D53" s="460" t="s">
        <v>538</v>
      </c>
      <c r="E53" s="460"/>
      <c r="F53" s="460"/>
      <c r="G53" s="460" t="s">
        <v>539</v>
      </c>
      <c r="H53" s="460"/>
      <c r="I53" s="460"/>
      <c r="J53" s="474" t="s">
        <v>540</v>
      </c>
      <c r="K53" s="475"/>
      <c r="L53" s="476"/>
      <c r="M53" s="460" t="s">
        <v>541</v>
      </c>
      <c r="N53" s="460"/>
      <c r="O53" s="460"/>
    </row>
    <row r="54" spans="1:15" ht="168.75">
      <c r="A54" s="398"/>
      <c r="B54" s="7" t="s">
        <v>78</v>
      </c>
      <c r="C54" s="7" t="s">
        <v>79</v>
      </c>
      <c r="D54" s="7" t="s">
        <v>323</v>
      </c>
      <c r="E54" s="7" t="s">
        <v>324</v>
      </c>
      <c r="F54" s="7" t="s">
        <v>325</v>
      </c>
      <c r="G54" s="7" t="s">
        <v>323</v>
      </c>
      <c r="H54" s="7" t="s">
        <v>324</v>
      </c>
      <c r="I54" s="7" t="s">
        <v>325</v>
      </c>
      <c r="J54" s="270" t="s">
        <v>323</v>
      </c>
      <c r="K54" s="270" t="s">
        <v>324</v>
      </c>
      <c r="L54" s="270" t="s">
        <v>325</v>
      </c>
      <c r="M54" s="7" t="s">
        <v>323</v>
      </c>
      <c r="N54" s="7" t="s">
        <v>324</v>
      </c>
      <c r="O54" s="7" t="s">
        <v>325</v>
      </c>
    </row>
    <row r="55" spans="1:15" ht="18" customHeight="1">
      <c r="A55" s="7">
        <v>1</v>
      </c>
      <c r="B55" s="7">
        <v>2</v>
      </c>
      <c r="C55" s="7">
        <v>3</v>
      </c>
      <c r="D55" s="7">
        <v>4</v>
      </c>
      <c r="E55" s="7">
        <v>5</v>
      </c>
      <c r="F55" s="7">
        <v>6</v>
      </c>
      <c r="G55" s="7">
        <v>7</v>
      </c>
      <c r="H55" s="6">
        <v>8</v>
      </c>
      <c r="I55" s="6">
        <v>9</v>
      </c>
      <c r="J55" s="271">
        <v>10</v>
      </c>
      <c r="K55" s="271">
        <v>11</v>
      </c>
      <c r="L55" s="271">
        <v>12</v>
      </c>
      <c r="M55" s="6">
        <v>13</v>
      </c>
      <c r="N55" s="6">
        <v>14</v>
      </c>
      <c r="O55" s="6">
        <v>15</v>
      </c>
    </row>
    <row r="56" spans="1:15" ht="36.75" customHeight="1">
      <c r="A56" s="151" t="s">
        <v>410</v>
      </c>
      <c r="B56" s="107">
        <v>100</v>
      </c>
      <c r="C56" s="107">
        <v>100</v>
      </c>
      <c r="D56" s="245">
        <v>2111</v>
      </c>
      <c r="E56" s="245">
        <v>121</v>
      </c>
      <c r="F56" s="217">
        <f>D56/E56*1000</f>
        <v>17446.280991735537</v>
      </c>
      <c r="G56" s="245">
        <v>2050</v>
      </c>
      <c r="H56" s="245">
        <v>158</v>
      </c>
      <c r="I56" s="217">
        <f>G56/H56*1000</f>
        <v>12974.683544303798</v>
      </c>
      <c r="J56" s="245">
        <v>4151</v>
      </c>
      <c r="K56" s="245">
        <v>135</v>
      </c>
      <c r="L56" s="217">
        <f>J56/K56*1000</f>
        <v>30748.148148148146</v>
      </c>
      <c r="M56" s="217">
        <f>'I. Фін результат'!I8</f>
        <v>621</v>
      </c>
      <c r="N56" s="245">
        <v>158</v>
      </c>
      <c r="O56" s="217">
        <f>M56/N56*1000</f>
        <v>3930.3797468354433</v>
      </c>
    </row>
    <row r="57" spans="1:15" ht="20.100000000000001" customHeight="1">
      <c r="A57" s="152" t="s">
        <v>60</v>
      </c>
      <c r="B57" s="76">
        <v>100</v>
      </c>
      <c r="C57" s="76">
        <v>100</v>
      </c>
      <c r="D57" s="263">
        <v>2111</v>
      </c>
      <c r="E57" s="107"/>
      <c r="F57" s="136"/>
      <c r="G57" s="263">
        <v>2050</v>
      </c>
      <c r="H57" s="136"/>
      <c r="I57" s="136"/>
      <c r="J57" s="263">
        <v>4151</v>
      </c>
      <c r="K57" s="136"/>
      <c r="L57" s="136"/>
      <c r="M57" s="246">
        <f>SUM(M56:M56)</f>
        <v>621</v>
      </c>
      <c r="N57" s="136"/>
      <c r="O57" s="136"/>
    </row>
    <row r="58" spans="1:15" ht="20.100000000000001" customHeight="1">
      <c r="A58" s="21"/>
      <c r="B58" s="22"/>
      <c r="C58" s="22"/>
      <c r="D58" s="22"/>
      <c r="E58" s="22"/>
      <c r="F58" s="12"/>
      <c r="G58" s="12"/>
      <c r="H58" s="12"/>
      <c r="I58" s="5"/>
      <c r="J58" s="5"/>
      <c r="K58" s="5"/>
      <c r="L58" s="5"/>
      <c r="M58" s="5"/>
      <c r="N58" s="5"/>
      <c r="O58" s="5"/>
    </row>
    <row r="59" spans="1:15" ht="21.95" customHeight="1">
      <c r="A59" s="461" t="s">
        <v>80</v>
      </c>
      <c r="B59" s="461"/>
      <c r="C59" s="461"/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461"/>
      <c r="O59" s="461"/>
    </row>
    <row r="60" spans="1:15" ht="20.100000000000001" customHeight="1">
      <c r="A60" s="19"/>
    </row>
    <row r="61" spans="1:15" ht="63.95" customHeight="1">
      <c r="A61" s="7" t="s">
        <v>140</v>
      </c>
      <c r="B61" s="398" t="s">
        <v>77</v>
      </c>
      <c r="C61" s="398"/>
      <c r="D61" s="398" t="s">
        <v>72</v>
      </c>
      <c r="E61" s="398"/>
      <c r="F61" s="398" t="s">
        <v>73</v>
      </c>
      <c r="G61" s="398"/>
      <c r="H61" s="398" t="s">
        <v>326</v>
      </c>
      <c r="I61" s="398"/>
      <c r="J61" s="398"/>
      <c r="K61" s="464" t="s">
        <v>93</v>
      </c>
      <c r="L61" s="466"/>
      <c r="M61" s="464" t="s">
        <v>37</v>
      </c>
      <c r="N61" s="465"/>
      <c r="O61" s="466"/>
    </row>
    <row r="62" spans="1:15" ht="18" customHeight="1">
      <c r="A62" s="6">
        <v>1</v>
      </c>
      <c r="B62" s="402">
        <v>2</v>
      </c>
      <c r="C62" s="402"/>
      <c r="D62" s="402">
        <v>3</v>
      </c>
      <c r="E62" s="402"/>
      <c r="F62" s="463">
        <v>4</v>
      </c>
      <c r="G62" s="463"/>
      <c r="H62" s="402">
        <v>5</v>
      </c>
      <c r="I62" s="402"/>
      <c r="J62" s="402"/>
      <c r="K62" s="402">
        <v>6</v>
      </c>
      <c r="L62" s="402"/>
      <c r="M62" s="467">
        <v>7</v>
      </c>
      <c r="N62" s="468"/>
      <c r="O62" s="469"/>
    </row>
    <row r="63" spans="1:15" ht="20.100000000000001" customHeight="1">
      <c r="A63" s="151"/>
      <c r="B63" s="457"/>
      <c r="C63" s="457"/>
      <c r="D63" s="457"/>
      <c r="E63" s="457"/>
      <c r="F63" s="457"/>
      <c r="G63" s="457"/>
      <c r="H63" s="457"/>
      <c r="I63" s="457"/>
      <c r="J63" s="457"/>
      <c r="K63" s="453"/>
      <c r="L63" s="455"/>
      <c r="M63" s="457"/>
      <c r="N63" s="457"/>
      <c r="O63" s="457"/>
    </row>
    <row r="64" spans="1:15" ht="20.100000000000001" customHeight="1">
      <c r="A64" s="151"/>
      <c r="B64" s="453"/>
      <c r="C64" s="455"/>
      <c r="D64" s="453"/>
      <c r="E64" s="455"/>
      <c r="F64" s="453"/>
      <c r="G64" s="455"/>
      <c r="H64" s="453"/>
      <c r="I64" s="454"/>
      <c r="J64" s="455"/>
      <c r="K64" s="453"/>
      <c r="L64" s="455"/>
      <c r="M64" s="453"/>
      <c r="N64" s="454"/>
      <c r="O64" s="455"/>
    </row>
    <row r="65" spans="1:15" ht="20.100000000000001" customHeight="1">
      <c r="A65" s="151"/>
      <c r="B65" s="457"/>
      <c r="C65" s="457"/>
      <c r="D65" s="457"/>
      <c r="E65" s="457"/>
      <c r="F65" s="457"/>
      <c r="G65" s="457"/>
      <c r="H65" s="457"/>
      <c r="I65" s="457"/>
      <c r="J65" s="457"/>
      <c r="K65" s="453"/>
      <c r="L65" s="455"/>
      <c r="M65" s="457"/>
      <c r="N65" s="457"/>
      <c r="O65" s="457"/>
    </row>
    <row r="66" spans="1:15" ht="20.100000000000001" customHeight="1">
      <c r="A66" s="152" t="s">
        <v>60</v>
      </c>
      <c r="B66" s="462" t="s">
        <v>38</v>
      </c>
      <c r="C66" s="462"/>
      <c r="D66" s="462" t="s">
        <v>38</v>
      </c>
      <c r="E66" s="462"/>
      <c r="F66" s="462" t="s">
        <v>38</v>
      </c>
      <c r="G66" s="462"/>
      <c r="H66" s="457"/>
      <c r="I66" s="457"/>
      <c r="J66" s="457"/>
      <c r="K66" s="458">
        <f>SUM(K63:L65)</f>
        <v>0</v>
      </c>
      <c r="L66" s="459"/>
      <c r="M66" s="457"/>
      <c r="N66" s="457"/>
      <c r="O66" s="457"/>
    </row>
    <row r="67" spans="1:15" ht="20.100000000000001" customHeight="1">
      <c r="A67" s="12"/>
      <c r="B67" s="25"/>
      <c r="C67" s="25"/>
      <c r="D67" s="25"/>
      <c r="E67" s="25"/>
      <c r="F67" s="25"/>
      <c r="G67" s="25"/>
      <c r="H67" s="25"/>
      <c r="I67" s="25"/>
      <c r="J67" s="25"/>
      <c r="K67" s="2"/>
      <c r="L67" s="2"/>
      <c r="M67" s="2"/>
      <c r="N67" s="2"/>
      <c r="O67" s="2"/>
    </row>
    <row r="68" spans="1:15" ht="21.95" customHeight="1">
      <c r="A68" s="461" t="s">
        <v>81</v>
      </c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</row>
    <row r="69" spans="1:15" ht="20.100000000000001" customHeight="1">
      <c r="A69" s="5"/>
      <c r="B69" s="17"/>
      <c r="C69" s="5"/>
      <c r="D69" s="5"/>
      <c r="E69" s="5"/>
      <c r="F69" s="5"/>
      <c r="G69" s="5"/>
      <c r="H69" s="5"/>
      <c r="I69" s="16"/>
    </row>
    <row r="70" spans="1:15" ht="63.95" customHeight="1">
      <c r="A70" s="460" t="s">
        <v>71</v>
      </c>
      <c r="B70" s="460"/>
      <c r="C70" s="460"/>
      <c r="D70" s="460" t="s">
        <v>94</v>
      </c>
      <c r="E70" s="460"/>
      <c r="F70" s="460"/>
      <c r="G70" s="460" t="s">
        <v>351</v>
      </c>
      <c r="H70" s="460"/>
      <c r="I70" s="460"/>
      <c r="J70" s="460" t="s">
        <v>345</v>
      </c>
      <c r="K70" s="460"/>
      <c r="L70" s="460"/>
      <c r="M70" s="460" t="s">
        <v>95</v>
      </c>
      <c r="N70" s="460"/>
      <c r="O70" s="460"/>
    </row>
    <row r="71" spans="1:15" ht="18" customHeight="1">
      <c r="A71" s="460">
        <v>1</v>
      </c>
      <c r="B71" s="460"/>
      <c r="C71" s="460"/>
      <c r="D71" s="460">
        <v>2</v>
      </c>
      <c r="E71" s="460"/>
      <c r="F71" s="460"/>
      <c r="G71" s="460">
        <v>3</v>
      </c>
      <c r="H71" s="460"/>
      <c r="I71" s="460"/>
      <c r="J71" s="456">
        <v>4</v>
      </c>
      <c r="K71" s="456"/>
      <c r="L71" s="456"/>
      <c r="M71" s="456">
        <v>5</v>
      </c>
      <c r="N71" s="456"/>
      <c r="O71" s="456"/>
    </row>
    <row r="72" spans="1:15" ht="20.100000000000001" customHeight="1">
      <c r="A72" s="447" t="s">
        <v>327</v>
      </c>
      <c r="B72" s="447"/>
      <c r="C72" s="447"/>
      <c r="D72" s="446"/>
      <c r="E72" s="446"/>
      <c r="F72" s="446"/>
      <c r="G72" s="446"/>
      <c r="H72" s="446"/>
      <c r="I72" s="446"/>
      <c r="J72" s="446"/>
      <c r="K72" s="446"/>
      <c r="L72" s="446"/>
      <c r="M72" s="446"/>
      <c r="N72" s="446"/>
      <c r="O72" s="446"/>
    </row>
    <row r="73" spans="1:15" ht="20.100000000000001" customHeight="1">
      <c r="A73" s="447" t="s">
        <v>116</v>
      </c>
      <c r="B73" s="447"/>
      <c r="C73" s="447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446"/>
    </row>
    <row r="74" spans="1:15" ht="20.100000000000001" customHeight="1">
      <c r="A74" s="447"/>
      <c r="B74" s="447"/>
      <c r="C74" s="447"/>
      <c r="D74" s="450"/>
      <c r="E74" s="451"/>
      <c r="F74" s="452"/>
      <c r="G74" s="450"/>
      <c r="H74" s="451"/>
      <c r="I74" s="452"/>
      <c r="J74" s="450"/>
      <c r="K74" s="451"/>
      <c r="L74" s="452"/>
      <c r="M74" s="450"/>
      <c r="N74" s="451"/>
      <c r="O74" s="452"/>
    </row>
    <row r="75" spans="1:15" ht="20.100000000000001" customHeight="1">
      <c r="A75" s="447" t="s">
        <v>328</v>
      </c>
      <c r="B75" s="447"/>
      <c r="C75" s="447"/>
      <c r="D75" s="446"/>
      <c r="E75" s="446"/>
      <c r="F75" s="446"/>
      <c r="G75" s="446"/>
      <c r="H75" s="446"/>
      <c r="I75" s="446"/>
      <c r="J75" s="446"/>
      <c r="K75" s="446"/>
      <c r="L75" s="446"/>
      <c r="M75" s="446"/>
      <c r="N75" s="446"/>
      <c r="O75" s="446"/>
    </row>
    <row r="76" spans="1:15" ht="20.100000000000001" customHeight="1">
      <c r="A76" s="447" t="s">
        <v>117</v>
      </c>
      <c r="B76" s="447"/>
      <c r="C76" s="447"/>
      <c r="D76" s="446"/>
      <c r="E76" s="446"/>
      <c r="F76" s="446"/>
      <c r="G76" s="446"/>
      <c r="H76" s="446"/>
      <c r="I76" s="446"/>
      <c r="J76" s="446"/>
      <c r="K76" s="446"/>
      <c r="L76" s="446"/>
      <c r="M76" s="446"/>
      <c r="N76" s="446"/>
      <c r="O76" s="446"/>
    </row>
    <row r="77" spans="1:15" ht="20.100000000000001" customHeight="1">
      <c r="A77" s="447"/>
      <c r="B77" s="447"/>
      <c r="C77" s="447"/>
      <c r="D77" s="450"/>
      <c r="E77" s="451"/>
      <c r="F77" s="452"/>
      <c r="G77" s="450"/>
      <c r="H77" s="451"/>
      <c r="I77" s="452"/>
      <c r="J77" s="450"/>
      <c r="K77" s="451"/>
      <c r="L77" s="452"/>
      <c r="M77" s="450"/>
      <c r="N77" s="451"/>
      <c r="O77" s="452"/>
    </row>
    <row r="78" spans="1:15" ht="20.100000000000001" customHeight="1">
      <c r="A78" s="447" t="s">
        <v>329</v>
      </c>
      <c r="B78" s="447"/>
      <c r="C78" s="447"/>
      <c r="D78" s="446"/>
      <c r="E78" s="446"/>
      <c r="F78" s="446"/>
      <c r="G78" s="446"/>
      <c r="H78" s="446"/>
      <c r="I78" s="446"/>
      <c r="J78" s="446"/>
      <c r="K78" s="446"/>
      <c r="L78" s="446"/>
      <c r="M78" s="446"/>
      <c r="N78" s="446"/>
      <c r="O78" s="446"/>
    </row>
    <row r="79" spans="1:15" ht="20.100000000000001" customHeight="1">
      <c r="A79" s="447" t="s">
        <v>116</v>
      </c>
      <c r="B79" s="447"/>
      <c r="C79" s="447"/>
      <c r="D79" s="446"/>
      <c r="E79" s="446"/>
      <c r="F79" s="446"/>
      <c r="G79" s="446"/>
      <c r="H79" s="446"/>
      <c r="I79" s="446"/>
      <c r="J79" s="446"/>
      <c r="K79" s="446"/>
      <c r="L79" s="446"/>
      <c r="M79" s="446"/>
      <c r="N79" s="446"/>
      <c r="O79" s="446"/>
    </row>
    <row r="80" spans="1:15" ht="20.100000000000001" customHeight="1">
      <c r="A80" s="392"/>
      <c r="B80" s="358"/>
      <c r="C80" s="444"/>
      <c r="D80" s="446"/>
      <c r="E80" s="446"/>
      <c r="F80" s="446"/>
      <c r="G80" s="446"/>
      <c r="H80" s="446"/>
      <c r="I80" s="446"/>
      <c r="J80" s="446"/>
      <c r="K80" s="446"/>
      <c r="L80" s="446"/>
      <c r="M80" s="446"/>
      <c r="N80" s="446"/>
      <c r="O80" s="446"/>
    </row>
    <row r="81" spans="1:15" ht="20.100000000000001" customHeight="1">
      <c r="A81" s="392" t="s">
        <v>60</v>
      </c>
      <c r="B81" s="358"/>
      <c r="C81" s="444"/>
      <c r="D81" s="445"/>
      <c r="E81" s="445"/>
      <c r="F81" s="445"/>
      <c r="G81" s="445"/>
      <c r="H81" s="445"/>
      <c r="I81" s="445"/>
      <c r="J81" s="446"/>
      <c r="K81" s="446"/>
      <c r="L81" s="446"/>
      <c r="M81" s="446"/>
      <c r="N81" s="446"/>
      <c r="O81" s="446"/>
    </row>
    <row r="82" spans="1:15">
      <c r="C82" s="30"/>
      <c r="D82" s="30"/>
      <c r="E82" s="30"/>
    </row>
    <row r="83" spans="1:15">
      <c r="C83" s="30"/>
      <c r="D83" s="30"/>
      <c r="E83" s="30"/>
    </row>
    <row r="84" spans="1:15">
      <c r="C84" s="30"/>
      <c r="D84" s="30"/>
      <c r="E84" s="30"/>
    </row>
    <row r="85" spans="1:15">
      <c r="C85" s="30"/>
      <c r="D85" s="30"/>
      <c r="E85" s="30"/>
    </row>
    <row r="86" spans="1:15">
      <c r="C86" s="30"/>
      <c r="D86" s="30"/>
      <c r="E86" s="30"/>
    </row>
    <row r="87" spans="1:15">
      <c r="C87" s="30"/>
      <c r="D87" s="30"/>
      <c r="E87" s="30"/>
    </row>
    <row r="88" spans="1:15">
      <c r="C88" s="30"/>
      <c r="D88" s="30"/>
      <c r="E88" s="30"/>
    </row>
    <row r="89" spans="1:15">
      <c r="C89" s="30"/>
      <c r="D89" s="30"/>
      <c r="E89" s="30"/>
    </row>
    <row r="90" spans="1:15">
      <c r="C90" s="30"/>
      <c r="D90" s="30"/>
      <c r="E90" s="30"/>
    </row>
    <row r="91" spans="1:15">
      <c r="C91" s="30"/>
      <c r="D91" s="30"/>
      <c r="E91" s="30"/>
    </row>
    <row r="92" spans="1:15">
      <c r="C92" s="30"/>
      <c r="D92" s="30"/>
      <c r="E92" s="30"/>
    </row>
    <row r="93" spans="1:15">
      <c r="C93" s="30"/>
      <c r="D93" s="30"/>
      <c r="E93" s="30"/>
    </row>
    <row r="94" spans="1:15">
      <c r="C94" s="30"/>
      <c r="D94" s="30"/>
      <c r="E94" s="30"/>
    </row>
    <row r="95" spans="1:15">
      <c r="C95" s="30"/>
      <c r="D95" s="30"/>
      <c r="E95" s="30"/>
    </row>
  </sheetData>
  <sheetProtection formatCells="0" formatColumns="0" formatRows="0" insertColumns="0" insertRows="0" insertHyperlinks="0" deleteColumns="0" deleteRows="0" sort="0" autoFilter="0" pivotTables="0"/>
  <customSheetViews>
    <customSheetView guid="{F65ACDE9-A565-4614-893F-AFCB94FA629C}" scale="60" showPageBreaks="1" printArea="1" view="pageBreakPreview" topLeftCell="A64">
      <selection activeCell="J32" sqref="J32:K32"/>
      <rowBreaks count="1" manualBreakCount="1">
        <brk id="49" max="14" man="1"/>
      </rowBreaks>
      <pageMargins left="1.1811023622047245" right="0.39370078740157483" top="0.78740157480314965" bottom="0.78740157480314965" header="0.27559055118110237" footer="0.15748031496062992"/>
      <pageSetup paperSize="9" scale="47" orientation="landscape" verticalDpi="1200" r:id="rId1"/>
      <headerFooter alignWithMargins="0"/>
    </customSheetView>
    <customSheetView guid="{43DCEB14-ADF8-4168-9283-6542A71D3CF7}" scale="60" showPageBreaks="1" printArea="1" view="pageBreakPreview">
      <selection activeCell="J32" sqref="J32:K32"/>
      <rowBreaks count="1" manualBreakCount="1">
        <brk id="49" max="14" man="1"/>
      </rowBreaks>
      <pageMargins left="1.1811023622047245" right="0.39370078740157483" top="0.78740157480314965" bottom="0.78740157480314965" header="0.27559055118110237" footer="0.15748031496062992"/>
      <pageSetup paperSize="9" scale="47" orientation="landscape" verticalDpi="1200" r:id="rId2"/>
      <headerFooter alignWithMargins="0"/>
    </customSheetView>
    <customSheetView guid="{4BF2F851-A775-4F33-8DA4-C59D9D94DA9D}" scale="60" showPageBreaks="1" printArea="1" view="pageBreakPreview" topLeftCell="A41">
      <selection activeCell="A17" sqref="A17:C17"/>
      <rowBreaks count="1" manualBreakCount="1">
        <brk id="49" max="14" man="1"/>
      </rowBreaks>
      <pageMargins left="1.1811023622047245" right="0.39370078740157483" top="0.78740157480314965" bottom="0.78740157480314965" header="0.27559055118110237" footer="0.15748031496062992"/>
      <pageSetup paperSize="9" scale="47" orientation="landscape" verticalDpi="1200" r:id="rId3"/>
      <headerFooter alignWithMargins="0"/>
    </customSheetView>
    <customSheetView guid="{1E3D5FB9-014E-4051-8AD5-DB0A17D05797}" scale="60" showPageBreaks="1" printArea="1" view="pageBreakPreview">
      <selection activeCell="J19" sqref="J19:K21"/>
      <rowBreaks count="1" manualBreakCount="1">
        <brk id="49" max="14" man="1"/>
      </rowBreaks>
      <pageMargins left="1.1811023622047245" right="0.39370078740157483" top="0.78740157480314965" bottom="0.78740157480314965" header="0.27559055118110237" footer="0.15748031496062992"/>
      <pageSetup paperSize="9" scale="47" orientation="landscape" horizontalDpi="1200" verticalDpi="1200" r:id="rId4"/>
      <headerFooter alignWithMargins="0"/>
    </customSheetView>
    <customSheetView guid="{6E930A10-FB87-4441-8A38-C35193B7FA1B}" scale="60" showPageBreaks="1" printArea="1" view="pageBreakPreview">
      <selection activeCell="J21" sqref="J21:K21"/>
      <rowBreaks count="1" manualBreakCount="1">
        <brk id="49" max="14" man="1"/>
      </rowBreaks>
      <pageMargins left="1.1811023622047245" right="0.39370078740157483" top="0.78740157480314965" bottom="0.78740157480314965" header="0.27559055118110237" footer="0.15748031496062992"/>
      <pageSetup paperSize="9" scale="47" orientation="landscape" verticalDpi="1200" r:id="rId5"/>
      <headerFooter alignWithMargins="0"/>
    </customSheetView>
  </customSheetViews>
  <mergeCells count="278">
    <mergeCell ref="D24:E24"/>
    <mergeCell ref="D25:E25"/>
    <mergeCell ref="F23:G23"/>
    <mergeCell ref="F24:G24"/>
    <mergeCell ref="H13:I13"/>
    <mergeCell ref="A18:K18"/>
    <mergeCell ref="D12:E12"/>
    <mergeCell ref="D13:E13"/>
    <mergeCell ref="D14:E14"/>
    <mergeCell ref="D15:E15"/>
    <mergeCell ref="D16:E16"/>
    <mergeCell ref="D17:E17"/>
    <mergeCell ref="A12:C12"/>
    <mergeCell ref="D19:E19"/>
    <mergeCell ref="D20:E20"/>
    <mergeCell ref="A5:O5"/>
    <mergeCell ref="H12:I12"/>
    <mergeCell ref="J12:K12"/>
    <mergeCell ref="A1:O1"/>
    <mergeCell ref="A2:O2"/>
    <mergeCell ref="A3:O3"/>
    <mergeCell ref="D9:E9"/>
    <mergeCell ref="F9:G9"/>
    <mergeCell ref="A9:C9"/>
    <mergeCell ref="A4:O4"/>
    <mergeCell ref="A7:O7"/>
    <mergeCell ref="J9:K9"/>
    <mergeCell ref="H9:I9"/>
    <mergeCell ref="A10:C10"/>
    <mergeCell ref="N10:O10"/>
    <mergeCell ref="N11:O11"/>
    <mergeCell ref="L11:M11"/>
    <mergeCell ref="J10:K10"/>
    <mergeCell ref="D10:E10"/>
    <mergeCell ref="F10:G10"/>
    <mergeCell ref="N12:O12"/>
    <mergeCell ref="H10:I10"/>
    <mergeCell ref="L9:M9"/>
    <mergeCell ref="N9:O9"/>
    <mergeCell ref="L10:M10"/>
    <mergeCell ref="L12:M12"/>
    <mergeCell ref="H16:I16"/>
    <mergeCell ref="H15:I15"/>
    <mergeCell ref="A16:C16"/>
    <mergeCell ref="J16:K16"/>
    <mergeCell ref="J17:K17"/>
    <mergeCell ref="F15:G15"/>
    <mergeCell ref="F16:G16"/>
    <mergeCell ref="F17:G17"/>
    <mergeCell ref="J15:K15"/>
    <mergeCell ref="L13:M13"/>
    <mergeCell ref="J13:K13"/>
    <mergeCell ref="F12:G12"/>
    <mergeCell ref="F13:G13"/>
    <mergeCell ref="F14:G14"/>
    <mergeCell ref="A11:K11"/>
    <mergeCell ref="A15:C15"/>
    <mergeCell ref="J14:K14"/>
    <mergeCell ref="H14:I14"/>
    <mergeCell ref="A13:C13"/>
    <mergeCell ref="L14:M14"/>
    <mergeCell ref="L15:M15"/>
    <mergeCell ref="L16:M16"/>
    <mergeCell ref="N13:O13"/>
    <mergeCell ref="A14:C14"/>
    <mergeCell ref="B40:E40"/>
    <mergeCell ref="F39:O39"/>
    <mergeCell ref="B39:E39"/>
    <mergeCell ref="A37:O37"/>
    <mergeCell ref="A35:O35"/>
    <mergeCell ref="N18:O18"/>
    <mergeCell ref="L23:M23"/>
    <mergeCell ref="L22:M22"/>
    <mergeCell ref="H23:I23"/>
    <mergeCell ref="J23:K23"/>
    <mergeCell ref="N23:O23"/>
    <mergeCell ref="A24:C24"/>
    <mergeCell ref="H24:I24"/>
    <mergeCell ref="J24:K24"/>
    <mergeCell ref="L24:M24"/>
    <mergeCell ref="N24:O24"/>
    <mergeCell ref="H28:I28"/>
    <mergeCell ref="J28:K28"/>
    <mergeCell ref="L28:M28"/>
    <mergeCell ref="N28:O28"/>
    <mergeCell ref="A27:C27"/>
    <mergeCell ref="A31:C31"/>
    <mergeCell ref="F43:O43"/>
    <mergeCell ref="F44:O44"/>
    <mergeCell ref="B42:E42"/>
    <mergeCell ref="A17:C17"/>
    <mergeCell ref="B41:E41"/>
    <mergeCell ref="F41:O41"/>
    <mergeCell ref="B44:E44"/>
    <mergeCell ref="N22:O22"/>
    <mergeCell ref="A21:C21"/>
    <mergeCell ref="H21:I21"/>
    <mergeCell ref="J21:K21"/>
    <mergeCell ref="L21:M21"/>
    <mergeCell ref="N21:O21"/>
    <mergeCell ref="L25:M25"/>
    <mergeCell ref="N25:O25"/>
    <mergeCell ref="L26:M26"/>
    <mergeCell ref="B43:E43"/>
    <mergeCell ref="N29:O29"/>
    <mergeCell ref="A29:C29"/>
    <mergeCell ref="H29:I29"/>
    <mergeCell ref="H31:I31"/>
    <mergeCell ref="F40:O40"/>
    <mergeCell ref="F25:G25"/>
    <mergeCell ref="N31:O31"/>
    <mergeCell ref="F45:O45"/>
    <mergeCell ref="B45:E45"/>
    <mergeCell ref="B46:E46"/>
    <mergeCell ref="F46:O46"/>
    <mergeCell ref="F47:O47"/>
    <mergeCell ref="B47:E47"/>
    <mergeCell ref="L19:M19"/>
    <mergeCell ref="N19:O19"/>
    <mergeCell ref="A20:C20"/>
    <mergeCell ref="H20:I20"/>
    <mergeCell ref="J20:K20"/>
    <mergeCell ref="L20:M20"/>
    <mergeCell ref="N20:O20"/>
    <mergeCell ref="A19:C19"/>
    <mergeCell ref="H25:I25"/>
    <mergeCell ref="J25:K25"/>
    <mergeCell ref="L27:M27"/>
    <mergeCell ref="H27:I27"/>
    <mergeCell ref="J27:K27"/>
    <mergeCell ref="N27:O27"/>
    <mergeCell ref="A28:C28"/>
    <mergeCell ref="J29:K29"/>
    <mergeCell ref="L29:M29"/>
    <mergeCell ref="F42:O42"/>
    <mergeCell ref="A51:J51"/>
    <mergeCell ref="B53:C53"/>
    <mergeCell ref="D53:F53"/>
    <mergeCell ref="F48:O48"/>
    <mergeCell ref="F49:O49"/>
    <mergeCell ref="G53:I53"/>
    <mergeCell ref="J53:L53"/>
    <mergeCell ref="M53:O53"/>
    <mergeCell ref="A53:A54"/>
    <mergeCell ref="B48:E48"/>
    <mergeCell ref="B49:E49"/>
    <mergeCell ref="M61:O61"/>
    <mergeCell ref="K62:L62"/>
    <mergeCell ref="M62:O62"/>
    <mergeCell ref="A59:O59"/>
    <mergeCell ref="B61:C61"/>
    <mergeCell ref="D61:E61"/>
    <mergeCell ref="F61:G61"/>
    <mergeCell ref="H61:J61"/>
    <mergeCell ref="K61:L61"/>
    <mergeCell ref="M63:O63"/>
    <mergeCell ref="B62:C62"/>
    <mergeCell ref="F62:G62"/>
    <mergeCell ref="H62:J62"/>
    <mergeCell ref="B63:C63"/>
    <mergeCell ref="H63:J63"/>
    <mergeCell ref="K63:L63"/>
    <mergeCell ref="D62:E62"/>
    <mergeCell ref="D63:E63"/>
    <mergeCell ref="F63:G63"/>
    <mergeCell ref="B66:C66"/>
    <mergeCell ref="D66:E66"/>
    <mergeCell ref="F66:G66"/>
    <mergeCell ref="H64:J64"/>
    <mergeCell ref="B65:C65"/>
    <mergeCell ref="B64:C64"/>
    <mergeCell ref="D64:E64"/>
    <mergeCell ref="F64:G64"/>
    <mergeCell ref="D65:E65"/>
    <mergeCell ref="F65:G65"/>
    <mergeCell ref="H66:J66"/>
    <mergeCell ref="D71:F71"/>
    <mergeCell ref="A68:O68"/>
    <mergeCell ref="A70:C70"/>
    <mergeCell ref="D70:F70"/>
    <mergeCell ref="G70:I70"/>
    <mergeCell ref="J70:L70"/>
    <mergeCell ref="M71:O71"/>
    <mergeCell ref="A71:C71"/>
    <mergeCell ref="J72:L72"/>
    <mergeCell ref="G71:I71"/>
    <mergeCell ref="M75:O75"/>
    <mergeCell ref="J75:L75"/>
    <mergeCell ref="J73:L73"/>
    <mergeCell ref="M73:O73"/>
    <mergeCell ref="M74:O74"/>
    <mergeCell ref="G75:I75"/>
    <mergeCell ref="M64:O64"/>
    <mergeCell ref="M72:O72"/>
    <mergeCell ref="J71:L71"/>
    <mergeCell ref="K65:L65"/>
    <mergeCell ref="M65:O65"/>
    <mergeCell ref="K66:L66"/>
    <mergeCell ref="M66:O66"/>
    <mergeCell ref="M70:O70"/>
    <mergeCell ref="K64:L64"/>
    <mergeCell ref="H65:J65"/>
    <mergeCell ref="J74:L74"/>
    <mergeCell ref="A78:C78"/>
    <mergeCell ref="D78:F78"/>
    <mergeCell ref="G78:I78"/>
    <mergeCell ref="G77:I77"/>
    <mergeCell ref="A72:C72"/>
    <mergeCell ref="D72:F72"/>
    <mergeCell ref="G72:I72"/>
    <mergeCell ref="A73:C73"/>
    <mergeCell ref="D73:F73"/>
    <mergeCell ref="G73:I73"/>
    <mergeCell ref="A74:C74"/>
    <mergeCell ref="A77:C77"/>
    <mergeCell ref="D77:F77"/>
    <mergeCell ref="D74:F74"/>
    <mergeCell ref="G74:I74"/>
    <mergeCell ref="A76:C76"/>
    <mergeCell ref="D76:F76"/>
    <mergeCell ref="G76:I76"/>
    <mergeCell ref="M78:O78"/>
    <mergeCell ref="J76:L76"/>
    <mergeCell ref="M76:O76"/>
    <mergeCell ref="M77:O77"/>
    <mergeCell ref="M80:O80"/>
    <mergeCell ref="J79:L79"/>
    <mergeCell ref="J78:L78"/>
    <mergeCell ref="J80:L80"/>
    <mergeCell ref="J77:L77"/>
    <mergeCell ref="A81:C81"/>
    <mergeCell ref="D81:F81"/>
    <mergeCell ref="G81:I81"/>
    <mergeCell ref="J81:L81"/>
    <mergeCell ref="M81:O81"/>
    <mergeCell ref="M79:O79"/>
    <mergeCell ref="A79:C79"/>
    <mergeCell ref="H17:I17"/>
    <mergeCell ref="A80:C80"/>
    <mergeCell ref="D80:F80"/>
    <mergeCell ref="G80:I80"/>
    <mergeCell ref="D75:F75"/>
    <mergeCell ref="G79:I79"/>
    <mergeCell ref="A75:C75"/>
    <mergeCell ref="D79:F79"/>
    <mergeCell ref="L18:M18"/>
    <mergeCell ref="H19:I19"/>
    <mergeCell ref="J19:K19"/>
    <mergeCell ref="A23:C23"/>
    <mergeCell ref="N26:O26"/>
    <mergeCell ref="A25:C25"/>
    <mergeCell ref="L31:M31"/>
    <mergeCell ref="L30:M30"/>
    <mergeCell ref="N30:O30"/>
    <mergeCell ref="L17:M17"/>
    <mergeCell ref="N14:O14"/>
    <mergeCell ref="N15:O15"/>
    <mergeCell ref="N16:O16"/>
    <mergeCell ref="N17:O17"/>
    <mergeCell ref="J31:K31"/>
    <mergeCell ref="N33:O33"/>
    <mergeCell ref="A33:C33"/>
    <mergeCell ref="H33:I33"/>
    <mergeCell ref="J33:K33"/>
    <mergeCell ref="L33:M33"/>
    <mergeCell ref="J32:K32"/>
    <mergeCell ref="L32:M32"/>
    <mergeCell ref="N32:O32"/>
    <mergeCell ref="A32:C32"/>
    <mergeCell ref="H32:I32"/>
    <mergeCell ref="F19:G19"/>
    <mergeCell ref="F20:G20"/>
    <mergeCell ref="F21:G21"/>
    <mergeCell ref="A22:K22"/>
    <mergeCell ref="A26:K26"/>
    <mergeCell ref="A30:K30"/>
    <mergeCell ref="D21:E21"/>
    <mergeCell ref="D23:E23"/>
  </mergeCells>
  <phoneticPr fontId="3" type="noConversion"/>
  <pageMargins left="1.1811023622047245" right="0.39370078740157483" top="0.78740157480314965" bottom="0.78740157480314965" header="0.27559055118110237" footer="0.15748031496062992"/>
  <pageSetup paperSize="9" scale="47" orientation="landscape" verticalDpi="1200" r:id="rId6"/>
  <headerFooter alignWithMargins="0"/>
  <rowBreaks count="1" manualBreakCount="1">
    <brk id="49" max="14" man="1"/>
  </rowBreaks>
  <ignoredErrors>
    <ignoredError sqref="F57 H57:I57 K57:M5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3:DG299"/>
  <sheetViews>
    <sheetView topLeftCell="P28" workbookViewId="0">
      <selection activeCell="G12" sqref="G12"/>
    </sheetView>
  </sheetViews>
  <sheetFormatPr defaultColWidth="9.140625" defaultRowHeight="12.75"/>
  <cols>
    <col min="1" max="1" width="4" style="278" customWidth="1"/>
    <col min="2" max="2" width="21.28515625" style="278" customWidth="1"/>
    <col min="3" max="4" width="9.140625" style="278"/>
    <col min="5" max="6" width="9.140625" style="278" customWidth="1"/>
    <col min="7" max="7" width="8.85546875" style="278" customWidth="1"/>
    <col min="8" max="11" width="9.140625" style="278" customWidth="1"/>
    <col min="12" max="12" width="10.42578125" style="278" customWidth="1"/>
    <col min="13" max="14" width="9.140625" style="278" customWidth="1"/>
    <col min="15" max="15" width="10" style="278" customWidth="1"/>
    <col min="16" max="20" width="9.140625" style="278" customWidth="1"/>
    <col min="21" max="21" width="10.5703125" style="278" customWidth="1"/>
    <col min="22" max="22" width="17.42578125" style="278" customWidth="1"/>
    <col min="23" max="23" width="12.42578125" style="278" customWidth="1"/>
    <col min="24" max="24" width="11.85546875" style="278" customWidth="1"/>
    <col min="25" max="25" width="12.5703125" style="278" customWidth="1"/>
    <col min="26" max="26" width="12.28515625" style="278" customWidth="1"/>
    <col min="27" max="27" width="10.28515625" style="278" customWidth="1"/>
    <col min="28" max="28" width="9.140625" style="278"/>
    <col min="29" max="29" width="10.140625" style="278" customWidth="1"/>
    <col min="30" max="30" width="9.85546875" style="278" bestFit="1" customWidth="1"/>
    <col min="31" max="31" width="10" style="278" customWidth="1"/>
    <col min="32" max="32" width="11.28515625" style="290" bestFit="1" customWidth="1"/>
    <col min="33" max="33" width="9.7109375" style="278" bestFit="1" customWidth="1"/>
    <col min="34" max="16384" width="9.140625" style="278"/>
  </cols>
  <sheetData>
    <row r="3" spans="1:111" ht="22.5">
      <c r="A3" s="503"/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273" t="s">
        <v>461</v>
      </c>
      <c r="M3" s="274"/>
      <c r="N3" s="274"/>
      <c r="O3" s="274"/>
      <c r="P3" s="275"/>
      <c r="Q3" s="275"/>
      <c r="R3" s="275"/>
      <c r="S3" s="275"/>
      <c r="T3" s="276"/>
      <c r="U3" s="277"/>
    </row>
    <row r="4" spans="1:111" ht="15.75">
      <c r="A4" s="503" t="s">
        <v>462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275" t="s">
        <v>463</v>
      </c>
      <c r="M4" s="275"/>
      <c r="N4" s="275"/>
      <c r="O4" s="275"/>
      <c r="P4" s="275"/>
      <c r="Q4" s="275"/>
      <c r="R4" s="275"/>
      <c r="S4" s="275"/>
      <c r="T4" s="276"/>
      <c r="U4" s="279"/>
    </row>
    <row r="5" spans="1:111" ht="15.75">
      <c r="A5" s="503" t="s">
        <v>575</v>
      </c>
      <c r="B5" s="503"/>
      <c r="C5" s="503"/>
      <c r="D5" s="503"/>
      <c r="E5" s="503"/>
      <c r="F5" s="503"/>
      <c r="G5" s="503"/>
      <c r="H5" s="503"/>
      <c r="I5" s="503"/>
      <c r="J5" s="503"/>
      <c r="K5" s="503"/>
      <c r="L5" s="275" t="s">
        <v>464</v>
      </c>
      <c r="M5" s="275"/>
      <c r="N5" s="275" t="s">
        <v>487</v>
      </c>
      <c r="O5" s="275"/>
      <c r="P5" s="275"/>
      <c r="Q5" s="275" t="s">
        <v>487</v>
      </c>
      <c r="R5" s="275"/>
      <c r="S5" s="275" t="s">
        <v>487</v>
      </c>
      <c r="T5" s="276"/>
      <c r="U5" s="277"/>
    </row>
    <row r="6" spans="1:111" ht="13.15" customHeight="1">
      <c r="A6" s="504" t="s">
        <v>465</v>
      </c>
      <c r="B6" s="498" t="s">
        <v>466</v>
      </c>
      <c r="C6" s="498" t="s">
        <v>467</v>
      </c>
      <c r="D6" s="498" t="s">
        <v>468</v>
      </c>
      <c r="E6" s="500" t="s">
        <v>469</v>
      </c>
      <c r="F6" s="498" t="s">
        <v>470</v>
      </c>
      <c r="G6" s="498" t="s">
        <v>576</v>
      </c>
      <c r="H6" s="498" t="s">
        <v>471</v>
      </c>
      <c r="I6" s="498" t="s">
        <v>472</v>
      </c>
      <c r="J6" s="293"/>
      <c r="K6" s="498" t="s">
        <v>473</v>
      </c>
      <c r="L6" s="498" t="s">
        <v>474</v>
      </c>
      <c r="M6" s="500" t="s">
        <v>506</v>
      </c>
      <c r="N6" s="498" t="s">
        <v>577</v>
      </c>
      <c r="O6" s="498" t="s">
        <v>475</v>
      </c>
      <c r="P6" s="498" t="s">
        <v>476</v>
      </c>
      <c r="Q6" s="498" t="s">
        <v>476</v>
      </c>
      <c r="R6" s="498" t="s">
        <v>477</v>
      </c>
      <c r="S6" s="498" t="s">
        <v>477</v>
      </c>
      <c r="T6" s="498" t="s">
        <v>478</v>
      </c>
      <c r="U6" s="498" t="s">
        <v>479</v>
      </c>
    </row>
    <row r="7" spans="1:111">
      <c r="A7" s="504"/>
      <c r="B7" s="498"/>
      <c r="C7" s="498"/>
      <c r="D7" s="498"/>
      <c r="E7" s="505"/>
      <c r="F7" s="498"/>
      <c r="G7" s="498"/>
      <c r="H7" s="498"/>
      <c r="I7" s="498"/>
      <c r="J7" s="293"/>
      <c r="K7" s="498"/>
      <c r="L7" s="498"/>
      <c r="M7" s="501"/>
      <c r="N7" s="498"/>
      <c r="O7" s="498"/>
      <c r="P7" s="498"/>
      <c r="Q7" s="498"/>
      <c r="R7" s="498"/>
      <c r="S7" s="498"/>
      <c r="T7" s="498"/>
      <c r="U7" s="499"/>
    </row>
    <row r="8" spans="1:111">
      <c r="A8" s="504"/>
      <c r="B8" s="498"/>
      <c r="C8" s="498"/>
      <c r="D8" s="498"/>
      <c r="E8" s="501"/>
      <c r="F8" s="498"/>
      <c r="G8" s="498"/>
      <c r="H8" s="498"/>
      <c r="I8" s="498"/>
      <c r="J8" s="293"/>
      <c r="K8" s="498"/>
      <c r="L8" s="498"/>
      <c r="M8" s="501"/>
      <c r="N8" s="498"/>
      <c r="O8" s="498"/>
      <c r="P8" s="498"/>
      <c r="Q8" s="498"/>
      <c r="R8" s="498"/>
      <c r="S8" s="498"/>
      <c r="T8" s="498"/>
      <c r="U8" s="499"/>
    </row>
    <row r="9" spans="1:111" ht="44.25" customHeight="1">
      <c r="A9" s="504"/>
      <c r="B9" s="498"/>
      <c r="C9" s="498"/>
      <c r="D9" s="498"/>
      <c r="E9" s="502"/>
      <c r="F9" s="498"/>
      <c r="G9" s="498"/>
      <c r="H9" s="498"/>
      <c r="I9" s="498"/>
      <c r="J9" s="293" t="s">
        <v>518</v>
      </c>
      <c r="K9" s="498"/>
      <c r="L9" s="498"/>
      <c r="M9" s="502"/>
      <c r="N9" s="498"/>
      <c r="O9" s="498"/>
      <c r="P9" s="498"/>
      <c r="Q9" s="498"/>
      <c r="R9" s="498"/>
      <c r="S9" s="498"/>
      <c r="T9" s="498"/>
      <c r="U9" s="499"/>
      <c r="W9" s="278" t="s">
        <v>372</v>
      </c>
      <c r="X9" s="278" t="s">
        <v>488</v>
      </c>
      <c r="Y9" s="278" t="s">
        <v>364</v>
      </c>
      <c r="Z9" s="278" t="s">
        <v>488</v>
      </c>
      <c r="AA9" s="278" t="s">
        <v>365</v>
      </c>
      <c r="AB9" s="278" t="s">
        <v>488</v>
      </c>
      <c r="AC9" s="278" t="s">
        <v>86</v>
      </c>
      <c r="AD9" s="278" t="s">
        <v>488</v>
      </c>
      <c r="AE9" s="278" t="s">
        <v>489</v>
      </c>
      <c r="AF9" s="290" t="s">
        <v>521</v>
      </c>
    </row>
    <row r="10" spans="1:111" s="284" customFormat="1" ht="15">
      <c r="A10" s="316">
        <v>1</v>
      </c>
      <c r="B10" s="317" t="s">
        <v>480</v>
      </c>
      <c r="C10" s="318">
        <v>1</v>
      </c>
      <c r="D10" s="319">
        <v>29250</v>
      </c>
      <c r="E10" s="319">
        <f>C10*D10</f>
        <v>29250</v>
      </c>
      <c r="F10" s="319"/>
      <c r="G10" s="319"/>
      <c r="H10" s="319"/>
      <c r="I10" s="319"/>
      <c r="J10" s="319"/>
      <c r="K10" s="319">
        <f t="shared" ref="K10:K26" si="0">E10+F10+G10+H10+I10+J10</f>
        <v>29250</v>
      </c>
      <c r="L10" s="319">
        <f>K10*12</f>
        <v>351000</v>
      </c>
      <c r="M10" s="319">
        <f>N10*12</f>
        <v>1536</v>
      </c>
      <c r="N10" s="319">
        <v>128</v>
      </c>
      <c r="O10" s="319">
        <f>L10+M10</f>
        <v>352536</v>
      </c>
      <c r="P10" s="319"/>
      <c r="Q10" s="319"/>
      <c r="R10" s="319"/>
      <c r="S10" s="319"/>
      <c r="T10" s="319"/>
      <c r="U10" s="320">
        <f>O10+T10</f>
        <v>352536</v>
      </c>
      <c r="V10" s="278"/>
      <c r="W10" s="341">
        <f>E10*3</f>
        <v>87750</v>
      </c>
      <c r="X10" s="341">
        <f>($F10+$G10+$H10+$I10+$N10+$Q10+$S10)*3</f>
        <v>384</v>
      </c>
      <c r="Y10" s="341">
        <f>E10*6</f>
        <v>175500</v>
      </c>
      <c r="Z10" s="341">
        <f t="shared" ref="Z10:Z55" si="1">($F10+$G10+$H10+$I10+$N10+$Q10+$S10)*6</f>
        <v>768</v>
      </c>
      <c r="AA10" s="341">
        <f>E10*9</f>
        <v>263250</v>
      </c>
      <c r="AB10" s="341">
        <f t="shared" ref="AB10:AB55" si="2">($F10+$G10+$H10+$I10+$N10+$Q10+$S10)*9</f>
        <v>1152</v>
      </c>
      <c r="AC10" s="341">
        <f>E10*12</f>
        <v>351000</v>
      </c>
      <c r="AD10" s="341">
        <f t="shared" ref="AD10:AD55" si="3">($F10+$G10+$H10+$I10+$N10+$Q10+$S10)*12</f>
        <v>1536</v>
      </c>
      <c r="AE10" s="341">
        <f>AD10+AC10</f>
        <v>352536</v>
      </c>
      <c r="AF10" s="291">
        <f>(AC10+AD10)/12/C10</f>
        <v>29378</v>
      </c>
      <c r="AG10" s="338"/>
      <c r="AH10" s="338"/>
      <c r="AI10" s="338"/>
      <c r="AJ10" s="338"/>
      <c r="AK10" s="338"/>
      <c r="AL10" s="338"/>
      <c r="AM10" s="338"/>
      <c r="AN10" s="338"/>
      <c r="AO10" s="338"/>
      <c r="AP10" s="338"/>
      <c r="AQ10" s="338"/>
      <c r="AR10" s="338"/>
      <c r="AS10" s="338"/>
      <c r="AT10" s="338"/>
      <c r="AU10" s="338"/>
      <c r="AV10" s="338"/>
      <c r="AW10" s="338"/>
      <c r="AX10" s="338"/>
      <c r="AY10" s="338"/>
      <c r="AZ10" s="338"/>
      <c r="BA10" s="338"/>
      <c r="BB10" s="338"/>
      <c r="BC10" s="338"/>
      <c r="BD10" s="338"/>
      <c r="BE10" s="338"/>
      <c r="BF10" s="338"/>
      <c r="BG10" s="338"/>
      <c r="BH10" s="338"/>
      <c r="BI10" s="338"/>
      <c r="BJ10" s="338"/>
      <c r="BK10" s="338"/>
      <c r="BL10" s="338"/>
      <c r="BM10" s="338"/>
      <c r="BN10" s="338"/>
      <c r="BO10" s="338"/>
      <c r="BP10" s="338"/>
      <c r="BQ10" s="338"/>
      <c r="BR10" s="338"/>
      <c r="BS10" s="338"/>
      <c r="BT10" s="338"/>
      <c r="BU10" s="338"/>
      <c r="BV10" s="338"/>
      <c r="BW10" s="338"/>
      <c r="BX10" s="338"/>
      <c r="BY10" s="338"/>
      <c r="BZ10" s="338"/>
      <c r="CA10" s="338"/>
      <c r="CB10" s="338"/>
      <c r="CC10" s="338"/>
      <c r="CD10" s="338"/>
      <c r="CE10" s="338"/>
      <c r="CF10" s="338"/>
      <c r="CG10" s="338"/>
      <c r="CH10" s="338"/>
      <c r="CI10" s="338"/>
      <c r="CJ10" s="338"/>
      <c r="CK10" s="338"/>
      <c r="CL10" s="338"/>
      <c r="CM10" s="338"/>
      <c r="CN10" s="338"/>
      <c r="CO10" s="338"/>
      <c r="CP10" s="338"/>
      <c r="CQ10" s="338"/>
      <c r="CR10" s="338"/>
      <c r="CS10" s="338"/>
      <c r="CT10" s="338"/>
      <c r="CU10" s="338"/>
      <c r="CV10" s="338"/>
      <c r="CW10" s="338"/>
      <c r="CX10" s="338"/>
      <c r="CY10" s="338"/>
      <c r="CZ10" s="338"/>
      <c r="DA10" s="338"/>
      <c r="DB10" s="338"/>
      <c r="DC10" s="338"/>
      <c r="DD10" s="338"/>
      <c r="DE10" s="338"/>
      <c r="DF10" s="338"/>
      <c r="DG10" s="338"/>
    </row>
    <row r="11" spans="1:111" s="284" customFormat="1" ht="45.75" customHeight="1">
      <c r="A11" s="316">
        <v>2</v>
      </c>
      <c r="B11" s="321" t="s">
        <v>545</v>
      </c>
      <c r="C11" s="318">
        <v>1</v>
      </c>
      <c r="D11" s="319">
        <v>24863</v>
      </c>
      <c r="E11" s="319">
        <f t="shared" ref="E11:E37" si="4">C11*D11</f>
        <v>24863</v>
      </c>
      <c r="F11" s="319"/>
      <c r="G11" s="319"/>
      <c r="H11" s="319"/>
      <c r="I11" s="319"/>
      <c r="J11" s="319"/>
      <c r="K11" s="319">
        <f t="shared" si="0"/>
        <v>24863</v>
      </c>
      <c r="L11" s="319">
        <f t="shared" ref="L11:L55" si="5">K11*12</f>
        <v>298356</v>
      </c>
      <c r="M11" s="319">
        <f t="shared" ref="M11:M21" si="6">N11*12</f>
        <v>1536</v>
      </c>
      <c r="N11" s="319">
        <v>128</v>
      </c>
      <c r="O11" s="319">
        <f>L11+M11</f>
        <v>299892</v>
      </c>
      <c r="P11" s="319"/>
      <c r="Q11" s="319"/>
      <c r="R11" s="319"/>
      <c r="S11" s="319"/>
      <c r="T11" s="319"/>
      <c r="U11" s="320">
        <f t="shared" ref="U11:U38" si="7">O11+T11</f>
        <v>299892</v>
      </c>
      <c r="V11" s="278"/>
      <c r="W11" s="341">
        <f t="shared" ref="W11:W39" si="8">E11*3</f>
        <v>74589</v>
      </c>
      <c r="X11" s="341">
        <f t="shared" ref="X11:X55" si="9">($F11+$G11+$H11+$I11+$N11+$Q11+$S11)*3</f>
        <v>384</v>
      </c>
      <c r="Y11" s="341">
        <f t="shared" ref="Y11:Y38" si="10">E11*6</f>
        <v>149178</v>
      </c>
      <c r="Z11" s="341">
        <f t="shared" si="1"/>
        <v>768</v>
      </c>
      <c r="AA11" s="341">
        <f t="shared" ref="AA11:AA39" si="11">E11*9</f>
        <v>223767</v>
      </c>
      <c r="AB11" s="341">
        <f t="shared" si="2"/>
        <v>1152</v>
      </c>
      <c r="AC11" s="341">
        <f t="shared" ref="AC11:AC39" si="12">E11*12</f>
        <v>298356</v>
      </c>
      <c r="AD11" s="341">
        <f t="shared" si="3"/>
        <v>1536</v>
      </c>
      <c r="AE11" s="341">
        <f>AD11+AC11</f>
        <v>299892</v>
      </c>
      <c r="AF11" s="291">
        <f t="shared" ref="AF11:AF39" si="13">(AC11+AD11)/12/C11</f>
        <v>24991</v>
      </c>
      <c r="AG11" s="338"/>
      <c r="AH11" s="338"/>
      <c r="AI11" s="338"/>
      <c r="AJ11" s="338"/>
      <c r="AK11" s="338"/>
      <c r="AL11" s="338"/>
      <c r="AM11" s="338"/>
      <c r="AN11" s="338"/>
      <c r="AO11" s="338"/>
      <c r="AP11" s="338"/>
      <c r="AQ11" s="338"/>
      <c r="AR11" s="338"/>
      <c r="AS11" s="338"/>
      <c r="AT11" s="338"/>
      <c r="AU11" s="338"/>
      <c r="AV11" s="338"/>
      <c r="AW11" s="338"/>
      <c r="AX11" s="338"/>
      <c r="AY11" s="338"/>
      <c r="AZ11" s="338"/>
      <c r="BA11" s="338"/>
      <c r="BB11" s="338"/>
      <c r="BC11" s="338"/>
      <c r="BD11" s="338"/>
      <c r="BE11" s="338"/>
      <c r="BF11" s="338"/>
      <c r="BG11" s="338"/>
      <c r="BH11" s="338"/>
      <c r="BI11" s="338"/>
      <c r="BJ11" s="338"/>
      <c r="BK11" s="338"/>
      <c r="BL11" s="338"/>
      <c r="BM11" s="338"/>
      <c r="BN11" s="338"/>
      <c r="BO11" s="338"/>
      <c r="BP11" s="338"/>
      <c r="BQ11" s="338"/>
      <c r="BR11" s="338"/>
      <c r="BS11" s="338"/>
      <c r="BT11" s="338"/>
      <c r="BU11" s="338"/>
      <c r="BV11" s="338"/>
      <c r="BW11" s="338"/>
      <c r="BX11" s="338"/>
      <c r="BY11" s="338"/>
      <c r="BZ11" s="338"/>
      <c r="CA11" s="338"/>
      <c r="CB11" s="338"/>
      <c r="CC11" s="338"/>
      <c r="CD11" s="338"/>
      <c r="CE11" s="338"/>
      <c r="CF11" s="338"/>
      <c r="CG11" s="338"/>
      <c r="CH11" s="338"/>
      <c r="CI11" s="338"/>
      <c r="CJ11" s="338"/>
      <c r="CK11" s="338"/>
      <c r="CL11" s="338"/>
      <c r="CM11" s="338"/>
      <c r="CN11" s="338"/>
      <c r="CO11" s="338"/>
      <c r="CP11" s="338"/>
      <c r="CQ11" s="338"/>
      <c r="CR11" s="338"/>
      <c r="CS11" s="338"/>
      <c r="CT11" s="338"/>
      <c r="CU11" s="338"/>
      <c r="CV11" s="338"/>
      <c r="CW11" s="338"/>
      <c r="CX11" s="338"/>
      <c r="CY11" s="338"/>
      <c r="CZ11" s="338"/>
      <c r="DA11" s="338"/>
      <c r="DB11" s="338"/>
      <c r="DC11" s="338"/>
      <c r="DD11" s="338"/>
      <c r="DE11" s="338"/>
      <c r="DF11" s="338"/>
      <c r="DG11" s="338"/>
    </row>
    <row r="12" spans="1:111" s="284" customFormat="1" ht="48" customHeight="1">
      <c r="A12" s="316">
        <v>3</v>
      </c>
      <c r="B12" s="322" t="s">
        <v>546</v>
      </c>
      <c r="C12" s="318">
        <v>1</v>
      </c>
      <c r="D12" s="319">
        <v>24863</v>
      </c>
      <c r="E12" s="319">
        <f t="shared" si="4"/>
        <v>24863</v>
      </c>
      <c r="F12" s="319"/>
      <c r="G12" s="319"/>
      <c r="H12" s="319"/>
      <c r="I12" s="319"/>
      <c r="J12" s="319"/>
      <c r="K12" s="319">
        <f t="shared" si="0"/>
        <v>24863</v>
      </c>
      <c r="L12" s="319">
        <f t="shared" si="5"/>
        <v>298356</v>
      </c>
      <c r="M12" s="319">
        <f t="shared" si="6"/>
        <v>1536</v>
      </c>
      <c r="N12" s="319">
        <v>128</v>
      </c>
      <c r="O12" s="319">
        <f t="shared" ref="O12:O37" si="14">L12+M12</f>
        <v>299892</v>
      </c>
      <c r="P12" s="319"/>
      <c r="Q12" s="319"/>
      <c r="R12" s="319"/>
      <c r="S12" s="319"/>
      <c r="T12" s="319"/>
      <c r="U12" s="320">
        <f t="shared" si="7"/>
        <v>299892</v>
      </c>
      <c r="V12" s="278"/>
      <c r="W12" s="341">
        <f t="shared" si="8"/>
        <v>74589</v>
      </c>
      <c r="X12" s="341">
        <f t="shared" si="9"/>
        <v>384</v>
      </c>
      <c r="Y12" s="341">
        <f t="shared" si="10"/>
        <v>149178</v>
      </c>
      <c r="Z12" s="341">
        <f t="shared" si="1"/>
        <v>768</v>
      </c>
      <c r="AA12" s="341">
        <f t="shared" si="11"/>
        <v>223767</v>
      </c>
      <c r="AB12" s="341">
        <f t="shared" si="2"/>
        <v>1152</v>
      </c>
      <c r="AC12" s="341">
        <f t="shared" si="12"/>
        <v>298356</v>
      </c>
      <c r="AD12" s="341">
        <f t="shared" si="3"/>
        <v>1536</v>
      </c>
      <c r="AE12" s="341">
        <f t="shared" ref="AE12:AE38" si="15">AD12+AC12</f>
        <v>299892</v>
      </c>
      <c r="AF12" s="291">
        <f t="shared" si="13"/>
        <v>24991</v>
      </c>
      <c r="AG12" s="338"/>
      <c r="AH12" s="338"/>
      <c r="AI12" s="338"/>
      <c r="AJ12" s="338"/>
      <c r="AK12" s="338"/>
      <c r="AL12" s="338"/>
      <c r="AM12" s="338"/>
      <c r="AN12" s="338"/>
      <c r="AO12" s="338"/>
      <c r="AP12" s="338"/>
      <c r="AQ12" s="338"/>
      <c r="AR12" s="338"/>
      <c r="AS12" s="338"/>
      <c r="AT12" s="338"/>
      <c r="AU12" s="338"/>
      <c r="AV12" s="338"/>
      <c r="AW12" s="338"/>
      <c r="AX12" s="338"/>
      <c r="AY12" s="338"/>
      <c r="AZ12" s="338"/>
      <c r="BA12" s="338"/>
      <c r="BB12" s="338"/>
      <c r="BC12" s="338"/>
      <c r="BD12" s="338"/>
      <c r="BE12" s="338"/>
      <c r="BF12" s="338"/>
      <c r="BG12" s="338"/>
      <c r="BH12" s="338"/>
      <c r="BI12" s="338"/>
      <c r="BJ12" s="338"/>
      <c r="BK12" s="338"/>
      <c r="BL12" s="338"/>
      <c r="BM12" s="338"/>
      <c r="BN12" s="338"/>
      <c r="BO12" s="338"/>
      <c r="BP12" s="338"/>
      <c r="BQ12" s="338"/>
      <c r="BR12" s="338"/>
      <c r="BS12" s="338"/>
      <c r="BT12" s="338"/>
      <c r="BU12" s="338"/>
      <c r="BV12" s="338"/>
      <c r="BW12" s="338"/>
      <c r="BX12" s="338"/>
      <c r="BY12" s="338"/>
      <c r="BZ12" s="338"/>
      <c r="CA12" s="338"/>
      <c r="CB12" s="338"/>
      <c r="CC12" s="338"/>
      <c r="CD12" s="338"/>
      <c r="CE12" s="338"/>
      <c r="CF12" s="338"/>
      <c r="CG12" s="338"/>
      <c r="CH12" s="338"/>
      <c r="CI12" s="338"/>
      <c r="CJ12" s="338"/>
      <c r="CK12" s="338"/>
      <c r="CL12" s="338"/>
      <c r="CM12" s="338"/>
      <c r="CN12" s="338"/>
      <c r="CO12" s="338"/>
      <c r="CP12" s="338"/>
      <c r="CQ12" s="338"/>
      <c r="CR12" s="338"/>
      <c r="CS12" s="338"/>
      <c r="CT12" s="338"/>
      <c r="CU12" s="338"/>
      <c r="CV12" s="338"/>
      <c r="CW12" s="338"/>
      <c r="CX12" s="338"/>
      <c r="CY12" s="338"/>
      <c r="CZ12" s="338"/>
      <c r="DA12" s="338"/>
      <c r="DB12" s="338"/>
      <c r="DC12" s="338"/>
      <c r="DD12" s="338"/>
      <c r="DE12" s="338"/>
      <c r="DF12" s="338"/>
      <c r="DG12" s="338"/>
    </row>
    <row r="13" spans="1:111" s="284" customFormat="1" ht="15.75" thickBot="1">
      <c r="A13" s="316">
        <v>4</v>
      </c>
      <c r="B13" s="323" t="s">
        <v>547</v>
      </c>
      <c r="C13" s="318">
        <v>1</v>
      </c>
      <c r="D13" s="319">
        <v>20475</v>
      </c>
      <c r="E13" s="319">
        <f t="shared" si="4"/>
        <v>20475</v>
      </c>
      <c r="F13" s="319"/>
      <c r="G13" s="319"/>
      <c r="H13" s="319"/>
      <c r="I13" s="319"/>
      <c r="J13" s="319"/>
      <c r="K13" s="319">
        <f t="shared" si="0"/>
        <v>20475</v>
      </c>
      <c r="L13" s="319">
        <f t="shared" si="5"/>
        <v>245700</v>
      </c>
      <c r="M13" s="319">
        <f t="shared" si="6"/>
        <v>1536</v>
      </c>
      <c r="N13" s="319">
        <v>128</v>
      </c>
      <c r="O13" s="319">
        <f t="shared" si="14"/>
        <v>247236</v>
      </c>
      <c r="P13" s="319"/>
      <c r="Q13" s="319"/>
      <c r="R13" s="319"/>
      <c r="S13" s="319"/>
      <c r="T13" s="319"/>
      <c r="U13" s="320">
        <f t="shared" si="7"/>
        <v>247236</v>
      </c>
      <c r="V13" s="278"/>
      <c r="W13" s="341">
        <f t="shared" si="8"/>
        <v>61425</v>
      </c>
      <c r="X13" s="341">
        <f t="shared" si="9"/>
        <v>384</v>
      </c>
      <c r="Y13" s="341">
        <f t="shared" si="10"/>
        <v>122850</v>
      </c>
      <c r="Z13" s="341">
        <f t="shared" si="1"/>
        <v>768</v>
      </c>
      <c r="AA13" s="341">
        <f t="shared" si="11"/>
        <v>184275</v>
      </c>
      <c r="AB13" s="341">
        <f t="shared" si="2"/>
        <v>1152</v>
      </c>
      <c r="AC13" s="341">
        <f t="shared" si="12"/>
        <v>245700</v>
      </c>
      <c r="AD13" s="341">
        <f t="shared" si="3"/>
        <v>1536</v>
      </c>
      <c r="AE13" s="341">
        <f t="shared" si="15"/>
        <v>247236</v>
      </c>
      <c r="AF13" s="291">
        <f t="shared" si="13"/>
        <v>20603</v>
      </c>
      <c r="AG13" s="338"/>
      <c r="AH13" s="338"/>
      <c r="AI13" s="338"/>
      <c r="AJ13" s="338"/>
      <c r="AK13" s="338"/>
      <c r="AL13" s="338"/>
      <c r="AM13" s="338"/>
      <c r="AN13" s="338"/>
      <c r="AO13" s="338"/>
      <c r="AP13" s="338"/>
      <c r="AQ13" s="338"/>
      <c r="AR13" s="338"/>
      <c r="AS13" s="338"/>
      <c r="AT13" s="338"/>
      <c r="AU13" s="338"/>
      <c r="AV13" s="338"/>
      <c r="AW13" s="338"/>
      <c r="AX13" s="338"/>
      <c r="AY13" s="338"/>
      <c r="AZ13" s="338"/>
      <c r="BA13" s="338"/>
      <c r="BB13" s="338"/>
      <c r="BC13" s="338"/>
      <c r="BD13" s="338"/>
      <c r="BE13" s="338"/>
      <c r="BF13" s="338"/>
      <c r="BG13" s="338"/>
      <c r="BH13" s="338"/>
      <c r="BI13" s="338"/>
      <c r="BJ13" s="338"/>
      <c r="BK13" s="338"/>
      <c r="BL13" s="338"/>
      <c r="BM13" s="338"/>
      <c r="BN13" s="338"/>
      <c r="BO13" s="338"/>
      <c r="BP13" s="338"/>
      <c r="BQ13" s="338"/>
      <c r="BR13" s="338"/>
      <c r="BS13" s="338"/>
      <c r="BT13" s="338"/>
      <c r="BU13" s="338"/>
      <c r="BV13" s="338"/>
      <c r="BW13" s="338"/>
      <c r="BX13" s="338"/>
      <c r="BY13" s="338"/>
      <c r="BZ13" s="338"/>
      <c r="CA13" s="338"/>
      <c r="CB13" s="338"/>
      <c r="CC13" s="338"/>
      <c r="CD13" s="338"/>
      <c r="CE13" s="338"/>
      <c r="CF13" s="338"/>
      <c r="CG13" s="338"/>
      <c r="CH13" s="338"/>
      <c r="CI13" s="338"/>
      <c r="CJ13" s="338"/>
      <c r="CK13" s="338"/>
      <c r="CL13" s="338"/>
      <c r="CM13" s="338"/>
      <c r="CN13" s="338"/>
      <c r="CO13" s="338"/>
      <c r="CP13" s="338"/>
      <c r="CQ13" s="338"/>
      <c r="CR13" s="338"/>
      <c r="CS13" s="338"/>
      <c r="CT13" s="338"/>
      <c r="CU13" s="338"/>
      <c r="CV13" s="338"/>
      <c r="CW13" s="338"/>
      <c r="CX13" s="338"/>
      <c r="CY13" s="338"/>
      <c r="CZ13" s="338"/>
      <c r="DA13" s="338"/>
      <c r="DB13" s="338"/>
      <c r="DC13" s="338"/>
      <c r="DD13" s="338"/>
      <c r="DE13" s="338"/>
      <c r="DF13" s="338"/>
      <c r="DG13" s="338"/>
    </row>
    <row r="14" spans="1:111" s="284" customFormat="1" ht="15">
      <c r="A14" s="316"/>
      <c r="B14" s="324" t="s">
        <v>565</v>
      </c>
      <c r="C14" s="318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20"/>
      <c r="V14" s="278"/>
      <c r="W14" s="338"/>
      <c r="X14" s="338"/>
      <c r="Y14" s="338"/>
      <c r="Z14" s="338"/>
      <c r="AA14" s="338"/>
      <c r="AB14" s="338"/>
      <c r="AC14" s="338"/>
      <c r="AD14" s="338"/>
      <c r="AE14" s="338"/>
      <c r="AF14" s="340"/>
      <c r="AG14" s="338"/>
      <c r="AH14" s="338"/>
      <c r="AI14" s="338"/>
      <c r="AJ14" s="338"/>
      <c r="AK14" s="338"/>
      <c r="AL14" s="338"/>
      <c r="AM14" s="338"/>
      <c r="AN14" s="338"/>
      <c r="AO14" s="338"/>
      <c r="AP14" s="338"/>
      <c r="AQ14" s="338"/>
      <c r="AR14" s="338"/>
      <c r="AS14" s="338"/>
      <c r="AT14" s="338"/>
      <c r="AU14" s="338"/>
      <c r="AV14" s="338"/>
      <c r="AW14" s="338"/>
      <c r="AX14" s="338"/>
      <c r="AY14" s="338"/>
      <c r="AZ14" s="338"/>
      <c r="BA14" s="338"/>
      <c r="BB14" s="338"/>
      <c r="BC14" s="338"/>
      <c r="BD14" s="338"/>
      <c r="BE14" s="338"/>
      <c r="BF14" s="338"/>
      <c r="BG14" s="338"/>
      <c r="BH14" s="338"/>
      <c r="BI14" s="338"/>
      <c r="BJ14" s="338"/>
      <c r="BK14" s="338"/>
      <c r="BL14" s="338"/>
      <c r="BM14" s="338"/>
      <c r="BN14" s="338"/>
      <c r="BO14" s="338"/>
      <c r="BP14" s="338"/>
      <c r="BQ14" s="338"/>
      <c r="BR14" s="338"/>
      <c r="BS14" s="338"/>
      <c r="BT14" s="338"/>
      <c r="BU14" s="338"/>
      <c r="BV14" s="338"/>
      <c r="BW14" s="338"/>
      <c r="BX14" s="338"/>
      <c r="BY14" s="338"/>
      <c r="BZ14" s="338"/>
      <c r="CA14" s="338"/>
      <c r="CB14" s="338"/>
      <c r="CC14" s="338"/>
      <c r="CD14" s="338"/>
      <c r="CE14" s="338"/>
      <c r="CF14" s="338"/>
      <c r="CG14" s="338"/>
      <c r="CH14" s="338"/>
      <c r="CI14" s="338"/>
      <c r="CJ14" s="338"/>
      <c r="CK14" s="338"/>
      <c r="CL14" s="338"/>
      <c r="CM14" s="338"/>
      <c r="CN14" s="338"/>
      <c r="CO14" s="338"/>
      <c r="CP14" s="338"/>
      <c r="CQ14" s="338"/>
      <c r="CR14" s="338"/>
      <c r="CS14" s="338"/>
      <c r="CT14" s="338"/>
      <c r="CU14" s="338"/>
      <c r="CV14" s="338"/>
      <c r="CW14" s="338"/>
      <c r="CX14" s="338"/>
      <c r="CY14" s="338"/>
      <c r="CZ14" s="338"/>
      <c r="DA14" s="338"/>
      <c r="DB14" s="338"/>
      <c r="DC14" s="338"/>
      <c r="DD14" s="338"/>
      <c r="DE14" s="338"/>
      <c r="DF14" s="338"/>
      <c r="DG14" s="338"/>
    </row>
    <row r="15" spans="1:111" s="284" customFormat="1" ht="21" customHeight="1">
      <c r="A15" s="316">
        <v>5</v>
      </c>
      <c r="B15" s="311" t="s">
        <v>481</v>
      </c>
      <c r="C15" s="318">
        <v>1</v>
      </c>
      <c r="D15" s="319">
        <v>24863</v>
      </c>
      <c r="E15" s="319">
        <f t="shared" si="4"/>
        <v>24863</v>
      </c>
      <c r="F15" s="319"/>
      <c r="G15" s="319"/>
      <c r="H15" s="319"/>
      <c r="I15" s="319"/>
      <c r="J15" s="319"/>
      <c r="K15" s="319">
        <f t="shared" si="0"/>
        <v>24863</v>
      </c>
      <c r="L15" s="319">
        <f t="shared" si="5"/>
        <v>298356</v>
      </c>
      <c r="M15" s="319">
        <f t="shared" si="6"/>
        <v>1536</v>
      </c>
      <c r="N15" s="319">
        <v>128</v>
      </c>
      <c r="O15" s="319">
        <f t="shared" si="14"/>
        <v>299892</v>
      </c>
      <c r="P15" s="319"/>
      <c r="Q15" s="319"/>
      <c r="R15" s="319"/>
      <c r="S15" s="319"/>
      <c r="T15" s="319"/>
      <c r="U15" s="320">
        <f t="shared" si="7"/>
        <v>299892</v>
      </c>
      <c r="V15" s="278"/>
      <c r="W15" s="341">
        <f t="shared" si="8"/>
        <v>74589</v>
      </c>
      <c r="X15" s="341">
        <f t="shared" si="9"/>
        <v>384</v>
      </c>
      <c r="Y15" s="341">
        <f t="shared" si="10"/>
        <v>149178</v>
      </c>
      <c r="Z15" s="341">
        <f t="shared" si="1"/>
        <v>768</v>
      </c>
      <c r="AA15" s="341">
        <f t="shared" si="11"/>
        <v>223767</v>
      </c>
      <c r="AB15" s="341">
        <f t="shared" si="2"/>
        <v>1152</v>
      </c>
      <c r="AC15" s="341">
        <f t="shared" si="12"/>
        <v>298356</v>
      </c>
      <c r="AD15" s="341">
        <f t="shared" si="3"/>
        <v>1536</v>
      </c>
      <c r="AE15" s="341">
        <f t="shared" si="15"/>
        <v>299892</v>
      </c>
      <c r="AF15" s="291">
        <f t="shared" si="13"/>
        <v>24991</v>
      </c>
      <c r="AG15" s="338"/>
      <c r="AH15" s="338"/>
      <c r="AI15" s="338"/>
      <c r="AJ15" s="338"/>
      <c r="AK15" s="338"/>
      <c r="AL15" s="338"/>
      <c r="AM15" s="338"/>
      <c r="AN15" s="338"/>
      <c r="AO15" s="338"/>
      <c r="AP15" s="338"/>
      <c r="AQ15" s="338"/>
      <c r="AR15" s="338"/>
      <c r="AS15" s="338"/>
      <c r="AT15" s="338"/>
      <c r="AU15" s="338"/>
      <c r="AV15" s="338"/>
      <c r="AW15" s="338"/>
      <c r="AX15" s="338"/>
      <c r="AY15" s="338"/>
      <c r="AZ15" s="338"/>
      <c r="BA15" s="338"/>
      <c r="BB15" s="338"/>
      <c r="BC15" s="338"/>
      <c r="BD15" s="338"/>
      <c r="BE15" s="338"/>
      <c r="BF15" s="338"/>
      <c r="BG15" s="338"/>
      <c r="BH15" s="338"/>
      <c r="BI15" s="338"/>
      <c r="BJ15" s="338"/>
      <c r="BK15" s="338"/>
      <c r="BL15" s="338"/>
      <c r="BM15" s="338"/>
      <c r="BN15" s="338"/>
      <c r="BO15" s="338"/>
      <c r="BP15" s="338"/>
      <c r="BQ15" s="338"/>
      <c r="BR15" s="338"/>
      <c r="BS15" s="338"/>
      <c r="BT15" s="338"/>
      <c r="BU15" s="338"/>
      <c r="BV15" s="338"/>
      <c r="BW15" s="338"/>
      <c r="BX15" s="338"/>
      <c r="BY15" s="338"/>
      <c r="BZ15" s="338"/>
      <c r="CA15" s="338"/>
      <c r="CB15" s="338"/>
      <c r="CC15" s="338"/>
      <c r="CD15" s="338"/>
      <c r="CE15" s="338"/>
      <c r="CF15" s="338"/>
      <c r="CG15" s="338"/>
      <c r="CH15" s="338"/>
      <c r="CI15" s="338"/>
      <c r="CJ15" s="338"/>
      <c r="CK15" s="338"/>
      <c r="CL15" s="338"/>
      <c r="CM15" s="338"/>
      <c r="CN15" s="338"/>
      <c r="CO15" s="338"/>
      <c r="CP15" s="338"/>
      <c r="CQ15" s="338"/>
      <c r="CR15" s="338"/>
      <c r="CS15" s="338"/>
      <c r="CT15" s="338"/>
      <c r="CU15" s="338"/>
      <c r="CV15" s="338"/>
      <c r="CW15" s="338"/>
      <c r="CX15" s="338"/>
      <c r="CY15" s="338"/>
      <c r="CZ15" s="338"/>
      <c r="DA15" s="338"/>
      <c r="DB15" s="338"/>
      <c r="DC15" s="338"/>
      <c r="DD15" s="338"/>
      <c r="DE15" s="338"/>
      <c r="DF15" s="338"/>
      <c r="DG15" s="338"/>
    </row>
    <row r="16" spans="1:111" s="284" customFormat="1" ht="30">
      <c r="A16" s="316">
        <v>6</v>
      </c>
      <c r="B16" s="311" t="s">
        <v>548</v>
      </c>
      <c r="C16" s="318">
        <v>1</v>
      </c>
      <c r="D16" s="319">
        <v>21134</v>
      </c>
      <c r="E16" s="319">
        <f t="shared" si="4"/>
        <v>21134</v>
      </c>
      <c r="F16" s="319"/>
      <c r="G16" s="319"/>
      <c r="H16" s="319"/>
      <c r="I16" s="319"/>
      <c r="J16" s="319"/>
      <c r="K16" s="319">
        <f t="shared" si="0"/>
        <v>21134</v>
      </c>
      <c r="L16" s="319">
        <f t="shared" si="5"/>
        <v>253608</v>
      </c>
      <c r="M16" s="319">
        <f t="shared" si="6"/>
        <v>1536</v>
      </c>
      <c r="N16" s="319">
        <v>128</v>
      </c>
      <c r="O16" s="319">
        <f t="shared" si="14"/>
        <v>255144</v>
      </c>
      <c r="P16" s="319"/>
      <c r="Q16" s="319"/>
      <c r="R16" s="319"/>
      <c r="S16" s="319"/>
      <c r="T16" s="319"/>
      <c r="U16" s="320">
        <f>O16+T16</f>
        <v>255144</v>
      </c>
      <c r="V16" s="278"/>
      <c r="W16" s="341">
        <f t="shared" si="8"/>
        <v>63402</v>
      </c>
      <c r="X16" s="341">
        <f t="shared" si="9"/>
        <v>384</v>
      </c>
      <c r="Y16" s="341">
        <f t="shared" si="10"/>
        <v>126804</v>
      </c>
      <c r="Z16" s="341">
        <f t="shared" si="1"/>
        <v>768</v>
      </c>
      <c r="AA16" s="341">
        <f t="shared" si="11"/>
        <v>190206</v>
      </c>
      <c r="AB16" s="341">
        <f t="shared" si="2"/>
        <v>1152</v>
      </c>
      <c r="AC16" s="341">
        <f t="shared" si="12"/>
        <v>253608</v>
      </c>
      <c r="AD16" s="341">
        <f t="shared" si="3"/>
        <v>1536</v>
      </c>
      <c r="AE16" s="341">
        <f t="shared" si="15"/>
        <v>255144</v>
      </c>
      <c r="AF16" s="291">
        <f>(AC16+AD16)/12/C16</f>
        <v>21262</v>
      </c>
      <c r="AG16" s="338"/>
      <c r="AH16" s="338"/>
      <c r="AI16" s="338"/>
      <c r="AJ16" s="338"/>
      <c r="AK16" s="338"/>
      <c r="AL16" s="338"/>
      <c r="AM16" s="338"/>
      <c r="AN16" s="338"/>
      <c r="AO16" s="338"/>
      <c r="AP16" s="338"/>
      <c r="AQ16" s="338"/>
      <c r="AR16" s="338"/>
      <c r="AS16" s="338"/>
      <c r="AT16" s="338"/>
      <c r="AU16" s="338"/>
      <c r="AV16" s="338"/>
      <c r="AW16" s="338"/>
      <c r="AX16" s="338"/>
      <c r="AY16" s="338"/>
      <c r="AZ16" s="338"/>
      <c r="BA16" s="338"/>
      <c r="BB16" s="338"/>
      <c r="BC16" s="338"/>
      <c r="BD16" s="338"/>
      <c r="BE16" s="338"/>
      <c r="BF16" s="338"/>
      <c r="BG16" s="338"/>
      <c r="BH16" s="338"/>
      <c r="BI16" s="338"/>
      <c r="BJ16" s="338"/>
      <c r="BK16" s="338"/>
      <c r="BL16" s="338"/>
      <c r="BM16" s="338"/>
      <c r="BN16" s="338"/>
      <c r="BO16" s="338"/>
      <c r="BP16" s="338"/>
      <c r="BQ16" s="338"/>
      <c r="BR16" s="338"/>
      <c r="BS16" s="338"/>
      <c r="BT16" s="338"/>
      <c r="BU16" s="338"/>
      <c r="BV16" s="338"/>
      <c r="BW16" s="338"/>
      <c r="BX16" s="338"/>
      <c r="BY16" s="338"/>
      <c r="BZ16" s="338"/>
      <c r="CA16" s="338"/>
      <c r="CB16" s="338"/>
      <c r="CC16" s="338"/>
      <c r="CD16" s="338"/>
      <c r="CE16" s="338"/>
      <c r="CF16" s="338"/>
      <c r="CG16" s="338"/>
      <c r="CH16" s="338"/>
      <c r="CI16" s="338"/>
      <c r="CJ16" s="338"/>
      <c r="CK16" s="338"/>
      <c r="CL16" s="338"/>
      <c r="CM16" s="338"/>
      <c r="CN16" s="338"/>
      <c r="CO16" s="338"/>
      <c r="CP16" s="338"/>
      <c r="CQ16" s="338"/>
      <c r="CR16" s="338"/>
      <c r="CS16" s="338"/>
      <c r="CT16" s="338"/>
      <c r="CU16" s="338"/>
      <c r="CV16" s="338"/>
      <c r="CW16" s="338"/>
      <c r="CX16" s="338"/>
      <c r="CY16" s="338"/>
      <c r="CZ16" s="338"/>
      <c r="DA16" s="338"/>
      <c r="DB16" s="338"/>
      <c r="DC16" s="338"/>
      <c r="DD16" s="338"/>
      <c r="DE16" s="338"/>
      <c r="DF16" s="338"/>
      <c r="DG16" s="338"/>
    </row>
    <row r="17" spans="1:111" s="284" customFormat="1" ht="28.5">
      <c r="A17" s="316"/>
      <c r="B17" s="314" t="s">
        <v>566</v>
      </c>
      <c r="C17" s="318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20"/>
      <c r="V17" s="278"/>
      <c r="W17" s="338"/>
      <c r="X17" s="338"/>
      <c r="Y17" s="338"/>
      <c r="Z17" s="338"/>
      <c r="AA17" s="338"/>
      <c r="AB17" s="338"/>
      <c r="AC17" s="338"/>
      <c r="AD17" s="338"/>
      <c r="AE17" s="338"/>
      <c r="AF17" s="340"/>
      <c r="AG17" s="338"/>
      <c r="AH17" s="338"/>
      <c r="AI17" s="338"/>
      <c r="AJ17" s="338"/>
      <c r="AK17" s="338"/>
      <c r="AL17" s="338"/>
      <c r="AM17" s="338"/>
      <c r="AN17" s="338"/>
      <c r="AO17" s="338"/>
      <c r="AP17" s="338"/>
      <c r="AQ17" s="338"/>
      <c r="AR17" s="338"/>
      <c r="AS17" s="338"/>
      <c r="AT17" s="338"/>
      <c r="AU17" s="338"/>
      <c r="AV17" s="338"/>
      <c r="AW17" s="338"/>
      <c r="AX17" s="338"/>
      <c r="AY17" s="338"/>
      <c r="AZ17" s="338"/>
      <c r="BA17" s="338"/>
      <c r="BB17" s="338"/>
      <c r="BC17" s="338"/>
      <c r="BD17" s="338"/>
      <c r="BE17" s="338"/>
      <c r="BF17" s="338"/>
      <c r="BG17" s="338"/>
      <c r="BH17" s="338"/>
      <c r="BI17" s="338"/>
      <c r="BJ17" s="338"/>
      <c r="BK17" s="338"/>
      <c r="BL17" s="338"/>
      <c r="BM17" s="338"/>
      <c r="BN17" s="338"/>
      <c r="BO17" s="338"/>
      <c r="BP17" s="338"/>
      <c r="BQ17" s="338"/>
      <c r="BR17" s="338"/>
      <c r="BS17" s="338"/>
      <c r="BT17" s="338"/>
      <c r="BU17" s="338"/>
      <c r="BV17" s="338"/>
      <c r="BW17" s="338"/>
      <c r="BX17" s="338"/>
      <c r="BY17" s="338"/>
      <c r="BZ17" s="338"/>
      <c r="CA17" s="338"/>
      <c r="CB17" s="338"/>
      <c r="CC17" s="338"/>
      <c r="CD17" s="338"/>
      <c r="CE17" s="338"/>
      <c r="CF17" s="338"/>
      <c r="CG17" s="338"/>
      <c r="CH17" s="338"/>
      <c r="CI17" s="338"/>
      <c r="CJ17" s="338"/>
      <c r="CK17" s="338"/>
      <c r="CL17" s="338"/>
      <c r="CM17" s="338"/>
      <c r="CN17" s="338"/>
      <c r="CO17" s="338"/>
      <c r="CP17" s="338"/>
      <c r="CQ17" s="338"/>
      <c r="CR17" s="338"/>
      <c r="CS17" s="338"/>
      <c r="CT17" s="338"/>
      <c r="CU17" s="338"/>
      <c r="CV17" s="338"/>
      <c r="CW17" s="338"/>
      <c r="CX17" s="338"/>
      <c r="CY17" s="338"/>
      <c r="CZ17" s="338"/>
      <c r="DA17" s="338"/>
      <c r="DB17" s="338"/>
      <c r="DC17" s="338"/>
      <c r="DD17" s="338"/>
      <c r="DE17" s="338"/>
      <c r="DF17" s="338"/>
      <c r="DG17" s="338"/>
    </row>
    <row r="18" spans="1:111" s="284" customFormat="1" ht="15">
      <c r="A18" s="316">
        <v>7</v>
      </c>
      <c r="B18" s="311" t="s">
        <v>549</v>
      </c>
      <c r="C18" s="318">
        <v>1</v>
      </c>
      <c r="D18" s="319">
        <v>16250</v>
      </c>
      <c r="E18" s="319">
        <f t="shared" si="4"/>
        <v>16250</v>
      </c>
      <c r="F18" s="319"/>
      <c r="G18" s="319"/>
      <c r="H18" s="319"/>
      <c r="I18" s="319"/>
      <c r="J18" s="319"/>
      <c r="K18" s="319">
        <f t="shared" si="0"/>
        <v>16250</v>
      </c>
      <c r="L18" s="319">
        <f>K18*12</f>
        <v>195000</v>
      </c>
      <c r="M18" s="319">
        <f t="shared" si="6"/>
        <v>1536</v>
      </c>
      <c r="N18" s="319">
        <v>128</v>
      </c>
      <c r="O18" s="319">
        <f t="shared" si="14"/>
        <v>196536</v>
      </c>
      <c r="P18" s="319"/>
      <c r="Q18" s="319"/>
      <c r="R18" s="319"/>
      <c r="S18" s="319"/>
      <c r="T18" s="319"/>
      <c r="U18" s="320">
        <f t="shared" si="7"/>
        <v>196536</v>
      </c>
      <c r="V18" s="278"/>
      <c r="W18" s="341">
        <f t="shared" si="8"/>
        <v>48750</v>
      </c>
      <c r="X18" s="341">
        <f t="shared" si="9"/>
        <v>384</v>
      </c>
      <c r="Y18" s="341">
        <f t="shared" si="10"/>
        <v>97500</v>
      </c>
      <c r="Z18" s="341">
        <f t="shared" si="1"/>
        <v>768</v>
      </c>
      <c r="AA18" s="341">
        <f t="shared" si="11"/>
        <v>146250</v>
      </c>
      <c r="AB18" s="341">
        <f t="shared" si="2"/>
        <v>1152</v>
      </c>
      <c r="AC18" s="341">
        <f t="shared" si="12"/>
        <v>195000</v>
      </c>
      <c r="AD18" s="341">
        <f t="shared" si="3"/>
        <v>1536</v>
      </c>
      <c r="AE18" s="341">
        <f t="shared" si="15"/>
        <v>196536</v>
      </c>
      <c r="AF18" s="291">
        <f t="shared" si="13"/>
        <v>16378</v>
      </c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  <c r="AT18" s="338"/>
      <c r="AU18" s="338"/>
      <c r="AV18" s="338"/>
      <c r="AW18" s="338"/>
      <c r="AX18" s="338"/>
      <c r="AY18" s="338"/>
      <c r="AZ18" s="338"/>
      <c r="BA18" s="338"/>
      <c r="BB18" s="338"/>
      <c r="BC18" s="338"/>
      <c r="BD18" s="338"/>
      <c r="BE18" s="338"/>
      <c r="BF18" s="338"/>
      <c r="BG18" s="338"/>
      <c r="BH18" s="338"/>
      <c r="BI18" s="338"/>
      <c r="BJ18" s="338"/>
      <c r="BK18" s="338"/>
      <c r="BL18" s="338"/>
      <c r="BM18" s="338"/>
      <c r="BN18" s="338"/>
      <c r="BO18" s="338"/>
      <c r="BP18" s="338"/>
      <c r="BQ18" s="338"/>
      <c r="BR18" s="338"/>
      <c r="BS18" s="338"/>
      <c r="BT18" s="338"/>
      <c r="BU18" s="338"/>
      <c r="BV18" s="338"/>
      <c r="BW18" s="338"/>
      <c r="BX18" s="338"/>
      <c r="BY18" s="338"/>
      <c r="BZ18" s="338"/>
      <c r="CA18" s="338"/>
      <c r="CB18" s="338"/>
      <c r="CC18" s="338"/>
      <c r="CD18" s="338"/>
      <c r="CE18" s="338"/>
      <c r="CF18" s="338"/>
      <c r="CG18" s="338"/>
      <c r="CH18" s="338"/>
      <c r="CI18" s="338"/>
      <c r="CJ18" s="338"/>
      <c r="CK18" s="338"/>
      <c r="CL18" s="338"/>
      <c r="CM18" s="338"/>
      <c r="CN18" s="338"/>
      <c r="CO18" s="338"/>
      <c r="CP18" s="338"/>
      <c r="CQ18" s="338"/>
      <c r="CR18" s="338"/>
      <c r="CS18" s="338"/>
      <c r="CT18" s="338"/>
      <c r="CU18" s="338"/>
      <c r="CV18" s="338"/>
      <c r="CW18" s="338"/>
      <c r="CX18" s="338"/>
      <c r="CY18" s="338"/>
      <c r="CZ18" s="338"/>
      <c r="DA18" s="338"/>
      <c r="DB18" s="338"/>
      <c r="DC18" s="338"/>
      <c r="DD18" s="338"/>
      <c r="DE18" s="338"/>
      <c r="DF18" s="338"/>
      <c r="DG18" s="338"/>
    </row>
    <row r="19" spans="1:111" s="284" customFormat="1" ht="15">
      <c r="A19" s="316">
        <v>8</v>
      </c>
      <c r="B19" s="342" t="s">
        <v>550</v>
      </c>
      <c r="C19" s="318">
        <v>2</v>
      </c>
      <c r="D19" s="319">
        <v>8450</v>
      </c>
      <c r="E19" s="319">
        <f t="shared" si="4"/>
        <v>16900</v>
      </c>
      <c r="F19" s="319"/>
      <c r="G19" s="319"/>
      <c r="H19" s="319"/>
      <c r="I19" s="319"/>
      <c r="J19" s="319"/>
      <c r="K19" s="319">
        <f t="shared" si="0"/>
        <v>16900</v>
      </c>
      <c r="L19" s="319">
        <f t="shared" si="5"/>
        <v>202800</v>
      </c>
      <c r="M19" s="319">
        <f t="shared" si="6"/>
        <v>3072</v>
      </c>
      <c r="N19" s="319">
        <f>128*2</f>
        <v>256</v>
      </c>
      <c r="O19" s="319">
        <f t="shared" si="14"/>
        <v>205872</v>
      </c>
      <c r="P19" s="319"/>
      <c r="Q19" s="319"/>
      <c r="R19" s="319"/>
      <c r="S19" s="319"/>
      <c r="T19" s="319"/>
      <c r="U19" s="320">
        <f t="shared" si="7"/>
        <v>205872</v>
      </c>
      <c r="V19" s="278"/>
      <c r="W19" s="341">
        <f t="shared" si="8"/>
        <v>50700</v>
      </c>
      <c r="X19" s="341">
        <f t="shared" si="9"/>
        <v>768</v>
      </c>
      <c r="Y19" s="341">
        <f t="shared" si="10"/>
        <v>101400</v>
      </c>
      <c r="Z19" s="341">
        <f t="shared" si="1"/>
        <v>1536</v>
      </c>
      <c r="AA19" s="341">
        <f t="shared" si="11"/>
        <v>152100</v>
      </c>
      <c r="AB19" s="341">
        <f t="shared" si="2"/>
        <v>2304</v>
      </c>
      <c r="AC19" s="341">
        <f t="shared" si="12"/>
        <v>202800</v>
      </c>
      <c r="AD19" s="341">
        <f t="shared" si="3"/>
        <v>3072</v>
      </c>
      <c r="AE19" s="341">
        <f t="shared" si="15"/>
        <v>205872</v>
      </c>
      <c r="AF19" s="291">
        <f t="shared" si="13"/>
        <v>8578</v>
      </c>
      <c r="AG19" s="338"/>
      <c r="AH19" s="338"/>
      <c r="AI19" s="338"/>
      <c r="AJ19" s="338"/>
      <c r="AK19" s="338"/>
      <c r="AL19" s="338"/>
      <c r="AM19" s="338"/>
      <c r="AN19" s="338"/>
      <c r="AO19" s="338"/>
      <c r="AP19" s="338"/>
      <c r="AQ19" s="338"/>
      <c r="AR19" s="338"/>
      <c r="AS19" s="338"/>
      <c r="AT19" s="338"/>
      <c r="AU19" s="338"/>
      <c r="AV19" s="338"/>
      <c r="AW19" s="338"/>
      <c r="AX19" s="338"/>
      <c r="AY19" s="338"/>
      <c r="AZ19" s="338"/>
      <c r="BA19" s="338"/>
      <c r="BB19" s="338"/>
      <c r="BC19" s="338"/>
      <c r="BD19" s="338"/>
      <c r="BE19" s="338"/>
      <c r="BF19" s="338"/>
      <c r="BG19" s="338"/>
      <c r="BH19" s="338"/>
      <c r="BI19" s="338"/>
      <c r="BJ19" s="338"/>
      <c r="BK19" s="338"/>
      <c r="BL19" s="338"/>
      <c r="BM19" s="338"/>
      <c r="BN19" s="338"/>
      <c r="BO19" s="338"/>
      <c r="BP19" s="338"/>
      <c r="BQ19" s="338"/>
      <c r="BR19" s="338"/>
      <c r="BS19" s="338"/>
      <c r="BT19" s="338"/>
      <c r="BU19" s="338"/>
      <c r="BV19" s="338"/>
      <c r="BW19" s="338"/>
      <c r="BX19" s="338"/>
      <c r="BY19" s="338"/>
      <c r="BZ19" s="338"/>
      <c r="CA19" s="338"/>
      <c r="CB19" s="338"/>
      <c r="CC19" s="338"/>
      <c r="CD19" s="338"/>
      <c r="CE19" s="338"/>
      <c r="CF19" s="338"/>
      <c r="CG19" s="338"/>
      <c r="CH19" s="338"/>
      <c r="CI19" s="338"/>
      <c r="CJ19" s="338"/>
      <c r="CK19" s="338"/>
      <c r="CL19" s="338"/>
      <c r="CM19" s="338"/>
      <c r="CN19" s="338"/>
      <c r="CO19" s="338"/>
      <c r="CP19" s="338"/>
      <c r="CQ19" s="338"/>
      <c r="CR19" s="338"/>
      <c r="CS19" s="338"/>
      <c r="CT19" s="338"/>
      <c r="CU19" s="338"/>
      <c r="CV19" s="338"/>
      <c r="CW19" s="338"/>
      <c r="CX19" s="338"/>
      <c r="CY19" s="338"/>
      <c r="CZ19" s="338"/>
      <c r="DA19" s="338"/>
      <c r="DB19" s="338"/>
      <c r="DC19" s="338"/>
      <c r="DD19" s="338"/>
      <c r="DE19" s="338"/>
      <c r="DF19" s="338"/>
      <c r="DG19" s="338"/>
    </row>
    <row r="20" spans="1:111" s="284" customFormat="1" ht="15">
      <c r="A20" s="316"/>
      <c r="B20" s="326" t="s">
        <v>567</v>
      </c>
      <c r="C20" s="318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20"/>
      <c r="V20" s="278"/>
      <c r="W20" s="338"/>
      <c r="X20" s="338"/>
      <c r="Y20" s="338"/>
      <c r="Z20" s="338"/>
      <c r="AA20" s="338"/>
      <c r="AB20" s="338"/>
      <c r="AC20" s="338"/>
      <c r="AD20" s="338"/>
      <c r="AE20" s="338"/>
      <c r="AF20" s="291"/>
      <c r="AG20" s="338"/>
      <c r="AH20" s="338"/>
      <c r="AI20" s="338"/>
      <c r="AJ20" s="338"/>
      <c r="AK20" s="338"/>
      <c r="AL20" s="338"/>
      <c r="AM20" s="338"/>
      <c r="AN20" s="338"/>
      <c r="AO20" s="338"/>
      <c r="AP20" s="338"/>
      <c r="AQ20" s="338"/>
      <c r="AR20" s="338"/>
      <c r="AS20" s="338"/>
      <c r="AT20" s="338"/>
      <c r="AU20" s="338"/>
      <c r="AV20" s="338"/>
      <c r="AW20" s="338"/>
      <c r="AX20" s="338"/>
      <c r="AY20" s="338"/>
      <c r="AZ20" s="338"/>
      <c r="BA20" s="338"/>
      <c r="BB20" s="338"/>
      <c r="BC20" s="338"/>
      <c r="BD20" s="338"/>
      <c r="BE20" s="338"/>
      <c r="BF20" s="338"/>
      <c r="BG20" s="338"/>
      <c r="BH20" s="338"/>
      <c r="BI20" s="338"/>
      <c r="BJ20" s="338"/>
      <c r="BK20" s="338"/>
      <c r="BL20" s="338"/>
      <c r="BM20" s="338"/>
      <c r="BN20" s="338"/>
      <c r="BO20" s="338"/>
      <c r="BP20" s="338"/>
      <c r="BQ20" s="338"/>
      <c r="BR20" s="338"/>
      <c r="BS20" s="338"/>
      <c r="BT20" s="338"/>
      <c r="BU20" s="338"/>
      <c r="BV20" s="338"/>
      <c r="BW20" s="338"/>
      <c r="BX20" s="338"/>
      <c r="BY20" s="338"/>
      <c r="BZ20" s="338"/>
      <c r="CA20" s="338"/>
      <c r="CB20" s="338"/>
      <c r="CC20" s="338"/>
      <c r="CD20" s="338"/>
      <c r="CE20" s="338"/>
      <c r="CF20" s="338"/>
      <c r="CG20" s="338"/>
      <c r="CH20" s="338"/>
      <c r="CI20" s="338"/>
      <c r="CJ20" s="338"/>
      <c r="CK20" s="338"/>
      <c r="CL20" s="338"/>
      <c r="CM20" s="338"/>
      <c r="CN20" s="338"/>
      <c r="CO20" s="338"/>
      <c r="CP20" s="338"/>
      <c r="CQ20" s="338"/>
      <c r="CR20" s="338"/>
      <c r="CS20" s="338"/>
      <c r="CT20" s="338"/>
      <c r="CU20" s="338"/>
      <c r="CV20" s="338"/>
      <c r="CW20" s="338"/>
      <c r="CX20" s="338"/>
      <c r="CY20" s="338"/>
      <c r="CZ20" s="338"/>
      <c r="DA20" s="338"/>
      <c r="DB20" s="338"/>
      <c r="DC20" s="338"/>
      <c r="DD20" s="338"/>
      <c r="DE20" s="338"/>
      <c r="DF20" s="338"/>
      <c r="DG20" s="338"/>
    </row>
    <row r="21" spans="1:111" s="284" customFormat="1" ht="15">
      <c r="A21" s="316">
        <v>9</v>
      </c>
      <c r="B21" s="327" t="s">
        <v>551</v>
      </c>
      <c r="C21" s="318">
        <v>1</v>
      </c>
      <c r="D21" s="319">
        <v>15600</v>
      </c>
      <c r="E21" s="319">
        <f t="shared" si="4"/>
        <v>15600</v>
      </c>
      <c r="F21" s="319"/>
      <c r="G21" s="319"/>
      <c r="H21" s="319"/>
      <c r="I21" s="319"/>
      <c r="J21" s="319"/>
      <c r="K21" s="319">
        <f t="shared" si="0"/>
        <v>15600</v>
      </c>
      <c r="L21" s="319">
        <f t="shared" si="5"/>
        <v>187200</v>
      </c>
      <c r="M21" s="319">
        <f t="shared" si="6"/>
        <v>1536</v>
      </c>
      <c r="N21" s="319">
        <v>128</v>
      </c>
      <c r="O21" s="319">
        <f t="shared" si="14"/>
        <v>188736</v>
      </c>
      <c r="P21" s="319"/>
      <c r="Q21" s="319"/>
      <c r="R21" s="319"/>
      <c r="S21" s="319"/>
      <c r="T21" s="319"/>
      <c r="U21" s="320">
        <f t="shared" si="7"/>
        <v>188736</v>
      </c>
      <c r="V21" s="278"/>
      <c r="W21" s="341">
        <f t="shared" si="8"/>
        <v>46800</v>
      </c>
      <c r="X21" s="341">
        <f t="shared" si="9"/>
        <v>384</v>
      </c>
      <c r="Y21" s="341">
        <f t="shared" si="10"/>
        <v>93600</v>
      </c>
      <c r="Z21" s="341">
        <f t="shared" si="1"/>
        <v>768</v>
      </c>
      <c r="AA21" s="341">
        <f t="shared" si="11"/>
        <v>140400</v>
      </c>
      <c r="AB21" s="341">
        <f t="shared" si="2"/>
        <v>1152</v>
      </c>
      <c r="AC21" s="341">
        <f t="shared" si="12"/>
        <v>187200</v>
      </c>
      <c r="AD21" s="341">
        <f t="shared" si="3"/>
        <v>1536</v>
      </c>
      <c r="AE21" s="341">
        <f t="shared" si="15"/>
        <v>188736</v>
      </c>
      <c r="AF21" s="291">
        <f t="shared" si="13"/>
        <v>15728</v>
      </c>
      <c r="AG21" s="338"/>
      <c r="AH21" s="338"/>
      <c r="AI21" s="338"/>
      <c r="AJ21" s="338"/>
      <c r="AK21" s="338"/>
      <c r="AL21" s="338"/>
      <c r="AM21" s="338"/>
      <c r="AN21" s="338"/>
      <c r="AO21" s="338"/>
      <c r="AP21" s="338"/>
      <c r="AQ21" s="338"/>
      <c r="AR21" s="338"/>
      <c r="AS21" s="338"/>
      <c r="AT21" s="338"/>
      <c r="AU21" s="338"/>
      <c r="AV21" s="338"/>
      <c r="AW21" s="338"/>
      <c r="AX21" s="338"/>
      <c r="AY21" s="338"/>
      <c r="AZ21" s="338"/>
      <c r="BA21" s="338"/>
      <c r="BB21" s="338"/>
      <c r="BC21" s="338"/>
      <c r="BD21" s="338"/>
      <c r="BE21" s="338"/>
      <c r="BF21" s="338"/>
      <c r="BG21" s="338"/>
      <c r="BH21" s="338"/>
      <c r="BI21" s="338"/>
      <c r="BJ21" s="338"/>
      <c r="BK21" s="338"/>
      <c r="BL21" s="338"/>
      <c r="BM21" s="338"/>
      <c r="BN21" s="338"/>
      <c r="BO21" s="338"/>
      <c r="BP21" s="338"/>
      <c r="BQ21" s="338"/>
      <c r="BR21" s="338"/>
      <c r="BS21" s="338"/>
      <c r="BT21" s="338"/>
      <c r="BU21" s="338"/>
      <c r="BV21" s="338"/>
      <c r="BW21" s="338"/>
      <c r="BX21" s="338"/>
      <c r="BY21" s="338"/>
      <c r="BZ21" s="338"/>
      <c r="CA21" s="338"/>
      <c r="CB21" s="338"/>
      <c r="CC21" s="338"/>
      <c r="CD21" s="338"/>
      <c r="CE21" s="338"/>
      <c r="CF21" s="338"/>
      <c r="CG21" s="338"/>
      <c r="CH21" s="338"/>
      <c r="CI21" s="338"/>
      <c r="CJ21" s="338"/>
      <c r="CK21" s="338"/>
      <c r="CL21" s="338"/>
      <c r="CM21" s="338"/>
      <c r="CN21" s="338"/>
      <c r="CO21" s="338"/>
      <c r="CP21" s="338"/>
      <c r="CQ21" s="338"/>
      <c r="CR21" s="338"/>
      <c r="CS21" s="338"/>
      <c r="CT21" s="338"/>
      <c r="CU21" s="338"/>
      <c r="CV21" s="338"/>
      <c r="CW21" s="338"/>
      <c r="CX21" s="338"/>
      <c r="CY21" s="338"/>
      <c r="CZ21" s="338"/>
      <c r="DA21" s="338"/>
      <c r="DB21" s="338"/>
      <c r="DC21" s="338"/>
      <c r="DD21" s="338"/>
      <c r="DE21" s="338"/>
      <c r="DF21" s="338"/>
      <c r="DG21" s="338"/>
    </row>
    <row r="22" spans="1:111" s="284" customFormat="1" ht="15.75" thickBot="1">
      <c r="A22" s="316">
        <v>10</v>
      </c>
      <c r="B22" s="328" t="s">
        <v>552</v>
      </c>
      <c r="C22" s="318">
        <v>1</v>
      </c>
      <c r="D22" s="319">
        <v>7800</v>
      </c>
      <c r="E22" s="319">
        <f>C22*D22</f>
        <v>7800</v>
      </c>
      <c r="F22" s="319"/>
      <c r="G22" s="319"/>
      <c r="H22" s="319"/>
      <c r="I22" s="319"/>
      <c r="J22" s="319"/>
      <c r="K22" s="319">
        <f t="shared" si="0"/>
        <v>7800</v>
      </c>
      <c r="L22" s="319">
        <f t="shared" si="5"/>
        <v>93600</v>
      </c>
      <c r="M22" s="319">
        <f>N22*12</f>
        <v>1536</v>
      </c>
      <c r="N22" s="319">
        <v>128</v>
      </c>
      <c r="O22" s="319">
        <f>L22+M22</f>
        <v>95136</v>
      </c>
      <c r="P22" s="319"/>
      <c r="Q22" s="319"/>
      <c r="R22" s="319"/>
      <c r="S22" s="319"/>
      <c r="T22" s="319"/>
      <c r="U22" s="320">
        <f t="shared" si="7"/>
        <v>95136</v>
      </c>
      <c r="V22" s="278"/>
      <c r="W22" s="341">
        <f t="shared" si="8"/>
        <v>23400</v>
      </c>
      <c r="X22" s="341">
        <f t="shared" si="9"/>
        <v>384</v>
      </c>
      <c r="Y22" s="341">
        <f t="shared" si="10"/>
        <v>46800</v>
      </c>
      <c r="Z22" s="341">
        <f t="shared" si="1"/>
        <v>768</v>
      </c>
      <c r="AA22" s="341">
        <f t="shared" si="11"/>
        <v>70200</v>
      </c>
      <c r="AB22" s="341">
        <f t="shared" si="2"/>
        <v>1152</v>
      </c>
      <c r="AC22" s="341">
        <f t="shared" si="12"/>
        <v>93600</v>
      </c>
      <c r="AD22" s="341">
        <f t="shared" si="3"/>
        <v>1536</v>
      </c>
      <c r="AE22" s="341">
        <f t="shared" si="15"/>
        <v>95136</v>
      </c>
      <c r="AF22" s="291">
        <f t="shared" si="13"/>
        <v>7928</v>
      </c>
      <c r="AG22" s="338"/>
      <c r="AH22" s="338"/>
      <c r="AI22" s="338"/>
      <c r="AJ22" s="338"/>
      <c r="AK22" s="338"/>
      <c r="AL22" s="338"/>
      <c r="AM22" s="338"/>
      <c r="AN22" s="338"/>
      <c r="AO22" s="338"/>
      <c r="AP22" s="338"/>
      <c r="AQ22" s="338"/>
      <c r="AR22" s="338"/>
      <c r="AS22" s="338"/>
      <c r="AT22" s="338"/>
      <c r="AU22" s="338"/>
      <c r="AV22" s="338"/>
      <c r="AW22" s="338"/>
      <c r="AX22" s="338"/>
      <c r="AY22" s="338"/>
      <c r="AZ22" s="338"/>
      <c r="BA22" s="338"/>
      <c r="BB22" s="338"/>
      <c r="BC22" s="338"/>
      <c r="BD22" s="338"/>
      <c r="BE22" s="338"/>
      <c r="BF22" s="338"/>
      <c r="BG22" s="338"/>
      <c r="BH22" s="338"/>
      <c r="BI22" s="338"/>
      <c r="BJ22" s="338"/>
      <c r="BK22" s="338"/>
      <c r="BL22" s="338"/>
      <c r="BM22" s="338"/>
      <c r="BN22" s="338"/>
      <c r="BO22" s="338"/>
      <c r="BP22" s="338"/>
      <c r="BQ22" s="338"/>
      <c r="BR22" s="338"/>
      <c r="BS22" s="338"/>
      <c r="BT22" s="338"/>
      <c r="BU22" s="338"/>
      <c r="BV22" s="338"/>
      <c r="BW22" s="338"/>
      <c r="BX22" s="338"/>
      <c r="BY22" s="338"/>
      <c r="BZ22" s="338"/>
      <c r="CA22" s="338"/>
      <c r="CB22" s="338"/>
      <c r="CC22" s="338"/>
      <c r="CD22" s="338"/>
      <c r="CE22" s="338"/>
      <c r="CF22" s="338"/>
      <c r="CG22" s="338"/>
      <c r="CH22" s="338"/>
      <c r="CI22" s="338"/>
      <c r="CJ22" s="338"/>
      <c r="CK22" s="338"/>
      <c r="CL22" s="338"/>
      <c r="CM22" s="338"/>
      <c r="CN22" s="338"/>
      <c r="CO22" s="338"/>
      <c r="CP22" s="338"/>
      <c r="CQ22" s="338"/>
      <c r="CR22" s="338"/>
      <c r="CS22" s="338"/>
      <c r="CT22" s="338"/>
      <c r="CU22" s="338"/>
      <c r="CV22" s="338"/>
      <c r="CW22" s="338"/>
      <c r="CX22" s="338"/>
      <c r="CY22" s="338"/>
      <c r="CZ22" s="338"/>
      <c r="DA22" s="338"/>
      <c r="DB22" s="338"/>
      <c r="DC22" s="338"/>
      <c r="DD22" s="338"/>
      <c r="DE22" s="338"/>
      <c r="DF22" s="338"/>
      <c r="DG22" s="338"/>
    </row>
    <row r="23" spans="1:111" s="284" customFormat="1" ht="28.5">
      <c r="A23" s="316"/>
      <c r="B23" s="329" t="s">
        <v>568</v>
      </c>
      <c r="C23" s="318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20"/>
      <c r="V23" s="278"/>
      <c r="W23" s="338"/>
      <c r="X23" s="338"/>
      <c r="Y23" s="338"/>
      <c r="Z23" s="338"/>
      <c r="AA23" s="338"/>
      <c r="AB23" s="338"/>
      <c r="AC23" s="338"/>
      <c r="AD23" s="338"/>
      <c r="AE23" s="338"/>
      <c r="AF23" s="340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T23" s="338"/>
      <c r="AU23" s="338"/>
      <c r="AV23" s="338"/>
      <c r="AW23" s="338"/>
      <c r="AX23" s="338"/>
      <c r="AY23" s="338"/>
      <c r="AZ23" s="338"/>
      <c r="BA23" s="338"/>
      <c r="BB23" s="338"/>
      <c r="BC23" s="338"/>
      <c r="BD23" s="338"/>
      <c r="BE23" s="338"/>
      <c r="BF23" s="338"/>
      <c r="BG23" s="338"/>
      <c r="BH23" s="338"/>
      <c r="BI23" s="338"/>
      <c r="BJ23" s="338"/>
      <c r="BK23" s="338"/>
      <c r="BL23" s="338"/>
      <c r="BM23" s="338"/>
      <c r="BN23" s="338"/>
      <c r="BO23" s="338"/>
      <c r="BP23" s="338"/>
      <c r="BQ23" s="338"/>
      <c r="BR23" s="338"/>
      <c r="BS23" s="338"/>
      <c r="BT23" s="338"/>
      <c r="BU23" s="338"/>
      <c r="BV23" s="338"/>
      <c r="BW23" s="338"/>
      <c r="BX23" s="338"/>
      <c r="BY23" s="338"/>
      <c r="BZ23" s="338"/>
      <c r="CA23" s="338"/>
      <c r="CB23" s="338"/>
      <c r="CC23" s="338"/>
      <c r="CD23" s="338"/>
      <c r="CE23" s="338"/>
      <c r="CF23" s="338"/>
      <c r="CG23" s="338"/>
      <c r="CH23" s="338"/>
      <c r="CI23" s="338"/>
      <c r="CJ23" s="338"/>
      <c r="CK23" s="338"/>
      <c r="CL23" s="338"/>
      <c r="CM23" s="338"/>
      <c r="CN23" s="338"/>
      <c r="CO23" s="338"/>
      <c r="CP23" s="338"/>
      <c r="CQ23" s="338"/>
      <c r="CR23" s="338"/>
      <c r="CS23" s="338"/>
      <c r="CT23" s="338"/>
      <c r="CU23" s="338"/>
      <c r="CV23" s="338"/>
      <c r="CW23" s="338"/>
      <c r="CX23" s="338"/>
      <c r="CY23" s="338"/>
      <c r="CZ23" s="338"/>
      <c r="DA23" s="338"/>
      <c r="DB23" s="338"/>
      <c r="DC23" s="338"/>
      <c r="DD23" s="338"/>
      <c r="DE23" s="338"/>
      <c r="DF23" s="338"/>
      <c r="DG23" s="338"/>
    </row>
    <row r="24" spans="1:111" ht="16.149999999999999" customHeight="1">
      <c r="A24" s="316">
        <v>11</v>
      </c>
      <c r="B24" s="327" t="s">
        <v>553</v>
      </c>
      <c r="C24" s="318">
        <v>1</v>
      </c>
      <c r="D24" s="319">
        <v>13000</v>
      </c>
      <c r="E24" s="319">
        <f t="shared" si="4"/>
        <v>13000</v>
      </c>
      <c r="F24" s="319"/>
      <c r="G24" s="319"/>
      <c r="H24" s="319"/>
      <c r="I24" s="319"/>
      <c r="J24" s="319"/>
      <c r="K24" s="319">
        <f t="shared" si="0"/>
        <v>13000</v>
      </c>
      <c r="L24" s="319">
        <f t="shared" si="5"/>
        <v>156000</v>
      </c>
      <c r="M24" s="319">
        <f>N24*12</f>
        <v>1536</v>
      </c>
      <c r="N24" s="319">
        <v>128</v>
      </c>
      <c r="O24" s="319">
        <f t="shared" si="14"/>
        <v>157536</v>
      </c>
      <c r="P24" s="319"/>
      <c r="Q24" s="319"/>
      <c r="R24" s="319"/>
      <c r="S24" s="319"/>
      <c r="T24" s="319"/>
      <c r="U24" s="320">
        <f t="shared" si="7"/>
        <v>157536</v>
      </c>
      <c r="W24" s="341">
        <f t="shared" si="8"/>
        <v>39000</v>
      </c>
      <c r="X24" s="341">
        <f t="shared" si="9"/>
        <v>384</v>
      </c>
      <c r="Y24" s="341">
        <f t="shared" si="10"/>
        <v>78000</v>
      </c>
      <c r="Z24" s="341">
        <f t="shared" si="1"/>
        <v>768</v>
      </c>
      <c r="AA24" s="341">
        <f t="shared" si="11"/>
        <v>117000</v>
      </c>
      <c r="AB24" s="341">
        <f t="shared" si="2"/>
        <v>1152</v>
      </c>
      <c r="AC24" s="341">
        <f t="shared" si="12"/>
        <v>156000</v>
      </c>
      <c r="AD24" s="341">
        <f t="shared" si="3"/>
        <v>1536</v>
      </c>
      <c r="AE24" s="341">
        <f t="shared" si="15"/>
        <v>157536</v>
      </c>
      <c r="AF24" s="291">
        <f t="shared" si="13"/>
        <v>13128</v>
      </c>
      <c r="AG24" s="338"/>
      <c r="AH24" s="338"/>
      <c r="AI24" s="338"/>
      <c r="AJ24" s="338"/>
      <c r="AK24" s="338"/>
      <c r="AL24" s="338"/>
      <c r="AM24" s="338"/>
      <c r="AN24" s="338"/>
      <c r="AO24" s="338"/>
      <c r="AP24" s="338"/>
      <c r="AQ24" s="338"/>
      <c r="AR24" s="338"/>
      <c r="AS24" s="338"/>
      <c r="AT24" s="338"/>
      <c r="AU24" s="338"/>
      <c r="AV24" s="338"/>
      <c r="AW24" s="338"/>
      <c r="AX24" s="338"/>
      <c r="AY24" s="338"/>
      <c r="AZ24" s="338"/>
      <c r="BA24" s="338"/>
      <c r="BB24" s="338"/>
      <c r="BC24" s="338"/>
      <c r="BD24" s="338"/>
      <c r="BE24" s="338"/>
      <c r="BF24" s="338"/>
      <c r="BG24" s="338"/>
      <c r="BH24" s="338"/>
      <c r="BI24" s="338"/>
      <c r="BJ24" s="338"/>
      <c r="BK24" s="338"/>
      <c r="BL24" s="338"/>
      <c r="BM24" s="338"/>
      <c r="BN24" s="338"/>
      <c r="BO24" s="338"/>
      <c r="BP24" s="338"/>
      <c r="BQ24" s="338"/>
      <c r="BR24" s="338"/>
      <c r="BS24" s="338"/>
      <c r="BT24" s="338"/>
      <c r="BU24" s="338"/>
      <c r="BV24" s="338"/>
      <c r="BW24" s="338"/>
      <c r="BX24" s="338"/>
      <c r="BY24" s="338"/>
      <c r="BZ24" s="338"/>
      <c r="CA24" s="338"/>
      <c r="CB24" s="338"/>
      <c r="CC24" s="338"/>
      <c r="CD24" s="338"/>
      <c r="CE24" s="338"/>
      <c r="CF24" s="338"/>
      <c r="CG24" s="338"/>
      <c r="CH24" s="338"/>
      <c r="CI24" s="338"/>
      <c r="CJ24" s="338"/>
      <c r="CK24" s="338"/>
      <c r="CL24" s="338"/>
      <c r="CM24" s="338"/>
      <c r="CN24" s="338"/>
      <c r="CO24" s="338"/>
      <c r="CP24" s="338"/>
      <c r="CQ24" s="338"/>
      <c r="CR24" s="338"/>
      <c r="CS24" s="338"/>
      <c r="CT24" s="338"/>
      <c r="CU24" s="338"/>
      <c r="CV24" s="338"/>
      <c r="CW24" s="338"/>
      <c r="CX24" s="338"/>
      <c r="CY24" s="338"/>
      <c r="CZ24" s="338"/>
      <c r="DA24" s="338"/>
      <c r="DB24" s="338"/>
      <c r="DC24" s="338"/>
      <c r="DD24" s="338"/>
      <c r="DE24" s="338"/>
      <c r="DF24" s="338"/>
      <c r="DG24" s="338"/>
    </row>
    <row r="25" spans="1:111" ht="20.45" customHeight="1">
      <c r="A25" s="316">
        <v>12</v>
      </c>
      <c r="B25" s="325" t="s">
        <v>552</v>
      </c>
      <c r="C25" s="318">
        <v>1</v>
      </c>
      <c r="D25" s="319">
        <v>7800</v>
      </c>
      <c r="E25" s="319">
        <f t="shared" si="4"/>
        <v>7800</v>
      </c>
      <c r="F25" s="319"/>
      <c r="G25" s="319"/>
      <c r="H25" s="319"/>
      <c r="I25" s="319"/>
      <c r="J25" s="319"/>
      <c r="K25" s="319">
        <f t="shared" si="0"/>
        <v>7800</v>
      </c>
      <c r="L25" s="319">
        <f t="shared" si="5"/>
        <v>93600</v>
      </c>
      <c r="M25" s="319">
        <f t="shared" ref="M25:M55" si="16">N25*12</f>
        <v>1536</v>
      </c>
      <c r="N25" s="319">
        <v>128</v>
      </c>
      <c r="O25" s="319">
        <f t="shared" si="14"/>
        <v>95136</v>
      </c>
      <c r="P25" s="319"/>
      <c r="Q25" s="319"/>
      <c r="R25" s="319"/>
      <c r="S25" s="319"/>
      <c r="T25" s="319"/>
      <c r="U25" s="320">
        <f t="shared" si="7"/>
        <v>95136</v>
      </c>
      <c r="W25" s="341">
        <f t="shared" si="8"/>
        <v>23400</v>
      </c>
      <c r="X25" s="341">
        <f t="shared" si="9"/>
        <v>384</v>
      </c>
      <c r="Y25" s="341">
        <f t="shared" si="10"/>
        <v>46800</v>
      </c>
      <c r="Z25" s="341">
        <f t="shared" si="1"/>
        <v>768</v>
      </c>
      <c r="AA25" s="341">
        <f t="shared" si="11"/>
        <v>70200</v>
      </c>
      <c r="AB25" s="341">
        <f t="shared" si="2"/>
        <v>1152</v>
      </c>
      <c r="AC25" s="341">
        <f t="shared" si="12"/>
        <v>93600</v>
      </c>
      <c r="AD25" s="341">
        <f t="shared" si="3"/>
        <v>1536</v>
      </c>
      <c r="AE25" s="341">
        <f t="shared" si="15"/>
        <v>95136</v>
      </c>
      <c r="AF25" s="291">
        <f t="shared" si="13"/>
        <v>7928</v>
      </c>
    </row>
    <row r="26" spans="1:111" ht="30.75" thickBot="1">
      <c r="A26" s="316">
        <v>13</v>
      </c>
      <c r="B26" s="328" t="s">
        <v>485</v>
      </c>
      <c r="C26" s="318">
        <v>1</v>
      </c>
      <c r="D26" s="319">
        <v>7800</v>
      </c>
      <c r="E26" s="319">
        <f t="shared" si="4"/>
        <v>7800</v>
      </c>
      <c r="F26" s="319"/>
      <c r="G26" s="319"/>
      <c r="H26" s="319"/>
      <c r="I26" s="319"/>
      <c r="J26" s="319"/>
      <c r="K26" s="319">
        <f t="shared" si="0"/>
        <v>7800</v>
      </c>
      <c r="L26" s="319">
        <f t="shared" si="5"/>
        <v>93600</v>
      </c>
      <c r="M26" s="319">
        <f>N26*12</f>
        <v>1536</v>
      </c>
      <c r="N26" s="319">
        <v>128</v>
      </c>
      <c r="O26" s="319">
        <f t="shared" si="14"/>
        <v>95136</v>
      </c>
      <c r="P26" s="319"/>
      <c r="Q26" s="319"/>
      <c r="R26" s="319"/>
      <c r="S26" s="319"/>
      <c r="T26" s="319"/>
      <c r="U26" s="320">
        <f t="shared" si="7"/>
        <v>95136</v>
      </c>
      <c r="W26" s="341">
        <f>E26*3</f>
        <v>23400</v>
      </c>
      <c r="X26" s="341">
        <f t="shared" si="9"/>
        <v>384</v>
      </c>
      <c r="Y26" s="341">
        <f t="shared" si="10"/>
        <v>46800</v>
      </c>
      <c r="Z26" s="341">
        <f t="shared" si="1"/>
        <v>768</v>
      </c>
      <c r="AA26" s="341">
        <f t="shared" si="11"/>
        <v>70200</v>
      </c>
      <c r="AB26" s="341">
        <f t="shared" si="2"/>
        <v>1152</v>
      </c>
      <c r="AC26" s="341">
        <f t="shared" si="12"/>
        <v>93600</v>
      </c>
      <c r="AD26" s="341">
        <f t="shared" si="3"/>
        <v>1536</v>
      </c>
      <c r="AE26" s="341">
        <f t="shared" si="15"/>
        <v>95136</v>
      </c>
      <c r="AF26" s="291">
        <f t="shared" si="13"/>
        <v>7928</v>
      </c>
    </row>
    <row r="27" spans="1:111" ht="15">
      <c r="A27" s="316"/>
      <c r="B27" s="329" t="s">
        <v>569</v>
      </c>
      <c r="C27" s="318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20"/>
      <c r="AF27" s="291"/>
    </row>
    <row r="28" spans="1:111" ht="15.75" thickBot="1">
      <c r="A28" s="316">
        <v>14</v>
      </c>
      <c r="B28" s="328" t="s">
        <v>554</v>
      </c>
      <c r="C28" s="318">
        <v>1</v>
      </c>
      <c r="D28" s="319">
        <v>7150.0000000000009</v>
      </c>
      <c r="E28" s="319">
        <f t="shared" si="4"/>
        <v>7150.0000000000009</v>
      </c>
      <c r="F28" s="319"/>
      <c r="G28" s="319"/>
      <c r="H28" s="319"/>
      <c r="I28" s="319"/>
      <c r="J28" s="319"/>
      <c r="K28" s="319">
        <f>E28+F28+G28+H28+I28+J28</f>
        <v>7150.0000000000009</v>
      </c>
      <c r="L28" s="319">
        <f t="shared" si="5"/>
        <v>85800.000000000015</v>
      </c>
      <c r="M28" s="319">
        <f t="shared" si="16"/>
        <v>1536</v>
      </c>
      <c r="N28" s="319">
        <v>128</v>
      </c>
      <c r="O28" s="319">
        <f t="shared" si="14"/>
        <v>87336.000000000015</v>
      </c>
      <c r="P28" s="319"/>
      <c r="Q28" s="319"/>
      <c r="R28" s="319"/>
      <c r="S28" s="319"/>
      <c r="T28" s="319"/>
      <c r="U28" s="320">
        <f t="shared" si="7"/>
        <v>87336.000000000015</v>
      </c>
      <c r="W28" s="278">
        <f t="shared" si="8"/>
        <v>21450.000000000004</v>
      </c>
      <c r="X28" s="278">
        <f t="shared" si="9"/>
        <v>384</v>
      </c>
      <c r="Y28" s="278">
        <f t="shared" si="10"/>
        <v>42900.000000000007</v>
      </c>
      <c r="Z28" s="278">
        <f t="shared" si="1"/>
        <v>768</v>
      </c>
      <c r="AA28" s="278">
        <f t="shared" si="11"/>
        <v>64350.000000000007</v>
      </c>
      <c r="AB28" s="278">
        <f t="shared" si="2"/>
        <v>1152</v>
      </c>
      <c r="AC28" s="278">
        <f t="shared" si="12"/>
        <v>85800.000000000015</v>
      </c>
      <c r="AD28" s="278">
        <f t="shared" si="3"/>
        <v>1536</v>
      </c>
      <c r="AE28" s="278">
        <f t="shared" si="15"/>
        <v>87336.000000000015</v>
      </c>
      <c r="AF28" s="291">
        <f t="shared" si="13"/>
        <v>7278.0000000000009</v>
      </c>
    </row>
    <row r="29" spans="1:111" ht="42.75">
      <c r="A29" s="316"/>
      <c r="B29" s="329" t="s">
        <v>570</v>
      </c>
      <c r="C29" s="318"/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20"/>
      <c r="AF29" s="340"/>
    </row>
    <row r="30" spans="1:111" s="284" customFormat="1" ht="15">
      <c r="A30" s="316">
        <v>15</v>
      </c>
      <c r="B30" s="343" t="s">
        <v>555</v>
      </c>
      <c r="C30" s="318">
        <v>1</v>
      </c>
      <c r="D30" s="319">
        <v>15600</v>
      </c>
      <c r="E30" s="319">
        <f t="shared" si="4"/>
        <v>15600</v>
      </c>
      <c r="F30" s="319"/>
      <c r="G30" s="319"/>
      <c r="H30" s="319"/>
      <c r="I30" s="319"/>
      <c r="J30" s="319"/>
      <c r="K30" s="319">
        <f t="shared" ref="K30:K55" si="17">E30+F30+G30+H30+I30+J30</f>
        <v>15600</v>
      </c>
      <c r="L30" s="319">
        <f t="shared" si="5"/>
        <v>187200</v>
      </c>
      <c r="M30" s="319">
        <f t="shared" si="16"/>
        <v>1536</v>
      </c>
      <c r="N30" s="319">
        <v>128</v>
      </c>
      <c r="O30" s="319">
        <f t="shared" si="14"/>
        <v>188736</v>
      </c>
      <c r="P30" s="319"/>
      <c r="Q30" s="319"/>
      <c r="R30" s="319"/>
      <c r="S30" s="319"/>
      <c r="T30" s="319"/>
      <c r="U30" s="320">
        <f t="shared" si="7"/>
        <v>188736</v>
      </c>
      <c r="V30" s="278"/>
      <c r="W30" s="341">
        <f t="shared" si="8"/>
        <v>46800</v>
      </c>
      <c r="X30" s="341">
        <f t="shared" si="9"/>
        <v>384</v>
      </c>
      <c r="Y30" s="341">
        <f t="shared" si="10"/>
        <v>93600</v>
      </c>
      <c r="Z30" s="341">
        <f t="shared" si="1"/>
        <v>768</v>
      </c>
      <c r="AA30" s="341">
        <f t="shared" si="11"/>
        <v>140400</v>
      </c>
      <c r="AB30" s="341">
        <f t="shared" si="2"/>
        <v>1152</v>
      </c>
      <c r="AC30" s="341">
        <f t="shared" si="12"/>
        <v>187200</v>
      </c>
      <c r="AD30" s="341">
        <f t="shared" si="3"/>
        <v>1536</v>
      </c>
      <c r="AE30" s="341">
        <f t="shared" si="15"/>
        <v>188736</v>
      </c>
      <c r="AF30" s="291">
        <f t="shared" si="13"/>
        <v>15728</v>
      </c>
      <c r="AG30" s="338"/>
      <c r="AH30" s="338"/>
      <c r="AI30" s="338"/>
      <c r="AJ30" s="338"/>
      <c r="AK30" s="338"/>
      <c r="AL30" s="338"/>
      <c r="AM30" s="338"/>
      <c r="AN30" s="338"/>
      <c r="AO30" s="338"/>
      <c r="AP30" s="338"/>
      <c r="AQ30" s="338"/>
      <c r="AR30" s="338"/>
      <c r="AS30" s="338"/>
      <c r="AT30" s="338"/>
      <c r="AU30" s="338"/>
      <c r="AV30" s="338"/>
      <c r="AW30" s="338"/>
      <c r="AX30" s="338"/>
    </row>
    <row r="31" spans="1:111" ht="15">
      <c r="A31" s="316">
        <v>16</v>
      </c>
      <c r="B31" s="330" t="s">
        <v>552</v>
      </c>
      <c r="C31" s="318">
        <v>3</v>
      </c>
      <c r="D31" s="319">
        <v>7800</v>
      </c>
      <c r="E31" s="319">
        <f t="shared" si="4"/>
        <v>23400</v>
      </c>
      <c r="F31" s="319"/>
      <c r="G31" s="319"/>
      <c r="H31" s="319"/>
      <c r="I31" s="319"/>
      <c r="J31" s="319"/>
      <c r="K31" s="319">
        <f t="shared" si="17"/>
        <v>23400</v>
      </c>
      <c r="L31" s="319">
        <f t="shared" si="5"/>
        <v>280800</v>
      </c>
      <c r="M31" s="319">
        <f t="shared" si="16"/>
        <v>4608</v>
      </c>
      <c r="N31" s="319">
        <f>128*3</f>
        <v>384</v>
      </c>
      <c r="O31" s="319">
        <f t="shared" si="14"/>
        <v>285408</v>
      </c>
      <c r="P31" s="319"/>
      <c r="Q31" s="319"/>
      <c r="R31" s="319"/>
      <c r="S31" s="319"/>
      <c r="T31" s="319"/>
      <c r="U31" s="320">
        <f t="shared" si="7"/>
        <v>285408</v>
      </c>
      <c r="W31" s="278">
        <f t="shared" si="8"/>
        <v>70200</v>
      </c>
      <c r="X31" s="278">
        <f t="shared" si="9"/>
        <v>1152</v>
      </c>
      <c r="Y31" s="278">
        <f t="shared" si="10"/>
        <v>140400</v>
      </c>
      <c r="Z31" s="278">
        <f t="shared" si="1"/>
        <v>2304</v>
      </c>
      <c r="AA31" s="278">
        <f t="shared" si="11"/>
        <v>210600</v>
      </c>
      <c r="AB31" s="278">
        <f t="shared" si="2"/>
        <v>3456</v>
      </c>
      <c r="AC31" s="278">
        <f t="shared" si="12"/>
        <v>280800</v>
      </c>
      <c r="AD31" s="278">
        <f t="shared" si="3"/>
        <v>4608</v>
      </c>
      <c r="AE31" s="278">
        <f t="shared" si="15"/>
        <v>285408</v>
      </c>
      <c r="AF31" s="291">
        <f t="shared" si="13"/>
        <v>7928</v>
      </c>
    </row>
    <row r="32" spans="1:111" ht="44.45" customHeight="1" thickBot="1">
      <c r="A32" s="316">
        <v>17</v>
      </c>
      <c r="B32" s="331" t="s">
        <v>556</v>
      </c>
      <c r="C32" s="318">
        <v>8</v>
      </c>
      <c r="D32" s="319">
        <v>7150.0000000000009</v>
      </c>
      <c r="E32" s="319">
        <f t="shared" si="4"/>
        <v>57200.000000000007</v>
      </c>
      <c r="F32" s="319"/>
      <c r="G32" s="319"/>
      <c r="H32" s="319"/>
      <c r="I32" s="319"/>
      <c r="J32" s="319"/>
      <c r="K32" s="319">
        <f t="shared" si="17"/>
        <v>57200.000000000007</v>
      </c>
      <c r="L32" s="319">
        <f t="shared" si="5"/>
        <v>686400.00000000012</v>
      </c>
      <c r="M32" s="319">
        <f t="shared" si="16"/>
        <v>12288</v>
      </c>
      <c r="N32" s="319">
        <f>128*8</f>
        <v>1024</v>
      </c>
      <c r="O32" s="319">
        <f t="shared" si="14"/>
        <v>698688.00000000012</v>
      </c>
      <c r="P32" s="319"/>
      <c r="Q32" s="319"/>
      <c r="R32" s="319"/>
      <c r="S32" s="319"/>
      <c r="T32" s="319"/>
      <c r="U32" s="320">
        <f t="shared" si="7"/>
        <v>698688.00000000012</v>
      </c>
      <c r="W32" s="278">
        <f t="shared" si="8"/>
        <v>171600.00000000003</v>
      </c>
      <c r="X32" s="278">
        <f t="shared" si="9"/>
        <v>3072</v>
      </c>
      <c r="Y32" s="278">
        <f t="shared" si="10"/>
        <v>343200.00000000006</v>
      </c>
      <c r="Z32" s="278">
        <f t="shared" si="1"/>
        <v>6144</v>
      </c>
      <c r="AA32" s="278">
        <f t="shared" si="11"/>
        <v>514800.00000000006</v>
      </c>
      <c r="AB32" s="278">
        <f t="shared" si="2"/>
        <v>9216</v>
      </c>
      <c r="AC32" s="278">
        <f t="shared" si="12"/>
        <v>686400.00000000012</v>
      </c>
      <c r="AD32" s="278">
        <f t="shared" si="3"/>
        <v>12288</v>
      </c>
      <c r="AE32" s="278">
        <f t="shared" si="15"/>
        <v>698688.00000000012</v>
      </c>
      <c r="AF32" s="291">
        <f t="shared" si="13"/>
        <v>7278.0000000000009</v>
      </c>
    </row>
    <row r="33" spans="1:32" ht="18" customHeight="1">
      <c r="A33" s="316"/>
      <c r="B33" s="332" t="s">
        <v>571</v>
      </c>
      <c r="C33" s="318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20"/>
      <c r="AF33" s="340"/>
    </row>
    <row r="34" spans="1:32" ht="15">
      <c r="A34" s="316">
        <v>18</v>
      </c>
      <c r="B34" s="333" t="s">
        <v>482</v>
      </c>
      <c r="C34" s="318">
        <v>1</v>
      </c>
      <c r="D34" s="319">
        <v>19500</v>
      </c>
      <c r="E34" s="319">
        <f t="shared" si="4"/>
        <v>19500</v>
      </c>
      <c r="F34" s="319"/>
      <c r="G34" s="319"/>
      <c r="H34" s="319"/>
      <c r="I34" s="319"/>
      <c r="J34" s="319"/>
      <c r="K34" s="319">
        <f t="shared" si="17"/>
        <v>19500</v>
      </c>
      <c r="L34" s="319">
        <f t="shared" si="5"/>
        <v>234000</v>
      </c>
      <c r="M34" s="319">
        <f t="shared" si="16"/>
        <v>1536</v>
      </c>
      <c r="N34" s="319">
        <v>128</v>
      </c>
      <c r="O34" s="319">
        <f t="shared" si="14"/>
        <v>235536</v>
      </c>
      <c r="P34" s="319"/>
      <c r="Q34" s="319"/>
      <c r="R34" s="319"/>
      <c r="S34" s="319"/>
      <c r="T34" s="319"/>
      <c r="U34" s="320">
        <f t="shared" si="7"/>
        <v>235536</v>
      </c>
      <c r="W34" s="341">
        <f t="shared" si="8"/>
        <v>58500</v>
      </c>
      <c r="X34" s="341">
        <f t="shared" si="9"/>
        <v>384</v>
      </c>
      <c r="Y34" s="341">
        <f t="shared" si="10"/>
        <v>117000</v>
      </c>
      <c r="Z34" s="341">
        <f t="shared" si="1"/>
        <v>768</v>
      </c>
      <c r="AA34" s="341">
        <f t="shared" si="11"/>
        <v>175500</v>
      </c>
      <c r="AB34" s="341">
        <f t="shared" si="2"/>
        <v>1152</v>
      </c>
      <c r="AC34" s="341">
        <f t="shared" si="12"/>
        <v>234000</v>
      </c>
      <c r="AD34" s="341">
        <f t="shared" si="3"/>
        <v>1536</v>
      </c>
      <c r="AE34" s="341">
        <f t="shared" si="15"/>
        <v>235536</v>
      </c>
      <c r="AF34" s="291">
        <f t="shared" si="13"/>
        <v>19628</v>
      </c>
    </row>
    <row r="35" spans="1:32" ht="15">
      <c r="A35" s="316">
        <v>19</v>
      </c>
      <c r="B35" s="333" t="s">
        <v>483</v>
      </c>
      <c r="C35" s="318">
        <v>1</v>
      </c>
      <c r="D35" s="319">
        <v>14949.999999999998</v>
      </c>
      <c r="E35" s="319">
        <f t="shared" si="4"/>
        <v>14949.999999999998</v>
      </c>
      <c r="F35" s="319"/>
      <c r="G35" s="319"/>
      <c r="H35" s="319"/>
      <c r="I35" s="319"/>
      <c r="J35" s="319"/>
      <c r="K35" s="319">
        <f t="shared" si="17"/>
        <v>14949.999999999998</v>
      </c>
      <c r="L35" s="319">
        <f t="shared" si="5"/>
        <v>179399.99999999997</v>
      </c>
      <c r="M35" s="319">
        <f t="shared" si="16"/>
        <v>1536</v>
      </c>
      <c r="N35" s="319">
        <v>128</v>
      </c>
      <c r="O35" s="319">
        <f t="shared" si="14"/>
        <v>180935.99999999997</v>
      </c>
      <c r="P35" s="319"/>
      <c r="Q35" s="319"/>
      <c r="R35" s="319"/>
      <c r="S35" s="319"/>
      <c r="T35" s="319"/>
      <c r="U35" s="320">
        <f t="shared" si="7"/>
        <v>180935.99999999997</v>
      </c>
      <c r="W35" s="341">
        <f t="shared" si="8"/>
        <v>44849.999999999993</v>
      </c>
      <c r="X35" s="341">
        <f t="shared" si="9"/>
        <v>384</v>
      </c>
      <c r="Y35" s="341">
        <f t="shared" si="10"/>
        <v>89699.999999999985</v>
      </c>
      <c r="Z35" s="341">
        <f t="shared" si="1"/>
        <v>768</v>
      </c>
      <c r="AA35" s="341">
        <f t="shared" si="11"/>
        <v>134549.99999999997</v>
      </c>
      <c r="AB35" s="341">
        <f t="shared" si="2"/>
        <v>1152</v>
      </c>
      <c r="AC35" s="341">
        <f t="shared" si="12"/>
        <v>179399.99999999997</v>
      </c>
      <c r="AD35" s="341">
        <f t="shared" si="3"/>
        <v>1536</v>
      </c>
      <c r="AE35" s="341">
        <f t="shared" si="15"/>
        <v>180935.99999999997</v>
      </c>
      <c r="AF35" s="291">
        <f t="shared" si="13"/>
        <v>15077.999999999998</v>
      </c>
    </row>
    <row r="36" spans="1:32" ht="25.5" customHeight="1">
      <c r="A36" s="316">
        <v>20</v>
      </c>
      <c r="B36" s="325" t="s">
        <v>557</v>
      </c>
      <c r="C36" s="318">
        <v>1</v>
      </c>
      <c r="D36" s="319">
        <v>7800</v>
      </c>
      <c r="E36" s="319">
        <f t="shared" si="4"/>
        <v>7800</v>
      </c>
      <c r="F36" s="319"/>
      <c r="G36" s="319"/>
      <c r="H36" s="319"/>
      <c r="I36" s="319"/>
      <c r="J36" s="319"/>
      <c r="K36" s="319">
        <f t="shared" si="17"/>
        <v>7800</v>
      </c>
      <c r="L36" s="319">
        <f t="shared" si="5"/>
        <v>93600</v>
      </c>
      <c r="M36" s="319">
        <f t="shared" si="16"/>
        <v>1536</v>
      </c>
      <c r="N36" s="319">
        <v>128</v>
      </c>
      <c r="O36" s="319">
        <f t="shared" si="14"/>
        <v>95136</v>
      </c>
      <c r="P36" s="319"/>
      <c r="Q36" s="319"/>
      <c r="R36" s="319"/>
      <c r="S36" s="319"/>
      <c r="T36" s="319"/>
      <c r="U36" s="320">
        <f t="shared" si="7"/>
        <v>95136</v>
      </c>
      <c r="W36" s="278">
        <f t="shared" si="8"/>
        <v>23400</v>
      </c>
      <c r="X36" s="278">
        <f t="shared" si="9"/>
        <v>384</v>
      </c>
      <c r="Y36" s="278">
        <f t="shared" si="10"/>
        <v>46800</v>
      </c>
      <c r="Z36" s="278">
        <f t="shared" si="1"/>
        <v>768</v>
      </c>
      <c r="AA36" s="278">
        <f t="shared" si="11"/>
        <v>70200</v>
      </c>
      <c r="AB36" s="278">
        <f t="shared" si="2"/>
        <v>1152</v>
      </c>
      <c r="AC36" s="278">
        <f t="shared" si="12"/>
        <v>93600</v>
      </c>
      <c r="AD36" s="278">
        <f t="shared" si="3"/>
        <v>1536</v>
      </c>
      <c r="AE36" s="278">
        <f t="shared" si="15"/>
        <v>95136</v>
      </c>
      <c r="AF36" s="291">
        <f t="shared" si="13"/>
        <v>7928</v>
      </c>
    </row>
    <row r="37" spans="1:32" ht="15">
      <c r="A37" s="316">
        <v>21</v>
      </c>
      <c r="B37" s="312" t="s">
        <v>503</v>
      </c>
      <c r="C37" s="318">
        <v>1</v>
      </c>
      <c r="D37" s="319">
        <v>7800</v>
      </c>
      <c r="E37" s="319">
        <f t="shared" si="4"/>
        <v>7800</v>
      </c>
      <c r="F37" s="319"/>
      <c r="G37" s="319"/>
      <c r="H37" s="319"/>
      <c r="I37" s="319"/>
      <c r="J37" s="319"/>
      <c r="K37" s="319">
        <f t="shared" si="17"/>
        <v>7800</v>
      </c>
      <c r="L37" s="319">
        <f t="shared" si="5"/>
        <v>93600</v>
      </c>
      <c r="M37" s="319">
        <f>N37*12</f>
        <v>1536</v>
      </c>
      <c r="N37" s="319">
        <v>128</v>
      </c>
      <c r="O37" s="319">
        <f t="shared" si="14"/>
        <v>95136</v>
      </c>
      <c r="P37" s="319"/>
      <c r="Q37" s="319"/>
      <c r="R37" s="319"/>
      <c r="S37" s="319"/>
      <c r="T37" s="319"/>
      <c r="U37" s="320">
        <f t="shared" si="7"/>
        <v>95136</v>
      </c>
      <c r="W37" s="278">
        <f>E37*3</f>
        <v>23400</v>
      </c>
      <c r="X37" s="278">
        <f t="shared" si="9"/>
        <v>384</v>
      </c>
      <c r="Y37" s="278">
        <f t="shared" si="10"/>
        <v>46800</v>
      </c>
      <c r="Z37" s="278">
        <f t="shared" si="1"/>
        <v>768</v>
      </c>
      <c r="AA37" s="278">
        <f t="shared" si="11"/>
        <v>70200</v>
      </c>
      <c r="AB37" s="278">
        <f t="shared" si="2"/>
        <v>1152</v>
      </c>
      <c r="AC37" s="278">
        <f t="shared" si="12"/>
        <v>93600</v>
      </c>
      <c r="AD37" s="278">
        <f t="shared" si="3"/>
        <v>1536</v>
      </c>
      <c r="AE37" s="278">
        <f t="shared" si="15"/>
        <v>95136</v>
      </c>
      <c r="AF37" s="291">
        <f t="shared" si="13"/>
        <v>7928</v>
      </c>
    </row>
    <row r="38" spans="1:32" ht="15">
      <c r="A38" s="316">
        <v>22</v>
      </c>
      <c r="B38" s="325" t="s">
        <v>558</v>
      </c>
      <c r="C38" s="318">
        <v>3</v>
      </c>
      <c r="D38" s="319">
        <v>7150.0000000000009</v>
      </c>
      <c r="E38" s="319">
        <f>C38*D38</f>
        <v>21450.000000000004</v>
      </c>
      <c r="F38" s="319"/>
      <c r="G38" s="319"/>
      <c r="H38" s="319"/>
      <c r="I38" s="319"/>
      <c r="J38" s="319"/>
      <c r="K38" s="319">
        <f t="shared" si="17"/>
        <v>21450.000000000004</v>
      </c>
      <c r="L38" s="319">
        <f t="shared" si="5"/>
        <v>257400.00000000006</v>
      </c>
      <c r="M38" s="319">
        <f t="shared" si="16"/>
        <v>4608</v>
      </c>
      <c r="N38" s="319">
        <f>128*3</f>
        <v>384</v>
      </c>
      <c r="O38" s="319">
        <f>L38+M38</f>
        <v>262008.00000000006</v>
      </c>
      <c r="P38" s="319"/>
      <c r="Q38" s="319"/>
      <c r="R38" s="319"/>
      <c r="S38" s="319"/>
      <c r="T38" s="319"/>
      <c r="U38" s="320">
        <f t="shared" si="7"/>
        <v>262008.00000000006</v>
      </c>
      <c r="W38" s="278">
        <f t="shared" si="8"/>
        <v>64350.000000000015</v>
      </c>
      <c r="X38" s="278">
        <f>($F38+$G38+$H38+$I38+$N38+$Q38+$S38)*3</f>
        <v>1152</v>
      </c>
      <c r="Y38" s="278">
        <f t="shared" si="10"/>
        <v>128700.00000000003</v>
      </c>
      <c r="Z38" s="278">
        <f t="shared" si="1"/>
        <v>2304</v>
      </c>
      <c r="AA38" s="278">
        <f t="shared" si="11"/>
        <v>193050.00000000003</v>
      </c>
      <c r="AB38" s="278">
        <f t="shared" si="2"/>
        <v>3456</v>
      </c>
      <c r="AC38" s="278">
        <f t="shared" si="12"/>
        <v>257400.00000000006</v>
      </c>
      <c r="AD38" s="278">
        <f>($F38+$G38+$H38+$I38+$N38+$Q38+$S38)*12</f>
        <v>4608</v>
      </c>
      <c r="AE38" s="278">
        <f t="shared" si="15"/>
        <v>262008.00000000006</v>
      </c>
      <c r="AF38" s="291">
        <f t="shared" si="13"/>
        <v>7278.0000000000009</v>
      </c>
    </row>
    <row r="39" spans="1:32" ht="34.9" customHeight="1">
      <c r="A39" s="316">
        <v>23</v>
      </c>
      <c r="B39" s="343" t="s">
        <v>559</v>
      </c>
      <c r="C39" s="318">
        <v>1</v>
      </c>
      <c r="D39" s="319">
        <v>8450</v>
      </c>
      <c r="E39" s="319">
        <f>C39*D39</f>
        <v>8450</v>
      </c>
      <c r="F39" s="319"/>
      <c r="G39" s="319"/>
      <c r="H39" s="319"/>
      <c r="I39" s="319"/>
      <c r="J39" s="319"/>
      <c r="K39" s="319">
        <f t="shared" si="17"/>
        <v>8450</v>
      </c>
      <c r="L39" s="319">
        <f t="shared" si="5"/>
        <v>101400</v>
      </c>
      <c r="M39" s="319">
        <f t="shared" si="16"/>
        <v>1536</v>
      </c>
      <c r="N39" s="319">
        <v>128</v>
      </c>
      <c r="O39" s="319">
        <f>L39+M39</f>
        <v>102936</v>
      </c>
      <c r="P39" s="319"/>
      <c r="Q39" s="319"/>
      <c r="R39" s="319"/>
      <c r="S39" s="319"/>
      <c r="T39" s="319"/>
      <c r="U39" s="320">
        <f>O39+T39</f>
        <v>102936</v>
      </c>
      <c r="W39" s="338">
        <f t="shared" si="8"/>
        <v>25350</v>
      </c>
      <c r="X39" s="338">
        <f t="shared" si="9"/>
        <v>384</v>
      </c>
      <c r="Y39" s="338">
        <f>E39*6</f>
        <v>50700</v>
      </c>
      <c r="Z39" s="338">
        <f t="shared" si="1"/>
        <v>768</v>
      </c>
      <c r="AA39" s="338">
        <f t="shared" si="11"/>
        <v>76050</v>
      </c>
      <c r="AB39" s="338">
        <f t="shared" si="2"/>
        <v>1152</v>
      </c>
      <c r="AC39" s="338">
        <f t="shared" si="12"/>
        <v>101400</v>
      </c>
      <c r="AD39" s="338">
        <f t="shared" si="3"/>
        <v>1536</v>
      </c>
      <c r="AE39" s="338">
        <f>AD39+AC39</f>
        <v>102936</v>
      </c>
      <c r="AF39" s="291">
        <f t="shared" si="13"/>
        <v>8578</v>
      </c>
    </row>
    <row r="40" spans="1:32" ht="45">
      <c r="A40" s="316">
        <v>24</v>
      </c>
      <c r="B40" s="311" t="s">
        <v>560</v>
      </c>
      <c r="C40" s="318">
        <v>1</v>
      </c>
      <c r="D40" s="319">
        <v>8450</v>
      </c>
      <c r="E40" s="319">
        <f t="shared" ref="E40:E43" si="18">C40*D40</f>
        <v>8450</v>
      </c>
      <c r="F40" s="319"/>
      <c r="G40" s="319"/>
      <c r="H40" s="319"/>
      <c r="I40" s="319"/>
      <c r="J40" s="319"/>
      <c r="K40" s="319">
        <f t="shared" si="17"/>
        <v>8450</v>
      </c>
      <c r="L40" s="319">
        <f t="shared" si="5"/>
        <v>101400</v>
      </c>
      <c r="M40" s="319">
        <f t="shared" si="16"/>
        <v>1536</v>
      </c>
      <c r="N40" s="319">
        <v>128</v>
      </c>
      <c r="O40" s="319">
        <f t="shared" ref="O40:O43" si="19">L40+M40</f>
        <v>102936</v>
      </c>
      <c r="P40" s="319"/>
      <c r="Q40" s="319"/>
      <c r="R40" s="319"/>
      <c r="S40" s="319"/>
      <c r="T40" s="319"/>
      <c r="U40" s="320">
        <f t="shared" ref="U40:U43" si="20">O40+T40</f>
        <v>102936</v>
      </c>
      <c r="W40" s="338">
        <f t="shared" ref="W40:W43" si="21">E40*3</f>
        <v>25350</v>
      </c>
      <c r="X40" s="338">
        <f t="shared" si="9"/>
        <v>384</v>
      </c>
      <c r="Y40" s="338">
        <f t="shared" ref="Y40:Y43" si="22">E40*6</f>
        <v>50700</v>
      </c>
      <c r="Z40" s="338">
        <f t="shared" si="1"/>
        <v>768</v>
      </c>
      <c r="AA40" s="338">
        <f t="shared" ref="AA40:AA43" si="23">E40*9</f>
        <v>76050</v>
      </c>
      <c r="AB40" s="338">
        <f t="shared" si="2"/>
        <v>1152</v>
      </c>
      <c r="AC40" s="338">
        <f t="shared" ref="AC40:AC43" si="24">E40*12</f>
        <v>101400</v>
      </c>
      <c r="AD40" s="338">
        <f t="shared" si="3"/>
        <v>1536</v>
      </c>
      <c r="AE40" s="338">
        <f t="shared" ref="AE40:AE43" si="25">AD40+AC40</f>
        <v>102936</v>
      </c>
      <c r="AF40" s="291">
        <f t="shared" ref="AF40:AF43" si="26">(AC40+AD40)/12/C40</f>
        <v>8578</v>
      </c>
    </row>
    <row r="41" spans="1:32" ht="15">
      <c r="A41" s="316">
        <v>25</v>
      </c>
      <c r="B41" s="311" t="s">
        <v>486</v>
      </c>
      <c r="C41" s="318">
        <v>1</v>
      </c>
      <c r="D41" s="319">
        <v>7150.0000000000009</v>
      </c>
      <c r="E41" s="319">
        <f t="shared" si="18"/>
        <v>7150.0000000000009</v>
      </c>
      <c r="F41" s="319"/>
      <c r="G41" s="319"/>
      <c r="H41" s="319"/>
      <c r="I41" s="319"/>
      <c r="J41" s="319"/>
      <c r="K41" s="319">
        <f t="shared" si="17"/>
        <v>7150.0000000000009</v>
      </c>
      <c r="L41" s="319">
        <f t="shared" si="5"/>
        <v>85800.000000000015</v>
      </c>
      <c r="M41" s="319">
        <f t="shared" si="16"/>
        <v>1536</v>
      </c>
      <c r="N41" s="319">
        <v>128</v>
      </c>
      <c r="O41" s="319">
        <f t="shared" si="19"/>
        <v>87336.000000000015</v>
      </c>
      <c r="P41" s="319"/>
      <c r="Q41" s="319"/>
      <c r="R41" s="319"/>
      <c r="S41" s="319"/>
      <c r="T41" s="319"/>
      <c r="U41" s="320">
        <f t="shared" si="20"/>
        <v>87336.000000000015</v>
      </c>
      <c r="W41" s="338">
        <f t="shared" si="21"/>
        <v>21450.000000000004</v>
      </c>
      <c r="X41" s="338">
        <f t="shared" si="9"/>
        <v>384</v>
      </c>
      <c r="Y41" s="338">
        <f t="shared" si="22"/>
        <v>42900.000000000007</v>
      </c>
      <c r="Z41" s="338">
        <f t="shared" si="1"/>
        <v>768</v>
      </c>
      <c r="AA41" s="338">
        <f t="shared" si="23"/>
        <v>64350.000000000007</v>
      </c>
      <c r="AB41" s="338">
        <f t="shared" si="2"/>
        <v>1152</v>
      </c>
      <c r="AC41" s="338">
        <f t="shared" si="24"/>
        <v>85800.000000000015</v>
      </c>
      <c r="AD41" s="338">
        <f t="shared" si="3"/>
        <v>1536</v>
      </c>
      <c r="AE41" s="338">
        <f t="shared" si="25"/>
        <v>87336.000000000015</v>
      </c>
      <c r="AF41" s="291">
        <f t="shared" si="26"/>
        <v>7278.0000000000009</v>
      </c>
    </row>
    <row r="42" spans="1:32" ht="15">
      <c r="A42" s="316">
        <v>26</v>
      </c>
      <c r="B42" s="334" t="s">
        <v>484</v>
      </c>
      <c r="C42" s="318">
        <v>3</v>
      </c>
      <c r="D42" s="319">
        <v>8450</v>
      </c>
      <c r="E42" s="319">
        <f t="shared" si="18"/>
        <v>25350</v>
      </c>
      <c r="F42" s="319"/>
      <c r="G42" s="319"/>
      <c r="H42" s="319"/>
      <c r="I42" s="319"/>
      <c r="J42" s="319"/>
      <c r="K42" s="319">
        <f t="shared" si="17"/>
        <v>25350</v>
      </c>
      <c r="L42" s="319">
        <f t="shared" si="5"/>
        <v>304200</v>
      </c>
      <c r="M42" s="319">
        <f t="shared" si="16"/>
        <v>4608</v>
      </c>
      <c r="N42" s="319">
        <f>128*3</f>
        <v>384</v>
      </c>
      <c r="O42" s="319">
        <f t="shared" si="19"/>
        <v>308808</v>
      </c>
      <c r="P42" s="319"/>
      <c r="Q42" s="319"/>
      <c r="R42" s="319"/>
      <c r="S42" s="319"/>
      <c r="T42" s="319"/>
      <c r="U42" s="320">
        <f t="shared" si="20"/>
        <v>308808</v>
      </c>
      <c r="W42" s="338">
        <f t="shared" si="21"/>
        <v>76050</v>
      </c>
      <c r="X42" s="338">
        <f t="shared" si="9"/>
        <v>1152</v>
      </c>
      <c r="Y42" s="338">
        <f t="shared" si="22"/>
        <v>152100</v>
      </c>
      <c r="Z42" s="338">
        <f t="shared" si="1"/>
        <v>2304</v>
      </c>
      <c r="AA42" s="338">
        <f t="shared" si="23"/>
        <v>228150</v>
      </c>
      <c r="AB42" s="338">
        <f t="shared" si="2"/>
        <v>3456</v>
      </c>
      <c r="AC42" s="338">
        <f t="shared" si="24"/>
        <v>304200</v>
      </c>
      <c r="AD42" s="338">
        <f t="shared" si="3"/>
        <v>4608</v>
      </c>
      <c r="AE42" s="338">
        <f t="shared" si="25"/>
        <v>308808</v>
      </c>
      <c r="AF42" s="291">
        <f t="shared" si="26"/>
        <v>8578</v>
      </c>
    </row>
    <row r="43" spans="1:32" ht="30.75" thickBot="1">
      <c r="A43" s="316">
        <v>27</v>
      </c>
      <c r="B43" s="328" t="s">
        <v>505</v>
      </c>
      <c r="C43" s="318">
        <v>3</v>
      </c>
      <c r="D43" s="319">
        <v>7150.0000000000009</v>
      </c>
      <c r="E43" s="319">
        <f t="shared" si="18"/>
        <v>21450.000000000004</v>
      </c>
      <c r="F43" s="319"/>
      <c r="G43" s="319"/>
      <c r="H43" s="319"/>
      <c r="I43" s="319">
        <v>2145</v>
      </c>
      <c r="J43" s="319"/>
      <c r="K43" s="319">
        <f t="shared" si="17"/>
        <v>23595.000000000004</v>
      </c>
      <c r="L43" s="319">
        <f t="shared" si="5"/>
        <v>283140.00000000006</v>
      </c>
      <c r="M43" s="319">
        <f t="shared" si="16"/>
        <v>4608</v>
      </c>
      <c r="N43" s="319">
        <f>128*3</f>
        <v>384</v>
      </c>
      <c r="O43" s="319">
        <f t="shared" si="19"/>
        <v>287748.00000000006</v>
      </c>
      <c r="P43" s="319"/>
      <c r="Q43" s="319"/>
      <c r="R43" s="319"/>
      <c r="S43" s="319"/>
      <c r="T43" s="319"/>
      <c r="U43" s="320">
        <f t="shared" si="20"/>
        <v>287748.00000000006</v>
      </c>
      <c r="W43" s="338">
        <f t="shared" si="21"/>
        <v>64350.000000000015</v>
      </c>
      <c r="X43" s="338">
        <f t="shared" si="9"/>
        <v>7587</v>
      </c>
      <c r="Y43" s="338">
        <f t="shared" si="22"/>
        <v>128700.00000000003</v>
      </c>
      <c r="Z43" s="338">
        <f t="shared" si="1"/>
        <v>15174</v>
      </c>
      <c r="AA43" s="338">
        <f t="shared" si="23"/>
        <v>193050.00000000003</v>
      </c>
      <c r="AB43" s="338">
        <f t="shared" si="2"/>
        <v>22761</v>
      </c>
      <c r="AC43" s="338">
        <f t="shared" si="24"/>
        <v>257400.00000000006</v>
      </c>
      <c r="AD43" s="338">
        <f t="shared" si="3"/>
        <v>30348</v>
      </c>
      <c r="AE43" s="338">
        <f t="shared" si="25"/>
        <v>287748.00000000006</v>
      </c>
      <c r="AF43" s="291">
        <f t="shared" si="26"/>
        <v>7993.0000000000009</v>
      </c>
    </row>
    <row r="44" spans="1:32" ht="15">
      <c r="A44" s="316"/>
      <c r="B44" s="335" t="s">
        <v>572</v>
      </c>
      <c r="C44" s="318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20"/>
      <c r="W44" s="338"/>
      <c r="X44" s="338"/>
      <c r="Y44" s="338"/>
      <c r="Z44" s="338"/>
      <c r="AA44" s="338"/>
      <c r="AB44" s="338"/>
      <c r="AC44" s="338"/>
      <c r="AD44" s="338"/>
      <c r="AE44" s="338"/>
      <c r="AF44" s="339"/>
    </row>
    <row r="45" spans="1:32" ht="30">
      <c r="A45" s="316">
        <v>28</v>
      </c>
      <c r="B45" s="325" t="s">
        <v>561</v>
      </c>
      <c r="C45" s="318">
        <v>1</v>
      </c>
      <c r="D45" s="319">
        <v>9100</v>
      </c>
      <c r="E45" s="319">
        <f t="shared" ref="E45:E46" si="27">C45*D45</f>
        <v>9100</v>
      </c>
      <c r="F45" s="319">
        <v>1404</v>
      </c>
      <c r="G45" s="319"/>
      <c r="H45" s="319"/>
      <c r="I45" s="319"/>
      <c r="J45" s="319"/>
      <c r="K45" s="319">
        <f t="shared" si="17"/>
        <v>10504</v>
      </c>
      <c r="L45" s="319">
        <f t="shared" si="5"/>
        <v>126048</v>
      </c>
      <c r="M45" s="319">
        <f t="shared" si="16"/>
        <v>1536</v>
      </c>
      <c r="N45" s="319">
        <v>128</v>
      </c>
      <c r="O45" s="319">
        <f t="shared" ref="O45:O46" si="28">L45+M45</f>
        <v>127584</v>
      </c>
      <c r="P45" s="319"/>
      <c r="Q45" s="319"/>
      <c r="R45" s="319"/>
      <c r="S45" s="319"/>
      <c r="T45" s="319"/>
      <c r="U45" s="320">
        <f t="shared" ref="U45:U46" si="29">O45+T45</f>
        <v>127584</v>
      </c>
      <c r="W45" s="341">
        <f t="shared" ref="W45:W46" si="30">E45*3</f>
        <v>27300</v>
      </c>
      <c r="X45" s="341">
        <f t="shared" si="9"/>
        <v>4596</v>
      </c>
      <c r="Y45" s="341">
        <f t="shared" ref="Y45:Y46" si="31">E45*6</f>
        <v>54600</v>
      </c>
      <c r="Z45" s="341">
        <f t="shared" si="1"/>
        <v>9192</v>
      </c>
      <c r="AA45" s="341">
        <f t="shared" ref="AA45:AA46" si="32">E45*9</f>
        <v>81900</v>
      </c>
      <c r="AB45" s="341">
        <f t="shared" si="2"/>
        <v>13788</v>
      </c>
      <c r="AC45" s="341">
        <f t="shared" ref="AC45:AC46" si="33">E45*12</f>
        <v>109200</v>
      </c>
      <c r="AD45" s="341">
        <f t="shared" si="3"/>
        <v>18384</v>
      </c>
      <c r="AE45" s="341">
        <f t="shared" ref="AE45:AE46" si="34">AD45+AC45</f>
        <v>127584</v>
      </c>
      <c r="AF45" s="291">
        <f t="shared" ref="AF45:AF46" si="35">(AC45+AD45)/12/C45</f>
        <v>10632</v>
      </c>
    </row>
    <row r="46" spans="1:32" ht="15.75" thickBot="1">
      <c r="A46" s="316">
        <v>29</v>
      </c>
      <c r="B46" s="328" t="s">
        <v>562</v>
      </c>
      <c r="C46" s="318">
        <v>14</v>
      </c>
      <c r="D46" s="319">
        <v>7150.0000000000009</v>
      </c>
      <c r="E46" s="319">
        <f t="shared" si="27"/>
        <v>100100.00000000001</v>
      </c>
      <c r="F46" s="319">
        <v>9192</v>
      </c>
      <c r="G46" s="319"/>
      <c r="H46" s="319"/>
      <c r="I46" s="319"/>
      <c r="J46" s="319"/>
      <c r="K46" s="319">
        <f t="shared" si="17"/>
        <v>109292.00000000001</v>
      </c>
      <c r="L46" s="319">
        <f t="shared" si="5"/>
        <v>1311504.0000000002</v>
      </c>
      <c r="M46" s="319">
        <f t="shared" si="16"/>
        <v>21504</v>
      </c>
      <c r="N46" s="319">
        <f>128*14</f>
        <v>1792</v>
      </c>
      <c r="O46" s="319">
        <f t="shared" si="28"/>
        <v>1333008.0000000002</v>
      </c>
      <c r="P46" s="319"/>
      <c r="Q46" s="319"/>
      <c r="R46" s="319"/>
      <c r="S46" s="319"/>
      <c r="T46" s="319"/>
      <c r="U46" s="320">
        <f t="shared" si="29"/>
        <v>1333008.0000000002</v>
      </c>
      <c r="W46" s="338">
        <f t="shared" si="30"/>
        <v>300300.00000000006</v>
      </c>
      <c r="X46" s="338">
        <f t="shared" si="9"/>
        <v>32952</v>
      </c>
      <c r="Y46" s="338">
        <f t="shared" si="31"/>
        <v>600600.00000000012</v>
      </c>
      <c r="Z46" s="338">
        <f t="shared" si="1"/>
        <v>65904</v>
      </c>
      <c r="AA46" s="338">
        <f t="shared" si="32"/>
        <v>900900.00000000012</v>
      </c>
      <c r="AB46" s="338">
        <f t="shared" si="2"/>
        <v>98856</v>
      </c>
      <c r="AC46" s="338">
        <f t="shared" si="33"/>
        <v>1201200.0000000002</v>
      </c>
      <c r="AD46" s="338">
        <f t="shared" si="3"/>
        <v>131808</v>
      </c>
      <c r="AE46" s="338">
        <f t="shared" si="34"/>
        <v>1333008.0000000002</v>
      </c>
      <c r="AF46" s="291">
        <f t="shared" si="35"/>
        <v>7934.5714285714294</v>
      </c>
    </row>
    <row r="47" spans="1:32" ht="28.5">
      <c r="A47" s="316"/>
      <c r="B47" s="335" t="s">
        <v>573</v>
      </c>
      <c r="C47" s="318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20"/>
      <c r="W47" s="338"/>
      <c r="X47" s="338"/>
      <c r="Y47" s="338"/>
      <c r="Z47" s="338"/>
      <c r="AA47" s="338"/>
      <c r="AB47" s="338"/>
      <c r="AC47" s="338"/>
      <c r="AD47" s="338"/>
      <c r="AE47" s="338"/>
      <c r="AF47" s="339"/>
    </row>
    <row r="48" spans="1:32" ht="15">
      <c r="A48" s="316">
        <v>30</v>
      </c>
      <c r="B48" s="313" t="s">
        <v>551</v>
      </c>
      <c r="C48" s="318">
        <v>1</v>
      </c>
      <c r="D48" s="319">
        <v>20150</v>
      </c>
      <c r="E48" s="319">
        <f>C48*D48</f>
        <v>20150</v>
      </c>
      <c r="F48" s="319"/>
      <c r="G48" s="319"/>
      <c r="H48" s="319"/>
      <c r="I48" s="319"/>
      <c r="J48" s="319"/>
      <c r="K48" s="319">
        <f t="shared" si="17"/>
        <v>20150</v>
      </c>
      <c r="L48" s="319">
        <f t="shared" si="5"/>
        <v>241800</v>
      </c>
      <c r="M48" s="319">
        <f t="shared" si="16"/>
        <v>1536</v>
      </c>
      <c r="N48" s="319">
        <v>128</v>
      </c>
      <c r="O48" s="319">
        <f t="shared" ref="O48:O50" si="36">L48+M48</f>
        <v>243336</v>
      </c>
      <c r="P48" s="319"/>
      <c r="Q48" s="319"/>
      <c r="R48" s="319"/>
      <c r="S48" s="319"/>
      <c r="T48" s="319"/>
      <c r="U48" s="320">
        <f t="shared" ref="U48:U50" si="37">O48+T48</f>
        <v>243336</v>
      </c>
      <c r="W48" s="341">
        <f t="shared" ref="W48:W50" si="38">E48*3</f>
        <v>60450</v>
      </c>
      <c r="X48" s="341">
        <f t="shared" si="9"/>
        <v>384</v>
      </c>
      <c r="Y48" s="341">
        <f>E48*6</f>
        <v>120900</v>
      </c>
      <c r="Z48" s="341">
        <f t="shared" si="1"/>
        <v>768</v>
      </c>
      <c r="AA48" s="341">
        <f t="shared" ref="AA48:AA50" si="39">E48*9</f>
        <v>181350</v>
      </c>
      <c r="AB48" s="341">
        <f t="shared" si="2"/>
        <v>1152</v>
      </c>
      <c r="AC48" s="341">
        <f t="shared" ref="AC48:AC50" si="40">E48*12</f>
        <v>241800</v>
      </c>
      <c r="AD48" s="341">
        <f t="shared" si="3"/>
        <v>1536</v>
      </c>
      <c r="AE48" s="341">
        <f>AD48+AC48</f>
        <v>243336</v>
      </c>
      <c r="AF48" s="291">
        <f t="shared" ref="AF48:AF50" si="41">(AC48+AD48)/12/C48</f>
        <v>20278</v>
      </c>
    </row>
    <row r="49" spans="1:33" ht="60">
      <c r="A49" s="316">
        <v>31</v>
      </c>
      <c r="B49" s="325" t="s">
        <v>563</v>
      </c>
      <c r="C49" s="318">
        <v>1</v>
      </c>
      <c r="D49" s="319">
        <v>7150.0000000000009</v>
      </c>
      <c r="E49" s="319">
        <f t="shared" ref="E49:E50" si="42">C49*D49</f>
        <v>7150.0000000000009</v>
      </c>
      <c r="F49" s="319"/>
      <c r="G49" s="319"/>
      <c r="H49" s="319"/>
      <c r="I49" s="319"/>
      <c r="J49" s="319"/>
      <c r="K49" s="319">
        <f t="shared" si="17"/>
        <v>7150.0000000000009</v>
      </c>
      <c r="L49" s="319">
        <f t="shared" si="5"/>
        <v>85800.000000000015</v>
      </c>
      <c r="M49" s="319">
        <f t="shared" si="16"/>
        <v>1536</v>
      </c>
      <c r="N49" s="319">
        <v>128</v>
      </c>
      <c r="O49" s="319">
        <f t="shared" si="36"/>
        <v>87336.000000000015</v>
      </c>
      <c r="P49" s="319"/>
      <c r="Q49" s="319"/>
      <c r="R49" s="319"/>
      <c r="S49" s="319"/>
      <c r="T49" s="319"/>
      <c r="U49" s="320">
        <f t="shared" si="37"/>
        <v>87336.000000000015</v>
      </c>
      <c r="W49" s="338">
        <f t="shared" si="38"/>
        <v>21450.000000000004</v>
      </c>
      <c r="X49" s="338">
        <f t="shared" si="9"/>
        <v>384</v>
      </c>
      <c r="Y49" s="338">
        <f t="shared" ref="Y49:Y50" si="43">E49*6</f>
        <v>42900.000000000007</v>
      </c>
      <c r="Z49" s="338">
        <f t="shared" si="1"/>
        <v>768</v>
      </c>
      <c r="AA49" s="338">
        <f t="shared" si="39"/>
        <v>64350.000000000007</v>
      </c>
      <c r="AB49" s="338">
        <f t="shared" si="2"/>
        <v>1152</v>
      </c>
      <c r="AC49" s="338">
        <f t="shared" si="40"/>
        <v>85800.000000000015</v>
      </c>
      <c r="AD49" s="338">
        <f t="shared" si="3"/>
        <v>1536</v>
      </c>
      <c r="AE49" s="338">
        <f t="shared" ref="AE49:AE50" si="44">AD49+AC49</f>
        <v>87336.000000000015</v>
      </c>
      <c r="AF49" s="291">
        <f t="shared" si="41"/>
        <v>7278.0000000000009</v>
      </c>
    </row>
    <row r="50" spans="1:33" ht="15.75" thickBot="1">
      <c r="A50" s="316">
        <v>32</v>
      </c>
      <c r="B50" s="336" t="s">
        <v>484</v>
      </c>
      <c r="C50" s="318">
        <v>1</v>
      </c>
      <c r="D50" s="319">
        <v>7800</v>
      </c>
      <c r="E50" s="319">
        <f t="shared" si="42"/>
        <v>7800</v>
      </c>
      <c r="F50" s="319"/>
      <c r="G50" s="319"/>
      <c r="H50" s="319"/>
      <c r="I50" s="319"/>
      <c r="J50" s="319"/>
      <c r="K50" s="319">
        <f t="shared" si="17"/>
        <v>7800</v>
      </c>
      <c r="L50" s="319">
        <f t="shared" si="5"/>
        <v>93600</v>
      </c>
      <c r="M50" s="319">
        <f t="shared" si="16"/>
        <v>1536</v>
      </c>
      <c r="N50" s="319">
        <v>128</v>
      </c>
      <c r="O50" s="319">
        <f t="shared" si="36"/>
        <v>95136</v>
      </c>
      <c r="P50" s="319"/>
      <c r="Q50" s="319"/>
      <c r="R50" s="319"/>
      <c r="S50" s="319"/>
      <c r="T50" s="319"/>
      <c r="U50" s="320">
        <f t="shared" si="37"/>
        <v>95136</v>
      </c>
      <c r="W50" s="338">
        <f t="shared" si="38"/>
        <v>23400</v>
      </c>
      <c r="X50" s="338">
        <f t="shared" si="9"/>
        <v>384</v>
      </c>
      <c r="Y50" s="338">
        <f t="shared" si="43"/>
        <v>46800</v>
      </c>
      <c r="Z50" s="338">
        <f t="shared" si="1"/>
        <v>768</v>
      </c>
      <c r="AA50" s="338">
        <f t="shared" si="39"/>
        <v>70200</v>
      </c>
      <c r="AB50" s="338">
        <f t="shared" si="2"/>
        <v>1152</v>
      </c>
      <c r="AC50" s="338">
        <f t="shared" si="40"/>
        <v>93600</v>
      </c>
      <c r="AD50" s="338">
        <f t="shared" si="3"/>
        <v>1536</v>
      </c>
      <c r="AE50" s="338">
        <f t="shared" si="44"/>
        <v>95136</v>
      </c>
      <c r="AF50" s="291">
        <f t="shared" si="41"/>
        <v>7928</v>
      </c>
    </row>
    <row r="51" spans="1:33" ht="28.5">
      <c r="A51" s="316"/>
      <c r="B51" s="335" t="s">
        <v>574</v>
      </c>
      <c r="C51" s="318"/>
      <c r="D51" s="319"/>
      <c r="E51" s="319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20"/>
      <c r="W51" s="338"/>
      <c r="X51" s="338"/>
      <c r="Y51" s="338"/>
      <c r="Z51" s="338"/>
      <c r="AA51" s="338"/>
      <c r="AB51" s="338"/>
      <c r="AC51" s="338"/>
      <c r="AD51" s="338"/>
      <c r="AE51" s="338"/>
      <c r="AF51" s="339"/>
    </row>
    <row r="52" spans="1:33" ht="15">
      <c r="A52" s="316">
        <v>33</v>
      </c>
      <c r="B52" s="311" t="s">
        <v>555</v>
      </c>
      <c r="C52" s="318">
        <v>1</v>
      </c>
      <c r="D52" s="319">
        <v>15600</v>
      </c>
      <c r="E52" s="319">
        <f t="shared" ref="E52:E55" si="45">C52*D52</f>
        <v>15600</v>
      </c>
      <c r="F52" s="319"/>
      <c r="G52" s="319"/>
      <c r="H52" s="319"/>
      <c r="I52" s="319"/>
      <c r="J52" s="319"/>
      <c r="K52" s="319">
        <f t="shared" si="17"/>
        <v>15600</v>
      </c>
      <c r="L52" s="319">
        <f t="shared" si="5"/>
        <v>187200</v>
      </c>
      <c r="M52" s="319">
        <f t="shared" si="16"/>
        <v>1536</v>
      </c>
      <c r="N52" s="319">
        <v>128</v>
      </c>
      <c r="O52" s="319">
        <f t="shared" ref="O52:O55" si="46">L52+M52</f>
        <v>188736</v>
      </c>
      <c r="P52" s="319"/>
      <c r="Q52" s="319"/>
      <c r="R52" s="319"/>
      <c r="S52" s="319"/>
      <c r="T52" s="319"/>
      <c r="U52" s="320">
        <f t="shared" ref="U52:U55" si="47">O52+T52</f>
        <v>188736</v>
      </c>
      <c r="W52" s="341">
        <f t="shared" ref="W52:W55" si="48">E52*3</f>
        <v>46800</v>
      </c>
      <c r="X52" s="341">
        <f t="shared" si="9"/>
        <v>384</v>
      </c>
      <c r="Y52" s="341">
        <f t="shared" ref="Y52:Y55" si="49">E52*6</f>
        <v>93600</v>
      </c>
      <c r="Z52" s="341">
        <f t="shared" si="1"/>
        <v>768</v>
      </c>
      <c r="AA52" s="341">
        <f t="shared" ref="AA52:AA55" si="50">E52*9</f>
        <v>140400</v>
      </c>
      <c r="AB52" s="341">
        <f t="shared" si="2"/>
        <v>1152</v>
      </c>
      <c r="AC52" s="341">
        <f t="shared" ref="AC52:AC55" si="51">E52*12</f>
        <v>187200</v>
      </c>
      <c r="AD52" s="341">
        <f t="shared" si="3"/>
        <v>1536</v>
      </c>
      <c r="AE52" s="341">
        <f t="shared" ref="AE52:AE55" si="52">AD52+AC52</f>
        <v>188736</v>
      </c>
      <c r="AF52" s="291">
        <f t="shared" ref="AF52:AF55" si="53">(AC52+AD52)/12/C52</f>
        <v>15728</v>
      </c>
    </row>
    <row r="53" spans="1:33" ht="60">
      <c r="A53" s="316">
        <v>34</v>
      </c>
      <c r="B53" s="325" t="s">
        <v>563</v>
      </c>
      <c r="C53" s="318">
        <v>3</v>
      </c>
      <c r="D53" s="319">
        <v>7150.0000000000009</v>
      </c>
      <c r="E53" s="319">
        <f t="shared" si="45"/>
        <v>21450.000000000004</v>
      </c>
      <c r="F53" s="319"/>
      <c r="G53" s="319"/>
      <c r="H53" s="319"/>
      <c r="I53" s="319"/>
      <c r="J53" s="319"/>
      <c r="K53" s="319">
        <f t="shared" si="17"/>
        <v>21450.000000000004</v>
      </c>
      <c r="L53" s="319">
        <f t="shared" si="5"/>
        <v>257400.00000000006</v>
      </c>
      <c r="M53" s="319">
        <f t="shared" si="16"/>
        <v>4608</v>
      </c>
      <c r="N53" s="319">
        <f>128*3</f>
        <v>384</v>
      </c>
      <c r="O53" s="319">
        <f t="shared" si="46"/>
        <v>262008.00000000006</v>
      </c>
      <c r="P53" s="319"/>
      <c r="Q53" s="319"/>
      <c r="R53" s="319"/>
      <c r="S53" s="319"/>
      <c r="T53" s="319"/>
      <c r="U53" s="320">
        <f t="shared" si="47"/>
        <v>262008.00000000006</v>
      </c>
      <c r="W53" s="338">
        <f t="shared" si="48"/>
        <v>64350.000000000015</v>
      </c>
      <c r="X53" s="338">
        <f t="shared" si="9"/>
        <v>1152</v>
      </c>
      <c r="Y53" s="338">
        <f t="shared" si="49"/>
        <v>128700.00000000003</v>
      </c>
      <c r="Z53" s="338">
        <f t="shared" si="1"/>
        <v>2304</v>
      </c>
      <c r="AA53" s="338">
        <f t="shared" si="50"/>
        <v>193050.00000000003</v>
      </c>
      <c r="AB53" s="338">
        <f t="shared" si="2"/>
        <v>3456</v>
      </c>
      <c r="AC53" s="338">
        <f t="shared" si="51"/>
        <v>257400.00000000006</v>
      </c>
      <c r="AD53" s="338">
        <f t="shared" si="3"/>
        <v>4608</v>
      </c>
      <c r="AE53" s="338">
        <f t="shared" si="52"/>
        <v>262008.00000000006</v>
      </c>
      <c r="AF53" s="291">
        <f t="shared" si="53"/>
        <v>7278.0000000000009</v>
      </c>
    </row>
    <row r="54" spans="1:33" ht="15">
      <c r="A54" s="316">
        <v>35</v>
      </c>
      <c r="B54" s="344" t="s">
        <v>564</v>
      </c>
      <c r="C54" s="318">
        <v>2</v>
      </c>
      <c r="D54" s="319">
        <v>7150.0000000000009</v>
      </c>
      <c r="E54" s="319">
        <f t="shared" si="45"/>
        <v>14300.000000000002</v>
      </c>
      <c r="F54" s="319"/>
      <c r="G54" s="319"/>
      <c r="H54" s="319"/>
      <c r="I54" s="319"/>
      <c r="J54" s="319"/>
      <c r="K54" s="319">
        <f t="shared" si="17"/>
        <v>14300.000000000002</v>
      </c>
      <c r="L54" s="319">
        <f t="shared" si="5"/>
        <v>171600.00000000003</v>
      </c>
      <c r="M54" s="319">
        <f t="shared" si="16"/>
        <v>3072</v>
      </c>
      <c r="N54" s="319">
        <f>128*2</f>
        <v>256</v>
      </c>
      <c r="O54" s="319">
        <f t="shared" si="46"/>
        <v>174672.00000000003</v>
      </c>
      <c r="P54" s="319"/>
      <c r="Q54" s="319"/>
      <c r="R54" s="319"/>
      <c r="S54" s="319"/>
      <c r="T54" s="319"/>
      <c r="U54" s="320">
        <f t="shared" si="47"/>
        <v>174672.00000000003</v>
      </c>
      <c r="W54" s="338">
        <f t="shared" si="48"/>
        <v>42900.000000000007</v>
      </c>
      <c r="X54" s="338">
        <f t="shared" si="9"/>
        <v>768</v>
      </c>
      <c r="Y54" s="338">
        <f t="shared" si="49"/>
        <v>85800.000000000015</v>
      </c>
      <c r="Z54" s="338">
        <f t="shared" si="1"/>
        <v>1536</v>
      </c>
      <c r="AA54" s="338">
        <f t="shared" si="50"/>
        <v>128700.00000000001</v>
      </c>
      <c r="AB54" s="338">
        <f t="shared" si="2"/>
        <v>2304</v>
      </c>
      <c r="AC54" s="338">
        <f t="shared" si="51"/>
        <v>171600.00000000003</v>
      </c>
      <c r="AD54" s="338">
        <f t="shared" si="3"/>
        <v>3072</v>
      </c>
      <c r="AE54" s="338">
        <f t="shared" si="52"/>
        <v>174672.00000000003</v>
      </c>
      <c r="AF54" s="291">
        <f t="shared" si="53"/>
        <v>7278.0000000000009</v>
      </c>
    </row>
    <row r="55" spans="1:33" ht="45.75" thickBot="1">
      <c r="A55" s="316">
        <v>36</v>
      </c>
      <c r="B55" s="328" t="s">
        <v>504</v>
      </c>
      <c r="C55" s="318">
        <v>3</v>
      </c>
      <c r="D55" s="319">
        <v>7800</v>
      </c>
      <c r="E55" s="319">
        <f t="shared" si="45"/>
        <v>23400</v>
      </c>
      <c r="F55" s="319"/>
      <c r="G55" s="319">
        <v>5850</v>
      </c>
      <c r="H55" s="319"/>
      <c r="I55" s="319"/>
      <c r="J55" s="319"/>
      <c r="K55" s="319">
        <f t="shared" si="17"/>
        <v>29250</v>
      </c>
      <c r="L55" s="319">
        <f t="shared" si="5"/>
        <v>351000</v>
      </c>
      <c r="M55" s="319">
        <f t="shared" si="16"/>
        <v>4352.3999999999996</v>
      </c>
      <c r="N55" s="319">
        <f>128*3-21.3</f>
        <v>362.7</v>
      </c>
      <c r="O55" s="319">
        <f t="shared" si="46"/>
        <v>355352.4</v>
      </c>
      <c r="P55" s="319"/>
      <c r="Q55" s="319"/>
      <c r="R55" s="319"/>
      <c r="S55" s="319"/>
      <c r="T55" s="319"/>
      <c r="U55" s="320">
        <f t="shared" si="47"/>
        <v>355352.4</v>
      </c>
      <c r="W55" s="338">
        <f t="shared" si="48"/>
        <v>70200</v>
      </c>
      <c r="X55" s="338">
        <f t="shared" si="9"/>
        <v>18638.099999999999</v>
      </c>
      <c r="Y55" s="338">
        <f t="shared" si="49"/>
        <v>140400</v>
      </c>
      <c r="Z55" s="338">
        <f t="shared" si="1"/>
        <v>37276.199999999997</v>
      </c>
      <c r="AA55" s="338">
        <f t="shared" si="50"/>
        <v>210600</v>
      </c>
      <c r="AB55" s="338">
        <f t="shared" si="2"/>
        <v>55914.299999999996</v>
      </c>
      <c r="AC55" s="338">
        <f t="shared" si="51"/>
        <v>280800</v>
      </c>
      <c r="AD55" s="338">
        <f t="shared" si="3"/>
        <v>74552.399999999994</v>
      </c>
      <c r="AE55" s="338">
        <f t="shared" si="52"/>
        <v>355352.4</v>
      </c>
      <c r="AF55" s="291">
        <f t="shared" si="53"/>
        <v>9870.9</v>
      </c>
    </row>
    <row r="56" spans="1:33" ht="14.25">
      <c r="A56" s="258"/>
      <c r="B56" s="280" t="s">
        <v>461</v>
      </c>
      <c r="C56" s="337">
        <f>SUM(C10:C55)</f>
        <v>70</v>
      </c>
      <c r="D56" s="315">
        <f>SUM(D10:D55)</f>
        <v>445748</v>
      </c>
      <c r="E56" s="315">
        <f t="shared" ref="E56:AE56" si="54">SUM(E10:E55)</f>
        <v>695348</v>
      </c>
      <c r="F56" s="315">
        <f t="shared" si="54"/>
        <v>10596</v>
      </c>
      <c r="G56" s="315">
        <f t="shared" si="54"/>
        <v>5850</v>
      </c>
      <c r="H56" s="315">
        <f t="shared" si="54"/>
        <v>0</v>
      </c>
      <c r="I56" s="315">
        <f t="shared" si="54"/>
        <v>2145</v>
      </c>
      <c r="J56" s="315">
        <f t="shared" si="54"/>
        <v>0</v>
      </c>
      <c r="K56" s="315">
        <f t="shared" si="54"/>
        <v>713939</v>
      </c>
      <c r="L56" s="315">
        <f t="shared" si="54"/>
        <v>8567268</v>
      </c>
      <c r="M56" s="315">
        <f t="shared" si="54"/>
        <v>107264.4</v>
      </c>
      <c r="N56" s="315">
        <f t="shared" si="54"/>
        <v>8938.7000000000007</v>
      </c>
      <c r="O56" s="315">
        <f t="shared" si="54"/>
        <v>8674532.4000000004</v>
      </c>
      <c r="P56" s="315">
        <f t="shared" si="54"/>
        <v>0</v>
      </c>
      <c r="Q56" s="315">
        <f t="shared" si="54"/>
        <v>0</v>
      </c>
      <c r="R56" s="315">
        <f t="shared" si="54"/>
        <v>0</v>
      </c>
      <c r="S56" s="315">
        <f t="shared" si="54"/>
        <v>0</v>
      </c>
      <c r="T56" s="315">
        <f t="shared" si="54"/>
        <v>0</v>
      </c>
      <c r="U56" s="315">
        <f t="shared" si="54"/>
        <v>8674532.4000000004</v>
      </c>
      <c r="W56" s="315">
        <f t="shared" si="54"/>
        <v>2086044</v>
      </c>
      <c r="X56" s="315">
        <f t="shared" si="54"/>
        <v>82589.100000000006</v>
      </c>
      <c r="Y56" s="315">
        <f t="shared" si="54"/>
        <v>4172088</v>
      </c>
      <c r="Z56" s="315">
        <f t="shared" si="54"/>
        <v>165178.20000000001</v>
      </c>
      <c r="AA56" s="315">
        <f t="shared" si="54"/>
        <v>6258132</v>
      </c>
      <c r="AB56" s="315">
        <f t="shared" si="54"/>
        <v>247767.3</v>
      </c>
      <c r="AC56" s="315">
        <f t="shared" si="54"/>
        <v>8344176</v>
      </c>
      <c r="AD56" s="315">
        <f t="shared" si="54"/>
        <v>330356.40000000002</v>
      </c>
      <c r="AE56" s="315">
        <f t="shared" si="54"/>
        <v>8674532.4000000004</v>
      </c>
      <c r="AF56" s="291">
        <f>(AC56+AD56)/12/C56</f>
        <v>10326.824285714287</v>
      </c>
      <c r="AG56" s="283"/>
    </row>
    <row r="57" spans="1:33">
      <c r="F57" s="281"/>
      <c r="K57" s="278">
        <f>K39/2</f>
        <v>4225</v>
      </c>
    </row>
    <row r="58" spans="1:33">
      <c r="F58" s="292" t="s">
        <v>522</v>
      </c>
      <c r="K58" s="292" t="s">
        <v>523</v>
      </c>
      <c r="M58" s="281">
        <f>L56+M56</f>
        <v>8674532.4000000004</v>
      </c>
    </row>
    <row r="59" spans="1:33">
      <c r="K59" s="281"/>
      <c r="AF59" s="338"/>
    </row>
    <row r="60" spans="1:33">
      <c r="K60" s="281"/>
      <c r="AF60" s="338"/>
    </row>
    <row r="61" spans="1:33">
      <c r="K61" s="281"/>
      <c r="W61" s="278" t="s">
        <v>372</v>
      </c>
      <c r="X61" s="278" t="s">
        <v>364</v>
      </c>
      <c r="Y61" s="278" t="s">
        <v>365</v>
      </c>
      <c r="Z61" s="278" t="s">
        <v>86</v>
      </c>
      <c r="AF61" s="338"/>
    </row>
    <row r="62" spans="1:33">
      <c r="K62" s="281"/>
      <c r="L62" s="281"/>
      <c r="V62" s="278" t="s">
        <v>490</v>
      </c>
      <c r="W62" s="345">
        <f>SUM(W28:X28,W31:X32,W36:X43,W46:X46,W49:X50,W53:X55)</f>
        <v>1180247.1000000001</v>
      </c>
      <c r="X62" s="345">
        <f>SUM(Y28:Z28,Y31:Z32,Y36:Z43,Y46:Z46,Y49:Z50,Y53:Z55)</f>
        <v>2360494.2000000002</v>
      </c>
      <c r="Y62" s="345">
        <f>SUM(AA28:AB28,AA31:AB32,AA36:AB43,AA46:AB46,AA49:AB50,AA53:AB55)</f>
        <v>3540741.3</v>
      </c>
      <c r="Z62" s="345">
        <f>SUM(AC28:AD28,AC31:AD32,AC36:AD43,AC46:AD46,AC49:AD50,AC53:AD55)</f>
        <v>4720988.4000000004</v>
      </c>
      <c r="AF62" s="338"/>
    </row>
    <row r="63" spans="1:33">
      <c r="K63" s="281"/>
      <c r="V63" s="278" t="s">
        <v>430</v>
      </c>
      <c r="W63" s="345">
        <f>(W62-W68)*22%+W68*8.41%</f>
        <v>253242.0564</v>
      </c>
      <c r="X63" s="345">
        <f>(X62-X68)*22%+X68*8.41%</f>
        <v>506379.74160000007</v>
      </c>
      <c r="Y63" s="345">
        <f t="shared" ref="Y63:Z63" si="55">(Y62-Y68)*22%+Y68*8.41%</f>
        <v>759569.61239999998</v>
      </c>
      <c r="Z63" s="345">
        <f t="shared" si="55"/>
        <v>1012759.4832000001</v>
      </c>
      <c r="AF63" s="338"/>
    </row>
    <row r="64" spans="1:33">
      <c r="K64" s="281"/>
      <c r="L64" s="281"/>
      <c r="W64" s="345"/>
      <c r="X64" s="345"/>
      <c r="Y64" s="345"/>
      <c r="Z64" s="345"/>
      <c r="AF64" s="338"/>
    </row>
    <row r="65" spans="11:32">
      <c r="K65" s="281"/>
      <c r="V65" s="278" t="s">
        <v>491</v>
      </c>
      <c r="W65" s="345">
        <f>SUM(W10:X26,W30:X30,W34:X35,W45:X45,W48:X48,W52:X52)</f>
        <v>988386</v>
      </c>
      <c r="X65" s="345">
        <f>SUM(Y10:Z26,Y30:Z30,Y34:Z35,Y45:Z45,Y48:Z48,Y52:Z52)</f>
        <v>1976772</v>
      </c>
      <c r="Y65" s="345">
        <f>SUM(AA10:AB26,AA30:AB30,AA34:AB35,AA45:AB45,AA48:AB48,AA52:AB52)</f>
        <v>2965158</v>
      </c>
      <c r="Z65" s="345">
        <f>SUM(AC10:AD26,AC30:AD30,AC34:AD35,AC45:AD45,AC48:AD48,AC52:AD52)</f>
        <v>3953544</v>
      </c>
      <c r="AF65" s="338"/>
    </row>
    <row r="66" spans="11:32">
      <c r="K66" s="281"/>
      <c r="V66" s="278" t="s">
        <v>430</v>
      </c>
      <c r="W66" s="345">
        <f>(W65-W69)*22%+W69*8.41%</f>
        <v>207535.36379999999</v>
      </c>
      <c r="X66" s="345">
        <f>(X65-X69)*22%+X69*8.41%</f>
        <v>415070.72759999998</v>
      </c>
      <c r="Y66" s="345">
        <f t="shared" ref="Y66" si="56">(Y65-Y69)*22%+Y69*8.41%</f>
        <v>622606.09140000003</v>
      </c>
      <c r="Z66" s="345">
        <f>(Z65-Z69)*22%+Z69*8.41%</f>
        <v>830141.45519999997</v>
      </c>
      <c r="AF66" s="338"/>
    </row>
    <row r="67" spans="11:32">
      <c r="K67" s="281"/>
      <c r="W67" s="345"/>
      <c r="X67" s="345"/>
      <c r="Y67" s="345"/>
      <c r="Z67" s="345"/>
      <c r="AF67" s="338"/>
    </row>
    <row r="68" spans="11:32">
      <c r="K68" s="281"/>
      <c r="V68" s="278" t="s">
        <v>494</v>
      </c>
      <c r="W68" s="346">
        <f>SUM(W39:X39,(W54:X54)/2)</f>
        <v>47184</v>
      </c>
      <c r="X68" s="346">
        <f>SUM(Y39:Z39,(Y54+Z54)/2)</f>
        <v>95136</v>
      </c>
      <c r="Y68" s="346">
        <f>SUM(AA39:AB39,(AA54+AB54)/2)</f>
        <v>142704</v>
      </c>
      <c r="Z68" s="346">
        <f>SUM(AC39:AD39,(AC54+AD54)/2)</f>
        <v>190272</v>
      </c>
      <c r="AF68" s="338"/>
    </row>
    <row r="69" spans="11:32">
      <c r="K69" s="281"/>
      <c r="V69" s="278" t="s">
        <v>495</v>
      </c>
      <c r="W69" s="345">
        <f>SUM(W30:X30,(W19+X19)/2)</f>
        <v>72918</v>
      </c>
      <c r="X69" s="345">
        <f>SUM(Y30:Z30,(Y19+Z19)/2)</f>
        <v>145836</v>
      </c>
      <c r="Y69" s="345">
        <f>SUM(AA30:AB30,(AA19+AB19)/2)</f>
        <v>218754</v>
      </c>
      <c r="Z69" s="345">
        <f>SUM(AC30:AD30,(AC19+AD19)/2)</f>
        <v>291672</v>
      </c>
      <c r="AF69" s="338"/>
    </row>
    <row r="70" spans="11:32">
      <c r="K70" s="281"/>
      <c r="W70" s="345"/>
      <c r="X70" s="345"/>
      <c r="Y70" s="345"/>
      <c r="Z70" s="345"/>
      <c r="AF70" s="338"/>
    </row>
    <row r="71" spans="11:32">
      <c r="K71" s="281"/>
      <c r="V71" s="278" t="s">
        <v>492</v>
      </c>
      <c r="W71" s="345">
        <f>W62+W65</f>
        <v>2168633.1</v>
      </c>
      <c r="X71" s="345">
        <f t="shared" ref="W71:Y72" si="57">X62+X65</f>
        <v>4337266.2</v>
      </c>
      <c r="Y71" s="345">
        <f t="shared" si="57"/>
        <v>6505899.2999999998</v>
      </c>
      <c r="Z71" s="345">
        <f t="shared" ref="Z71:Z72" si="58">Z62+Z65</f>
        <v>8674532.4000000004</v>
      </c>
      <c r="AD71" s="283"/>
      <c r="AF71" s="338"/>
    </row>
    <row r="72" spans="11:32">
      <c r="K72" s="281"/>
      <c r="V72" s="278" t="s">
        <v>493</v>
      </c>
      <c r="W72" s="345">
        <f t="shared" si="57"/>
        <v>460777.42019999999</v>
      </c>
      <c r="X72" s="345">
        <f t="shared" si="57"/>
        <v>921450.46920000005</v>
      </c>
      <c r="Y72" s="345">
        <f t="shared" si="57"/>
        <v>1382175.7038</v>
      </c>
      <c r="Z72" s="345">
        <f t="shared" si="58"/>
        <v>1842900.9384000001</v>
      </c>
      <c r="AF72" s="338"/>
    </row>
    <row r="73" spans="11:32">
      <c r="K73" s="281"/>
      <c r="AF73" s="338"/>
    </row>
    <row r="74" spans="11:32">
      <c r="K74" s="281"/>
      <c r="V74" s="278" t="s">
        <v>496</v>
      </c>
      <c r="AF74" s="338"/>
    </row>
    <row r="75" spans="11:32">
      <c r="K75" s="281"/>
      <c r="AF75" s="338"/>
    </row>
    <row r="76" spans="11:32">
      <c r="K76" s="281"/>
      <c r="V76" s="278" t="s">
        <v>497</v>
      </c>
      <c r="AF76" s="338"/>
    </row>
    <row r="77" spans="11:32">
      <c r="K77" s="281"/>
      <c r="V77" s="278" t="s">
        <v>268</v>
      </c>
      <c r="W77" s="282">
        <f>AE10</f>
        <v>352536</v>
      </c>
      <c r="X77" s="282"/>
      <c r="Y77" s="283"/>
      <c r="AF77" s="338"/>
    </row>
    <row r="78" spans="11:32">
      <c r="K78" s="281"/>
      <c r="V78" s="278" t="s">
        <v>498</v>
      </c>
      <c r="W78" s="282">
        <f>Z65-W77</f>
        <v>3601008</v>
      </c>
      <c r="X78" s="282"/>
      <c r="Y78" s="283"/>
      <c r="AF78" s="338"/>
    </row>
    <row r="79" spans="11:32">
      <c r="K79" s="281"/>
      <c r="V79" s="278" t="s">
        <v>269</v>
      </c>
      <c r="W79" s="282">
        <f>Z62</f>
        <v>4720988.4000000004</v>
      </c>
      <c r="X79" s="282"/>
      <c r="Y79" s="283"/>
      <c r="AF79" s="338"/>
    </row>
    <row r="80" spans="11:32">
      <c r="K80" s="281"/>
      <c r="W80" s="282"/>
      <c r="X80" s="282"/>
      <c r="AF80" s="338"/>
    </row>
    <row r="81" spans="11:32">
      <c r="K81" s="281"/>
      <c r="V81" s="278" t="s">
        <v>499</v>
      </c>
      <c r="W81" s="282"/>
      <c r="X81" s="282"/>
      <c r="AF81" s="338"/>
    </row>
    <row r="82" spans="11:32">
      <c r="K82" s="281"/>
      <c r="V82" s="278" t="s">
        <v>268</v>
      </c>
      <c r="W82" s="282">
        <f>W77*1.22</f>
        <v>430093.92</v>
      </c>
      <c r="X82" s="282"/>
      <c r="Y82" s="283"/>
      <c r="AF82" s="338"/>
    </row>
    <row r="83" spans="11:32">
      <c r="K83" s="281"/>
      <c r="V83" s="278" t="s">
        <v>498</v>
      </c>
      <c r="W83" s="282">
        <f>Z65+Z66-W82</f>
        <v>4353591.5351999998</v>
      </c>
      <c r="X83" s="282"/>
      <c r="Y83" s="283"/>
      <c r="AF83" s="338"/>
    </row>
    <row r="84" spans="11:32">
      <c r="K84" s="281"/>
      <c r="V84" s="278" t="s">
        <v>269</v>
      </c>
      <c r="W84" s="282">
        <f>Z62+Z63</f>
        <v>5733747.883200001</v>
      </c>
      <c r="X84" s="282"/>
      <c r="Y84" s="283"/>
      <c r="AF84" s="338"/>
    </row>
    <row r="85" spans="11:32">
      <c r="K85" s="281"/>
      <c r="W85" s="282"/>
      <c r="X85" s="282"/>
      <c r="AF85" s="338"/>
    </row>
    <row r="86" spans="11:32">
      <c r="K86" s="281"/>
      <c r="V86" s="278" t="s">
        <v>500</v>
      </c>
      <c r="W86" s="282"/>
      <c r="X86" s="282"/>
      <c r="AF86" s="338"/>
    </row>
    <row r="87" spans="11:32">
      <c r="K87" s="281"/>
      <c r="U87" s="278">
        <v>1</v>
      </c>
      <c r="V87" s="278" t="s">
        <v>268</v>
      </c>
      <c r="W87" s="282">
        <f>D10</f>
        <v>29250</v>
      </c>
      <c r="X87" s="282"/>
      <c r="Y87" s="283"/>
      <c r="AF87" s="338"/>
    </row>
    <row r="88" spans="11:32">
      <c r="K88" s="281"/>
      <c r="U88" s="278">
        <v>20</v>
      </c>
      <c r="V88" s="278" t="s">
        <v>498</v>
      </c>
      <c r="W88" s="282">
        <f>SUM(AC10:AC26,AC30,AC34:AC35,AC45,AC48,AC52)/20/12</f>
        <v>16274.9</v>
      </c>
      <c r="X88" s="282"/>
      <c r="Y88" s="283"/>
      <c r="AF88" s="338"/>
    </row>
    <row r="89" spans="11:32">
      <c r="K89" s="281"/>
      <c r="U89" s="278">
        <v>49</v>
      </c>
      <c r="V89" s="278" t="s">
        <v>269</v>
      </c>
      <c r="W89" s="282">
        <f>SUM(AC28,AC31:AC32,AC36:AC43,AC46,AC49:AC50,AC53:AC55)/49/12</f>
        <v>7547.9591836734689</v>
      </c>
      <c r="Y89" s="283"/>
      <c r="AF89" s="338"/>
    </row>
    <row r="90" spans="11:32">
      <c r="K90" s="281"/>
      <c r="W90" s="282"/>
      <c r="AF90" s="338"/>
    </row>
    <row r="91" spans="11:32">
      <c r="K91" s="281"/>
      <c r="V91" s="278" t="s">
        <v>501</v>
      </c>
      <c r="W91" s="282"/>
      <c r="AF91" s="338"/>
    </row>
    <row r="92" spans="11:32">
      <c r="K92" s="281"/>
      <c r="U92" s="278">
        <v>1</v>
      </c>
      <c r="V92" s="278" t="s">
        <v>268</v>
      </c>
      <c r="W92" s="282">
        <f>AE10/12</f>
        <v>29378</v>
      </c>
      <c r="Y92" s="283"/>
      <c r="AF92" s="338"/>
    </row>
    <row r="93" spans="11:32">
      <c r="U93" s="278">
        <v>20</v>
      </c>
      <c r="V93" s="278" t="s">
        <v>498</v>
      </c>
      <c r="W93" s="282">
        <f>SUM(AC10:AD26,AC30:AD30,AC34:AD35,AC45:AD45,AC48:AD48,AC52:AD52)/20/12</f>
        <v>16473.100000000002</v>
      </c>
      <c r="Y93" s="283"/>
      <c r="AF93" s="338"/>
    </row>
    <row r="94" spans="11:32">
      <c r="U94" s="278">
        <v>49</v>
      </c>
      <c r="V94" s="278" t="s">
        <v>269</v>
      </c>
      <c r="W94" s="282">
        <f>SUM(AC28:AD28,AC31:AD32,AC36:AD43,AC46:AD46,AC49:AD50,AC53:AD55)/49/12</f>
        <v>8028.8918367346951</v>
      </c>
      <c r="Y94" s="283"/>
      <c r="AF94" s="338"/>
    </row>
    <row r="95" spans="11:32">
      <c r="AF95" s="338"/>
    </row>
    <row r="96" spans="11:32">
      <c r="AF96" s="338"/>
    </row>
    <row r="97" spans="32:32">
      <c r="AF97" s="338"/>
    </row>
    <row r="98" spans="32:32">
      <c r="AF98" s="338"/>
    </row>
    <row r="99" spans="32:32">
      <c r="AF99" s="338"/>
    </row>
    <row r="100" spans="32:32">
      <c r="AF100" s="338"/>
    </row>
    <row r="101" spans="32:32">
      <c r="AF101" s="338"/>
    </row>
    <row r="102" spans="32:32">
      <c r="AF102" s="338"/>
    </row>
    <row r="103" spans="32:32">
      <c r="AF103" s="338"/>
    </row>
    <row r="104" spans="32:32">
      <c r="AF104" s="338"/>
    </row>
    <row r="105" spans="32:32">
      <c r="AF105" s="338"/>
    </row>
    <row r="106" spans="32:32">
      <c r="AF106" s="338"/>
    </row>
    <row r="107" spans="32:32">
      <c r="AF107" s="338"/>
    </row>
    <row r="108" spans="32:32">
      <c r="AF108" s="338"/>
    </row>
    <row r="109" spans="32:32">
      <c r="AF109" s="338"/>
    </row>
    <row r="110" spans="32:32">
      <c r="AF110" s="338"/>
    </row>
    <row r="111" spans="32:32">
      <c r="AF111" s="338"/>
    </row>
    <row r="112" spans="32:32">
      <c r="AF112" s="338"/>
    </row>
    <row r="113" spans="32:32">
      <c r="AF113" s="338"/>
    </row>
    <row r="114" spans="32:32">
      <c r="AF114" s="338"/>
    </row>
    <row r="115" spans="32:32">
      <c r="AF115" s="338"/>
    </row>
    <row r="116" spans="32:32">
      <c r="AF116" s="338"/>
    </row>
    <row r="117" spans="32:32">
      <c r="AF117" s="338"/>
    </row>
    <row r="118" spans="32:32">
      <c r="AF118" s="338"/>
    </row>
    <row r="119" spans="32:32">
      <c r="AF119" s="338"/>
    </row>
    <row r="120" spans="32:32">
      <c r="AF120" s="338"/>
    </row>
    <row r="121" spans="32:32">
      <c r="AF121" s="338"/>
    </row>
    <row r="122" spans="32:32">
      <c r="AF122" s="338"/>
    </row>
    <row r="123" spans="32:32">
      <c r="AF123" s="338"/>
    </row>
    <row r="124" spans="32:32">
      <c r="AF124" s="338"/>
    </row>
    <row r="125" spans="32:32">
      <c r="AF125" s="338"/>
    </row>
    <row r="126" spans="32:32">
      <c r="AF126" s="338"/>
    </row>
    <row r="127" spans="32:32">
      <c r="AF127" s="338"/>
    </row>
    <row r="128" spans="32:32">
      <c r="AF128" s="338"/>
    </row>
    <row r="129" spans="32:32">
      <c r="AF129" s="338"/>
    </row>
    <row r="130" spans="32:32">
      <c r="AF130" s="338"/>
    </row>
    <row r="131" spans="32:32">
      <c r="AF131" s="338"/>
    </row>
    <row r="132" spans="32:32">
      <c r="AF132" s="338"/>
    </row>
    <row r="133" spans="32:32">
      <c r="AF133" s="338"/>
    </row>
    <row r="134" spans="32:32">
      <c r="AF134" s="338"/>
    </row>
    <row r="135" spans="32:32">
      <c r="AF135" s="338"/>
    </row>
    <row r="136" spans="32:32">
      <c r="AF136" s="338"/>
    </row>
    <row r="137" spans="32:32">
      <c r="AF137" s="338"/>
    </row>
    <row r="138" spans="32:32">
      <c r="AF138" s="338"/>
    </row>
    <row r="139" spans="32:32">
      <c r="AF139" s="338"/>
    </row>
    <row r="140" spans="32:32">
      <c r="AF140" s="338"/>
    </row>
    <row r="141" spans="32:32">
      <c r="AF141" s="338"/>
    </row>
    <row r="142" spans="32:32">
      <c r="AF142" s="338"/>
    </row>
    <row r="143" spans="32:32">
      <c r="AF143" s="338"/>
    </row>
    <row r="144" spans="32:32">
      <c r="AF144" s="338"/>
    </row>
    <row r="145" spans="32:32">
      <c r="AF145" s="338"/>
    </row>
    <row r="146" spans="32:32">
      <c r="AF146" s="338"/>
    </row>
    <row r="147" spans="32:32">
      <c r="AF147" s="338"/>
    </row>
    <row r="148" spans="32:32">
      <c r="AF148" s="338"/>
    </row>
    <row r="149" spans="32:32">
      <c r="AF149" s="338"/>
    </row>
    <row r="150" spans="32:32">
      <c r="AF150" s="338"/>
    </row>
    <row r="151" spans="32:32">
      <c r="AF151" s="338"/>
    </row>
    <row r="152" spans="32:32">
      <c r="AF152" s="338"/>
    </row>
    <row r="153" spans="32:32">
      <c r="AF153" s="338"/>
    </row>
    <row r="154" spans="32:32">
      <c r="AF154" s="338"/>
    </row>
    <row r="155" spans="32:32">
      <c r="AF155" s="338"/>
    </row>
    <row r="156" spans="32:32">
      <c r="AF156" s="338"/>
    </row>
    <row r="157" spans="32:32">
      <c r="AF157" s="338"/>
    </row>
    <row r="158" spans="32:32">
      <c r="AF158" s="338"/>
    </row>
    <row r="159" spans="32:32">
      <c r="AF159" s="338"/>
    </row>
    <row r="160" spans="32:32">
      <c r="AF160" s="338"/>
    </row>
    <row r="161" spans="32:32">
      <c r="AF161" s="338"/>
    </row>
    <row r="162" spans="32:32">
      <c r="AF162" s="338"/>
    </row>
    <row r="163" spans="32:32">
      <c r="AF163" s="338"/>
    </row>
    <row r="164" spans="32:32">
      <c r="AF164" s="338"/>
    </row>
    <row r="165" spans="32:32">
      <c r="AF165" s="338"/>
    </row>
    <row r="166" spans="32:32">
      <c r="AF166" s="338"/>
    </row>
    <row r="167" spans="32:32">
      <c r="AF167" s="338"/>
    </row>
    <row r="168" spans="32:32">
      <c r="AF168" s="338"/>
    </row>
    <row r="169" spans="32:32">
      <c r="AF169" s="338"/>
    </row>
    <row r="170" spans="32:32">
      <c r="AF170" s="338"/>
    </row>
    <row r="171" spans="32:32">
      <c r="AF171" s="338"/>
    </row>
    <row r="172" spans="32:32">
      <c r="AF172" s="338"/>
    </row>
    <row r="173" spans="32:32">
      <c r="AF173" s="338"/>
    </row>
    <row r="174" spans="32:32">
      <c r="AF174" s="338"/>
    </row>
    <row r="175" spans="32:32">
      <c r="AF175" s="338"/>
    </row>
    <row r="176" spans="32:32">
      <c r="AF176" s="338"/>
    </row>
    <row r="177" spans="32:32">
      <c r="AF177" s="338"/>
    </row>
    <row r="178" spans="32:32">
      <c r="AF178" s="338"/>
    </row>
    <row r="179" spans="32:32">
      <c r="AF179" s="338"/>
    </row>
    <row r="180" spans="32:32">
      <c r="AF180" s="338"/>
    </row>
    <row r="181" spans="32:32">
      <c r="AF181" s="338"/>
    </row>
    <row r="182" spans="32:32">
      <c r="AF182" s="338"/>
    </row>
    <row r="183" spans="32:32">
      <c r="AF183" s="338"/>
    </row>
    <row r="184" spans="32:32">
      <c r="AF184" s="338"/>
    </row>
    <row r="185" spans="32:32">
      <c r="AF185" s="338"/>
    </row>
    <row r="186" spans="32:32">
      <c r="AF186" s="338"/>
    </row>
    <row r="187" spans="32:32">
      <c r="AF187" s="338"/>
    </row>
    <row r="188" spans="32:32">
      <c r="AF188" s="338"/>
    </row>
    <row r="189" spans="32:32">
      <c r="AF189" s="338"/>
    </row>
    <row r="190" spans="32:32">
      <c r="AF190" s="338"/>
    </row>
    <row r="191" spans="32:32">
      <c r="AF191" s="338"/>
    </row>
    <row r="192" spans="32:32">
      <c r="AF192" s="338"/>
    </row>
    <row r="193" spans="32:32">
      <c r="AF193" s="338"/>
    </row>
    <row r="194" spans="32:32">
      <c r="AF194" s="338"/>
    </row>
    <row r="195" spans="32:32">
      <c r="AF195" s="338"/>
    </row>
    <row r="196" spans="32:32">
      <c r="AF196" s="338"/>
    </row>
    <row r="197" spans="32:32">
      <c r="AF197" s="338"/>
    </row>
    <row r="198" spans="32:32">
      <c r="AF198" s="338"/>
    </row>
    <row r="199" spans="32:32">
      <c r="AF199" s="338"/>
    </row>
    <row r="200" spans="32:32">
      <c r="AF200" s="338"/>
    </row>
    <row r="201" spans="32:32">
      <c r="AF201" s="338"/>
    </row>
    <row r="202" spans="32:32">
      <c r="AF202" s="338"/>
    </row>
    <row r="203" spans="32:32">
      <c r="AF203" s="338"/>
    </row>
    <row r="204" spans="32:32">
      <c r="AF204" s="338"/>
    </row>
    <row r="205" spans="32:32">
      <c r="AF205" s="338"/>
    </row>
    <row r="206" spans="32:32">
      <c r="AF206" s="338"/>
    </row>
    <row r="207" spans="32:32">
      <c r="AF207" s="338"/>
    </row>
    <row r="208" spans="32:32">
      <c r="AF208" s="338"/>
    </row>
    <row r="209" spans="32:32">
      <c r="AF209" s="338"/>
    </row>
    <row r="210" spans="32:32">
      <c r="AF210" s="338"/>
    </row>
    <row r="211" spans="32:32">
      <c r="AF211" s="338"/>
    </row>
    <row r="212" spans="32:32">
      <c r="AF212" s="338"/>
    </row>
    <row r="213" spans="32:32">
      <c r="AF213" s="338"/>
    </row>
    <row r="214" spans="32:32">
      <c r="AF214" s="338"/>
    </row>
    <row r="215" spans="32:32">
      <c r="AF215" s="338"/>
    </row>
    <row r="216" spans="32:32">
      <c r="AF216" s="338"/>
    </row>
    <row r="217" spans="32:32">
      <c r="AF217" s="338"/>
    </row>
    <row r="218" spans="32:32">
      <c r="AF218" s="338"/>
    </row>
    <row r="219" spans="32:32">
      <c r="AF219" s="338"/>
    </row>
    <row r="220" spans="32:32">
      <c r="AF220" s="338"/>
    </row>
    <row r="221" spans="32:32">
      <c r="AF221" s="338"/>
    </row>
    <row r="222" spans="32:32">
      <c r="AF222" s="338"/>
    </row>
    <row r="223" spans="32:32">
      <c r="AF223" s="338"/>
    </row>
    <row r="224" spans="32:32">
      <c r="AF224" s="338"/>
    </row>
    <row r="225" spans="32:32">
      <c r="AF225" s="338"/>
    </row>
    <row r="226" spans="32:32">
      <c r="AF226" s="338"/>
    </row>
    <row r="227" spans="32:32">
      <c r="AF227" s="338"/>
    </row>
    <row r="228" spans="32:32">
      <c r="AF228" s="338"/>
    </row>
    <row r="229" spans="32:32">
      <c r="AF229" s="338"/>
    </row>
    <row r="230" spans="32:32">
      <c r="AF230" s="338"/>
    </row>
    <row r="231" spans="32:32">
      <c r="AF231" s="338"/>
    </row>
    <row r="232" spans="32:32">
      <c r="AF232" s="338"/>
    </row>
    <row r="233" spans="32:32">
      <c r="AF233" s="338"/>
    </row>
    <row r="234" spans="32:32">
      <c r="AF234" s="338"/>
    </row>
    <row r="235" spans="32:32">
      <c r="AF235" s="338"/>
    </row>
    <row r="236" spans="32:32">
      <c r="AF236" s="338"/>
    </row>
    <row r="237" spans="32:32">
      <c r="AF237" s="338"/>
    </row>
    <row r="238" spans="32:32">
      <c r="AF238" s="338"/>
    </row>
    <row r="239" spans="32:32">
      <c r="AF239" s="338"/>
    </row>
    <row r="240" spans="32:32">
      <c r="AF240" s="338"/>
    </row>
    <row r="241" spans="32:32">
      <c r="AF241" s="338"/>
    </row>
    <row r="242" spans="32:32">
      <c r="AF242" s="338"/>
    </row>
    <row r="243" spans="32:32">
      <c r="AF243" s="338"/>
    </row>
    <row r="244" spans="32:32">
      <c r="AF244" s="338"/>
    </row>
    <row r="245" spans="32:32">
      <c r="AF245" s="338"/>
    </row>
    <row r="246" spans="32:32">
      <c r="AF246" s="338"/>
    </row>
    <row r="247" spans="32:32">
      <c r="AF247" s="338"/>
    </row>
    <row r="248" spans="32:32">
      <c r="AF248" s="338"/>
    </row>
    <row r="249" spans="32:32">
      <c r="AF249" s="338"/>
    </row>
    <row r="250" spans="32:32">
      <c r="AF250" s="338"/>
    </row>
    <row r="251" spans="32:32">
      <c r="AF251" s="338"/>
    </row>
    <row r="252" spans="32:32">
      <c r="AF252" s="338"/>
    </row>
    <row r="253" spans="32:32">
      <c r="AF253" s="338"/>
    </row>
    <row r="254" spans="32:32">
      <c r="AF254" s="338"/>
    </row>
    <row r="255" spans="32:32">
      <c r="AF255" s="338"/>
    </row>
    <row r="256" spans="32:32">
      <c r="AF256" s="338"/>
    </row>
    <row r="257" spans="32:32">
      <c r="AF257" s="338"/>
    </row>
    <row r="258" spans="32:32">
      <c r="AF258" s="338"/>
    </row>
    <row r="259" spans="32:32">
      <c r="AF259" s="338"/>
    </row>
    <row r="260" spans="32:32">
      <c r="AF260" s="338"/>
    </row>
    <row r="261" spans="32:32">
      <c r="AF261" s="338"/>
    </row>
    <row r="262" spans="32:32">
      <c r="AF262" s="338"/>
    </row>
    <row r="263" spans="32:32">
      <c r="AF263" s="338"/>
    </row>
    <row r="264" spans="32:32">
      <c r="AF264" s="338"/>
    </row>
    <row r="265" spans="32:32">
      <c r="AF265" s="338"/>
    </row>
    <row r="266" spans="32:32">
      <c r="AF266" s="338"/>
    </row>
    <row r="267" spans="32:32">
      <c r="AF267" s="338"/>
    </row>
    <row r="268" spans="32:32">
      <c r="AF268" s="338"/>
    </row>
    <row r="269" spans="32:32">
      <c r="AF269" s="338"/>
    </row>
    <row r="270" spans="32:32">
      <c r="AF270" s="338"/>
    </row>
    <row r="271" spans="32:32">
      <c r="AF271" s="338"/>
    </row>
    <row r="272" spans="32:32">
      <c r="AF272" s="338"/>
    </row>
    <row r="273" spans="32:32">
      <c r="AF273" s="338"/>
    </row>
    <row r="274" spans="32:32">
      <c r="AF274" s="338"/>
    </row>
    <row r="275" spans="32:32">
      <c r="AF275" s="338"/>
    </row>
    <row r="276" spans="32:32">
      <c r="AF276" s="338"/>
    </row>
    <row r="277" spans="32:32">
      <c r="AF277" s="338"/>
    </row>
    <row r="278" spans="32:32">
      <c r="AF278" s="338"/>
    </row>
    <row r="279" spans="32:32">
      <c r="AF279" s="338"/>
    </row>
    <row r="280" spans="32:32">
      <c r="AF280" s="338"/>
    </row>
    <row r="281" spans="32:32">
      <c r="AF281" s="338"/>
    </row>
    <row r="282" spans="32:32">
      <c r="AF282" s="338"/>
    </row>
    <row r="283" spans="32:32">
      <c r="AF283" s="338"/>
    </row>
    <row r="284" spans="32:32">
      <c r="AF284" s="338"/>
    </row>
    <row r="285" spans="32:32">
      <c r="AF285" s="338"/>
    </row>
    <row r="286" spans="32:32">
      <c r="AF286" s="338"/>
    </row>
    <row r="287" spans="32:32">
      <c r="AF287" s="338"/>
    </row>
    <row r="288" spans="32:32">
      <c r="AF288" s="338"/>
    </row>
    <row r="289" spans="32:32">
      <c r="AF289" s="338"/>
    </row>
    <row r="290" spans="32:32">
      <c r="AF290" s="338"/>
    </row>
    <row r="291" spans="32:32">
      <c r="AF291" s="338"/>
    </row>
    <row r="292" spans="32:32">
      <c r="AF292" s="338"/>
    </row>
    <row r="293" spans="32:32">
      <c r="AF293" s="338"/>
    </row>
    <row r="294" spans="32:32">
      <c r="AF294" s="338"/>
    </row>
    <row r="295" spans="32:32">
      <c r="AF295" s="338"/>
    </row>
    <row r="296" spans="32:32">
      <c r="AF296" s="338"/>
    </row>
    <row r="297" spans="32:32">
      <c r="AF297" s="338"/>
    </row>
    <row r="298" spans="32:32">
      <c r="AF298" s="338"/>
    </row>
    <row r="299" spans="32:32">
      <c r="AF299" s="338"/>
    </row>
  </sheetData>
  <customSheetViews>
    <customSheetView guid="{F65ACDE9-A565-4614-893F-AFCB94FA629C}">
      <selection activeCell="V12" sqref="V12"/>
      <pageMargins left="0.7" right="0.7" top="0.75" bottom="0.75" header="0.3" footer="0.3"/>
      <pageSetup paperSize="9" orientation="landscape" r:id="rId1"/>
    </customSheetView>
    <customSheetView guid="{43DCEB14-ADF8-4168-9283-6542A71D3CF7}" topLeftCell="A19">
      <selection activeCell="K32" sqref="K32"/>
      <pageMargins left="0.7" right="0.7" top="0.75" bottom="0.75" header="0.3" footer="0.3"/>
      <pageSetup paperSize="9" orientation="landscape" r:id="rId2"/>
    </customSheetView>
    <customSheetView guid="{4BF2F851-A775-4F33-8DA4-C59D9D94DA9D}" topLeftCell="P50">
      <selection activeCell="W72" sqref="W72"/>
      <pageMargins left="0.7" right="0.7" top="0.75" bottom="0.75" header="0.3" footer="0.3"/>
      <pageSetup paperSize="9" orientation="landscape" r:id="rId3"/>
    </customSheetView>
    <customSheetView guid="{1E3D5FB9-014E-4051-8AD5-DB0A17D05797}" topLeftCell="A19">
      <selection activeCell="K32" sqref="K32"/>
      <pageMargins left="0.7" right="0.7" top="0.75" bottom="0.75" header="0.3" footer="0.3"/>
      <pageSetup paperSize="9" orientation="landscape" r:id="rId4"/>
    </customSheetView>
    <customSheetView guid="{6E930A10-FB87-4441-8A38-C35193B7FA1B}" topLeftCell="B2">
      <pane xSplit="1" ySplit="8" topLeftCell="O10" activePane="bottomRight" state="frozen"/>
      <selection pane="bottomRight" activeCell="Z76" sqref="Z76"/>
      <pageMargins left="0.7" right="0.7" top="0.75" bottom="0.75" header="0.3" footer="0.3"/>
      <pageSetup paperSize="9" orientation="landscape" r:id="rId5"/>
    </customSheetView>
  </customSheetViews>
  <mergeCells count="23">
    <mergeCell ref="A3:K3"/>
    <mergeCell ref="A4:K4"/>
    <mergeCell ref="A5:K5"/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K6:K9"/>
    <mergeCell ref="L6:L9"/>
    <mergeCell ref="T6:T9"/>
    <mergeCell ref="U6:U9"/>
    <mergeCell ref="N6:N9"/>
    <mergeCell ref="Q6:Q9"/>
    <mergeCell ref="S6:S9"/>
    <mergeCell ref="M6:M9"/>
    <mergeCell ref="O6:O9"/>
    <mergeCell ref="P6:P9"/>
    <mergeCell ref="R6:R9"/>
  </mergeCells>
  <pageMargins left="0.7" right="0.7" top="0.75" bottom="0.75" header="0.3" footer="0.3"/>
  <pageSetup paperSize="9" orientation="landscape" r:id="rId6"/>
  <legacyDrawing r:id="rId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6"/>
  <sheetViews>
    <sheetView view="pageBreakPreview" topLeftCell="D22" zoomScale="70" zoomScaleNormal="60" zoomScaleSheetLayoutView="70" workbookViewId="0">
      <selection activeCell="K30" sqref="K30:Z31"/>
    </sheetView>
  </sheetViews>
  <sheetFormatPr defaultColWidth="9.140625" defaultRowHeight="18.75"/>
  <cols>
    <col min="1" max="1" width="4.42578125" style="1" customWidth="1"/>
    <col min="2" max="2" width="28.7109375" style="1" customWidth="1"/>
    <col min="3" max="6" width="11.28515625" style="1" customWidth="1"/>
    <col min="7" max="31" width="11" style="1" customWidth="1"/>
    <col min="32" max="16384" width="9.140625" style="1"/>
  </cols>
  <sheetData>
    <row r="1" spans="1:3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Q1" s="29"/>
      <c r="R1" s="29"/>
      <c r="S1" s="29"/>
      <c r="T1" s="29"/>
      <c r="U1" s="29"/>
      <c r="AB1" s="560"/>
      <c r="AC1" s="561"/>
      <c r="AD1" s="561"/>
      <c r="AE1" s="561"/>
    </row>
    <row r="2" spans="1:31" ht="18.75" customHeight="1">
      <c r="B2" s="39" t="s">
        <v>252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</row>
    <row r="4" spans="1:31" ht="18.75" customHeight="1">
      <c r="A4" s="430" t="s">
        <v>55</v>
      </c>
      <c r="B4" s="430" t="s">
        <v>208</v>
      </c>
      <c r="C4" s="535" t="s">
        <v>209</v>
      </c>
      <c r="D4" s="536"/>
      <c r="E4" s="536"/>
      <c r="F4" s="537"/>
      <c r="G4" s="535" t="s">
        <v>341</v>
      </c>
      <c r="H4" s="536"/>
      <c r="I4" s="536"/>
      <c r="J4" s="536"/>
      <c r="K4" s="536"/>
      <c r="L4" s="537"/>
      <c r="M4" s="535" t="s">
        <v>210</v>
      </c>
      <c r="N4" s="536"/>
      <c r="O4" s="536"/>
      <c r="P4" s="537"/>
      <c r="Q4" s="467" t="s">
        <v>299</v>
      </c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9"/>
    </row>
    <row r="5" spans="1:31" ht="48.75" customHeight="1">
      <c r="A5" s="431"/>
      <c r="B5" s="431"/>
      <c r="C5" s="538"/>
      <c r="D5" s="539"/>
      <c r="E5" s="539"/>
      <c r="F5" s="540"/>
      <c r="G5" s="538"/>
      <c r="H5" s="539"/>
      <c r="I5" s="539"/>
      <c r="J5" s="539"/>
      <c r="K5" s="539"/>
      <c r="L5" s="540"/>
      <c r="M5" s="538"/>
      <c r="N5" s="539"/>
      <c r="O5" s="539"/>
      <c r="P5" s="540"/>
      <c r="Q5" s="464" t="s">
        <v>211</v>
      </c>
      <c r="R5" s="465"/>
      <c r="S5" s="466"/>
      <c r="T5" s="464" t="s">
        <v>212</v>
      </c>
      <c r="U5" s="465"/>
      <c r="V5" s="466"/>
      <c r="W5" s="464" t="s">
        <v>43</v>
      </c>
      <c r="X5" s="465"/>
      <c r="Y5" s="466"/>
      <c r="Z5" s="467" t="s">
        <v>213</v>
      </c>
      <c r="AA5" s="468"/>
      <c r="AB5" s="469"/>
      <c r="AC5" s="467" t="s">
        <v>214</v>
      </c>
      <c r="AD5" s="468"/>
      <c r="AE5" s="469"/>
    </row>
    <row r="6" spans="1:31" ht="18" customHeight="1">
      <c r="A6" s="64">
        <v>1</v>
      </c>
      <c r="B6" s="65">
        <v>2</v>
      </c>
      <c r="C6" s="532">
        <v>3</v>
      </c>
      <c r="D6" s="533"/>
      <c r="E6" s="533"/>
      <c r="F6" s="534"/>
      <c r="G6" s="532">
        <v>4</v>
      </c>
      <c r="H6" s="533"/>
      <c r="I6" s="533"/>
      <c r="J6" s="533"/>
      <c r="K6" s="533"/>
      <c r="L6" s="534"/>
      <c r="M6" s="532">
        <v>5</v>
      </c>
      <c r="N6" s="533"/>
      <c r="O6" s="533"/>
      <c r="P6" s="534"/>
      <c r="Q6" s="532">
        <v>6</v>
      </c>
      <c r="R6" s="533"/>
      <c r="S6" s="534"/>
      <c r="T6" s="532">
        <v>7</v>
      </c>
      <c r="U6" s="533"/>
      <c r="V6" s="534"/>
      <c r="W6" s="529">
        <v>8</v>
      </c>
      <c r="X6" s="530"/>
      <c r="Y6" s="531"/>
      <c r="Z6" s="529">
        <v>9</v>
      </c>
      <c r="AA6" s="530"/>
      <c r="AB6" s="531"/>
      <c r="AC6" s="529">
        <v>10</v>
      </c>
      <c r="AD6" s="530"/>
      <c r="AE6" s="531"/>
    </row>
    <row r="7" spans="1:31" ht="41.25" customHeight="1">
      <c r="A7" s="226">
        <v>1</v>
      </c>
      <c r="B7" s="227" t="s">
        <v>394</v>
      </c>
      <c r="C7" s="464">
        <v>2006</v>
      </c>
      <c r="D7" s="465"/>
      <c r="E7" s="465"/>
      <c r="F7" s="466"/>
      <c r="G7" s="509" t="s">
        <v>397</v>
      </c>
      <c r="H7" s="510"/>
      <c r="I7" s="510"/>
      <c r="J7" s="510"/>
      <c r="K7" s="510"/>
      <c r="L7" s="511"/>
      <c r="M7" s="541">
        <f t="shared" ref="M7" si="0">Q7+Z7</f>
        <v>65</v>
      </c>
      <c r="N7" s="542"/>
      <c r="O7" s="542"/>
      <c r="P7" s="543"/>
      <c r="Q7" s="526">
        <v>59</v>
      </c>
      <c r="R7" s="527"/>
      <c r="S7" s="528"/>
      <c r="T7" s="520"/>
      <c r="U7" s="521"/>
      <c r="V7" s="522"/>
      <c r="W7" s="520"/>
      <c r="X7" s="521"/>
      <c r="Y7" s="522"/>
      <c r="Z7" s="526">
        <v>6</v>
      </c>
      <c r="AA7" s="527"/>
      <c r="AB7" s="528"/>
      <c r="AC7" s="520"/>
      <c r="AD7" s="521"/>
      <c r="AE7" s="522"/>
    </row>
    <row r="8" spans="1:31" ht="41.25" customHeight="1">
      <c r="A8" s="226">
        <v>2</v>
      </c>
      <c r="B8" s="227" t="s">
        <v>395</v>
      </c>
      <c r="C8" s="464">
        <v>1996</v>
      </c>
      <c r="D8" s="465"/>
      <c r="E8" s="465"/>
      <c r="F8" s="466"/>
      <c r="G8" s="509" t="s">
        <v>397</v>
      </c>
      <c r="H8" s="510"/>
      <c r="I8" s="510"/>
      <c r="J8" s="510"/>
      <c r="K8" s="510"/>
      <c r="L8" s="511"/>
      <c r="M8" s="541">
        <f t="shared" ref="M8:M10" si="1">Q8+Z8</f>
        <v>12</v>
      </c>
      <c r="N8" s="542"/>
      <c r="O8" s="542"/>
      <c r="P8" s="543"/>
      <c r="Q8" s="526">
        <v>10</v>
      </c>
      <c r="R8" s="527"/>
      <c r="S8" s="528"/>
      <c r="T8" s="520"/>
      <c r="U8" s="521"/>
      <c r="V8" s="522"/>
      <c r="W8" s="520"/>
      <c r="X8" s="521"/>
      <c r="Y8" s="522"/>
      <c r="Z8" s="526">
        <v>2</v>
      </c>
      <c r="AA8" s="527"/>
      <c r="AB8" s="528"/>
      <c r="AC8" s="520"/>
      <c r="AD8" s="521"/>
      <c r="AE8" s="522"/>
    </row>
    <row r="9" spans="1:31" ht="41.25" customHeight="1">
      <c r="A9" s="226">
        <v>3</v>
      </c>
      <c r="B9" s="227" t="s">
        <v>396</v>
      </c>
      <c r="C9" s="464">
        <v>2011</v>
      </c>
      <c r="D9" s="465"/>
      <c r="E9" s="465"/>
      <c r="F9" s="466"/>
      <c r="G9" s="509" t="s">
        <v>397</v>
      </c>
      <c r="H9" s="510"/>
      <c r="I9" s="510"/>
      <c r="J9" s="510"/>
      <c r="K9" s="510"/>
      <c r="L9" s="511"/>
      <c r="M9" s="541">
        <f t="shared" si="1"/>
        <v>58</v>
      </c>
      <c r="N9" s="542"/>
      <c r="O9" s="542"/>
      <c r="P9" s="543"/>
      <c r="Q9" s="526">
        <v>50</v>
      </c>
      <c r="R9" s="527"/>
      <c r="S9" s="528"/>
      <c r="T9" s="520"/>
      <c r="U9" s="521"/>
      <c r="V9" s="522"/>
      <c r="W9" s="520"/>
      <c r="X9" s="521"/>
      <c r="Y9" s="522"/>
      <c r="Z9" s="526">
        <v>8</v>
      </c>
      <c r="AA9" s="527"/>
      <c r="AB9" s="528"/>
      <c r="AC9" s="520"/>
      <c r="AD9" s="521"/>
      <c r="AE9" s="522"/>
    </row>
    <row r="10" spans="1:31" ht="42" customHeight="1">
      <c r="A10" s="226">
        <v>4</v>
      </c>
      <c r="B10" s="227" t="s">
        <v>453</v>
      </c>
      <c r="C10" s="464">
        <v>2016</v>
      </c>
      <c r="D10" s="465"/>
      <c r="E10" s="465"/>
      <c r="F10" s="466"/>
      <c r="G10" s="509" t="s">
        <v>397</v>
      </c>
      <c r="H10" s="510"/>
      <c r="I10" s="510"/>
      <c r="J10" s="510"/>
      <c r="K10" s="510"/>
      <c r="L10" s="511"/>
      <c r="M10" s="541">
        <f t="shared" si="1"/>
        <v>60</v>
      </c>
      <c r="N10" s="542"/>
      <c r="O10" s="542"/>
      <c r="P10" s="543"/>
      <c r="Q10" s="526">
        <v>51</v>
      </c>
      <c r="R10" s="527"/>
      <c r="S10" s="528"/>
      <c r="T10" s="520"/>
      <c r="U10" s="521"/>
      <c r="V10" s="522"/>
      <c r="W10" s="520"/>
      <c r="X10" s="521"/>
      <c r="Y10" s="522"/>
      <c r="Z10" s="526">
        <v>9</v>
      </c>
      <c r="AA10" s="527"/>
      <c r="AB10" s="528"/>
      <c r="AC10" s="520"/>
      <c r="AD10" s="521"/>
      <c r="AE10" s="522"/>
    </row>
    <row r="11" spans="1:31" ht="42" customHeight="1">
      <c r="A11" s="262">
        <v>5</v>
      </c>
      <c r="B11" s="261" t="s">
        <v>508</v>
      </c>
      <c r="C11" s="464">
        <v>2019</v>
      </c>
      <c r="D11" s="465"/>
      <c r="E11" s="465"/>
      <c r="F11" s="466"/>
      <c r="G11" s="509" t="s">
        <v>397</v>
      </c>
      <c r="H11" s="510"/>
      <c r="I11" s="510"/>
      <c r="J11" s="510"/>
      <c r="K11" s="510"/>
      <c r="L11" s="511"/>
      <c r="M11" s="541">
        <f t="shared" ref="M11" si="2">Q11+Z11</f>
        <v>105</v>
      </c>
      <c r="N11" s="542"/>
      <c r="O11" s="542"/>
      <c r="P11" s="543"/>
      <c r="Q11" s="526">
        <v>99</v>
      </c>
      <c r="R11" s="527"/>
      <c r="S11" s="528"/>
      <c r="T11" s="520"/>
      <c r="U11" s="521"/>
      <c r="V11" s="522"/>
      <c r="W11" s="520"/>
      <c r="X11" s="521"/>
      <c r="Y11" s="522"/>
      <c r="Z11" s="526">
        <v>6</v>
      </c>
      <c r="AA11" s="527"/>
      <c r="AB11" s="528"/>
      <c r="AC11" s="520"/>
      <c r="AD11" s="562"/>
      <c r="AE11" s="563"/>
    </row>
    <row r="12" spans="1:31" ht="20.100000000000001" customHeight="1">
      <c r="A12" s="544" t="s">
        <v>60</v>
      </c>
      <c r="B12" s="545"/>
      <c r="C12" s="545"/>
      <c r="D12" s="545"/>
      <c r="E12" s="545"/>
      <c r="F12" s="545"/>
      <c r="G12" s="545"/>
      <c r="H12" s="545"/>
      <c r="I12" s="545"/>
      <c r="J12" s="545"/>
      <c r="K12" s="545"/>
      <c r="L12" s="546"/>
      <c r="M12" s="523">
        <f>SUM(M7:P10)+M11</f>
        <v>300</v>
      </c>
      <c r="N12" s="524"/>
      <c r="O12" s="524"/>
      <c r="P12" s="525"/>
      <c r="Q12" s="523">
        <f>SUM(Q7:S10)+Q11:S11</f>
        <v>269</v>
      </c>
      <c r="R12" s="524"/>
      <c r="S12" s="525"/>
      <c r="T12" s="523">
        <f>SUM(T7:V10)</f>
        <v>0</v>
      </c>
      <c r="U12" s="524"/>
      <c r="V12" s="525"/>
      <c r="W12" s="523">
        <f>SUM(W7:Y10)</f>
        <v>0</v>
      </c>
      <c r="X12" s="524"/>
      <c r="Y12" s="525"/>
      <c r="Z12" s="523">
        <f>SUM(Z7:AB10)+Z11:AB11</f>
        <v>31</v>
      </c>
      <c r="AA12" s="524"/>
      <c r="AB12" s="525"/>
      <c r="AC12" s="523">
        <f>SUM(AC7:AE10)</f>
        <v>0</v>
      </c>
      <c r="AD12" s="524"/>
      <c r="AE12" s="525"/>
    </row>
    <row r="13" spans="1:31" ht="18.7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34"/>
      <c r="O13" s="34"/>
      <c r="P13" s="34"/>
      <c r="Q13" s="55"/>
      <c r="R13" s="55"/>
      <c r="S13" s="55"/>
      <c r="T13" s="55"/>
      <c r="U13" s="55"/>
      <c r="V13" s="55"/>
      <c r="W13" s="56"/>
      <c r="X13" s="56"/>
      <c r="Y13" s="56"/>
      <c r="Z13" s="56"/>
      <c r="AA13" s="56"/>
      <c r="AB13" s="56"/>
      <c r="AC13" s="56"/>
      <c r="AD13" s="56"/>
      <c r="AE13" s="56"/>
    </row>
    <row r="14" spans="1:31" s="39" customFormat="1" ht="18.75" customHeight="1">
      <c r="B14" s="39" t="s">
        <v>253</v>
      </c>
    </row>
    <row r="15" spans="1:31" s="39" customFormat="1" ht="18.75" customHeight="1"/>
    <row r="16" spans="1:31" ht="18.75" customHeight="1">
      <c r="A16" s="417" t="s">
        <v>55</v>
      </c>
      <c r="B16" s="417" t="s">
        <v>215</v>
      </c>
      <c r="C16" s="398" t="s">
        <v>208</v>
      </c>
      <c r="D16" s="398"/>
      <c r="E16" s="398"/>
      <c r="F16" s="398"/>
      <c r="G16" s="398" t="s">
        <v>341</v>
      </c>
      <c r="H16" s="398"/>
      <c r="I16" s="398"/>
      <c r="J16" s="398"/>
      <c r="K16" s="398"/>
      <c r="L16" s="398"/>
      <c r="M16" s="398"/>
      <c r="N16" s="398"/>
      <c r="O16" s="398"/>
      <c r="P16" s="398"/>
      <c r="Q16" s="398" t="s">
        <v>216</v>
      </c>
      <c r="R16" s="398"/>
      <c r="S16" s="398"/>
      <c r="T16" s="398"/>
      <c r="U16" s="398"/>
      <c r="V16" s="402" t="s">
        <v>217</v>
      </c>
      <c r="W16" s="402"/>
      <c r="X16" s="402"/>
      <c r="Y16" s="402"/>
      <c r="Z16" s="402"/>
      <c r="AA16" s="402"/>
      <c r="AB16" s="402"/>
      <c r="AC16" s="402"/>
      <c r="AD16" s="402"/>
      <c r="AE16" s="402"/>
    </row>
    <row r="17" spans="1:31" ht="18.75" customHeight="1">
      <c r="A17" s="417"/>
      <c r="B17" s="417"/>
      <c r="C17" s="398"/>
      <c r="D17" s="398"/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402" t="s">
        <v>218</v>
      </c>
      <c r="W17" s="402"/>
      <c r="X17" s="402" t="s">
        <v>105</v>
      </c>
      <c r="Y17" s="402"/>
      <c r="Z17" s="402"/>
      <c r="AA17" s="402"/>
      <c r="AB17" s="402"/>
      <c r="AC17" s="402"/>
      <c r="AD17" s="402"/>
      <c r="AE17" s="402"/>
    </row>
    <row r="18" spans="1:31" ht="18.75" customHeight="1">
      <c r="A18" s="417"/>
      <c r="B18" s="417"/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402"/>
      <c r="W18" s="402"/>
      <c r="X18" s="402" t="s">
        <v>372</v>
      </c>
      <c r="Y18" s="402"/>
      <c r="Z18" s="402" t="s">
        <v>364</v>
      </c>
      <c r="AA18" s="402"/>
      <c r="AB18" s="402" t="s">
        <v>365</v>
      </c>
      <c r="AC18" s="402"/>
      <c r="AD18" s="402" t="s">
        <v>86</v>
      </c>
      <c r="AE18" s="402"/>
    </row>
    <row r="19" spans="1:31" ht="18" customHeight="1">
      <c r="A19" s="64">
        <v>1</v>
      </c>
      <c r="B19" s="64">
        <v>2</v>
      </c>
      <c r="C19" s="519">
        <v>3</v>
      </c>
      <c r="D19" s="519"/>
      <c r="E19" s="519"/>
      <c r="F19" s="519"/>
      <c r="G19" s="519">
        <v>4</v>
      </c>
      <c r="H19" s="519"/>
      <c r="I19" s="519"/>
      <c r="J19" s="519"/>
      <c r="K19" s="519"/>
      <c r="L19" s="519"/>
      <c r="M19" s="519"/>
      <c r="N19" s="519"/>
      <c r="O19" s="519"/>
      <c r="P19" s="519"/>
      <c r="Q19" s="519">
        <v>5</v>
      </c>
      <c r="R19" s="519"/>
      <c r="S19" s="519"/>
      <c r="T19" s="519"/>
      <c r="U19" s="519"/>
      <c r="V19" s="519">
        <v>6</v>
      </c>
      <c r="W19" s="519"/>
      <c r="X19" s="547">
        <v>7</v>
      </c>
      <c r="Y19" s="547"/>
      <c r="Z19" s="547">
        <v>8</v>
      </c>
      <c r="AA19" s="547"/>
      <c r="AB19" s="547">
        <v>9</v>
      </c>
      <c r="AC19" s="547"/>
      <c r="AD19" s="547">
        <v>10</v>
      </c>
      <c r="AE19" s="547"/>
    </row>
    <row r="20" spans="1:31" ht="20.100000000000001" customHeight="1">
      <c r="A20" s="86"/>
      <c r="B20" s="81"/>
      <c r="C20" s="549"/>
      <c r="D20" s="549"/>
      <c r="E20" s="549"/>
      <c r="F20" s="549"/>
      <c r="G20" s="550"/>
      <c r="H20" s="550"/>
      <c r="I20" s="550"/>
      <c r="J20" s="550"/>
      <c r="K20" s="550"/>
      <c r="L20" s="550"/>
      <c r="M20" s="550"/>
      <c r="N20" s="550"/>
      <c r="O20" s="550"/>
      <c r="P20" s="550"/>
      <c r="Q20" s="551"/>
      <c r="R20" s="551"/>
      <c r="S20" s="551"/>
      <c r="T20" s="551"/>
      <c r="U20" s="551"/>
      <c r="V20" s="552">
        <f>SUM(X20,Z20,AB20,AD20)</f>
        <v>0</v>
      </c>
      <c r="W20" s="552"/>
      <c r="X20" s="548"/>
      <c r="Y20" s="548"/>
      <c r="Z20" s="548"/>
      <c r="AA20" s="548"/>
      <c r="AB20" s="548"/>
      <c r="AC20" s="548"/>
      <c r="AD20" s="548"/>
      <c r="AE20" s="548"/>
    </row>
    <row r="21" spans="1:31" ht="20.100000000000001" customHeight="1">
      <c r="A21" s="86"/>
      <c r="B21" s="81"/>
      <c r="C21" s="549"/>
      <c r="D21" s="549"/>
      <c r="E21" s="549"/>
      <c r="F21" s="549"/>
      <c r="G21" s="550"/>
      <c r="H21" s="550"/>
      <c r="I21" s="550"/>
      <c r="J21" s="550"/>
      <c r="K21" s="550"/>
      <c r="L21" s="550"/>
      <c r="M21" s="550"/>
      <c r="N21" s="550"/>
      <c r="O21" s="550"/>
      <c r="P21" s="550"/>
      <c r="Q21" s="551"/>
      <c r="R21" s="551"/>
      <c r="S21" s="551"/>
      <c r="T21" s="551"/>
      <c r="U21" s="551"/>
      <c r="V21" s="552">
        <f>SUM(X21,Z21,AB21,AD21)</f>
        <v>0</v>
      </c>
      <c r="W21" s="552"/>
      <c r="X21" s="548"/>
      <c r="Y21" s="548"/>
      <c r="Z21" s="548"/>
      <c r="AA21" s="548"/>
      <c r="AB21" s="548"/>
      <c r="AC21" s="548"/>
      <c r="AD21" s="548"/>
      <c r="AE21" s="548"/>
    </row>
    <row r="22" spans="1:31" ht="20.100000000000001" customHeight="1">
      <c r="A22" s="417" t="s">
        <v>60</v>
      </c>
      <c r="B22" s="417"/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417"/>
      <c r="V22" s="515">
        <f>SUM(V20:W21)</f>
        <v>0</v>
      </c>
      <c r="W22" s="515"/>
      <c r="X22" s="515">
        <f>SUM(X20:Y21)</f>
        <v>0</v>
      </c>
      <c r="Y22" s="515"/>
      <c r="Z22" s="515">
        <f>SUM(Z20:AA21)</f>
        <v>0</v>
      </c>
      <c r="AA22" s="515"/>
      <c r="AB22" s="515">
        <f>SUM(AB20:AC21)</f>
        <v>0</v>
      </c>
      <c r="AC22" s="515"/>
      <c r="AD22" s="515">
        <f>SUM(AD20:AE21)</f>
        <v>0</v>
      </c>
      <c r="AE22" s="515"/>
    </row>
    <row r="23" spans="1:3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Q23" s="29"/>
      <c r="R23" s="29"/>
      <c r="S23" s="29"/>
      <c r="T23" s="29"/>
      <c r="U23" s="29"/>
      <c r="AE23" s="29"/>
    </row>
    <row r="24" spans="1:31" s="39" customFormat="1" ht="18.75" customHeight="1">
      <c r="B24" s="39" t="s">
        <v>230</v>
      </c>
    </row>
    <row r="25" spans="1:31" ht="26.25">
      <c r="A25" s="26"/>
      <c r="B25" s="26"/>
      <c r="C25" s="26"/>
      <c r="D25" s="26"/>
      <c r="E25" s="26"/>
      <c r="F25" s="26"/>
      <c r="G25" s="26"/>
      <c r="H25" s="41"/>
      <c r="I25" s="41"/>
      <c r="J25" s="41"/>
      <c r="K25" s="41"/>
      <c r="L25" s="41"/>
      <c r="M25" s="294"/>
      <c r="N25" s="41"/>
      <c r="O25" s="41"/>
      <c r="P25" s="41"/>
      <c r="Q25" s="41"/>
      <c r="R25" s="41"/>
      <c r="S25" s="41"/>
      <c r="T25" s="41"/>
      <c r="U25" s="41"/>
      <c r="V25" s="26"/>
      <c r="AD25" s="168" t="s">
        <v>250</v>
      </c>
    </row>
    <row r="26" spans="1:31" ht="30" customHeight="1">
      <c r="A26" s="398" t="s">
        <v>55</v>
      </c>
      <c r="B26" s="398" t="s">
        <v>254</v>
      </c>
      <c r="C26" s="398"/>
      <c r="D26" s="398"/>
      <c r="E26" s="398"/>
      <c r="F26" s="398"/>
      <c r="G26" s="464" t="s">
        <v>59</v>
      </c>
      <c r="H26" s="465"/>
      <c r="I26" s="465"/>
      <c r="J26" s="466"/>
      <c r="K26" s="464" t="s">
        <v>96</v>
      </c>
      <c r="L26" s="465"/>
      <c r="M26" s="465"/>
      <c r="N26" s="466"/>
      <c r="O26" s="464" t="s">
        <v>301</v>
      </c>
      <c r="P26" s="465"/>
      <c r="Q26" s="465"/>
      <c r="R26" s="466"/>
      <c r="S26" s="464" t="s">
        <v>141</v>
      </c>
      <c r="T26" s="465"/>
      <c r="U26" s="465"/>
      <c r="V26" s="466"/>
      <c r="W26" s="464" t="s">
        <v>60</v>
      </c>
      <c r="X26" s="465"/>
      <c r="Y26" s="465"/>
      <c r="Z26" s="466"/>
    </row>
    <row r="27" spans="1:31" ht="30" customHeight="1">
      <c r="A27" s="398"/>
      <c r="B27" s="398"/>
      <c r="C27" s="398"/>
      <c r="D27" s="398"/>
      <c r="E27" s="398"/>
      <c r="F27" s="398"/>
      <c r="G27" s="464" t="s">
        <v>105</v>
      </c>
      <c r="H27" s="465"/>
      <c r="I27" s="465"/>
      <c r="J27" s="466"/>
      <c r="K27" s="464" t="s">
        <v>105</v>
      </c>
      <c r="L27" s="465"/>
      <c r="M27" s="465"/>
      <c r="N27" s="466"/>
      <c r="O27" s="464" t="s">
        <v>105</v>
      </c>
      <c r="P27" s="465"/>
      <c r="Q27" s="465"/>
      <c r="R27" s="466"/>
      <c r="S27" s="464" t="s">
        <v>105</v>
      </c>
      <c r="T27" s="465"/>
      <c r="U27" s="465"/>
      <c r="V27" s="466"/>
      <c r="W27" s="464" t="s">
        <v>105</v>
      </c>
      <c r="X27" s="465"/>
      <c r="Y27" s="465"/>
      <c r="Z27" s="466"/>
    </row>
    <row r="28" spans="1:31" ht="39.950000000000003" customHeight="1">
      <c r="A28" s="398"/>
      <c r="B28" s="398"/>
      <c r="C28" s="398"/>
      <c r="D28" s="398"/>
      <c r="E28" s="398"/>
      <c r="F28" s="398"/>
      <c r="G28" s="7" t="s">
        <v>373</v>
      </c>
      <c r="H28" s="7" t="s">
        <v>364</v>
      </c>
      <c r="I28" s="7" t="s">
        <v>365</v>
      </c>
      <c r="J28" s="7" t="s">
        <v>86</v>
      </c>
      <c r="K28" s="7" t="s">
        <v>373</v>
      </c>
      <c r="L28" s="7" t="s">
        <v>364</v>
      </c>
      <c r="M28" s="7" t="s">
        <v>365</v>
      </c>
      <c r="N28" s="7" t="s">
        <v>86</v>
      </c>
      <c r="O28" s="7" t="s">
        <v>373</v>
      </c>
      <c r="P28" s="7" t="s">
        <v>364</v>
      </c>
      <c r="Q28" s="7" t="s">
        <v>365</v>
      </c>
      <c r="R28" s="7" t="s">
        <v>86</v>
      </c>
      <c r="S28" s="7" t="s">
        <v>373</v>
      </c>
      <c r="T28" s="7" t="s">
        <v>364</v>
      </c>
      <c r="U28" s="7" t="s">
        <v>365</v>
      </c>
      <c r="V28" s="7" t="s">
        <v>86</v>
      </c>
      <c r="W28" s="7" t="s">
        <v>373</v>
      </c>
      <c r="X28" s="7" t="s">
        <v>364</v>
      </c>
      <c r="Y28" s="7" t="s">
        <v>365</v>
      </c>
      <c r="Z28" s="7" t="s">
        <v>86</v>
      </c>
    </row>
    <row r="29" spans="1:31" ht="18" customHeight="1">
      <c r="A29" s="7"/>
      <c r="B29" s="556">
        <v>2</v>
      </c>
      <c r="C29" s="556"/>
      <c r="D29" s="556"/>
      <c r="E29" s="556"/>
      <c r="F29" s="556"/>
      <c r="G29" s="7">
        <v>3</v>
      </c>
      <c r="H29" s="7">
        <v>4</v>
      </c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>
        <v>12</v>
      </c>
      <c r="Q29" s="7">
        <v>13</v>
      </c>
      <c r="R29" s="7">
        <v>14</v>
      </c>
      <c r="S29" s="7">
        <v>15</v>
      </c>
      <c r="T29" s="7">
        <v>16</v>
      </c>
      <c r="U29" s="7">
        <v>17</v>
      </c>
      <c r="V29" s="7">
        <v>18</v>
      </c>
      <c r="W29" s="7">
        <v>19</v>
      </c>
      <c r="X29" s="7">
        <v>20</v>
      </c>
      <c r="Y29" s="7">
        <v>21</v>
      </c>
      <c r="Z29" s="6">
        <v>22</v>
      </c>
    </row>
    <row r="30" spans="1:31" ht="65.25" customHeight="1">
      <c r="A30" s="351">
        <v>1</v>
      </c>
      <c r="B30" s="509" t="s">
        <v>581</v>
      </c>
      <c r="C30" s="510"/>
      <c r="D30" s="510"/>
      <c r="E30" s="510"/>
      <c r="F30" s="511"/>
      <c r="G30" s="352"/>
      <c r="H30" s="350"/>
      <c r="I30" s="350"/>
      <c r="J30" s="350"/>
      <c r="K30" s="166">
        <v>0</v>
      </c>
      <c r="L30" s="224">
        <v>9438</v>
      </c>
      <c r="M30" s="224">
        <v>9438</v>
      </c>
      <c r="N30" s="224">
        <v>9438</v>
      </c>
      <c r="O30" s="166"/>
      <c r="P30" s="166"/>
      <c r="Q30" s="166"/>
      <c r="R30" s="166"/>
      <c r="S30" s="356"/>
      <c r="T30" s="356"/>
      <c r="U30" s="356"/>
      <c r="V30" s="356"/>
      <c r="W30" s="224">
        <f>SUM(G30,K30,O30,S30)</f>
        <v>0</v>
      </c>
      <c r="X30" s="224">
        <f t="shared" ref="X30:Z30" si="3">SUM(H30,L30,P30,T30)</f>
        <v>9438</v>
      </c>
      <c r="Y30" s="224">
        <f t="shared" si="3"/>
        <v>9438</v>
      </c>
      <c r="Z30" s="224">
        <f t="shared" si="3"/>
        <v>9438</v>
      </c>
    </row>
    <row r="31" spans="1:31" ht="22.5" customHeight="1">
      <c r="A31" s="353">
        <v>2</v>
      </c>
      <c r="B31" s="506" t="s">
        <v>583</v>
      </c>
      <c r="C31" s="507"/>
      <c r="D31" s="507"/>
      <c r="E31" s="354"/>
      <c r="F31" s="355"/>
      <c r="G31" s="225"/>
      <c r="H31" s="225"/>
      <c r="I31" s="225"/>
      <c r="J31" s="225"/>
      <c r="K31" s="224">
        <v>0</v>
      </c>
      <c r="L31" s="224"/>
      <c r="M31" s="224"/>
      <c r="N31" s="224"/>
      <c r="O31" s="357">
        <v>194</v>
      </c>
      <c r="P31" s="357">
        <v>194</v>
      </c>
      <c r="Q31" s="357">
        <v>194</v>
      </c>
      <c r="R31" s="357">
        <v>194</v>
      </c>
      <c r="S31" s="357"/>
      <c r="T31" s="357"/>
      <c r="U31" s="357"/>
      <c r="V31" s="357"/>
      <c r="W31" s="224">
        <v>194</v>
      </c>
      <c r="X31" s="224">
        <v>194</v>
      </c>
      <c r="Y31" s="224">
        <v>194</v>
      </c>
      <c r="Z31" s="224">
        <v>194</v>
      </c>
    </row>
    <row r="32" spans="1:31" ht="20.100000000000001" customHeight="1">
      <c r="A32" s="553" t="s">
        <v>60</v>
      </c>
      <c r="B32" s="554"/>
      <c r="C32" s="554"/>
      <c r="D32" s="554"/>
      <c r="E32" s="554"/>
      <c r="F32" s="555"/>
      <c r="G32" s="93">
        <f>SUM(G31:G31)</f>
        <v>0</v>
      </c>
      <c r="H32" s="93">
        <f>SUM(H31:H31)</f>
        <v>0</v>
      </c>
      <c r="I32" s="93">
        <f>SUM(I31:I31)</f>
        <v>0</v>
      </c>
      <c r="J32" s="93">
        <f>SUM(J31:J31)</f>
        <v>0</v>
      </c>
      <c r="K32" s="163">
        <f t="shared" ref="K32:R32" si="4">SUM(K30:K31)</f>
        <v>0</v>
      </c>
      <c r="L32" s="163">
        <f t="shared" si="4"/>
        <v>9438</v>
      </c>
      <c r="M32" s="163">
        <f t="shared" si="4"/>
        <v>9438</v>
      </c>
      <c r="N32" s="163">
        <f t="shared" si="4"/>
        <v>9438</v>
      </c>
      <c r="O32" s="163">
        <f t="shared" si="4"/>
        <v>194</v>
      </c>
      <c r="P32" s="163">
        <f t="shared" si="4"/>
        <v>194</v>
      </c>
      <c r="Q32" s="163">
        <f t="shared" si="4"/>
        <v>194</v>
      </c>
      <c r="R32" s="163">
        <f t="shared" si="4"/>
        <v>194</v>
      </c>
      <c r="S32" s="93">
        <f>SUM(S31:S31)</f>
        <v>0</v>
      </c>
      <c r="T32" s="93">
        <f>SUM(T31:T31)</f>
        <v>0</v>
      </c>
      <c r="U32" s="93">
        <f>SUM(U31:U31)</f>
        <v>0</v>
      </c>
      <c r="V32" s="93">
        <f>SUM(V31:V31)</f>
        <v>0</v>
      </c>
      <c r="W32" s="163">
        <f>SUM(W30:W31)</f>
        <v>194</v>
      </c>
      <c r="X32" s="163">
        <f>SUM(X30:X31)</f>
        <v>9632</v>
      </c>
      <c r="Y32" s="163">
        <f>SUM(Y30:Y31)</f>
        <v>9632</v>
      </c>
      <c r="Z32" s="163">
        <f>SUM(Z30:Z31)</f>
        <v>9632</v>
      </c>
    </row>
    <row r="33" spans="1:31" ht="20.100000000000001" customHeight="1">
      <c r="A33" s="557" t="s">
        <v>61</v>
      </c>
      <c r="B33" s="558"/>
      <c r="C33" s="558"/>
      <c r="D33" s="558"/>
      <c r="E33" s="558"/>
      <c r="F33" s="559"/>
      <c r="G33" s="76"/>
      <c r="H33" s="76"/>
      <c r="I33" s="76"/>
      <c r="J33" s="76"/>
      <c r="K33" s="166">
        <v>0</v>
      </c>
      <c r="L33" s="166">
        <f>L32/X32*100</f>
        <v>97.9858803986711</v>
      </c>
      <c r="M33" s="166">
        <f t="shared" ref="M33:N33" si="5">M32/Y32*100</f>
        <v>97.9858803986711</v>
      </c>
      <c r="N33" s="166">
        <f t="shared" si="5"/>
        <v>97.9858803986711</v>
      </c>
      <c r="O33" s="166">
        <f>O32/W32*100</f>
        <v>100</v>
      </c>
      <c r="P33" s="166">
        <f t="shared" ref="P33:R33" si="6">P32/X32*100</f>
        <v>2.0141196013289036</v>
      </c>
      <c r="Q33" s="166">
        <f t="shared" si="6"/>
        <v>2.0141196013289036</v>
      </c>
      <c r="R33" s="166">
        <f t="shared" si="6"/>
        <v>2.0141196013289036</v>
      </c>
      <c r="S33" s="76"/>
      <c r="T33" s="76"/>
      <c r="U33" s="76"/>
      <c r="V33" s="76"/>
      <c r="W33" s="76">
        <v>100</v>
      </c>
      <c r="X33" s="76">
        <v>100</v>
      </c>
      <c r="Y33" s="76">
        <v>100</v>
      </c>
      <c r="Z33" s="76">
        <v>100</v>
      </c>
    </row>
    <row r="34" spans="1:31" ht="20.100000000000001" customHeight="1">
      <c r="A34" s="16"/>
      <c r="B34" s="16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31" s="39" customFormat="1" ht="20.100000000000001" customHeight="1">
      <c r="B35" s="39" t="s">
        <v>255</v>
      </c>
    </row>
    <row r="36" spans="1:31" s="67" customFormat="1" ht="20.100000000000001" customHeight="1">
      <c r="A36" s="1"/>
      <c r="B36" s="1"/>
      <c r="C36" s="1"/>
      <c r="D36" s="1"/>
      <c r="E36" s="1"/>
      <c r="F36" s="1"/>
      <c r="G36" s="1"/>
      <c r="H36" s="1"/>
      <c r="I36" s="1"/>
      <c r="K36" s="1"/>
      <c r="AD36" s="168" t="s">
        <v>250</v>
      </c>
    </row>
    <row r="37" spans="1:31" s="68" customFormat="1" ht="34.5" customHeight="1">
      <c r="A37" s="402" t="s">
        <v>223</v>
      </c>
      <c r="B37" s="398" t="s">
        <v>300</v>
      </c>
      <c r="C37" s="398" t="s">
        <v>331</v>
      </c>
      <c r="D37" s="398"/>
      <c r="E37" s="398" t="s">
        <v>224</v>
      </c>
      <c r="F37" s="398"/>
      <c r="G37" s="398" t="s">
        <v>225</v>
      </c>
      <c r="H37" s="398"/>
      <c r="I37" s="398" t="s">
        <v>294</v>
      </c>
      <c r="J37" s="398"/>
      <c r="K37" s="398" t="s">
        <v>148</v>
      </c>
      <c r="L37" s="398"/>
      <c r="M37" s="398"/>
      <c r="N37" s="398"/>
      <c r="O37" s="398"/>
      <c r="P37" s="398"/>
      <c r="Q37" s="398"/>
      <c r="R37" s="398"/>
      <c r="S37" s="398"/>
      <c r="T37" s="398"/>
      <c r="U37" s="398" t="s">
        <v>332</v>
      </c>
      <c r="V37" s="398"/>
      <c r="W37" s="398"/>
      <c r="X37" s="398"/>
      <c r="Y37" s="398"/>
      <c r="Z37" s="398" t="s">
        <v>298</v>
      </c>
      <c r="AA37" s="398"/>
      <c r="AB37" s="398"/>
      <c r="AC37" s="398"/>
      <c r="AD37" s="398"/>
      <c r="AE37" s="398"/>
    </row>
    <row r="38" spans="1:31" s="68" customFormat="1" ht="52.5" customHeight="1">
      <c r="A38" s="402"/>
      <c r="B38" s="398"/>
      <c r="C38" s="398"/>
      <c r="D38" s="398"/>
      <c r="E38" s="398"/>
      <c r="F38" s="398"/>
      <c r="G38" s="398"/>
      <c r="H38" s="398"/>
      <c r="I38" s="398"/>
      <c r="J38" s="398"/>
      <c r="K38" s="398" t="s">
        <v>342</v>
      </c>
      <c r="L38" s="398"/>
      <c r="M38" s="398" t="s">
        <v>343</v>
      </c>
      <c r="N38" s="398"/>
      <c r="O38" s="398" t="s">
        <v>330</v>
      </c>
      <c r="P38" s="398"/>
      <c r="Q38" s="398"/>
      <c r="R38" s="398"/>
      <c r="S38" s="398"/>
      <c r="T38" s="398"/>
      <c r="U38" s="398"/>
      <c r="V38" s="398"/>
      <c r="W38" s="398"/>
      <c r="X38" s="398"/>
      <c r="Y38" s="398"/>
      <c r="Z38" s="398"/>
      <c r="AA38" s="398"/>
      <c r="AB38" s="398"/>
      <c r="AC38" s="398"/>
      <c r="AD38" s="398"/>
      <c r="AE38" s="398"/>
    </row>
    <row r="39" spans="1:31" s="69" customFormat="1" ht="82.5" customHeight="1">
      <c r="A39" s="402"/>
      <c r="B39" s="398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 t="s">
        <v>295</v>
      </c>
      <c r="P39" s="398"/>
      <c r="Q39" s="398" t="s">
        <v>296</v>
      </c>
      <c r="R39" s="398"/>
      <c r="S39" s="398" t="s">
        <v>297</v>
      </c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</row>
    <row r="40" spans="1:31" s="68" customFormat="1" ht="18" customHeight="1">
      <c r="A40" s="6">
        <v>1</v>
      </c>
      <c r="B40" s="7">
        <v>2</v>
      </c>
      <c r="C40" s="398">
        <v>3</v>
      </c>
      <c r="D40" s="398"/>
      <c r="E40" s="398">
        <v>4</v>
      </c>
      <c r="F40" s="398"/>
      <c r="G40" s="398">
        <v>5</v>
      </c>
      <c r="H40" s="398"/>
      <c r="I40" s="398">
        <v>6</v>
      </c>
      <c r="J40" s="398"/>
      <c r="K40" s="464">
        <v>7</v>
      </c>
      <c r="L40" s="466"/>
      <c r="M40" s="464">
        <v>8</v>
      </c>
      <c r="N40" s="466"/>
      <c r="O40" s="398">
        <v>9</v>
      </c>
      <c r="P40" s="398"/>
      <c r="Q40" s="402">
        <v>10</v>
      </c>
      <c r="R40" s="402"/>
      <c r="S40" s="398">
        <v>11</v>
      </c>
      <c r="T40" s="398"/>
      <c r="U40" s="398">
        <v>12</v>
      </c>
      <c r="V40" s="398"/>
      <c r="W40" s="398"/>
      <c r="X40" s="398"/>
      <c r="Y40" s="398"/>
      <c r="Z40" s="398">
        <v>13</v>
      </c>
      <c r="AA40" s="398"/>
      <c r="AB40" s="398"/>
      <c r="AC40" s="398"/>
      <c r="AD40" s="398"/>
      <c r="AE40" s="398"/>
    </row>
    <row r="41" spans="1:31" s="68" customFormat="1" ht="20.100000000000001" customHeight="1">
      <c r="A41" s="84"/>
      <c r="B41" s="85"/>
      <c r="C41" s="514"/>
      <c r="D41" s="514"/>
      <c r="E41" s="462"/>
      <c r="F41" s="462"/>
      <c r="G41" s="462"/>
      <c r="H41" s="462"/>
      <c r="I41" s="462"/>
      <c r="J41" s="462"/>
      <c r="K41" s="517"/>
      <c r="L41" s="518"/>
      <c r="M41" s="512">
        <f t="shared" ref="M41:M47" si="7">SUM(O41,Q41,S41)</f>
        <v>0</v>
      </c>
      <c r="N41" s="513"/>
      <c r="O41" s="462"/>
      <c r="P41" s="462"/>
      <c r="Q41" s="462"/>
      <c r="R41" s="462"/>
      <c r="S41" s="462"/>
      <c r="T41" s="462"/>
      <c r="U41" s="516"/>
      <c r="V41" s="516"/>
      <c r="W41" s="516"/>
      <c r="X41" s="516"/>
      <c r="Y41" s="516"/>
      <c r="Z41" s="508"/>
      <c r="AA41" s="508"/>
      <c r="AB41" s="508"/>
      <c r="AC41" s="508"/>
      <c r="AD41" s="508"/>
      <c r="AE41" s="508"/>
    </row>
    <row r="42" spans="1:31" s="68" customFormat="1" ht="20.100000000000001" customHeight="1">
      <c r="A42" s="84"/>
      <c r="B42" s="85"/>
      <c r="C42" s="514"/>
      <c r="D42" s="514"/>
      <c r="E42" s="462"/>
      <c r="F42" s="462"/>
      <c r="G42" s="462"/>
      <c r="H42" s="462"/>
      <c r="I42" s="462"/>
      <c r="J42" s="462"/>
      <c r="K42" s="517"/>
      <c r="L42" s="518"/>
      <c r="M42" s="512">
        <f t="shared" si="7"/>
        <v>0</v>
      </c>
      <c r="N42" s="513"/>
      <c r="O42" s="462"/>
      <c r="P42" s="462"/>
      <c r="Q42" s="462"/>
      <c r="R42" s="462"/>
      <c r="S42" s="462"/>
      <c r="T42" s="462"/>
      <c r="U42" s="516"/>
      <c r="V42" s="516"/>
      <c r="W42" s="516"/>
      <c r="X42" s="516"/>
      <c r="Y42" s="516"/>
      <c r="Z42" s="508"/>
      <c r="AA42" s="508"/>
      <c r="AB42" s="508"/>
      <c r="AC42" s="508"/>
      <c r="AD42" s="508"/>
      <c r="AE42" s="508"/>
    </row>
    <row r="43" spans="1:31" s="68" customFormat="1" ht="20.100000000000001" customHeight="1">
      <c r="A43" s="84"/>
      <c r="B43" s="85"/>
      <c r="C43" s="514"/>
      <c r="D43" s="514"/>
      <c r="E43" s="462"/>
      <c r="F43" s="462"/>
      <c r="G43" s="462"/>
      <c r="H43" s="462"/>
      <c r="I43" s="462"/>
      <c r="J43" s="462"/>
      <c r="K43" s="517"/>
      <c r="L43" s="518"/>
      <c r="M43" s="512">
        <f t="shared" si="7"/>
        <v>0</v>
      </c>
      <c r="N43" s="513"/>
      <c r="O43" s="462"/>
      <c r="P43" s="462"/>
      <c r="Q43" s="462"/>
      <c r="R43" s="462"/>
      <c r="S43" s="462"/>
      <c r="T43" s="462"/>
      <c r="U43" s="516"/>
      <c r="V43" s="516"/>
      <c r="W43" s="516"/>
      <c r="X43" s="516"/>
      <c r="Y43" s="516"/>
      <c r="Z43" s="508"/>
      <c r="AA43" s="508"/>
      <c r="AB43" s="508"/>
      <c r="AC43" s="508"/>
      <c r="AD43" s="508"/>
      <c r="AE43" s="508"/>
    </row>
    <row r="44" spans="1:31" s="68" customFormat="1" ht="20.100000000000001" customHeight="1">
      <c r="A44" s="84"/>
      <c r="B44" s="85"/>
      <c r="C44" s="514"/>
      <c r="D44" s="514"/>
      <c r="E44" s="462"/>
      <c r="F44" s="462"/>
      <c r="G44" s="462"/>
      <c r="H44" s="462"/>
      <c r="I44" s="462"/>
      <c r="J44" s="462"/>
      <c r="K44" s="517"/>
      <c r="L44" s="518"/>
      <c r="M44" s="512">
        <f>SUM(O44,Q44,S44)</f>
        <v>0</v>
      </c>
      <c r="N44" s="513"/>
      <c r="O44" s="462"/>
      <c r="P44" s="462"/>
      <c r="Q44" s="462"/>
      <c r="R44" s="462"/>
      <c r="S44" s="462"/>
      <c r="T44" s="462"/>
      <c r="U44" s="516"/>
      <c r="V44" s="516"/>
      <c r="W44" s="516"/>
      <c r="X44" s="516"/>
      <c r="Y44" s="516"/>
      <c r="Z44" s="508"/>
      <c r="AA44" s="508"/>
      <c r="AB44" s="508"/>
      <c r="AC44" s="508"/>
      <c r="AD44" s="508"/>
      <c r="AE44" s="508"/>
    </row>
    <row r="45" spans="1:31" s="68" customFormat="1" ht="20.100000000000001" customHeight="1">
      <c r="A45" s="84"/>
      <c r="B45" s="85"/>
      <c r="C45" s="514"/>
      <c r="D45" s="514"/>
      <c r="E45" s="462"/>
      <c r="F45" s="462"/>
      <c r="G45" s="462"/>
      <c r="H45" s="462"/>
      <c r="I45" s="462"/>
      <c r="J45" s="462"/>
      <c r="K45" s="517"/>
      <c r="L45" s="518"/>
      <c r="M45" s="512">
        <f t="shared" si="7"/>
        <v>0</v>
      </c>
      <c r="N45" s="513"/>
      <c r="O45" s="462"/>
      <c r="P45" s="462"/>
      <c r="Q45" s="462"/>
      <c r="R45" s="462"/>
      <c r="S45" s="462"/>
      <c r="T45" s="462"/>
      <c r="U45" s="516"/>
      <c r="V45" s="516"/>
      <c r="W45" s="516"/>
      <c r="X45" s="516"/>
      <c r="Y45" s="516"/>
      <c r="Z45" s="508"/>
      <c r="AA45" s="508"/>
      <c r="AB45" s="508"/>
      <c r="AC45" s="508"/>
      <c r="AD45" s="508"/>
      <c r="AE45" s="508"/>
    </row>
    <row r="46" spans="1:31" s="68" customFormat="1" ht="20.100000000000001" customHeight="1">
      <c r="A46" s="84"/>
      <c r="B46" s="85"/>
      <c r="C46" s="514"/>
      <c r="D46" s="514"/>
      <c r="E46" s="462"/>
      <c r="F46" s="462"/>
      <c r="G46" s="462"/>
      <c r="H46" s="462"/>
      <c r="I46" s="462"/>
      <c r="J46" s="462"/>
      <c r="K46" s="517"/>
      <c r="L46" s="518"/>
      <c r="M46" s="512">
        <f t="shared" si="7"/>
        <v>0</v>
      </c>
      <c r="N46" s="513"/>
      <c r="O46" s="462"/>
      <c r="P46" s="462"/>
      <c r="Q46" s="462"/>
      <c r="R46" s="462"/>
      <c r="S46" s="462"/>
      <c r="T46" s="462"/>
      <c r="U46" s="516"/>
      <c r="V46" s="516"/>
      <c r="W46" s="516"/>
      <c r="X46" s="516"/>
      <c r="Y46" s="516"/>
      <c r="Z46" s="508"/>
      <c r="AA46" s="508"/>
      <c r="AB46" s="508"/>
      <c r="AC46" s="508"/>
      <c r="AD46" s="508"/>
      <c r="AE46" s="508"/>
    </row>
    <row r="47" spans="1:31" s="68" customFormat="1" ht="20.100000000000001" customHeight="1">
      <c r="A47" s="84"/>
      <c r="B47" s="85"/>
      <c r="C47" s="514"/>
      <c r="D47" s="514"/>
      <c r="E47" s="462"/>
      <c r="F47" s="462"/>
      <c r="G47" s="462"/>
      <c r="H47" s="462"/>
      <c r="I47" s="462"/>
      <c r="J47" s="462"/>
      <c r="K47" s="517"/>
      <c r="L47" s="518"/>
      <c r="M47" s="512">
        <f t="shared" si="7"/>
        <v>0</v>
      </c>
      <c r="N47" s="513"/>
      <c r="O47" s="462"/>
      <c r="P47" s="462"/>
      <c r="Q47" s="462"/>
      <c r="R47" s="462"/>
      <c r="S47" s="462"/>
      <c r="T47" s="462"/>
      <c r="U47" s="516"/>
      <c r="V47" s="516"/>
      <c r="W47" s="516"/>
      <c r="X47" s="516"/>
      <c r="Y47" s="516"/>
      <c r="Z47" s="508"/>
      <c r="AA47" s="508"/>
      <c r="AB47" s="508"/>
      <c r="AC47" s="508"/>
      <c r="AD47" s="508"/>
      <c r="AE47" s="508"/>
    </row>
    <row r="48" spans="1:31" s="68" customFormat="1" ht="20.100000000000001" customHeight="1">
      <c r="A48" s="557" t="s">
        <v>60</v>
      </c>
      <c r="B48" s="558"/>
      <c r="C48" s="558"/>
      <c r="D48" s="559"/>
      <c r="E48" s="515">
        <f>SUM(E41:F47)</f>
        <v>0</v>
      </c>
      <c r="F48" s="515"/>
      <c r="G48" s="515">
        <f>SUM(G41:H47)</f>
        <v>0</v>
      </c>
      <c r="H48" s="515"/>
      <c r="I48" s="515">
        <f>SUM(I41:J47)</f>
        <v>0</v>
      </c>
      <c r="J48" s="515"/>
      <c r="K48" s="515">
        <f>SUM(K41:L47)</f>
        <v>0</v>
      </c>
      <c r="L48" s="515"/>
      <c r="M48" s="515">
        <f>SUM(M41:N47)</f>
        <v>0</v>
      </c>
      <c r="N48" s="515"/>
      <c r="O48" s="515">
        <f>SUM(O41:P47)</f>
        <v>0</v>
      </c>
      <c r="P48" s="515"/>
      <c r="Q48" s="515">
        <f>SUM(Q41:R47)</f>
        <v>0</v>
      </c>
      <c r="R48" s="515"/>
      <c r="S48" s="515">
        <f>SUM(S41:T47)</f>
        <v>0</v>
      </c>
      <c r="T48" s="515"/>
      <c r="U48" s="516"/>
      <c r="V48" s="516"/>
      <c r="W48" s="516"/>
      <c r="X48" s="516"/>
      <c r="Y48" s="516"/>
      <c r="Z48" s="508"/>
      <c r="AA48" s="508"/>
      <c r="AB48" s="508"/>
      <c r="AC48" s="508"/>
      <c r="AD48" s="508"/>
      <c r="AE48" s="508"/>
    </row>
    <row r="49" spans="1:28" ht="20.100000000000001" customHeight="1">
      <c r="A49" s="16"/>
      <c r="B49" s="16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8" ht="20.100000000000001" customHeight="1">
      <c r="A50" s="16"/>
      <c r="B50" s="16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8" s="4" customFormat="1" ht="20.100000000000001" customHeight="1">
      <c r="C51" s="39"/>
      <c r="D51" s="39"/>
      <c r="E51" s="39"/>
      <c r="F51" s="39"/>
      <c r="G51" s="39"/>
      <c r="H51" s="39"/>
      <c r="I51" s="39"/>
      <c r="J51" s="39"/>
      <c r="K51" s="39"/>
    </row>
    <row r="52" spans="1:28" s="169" customFormat="1" ht="36" customHeight="1">
      <c r="B52" s="565" t="s">
        <v>401</v>
      </c>
      <c r="C52" s="566"/>
      <c r="D52" s="566"/>
      <c r="E52" s="566"/>
      <c r="F52" s="566"/>
      <c r="G52" s="170"/>
      <c r="H52" s="170"/>
      <c r="I52" s="170"/>
      <c r="J52" s="170"/>
      <c r="K52" s="170"/>
      <c r="L52" s="567" t="s">
        <v>258</v>
      </c>
      <c r="M52" s="567"/>
      <c r="N52" s="567"/>
      <c r="O52" s="567"/>
      <c r="P52" s="567"/>
      <c r="Q52" s="171"/>
      <c r="R52" s="171"/>
      <c r="S52" s="171"/>
      <c r="T52" s="171"/>
      <c r="U52" s="171"/>
      <c r="V52" s="568" t="s">
        <v>543</v>
      </c>
      <c r="W52" s="569"/>
      <c r="X52" s="569"/>
      <c r="Y52" s="569"/>
      <c r="Z52" s="569"/>
    </row>
    <row r="53" spans="1:28" s="4" customFormat="1" ht="19.5" customHeight="1">
      <c r="B53" s="3"/>
      <c r="C53" s="4" t="s">
        <v>83</v>
      </c>
      <c r="E53" s="43"/>
      <c r="F53" s="43"/>
      <c r="G53" s="43"/>
      <c r="H53" s="43"/>
      <c r="I53" s="43"/>
      <c r="J53" s="43"/>
      <c r="K53" s="43"/>
      <c r="M53" s="3"/>
      <c r="N53" s="25" t="s">
        <v>84</v>
      </c>
      <c r="O53" s="3"/>
      <c r="Q53" s="43"/>
      <c r="R53" s="43"/>
      <c r="S53" s="43"/>
      <c r="V53" s="564" t="s">
        <v>142</v>
      </c>
      <c r="W53" s="564"/>
      <c r="X53" s="564"/>
      <c r="Y53" s="564"/>
      <c r="Z53" s="564"/>
    </row>
    <row r="54" spans="1:28" ht="20.100000000000001" customHeight="1">
      <c r="B54" s="35"/>
      <c r="C54" s="35"/>
      <c r="D54" s="35"/>
      <c r="E54" s="35"/>
      <c r="F54" s="35"/>
      <c r="G54" s="35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35"/>
      <c r="U54" s="35"/>
      <c r="AB54" s="1">
        <v>1</v>
      </c>
    </row>
    <row r="55" spans="1:28" ht="20.100000000000001" customHeight="1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</row>
    <row r="56" spans="1:28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</row>
    <row r="57" spans="1:28">
      <c r="B57" s="36"/>
    </row>
    <row r="60" spans="1:28" ht="19.5">
      <c r="B60" s="37"/>
    </row>
    <row r="61" spans="1:28" ht="19.5">
      <c r="B61" s="37"/>
    </row>
    <row r="62" spans="1:28" ht="19.5">
      <c r="B62" s="37"/>
    </row>
    <row r="63" spans="1:28" ht="19.5">
      <c r="B63" s="37"/>
    </row>
    <row r="64" spans="1:28" ht="19.5">
      <c r="B64" s="37"/>
    </row>
    <row r="65" spans="2:2" ht="19.5">
      <c r="B65" s="37"/>
    </row>
    <row r="66" spans="2:2" ht="19.5">
      <c r="B66" s="37"/>
    </row>
  </sheetData>
  <sheetProtection formatCells="0" formatColumns="0" formatRows="0" insertColumns="0" insertRows="0" insertHyperlinks="0" deleteColumns="0" deleteRows="0" sort="0" autoFilter="0" pivotTables="0"/>
  <customSheetViews>
    <customSheetView guid="{F65ACDE9-A565-4614-893F-AFCB94FA629C}" scale="70" showPageBreaks="1" printArea="1" view="pageBreakPreview" topLeftCell="A22">
      <selection activeCell="J36" sqref="J36"/>
      <pageMargins left="1.1811023622047245" right="0.39370078740157483" top="0.78740157480314965" bottom="0.78740157480314965" header="0.27559055118110237" footer="0.31496062992125984"/>
      <pageSetup paperSize="9" scale="35" orientation="landscape" verticalDpi="1200" r:id="rId1"/>
      <headerFooter alignWithMargins="0"/>
    </customSheetView>
    <customSheetView guid="{43DCEB14-ADF8-4168-9283-6542A71D3CF7}" scale="70" showPageBreaks="1" printArea="1" view="pageBreakPreview" topLeftCell="A43">
      <selection activeCell="N32" sqref="N32"/>
      <pageMargins left="1.1811023622047245" right="0.39370078740157483" top="0.78740157480314965" bottom="0.78740157480314965" header="0.27559055118110237" footer="0.31496062992125984"/>
      <pageSetup paperSize="9" scale="35" orientation="landscape" verticalDpi="1200" r:id="rId2"/>
      <headerFooter alignWithMargins="0"/>
    </customSheetView>
    <customSheetView guid="{4BF2F851-A775-4F33-8DA4-C59D9D94DA9D}" scale="70" showPageBreaks="1" printArea="1" view="pageBreakPreview" topLeftCell="A13">
      <selection activeCell="K34" sqref="K34"/>
      <pageMargins left="1.1811023622047245" right="0.39370078740157483" top="0.78740157480314965" bottom="0.78740157480314965" header="0.27559055118110237" footer="0.31496062992125984"/>
      <pageSetup paperSize="9" scale="35" orientation="landscape" verticalDpi="1200" r:id="rId3"/>
      <headerFooter alignWithMargins="0"/>
    </customSheetView>
    <customSheetView guid="{1E3D5FB9-014E-4051-8AD5-DB0A17D05797}" scale="70" showPageBreaks="1" printArea="1" view="pageBreakPreview" topLeftCell="I14">
      <selection activeCell="L33" sqref="L33"/>
      <pageMargins left="1.1811023622047245" right="0.39370078740157483" top="0.78740157480314965" bottom="0.78740157480314965" header="0.27559055118110237" footer="0.31496062992125984"/>
      <pageSetup paperSize="9" scale="35" orientation="landscape" verticalDpi="1200" r:id="rId4"/>
      <headerFooter alignWithMargins="0"/>
    </customSheetView>
    <customSheetView guid="{6E930A10-FB87-4441-8A38-C35193B7FA1B}" scale="70" showPageBreaks="1" printArea="1" view="pageBreakPreview">
      <selection activeCell="C11" sqref="C11:F11"/>
      <pageMargins left="1.1811023622047245" right="0.39370078740157483" top="0.78740157480314965" bottom="0.78740157480314965" header="0.27559055118110237" footer="0.31496062992125984"/>
      <pageSetup paperSize="9" scale="35" orientation="landscape" verticalDpi="1200" r:id="rId5"/>
      <headerFooter alignWithMargins="0"/>
    </customSheetView>
  </customSheetViews>
  <mergeCells count="244">
    <mergeCell ref="V53:Z53"/>
    <mergeCell ref="B52:F52"/>
    <mergeCell ref="L52:P52"/>
    <mergeCell ref="V52:Z52"/>
    <mergeCell ref="S27:V27"/>
    <mergeCell ref="W26:Z26"/>
    <mergeCell ref="O27:R27"/>
    <mergeCell ref="K27:N27"/>
    <mergeCell ref="K26:N26"/>
    <mergeCell ref="O26:R26"/>
    <mergeCell ref="Z48:AE48"/>
    <mergeCell ref="A48:D48"/>
    <mergeCell ref="C47:D47"/>
    <mergeCell ref="E47:F47"/>
    <mergeCell ref="M47:N47"/>
    <mergeCell ref="Z47:AE47"/>
    <mergeCell ref="Q48:R48"/>
    <mergeCell ref="K48:L48"/>
    <mergeCell ref="G43:H43"/>
    <mergeCell ref="I43:J43"/>
    <mergeCell ref="U37:Y39"/>
    <mergeCell ref="K37:T37"/>
    <mergeCell ref="W27:Z27"/>
    <mergeCell ref="Z37:AE39"/>
    <mergeCell ref="AB1:AE1"/>
    <mergeCell ref="Q47:R47"/>
    <mergeCell ref="S43:T43"/>
    <mergeCell ref="U43:Y43"/>
    <mergeCell ref="S45:T45"/>
    <mergeCell ref="U45:Y45"/>
    <mergeCell ref="S41:T41"/>
    <mergeCell ref="A22:U22"/>
    <mergeCell ref="O47:P47"/>
    <mergeCell ref="S47:T47"/>
    <mergeCell ref="U47:Y47"/>
    <mergeCell ref="Z44:AE44"/>
    <mergeCell ref="S44:T44"/>
    <mergeCell ref="U44:Y44"/>
    <mergeCell ref="S46:T46"/>
    <mergeCell ref="U46:Y46"/>
    <mergeCell ref="Z45:AE45"/>
    <mergeCell ref="M42:N42"/>
    <mergeCell ref="M11:P11"/>
    <mergeCell ref="T11:V11"/>
    <mergeCell ref="W11:Y11"/>
    <mergeCell ref="AC11:AE11"/>
    <mergeCell ref="Q42:R42"/>
    <mergeCell ref="Q41:R41"/>
    <mergeCell ref="S26:V26"/>
    <mergeCell ref="B26:F28"/>
    <mergeCell ref="A32:F32"/>
    <mergeCell ref="A26:A28"/>
    <mergeCell ref="B29:F29"/>
    <mergeCell ref="B37:B39"/>
    <mergeCell ref="C37:D39"/>
    <mergeCell ref="E37:F39"/>
    <mergeCell ref="A33:F33"/>
    <mergeCell ref="A37:A39"/>
    <mergeCell ref="O38:T38"/>
    <mergeCell ref="Q39:R39"/>
    <mergeCell ref="G26:J26"/>
    <mergeCell ref="M38:N39"/>
    <mergeCell ref="S39:T39"/>
    <mergeCell ref="G27:J27"/>
    <mergeCell ref="O39:P39"/>
    <mergeCell ref="I37:J39"/>
    <mergeCell ref="AB21:AC21"/>
    <mergeCell ref="AD21:AE21"/>
    <mergeCell ref="Z21:AA21"/>
    <mergeCell ref="AB22:AC22"/>
    <mergeCell ref="AD22:AE22"/>
    <mergeCell ref="C20:F20"/>
    <mergeCell ref="G20:P20"/>
    <mergeCell ref="Q20:U20"/>
    <mergeCell ref="V20:W20"/>
    <mergeCell ref="X20:Y20"/>
    <mergeCell ref="V21:W21"/>
    <mergeCell ref="X22:Y22"/>
    <mergeCell ref="V22:W22"/>
    <mergeCell ref="Z22:AA22"/>
    <mergeCell ref="C21:F21"/>
    <mergeCell ref="G21:P21"/>
    <mergeCell ref="Q21:U21"/>
    <mergeCell ref="X21:Y21"/>
    <mergeCell ref="AB19:AC19"/>
    <mergeCell ref="AD19:AE19"/>
    <mergeCell ref="X19:Y19"/>
    <mergeCell ref="V19:W19"/>
    <mergeCell ref="Q19:U19"/>
    <mergeCell ref="C19:F19"/>
    <mergeCell ref="Z19:AA19"/>
    <mergeCell ref="AB20:AC20"/>
    <mergeCell ref="AD20:AE20"/>
    <mergeCell ref="Z20:AA20"/>
    <mergeCell ref="AC10:AE10"/>
    <mergeCell ref="AC12:AE12"/>
    <mergeCell ref="AD18:AE18"/>
    <mergeCell ref="X17:AE17"/>
    <mergeCell ref="A12:L12"/>
    <mergeCell ref="M12:P12"/>
    <mergeCell ref="Q12:S12"/>
    <mergeCell ref="C9:F9"/>
    <mergeCell ref="G9:L9"/>
    <mergeCell ref="M9:P9"/>
    <mergeCell ref="Q9:S9"/>
    <mergeCell ref="C10:F10"/>
    <mergeCell ref="G10:L10"/>
    <mergeCell ref="M10:P10"/>
    <mergeCell ref="A16:A18"/>
    <mergeCell ref="B16:B18"/>
    <mergeCell ref="C16:F18"/>
    <mergeCell ref="G16:P18"/>
    <mergeCell ref="V16:AE16"/>
    <mergeCell ref="V17:W18"/>
    <mergeCell ref="G11:L11"/>
    <mergeCell ref="C11:F11"/>
    <mergeCell ref="Q11:S11"/>
    <mergeCell ref="Z11:AB11"/>
    <mergeCell ref="AC8:AE8"/>
    <mergeCell ref="Z8:AB8"/>
    <mergeCell ref="AC7:AE7"/>
    <mergeCell ref="T7:V7"/>
    <mergeCell ref="W7:Y7"/>
    <mergeCell ref="M4:P5"/>
    <mergeCell ref="C8:F8"/>
    <mergeCell ref="C7:F7"/>
    <mergeCell ref="G7:L7"/>
    <mergeCell ref="G6:L6"/>
    <mergeCell ref="M7:P7"/>
    <mergeCell ref="M6:P6"/>
    <mergeCell ref="M8:P8"/>
    <mergeCell ref="C6:F6"/>
    <mergeCell ref="G8:L8"/>
    <mergeCell ref="Q4:AE4"/>
    <mergeCell ref="T5:V5"/>
    <mergeCell ref="W5:Y5"/>
    <mergeCell ref="Z5:AB5"/>
    <mergeCell ref="AC6:AE6"/>
    <mergeCell ref="Q6:S6"/>
    <mergeCell ref="Q10:S10"/>
    <mergeCell ref="Q8:S8"/>
    <mergeCell ref="Q16:U18"/>
    <mergeCell ref="T10:V10"/>
    <mergeCell ref="Z6:AB6"/>
    <mergeCell ref="W6:Y6"/>
    <mergeCell ref="T6:V6"/>
    <mergeCell ref="A4:A5"/>
    <mergeCell ref="B4:B5"/>
    <mergeCell ref="C4:F5"/>
    <mergeCell ref="G4:L5"/>
    <mergeCell ref="Z7:AB7"/>
    <mergeCell ref="K38:L39"/>
    <mergeCell ref="G19:P19"/>
    <mergeCell ref="G37:H39"/>
    <mergeCell ref="M41:N41"/>
    <mergeCell ref="M40:N40"/>
    <mergeCell ref="Q5:S5"/>
    <mergeCell ref="AC5:AE5"/>
    <mergeCell ref="AC9:AE9"/>
    <mergeCell ref="T9:V9"/>
    <mergeCell ref="W9:Y9"/>
    <mergeCell ref="Z18:AA18"/>
    <mergeCell ref="AB18:AC18"/>
    <mergeCell ref="Z12:AB12"/>
    <mergeCell ref="Z10:AB10"/>
    <mergeCell ref="Z9:AB9"/>
    <mergeCell ref="X18:Y18"/>
    <mergeCell ref="W8:Y8"/>
    <mergeCell ref="T8:V8"/>
    <mergeCell ref="T12:V12"/>
    <mergeCell ref="Q7:S7"/>
    <mergeCell ref="W10:Y10"/>
    <mergeCell ref="W12:Y12"/>
    <mergeCell ref="Z41:AE41"/>
    <mergeCell ref="K41:L41"/>
    <mergeCell ref="C46:D46"/>
    <mergeCell ref="G46:H46"/>
    <mergeCell ref="Q45:R45"/>
    <mergeCell ref="K46:L46"/>
    <mergeCell ref="K45:L45"/>
    <mergeCell ref="M46:N46"/>
    <mergeCell ref="O46:P46"/>
    <mergeCell ref="Q46:R46"/>
    <mergeCell ref="C45:D45"/>
    <mergeCell ref="M45:N45"/>
    <mergeCell ref="E45:F45"/>
    <mergeCell ref="G45:H45"/>
    <mergeCell ref="I45:J45"/>
    <mergeCell ref="Z42:AE42"/>
    <mergeCell ref="U40:Y40"/>
    <mergeCell ref="U41:Y41"/>
    <mergeCell ref="U42:Y42"/>
    <mergeCell ref="M48:N48"/>
    <mergeCell ref="G47:H47"/>
    <mergeCell ref="K47:L47"/>
    <mergeCell ref="O48:P48"/>
    <mergeCell ref="I48:J48"/>
    <mergeCell ref="S40:T40"/>
    <mergeCell ref="Q44:R44"/>
    <mergeCell ref="Z43:AE43"/>
    <mergeCell ref="I46:J46"/>
    <mergeCell ref="K44:L44"/>
    <mergeCell ref="K43:L43"/>
    <mergeCell ref="O45:P45"/>
    <mergeCell ref="Q43:R43"/>
    <mergeCell ref="K42:L42"/>
    <mergeCell ref="S48:T48"/>
    <mergeCell ref="U48:Y48"/>
    <mergeCell ref="O41:P41"/>
    <mergeCell ref="O42:P42"/>
    <mergeCell ref="G40:H40"/>
    <mergeCell ref="I40:J40"/>
    <mergeCell ref="K40:L40"/>
    <mergeCell ref="I42:J42"/>
    <mergeCell ref="I41:J41"/>
    <mergeCell ref="O43:P43"/>
    <mergeCell ref="E48:F48"/>
    <mergeCell ref="G48:H48"/>
    <mergeCell ref="I47:J47"/>
    <mergeCell ref="E46:F46"/>
    <mergeCell ref="B31:D31"/>
    <mergeCell ref="G42:H42"/>
    <mergeCell ref="Z46:AE46"/>
    <mergeCell ref="Z40:AE40"/>
    <mergeCell ref="B30:F30"/>
    <mergeCell ref="G44:H44"/>
    <mergeCell ref="I44:J44"/>
    <mergeCell ref="Q40:R40"/>
    <mergeCell ref="S42:T42"/>
    <mergeCell ref="M44:N44"/>
    <mergeCell ref="O44:P44"/>
    <mergeCell ref="M43:N43"/>
    <mergeCell ref="C44:D44"/>
    <mergeCell ref="E44:F44"/>
    <mergeCell ref="E42:F42"/>
    <mergeCell ref="C40:D40"/>
    <mergeCell ref="E40:F40"/>
    <mergeCell ref="C42:D42"/>
    <mergeCell ref="C41:D41"/>
    <mergeCell ref="E41:F41"/>
    <mergeCell ref="C43:D43"/>
    <mergeCell ref="E43:F43"/>
    <mergeCell ref="O40:P40"/>
    <mergeCell ref="G41:H41"/>
  </mergeCells>
  <phoneticPr fontId="3" type="noConversion"/>
  <pageMargins left="1.1811023622047245" right="0.39370078740157483" top="0.78740157480314965" bottom="0.78740157480314965" header="0.27559055118110237" footer="0.31496062992125984"/>
  <pageSetup paperSize="9" scale="35" orientation="landscape" verticalDpi="1200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13</vt:i4>
      </vt:variant>
    </vt:vector>
  </HeadingPairs>
  <TitlesOfParts>
    <vt:vector size="22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штатка</vt:lpstr>
      <vt:lpstr>6.2. Інша інфо_2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RePack by Diakov</cp:lastModifiedBy>
  <cp:lastPrinted>2021-05-19T06:08:52Z</cp:lastPrinted>
  <dcterms:created xsi:type="dcterms:W3CDTF">2003-03-13T16:00:22Z</dcterms:created>
  <dcterms:modified xsi:type="dcterms:W3CDTF">2022-05-12T07:08:00Z</dcterms:modified>
</cp:coreProperties>
</file>